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workbookPr codeName="ThisWorkbook" defaultThemeVersion="124226"/>
  <mc:AlternateContent xmlns:mc="http://schemas.openxmlformats.org/markup-compatibility/2006">
    <mc:Choice Requires="x15">
      <x15ac:absPath xmlns:x15ac="http://schemas.microsoft.com/office/spreadsheetml/2010/11/ac" url="C:\Users\hongsal\AppData\Local\Research\ModelPublishing\SubmittedModels\"/>
    </mc:Choice>
  </mc:AlternateContent>
  <xr:revisionPtr revIDLastSave="0" documentId="8_{E9410527-EE26-4102-BA69-563DE18BA094}" xr6:coauthVersionLast="47" xr6:coauthVersionMax="47" xr10:uidLastSave="{00000000-0000-0000-0000-000000000000}"/>
  <bookViews>
    <workbookView xWindow="-108" yWindow="-108" windowWidth="30936" windowHeight="16776" xr2:uid="{743545E1-051B-4016-A15A-B8304DF96302}"/>
  </bookViews>
  <sheets>
    <sheet name="CircularReferenceAlert" sheetId="150" r:id="rId1"/>
    <sheet name="ImportantDisclosures" sheetId="147" r:id="rId2"/>
    <sheet name="SUMMARY" sheetId="117" r:id="rId3"/>
    <sheet name="MODEL" sheetId="115" r:id="rId4"/>
    <sheet name="Bull Bear" sheetId="123" r:id="rId5"/>
    <sheet name="Valuation" sheetId="111" r:id="rId6"/>
    <sheet name="Price Target" sheetId="121" r:id="rId7"/>
    <sheet name="IndexInformation" sheetId="148" r:id="rId8"/>
    <sheet name="ModPubIndex" sheetId="149" r:id="rId9"/>
  </sheets>
  <externalReferences>
    <externalReference r:id="rId10"/>
  </externalReferences>
  <definedNames>
    <definedName name="africa">0</definedName>
    <definedName name="africaCountries">#REF!</definedName>
    <definedName name="allRegions">#REF!</definedName>
    <definedName name="americaRegion">#REF!</definedName>
    <definedName name="americas">0</definedName>
    <definedName name="americasStates">#REF!</definedName>
    <definedName name="AppVersion">"GEG-1.0"</definedName>
    <definedName name="asiaPacific">1</definedName>
    <definedName name="asiaPacificExJapan">1</definedName>
    <definedName name="asiaPacificExJapanCountries">#REF!</definedName>
    <definedName name="asiaPacificRegion">#REF!</definedName>
    <definedName name="asiaPacificStates">#REF!</definedName>
    <definedName name="australasia">0.95</definedName>
    <definedName name="centralEasternEurope">0</definedName>
    <definedName name="centralEasternEuropeCountries">#REF!</definedName>
    <definedName name="china">0</definedName>
    <definedName name="consumerDemandExposure">#REF!</definedName>
    <definedName name="consumersExposure">0.45</definedName>
    <definedName name="countryList">"Country Mapping"</definedName>
    <definedName name="developedEuropeExUK">0</definedName>
    <definedName name="developedEuropeExUKCountries">#REF!</definedName>
    <definedName name="domesticAndForeignExposure">#REF!</definedName>
    <definedName name="domesticCostExposure">#REF!</definedName>
    <definedName name="endDemandExposure">#REF!</definedName>
    <definedName name="europe">0</definedName>
    <definedName name="europeRegion">#REF!</definedName>
    <definedName name="europeStates">#REF!</definedName>
    <definedName name="india">0</definedName>
    <definedName name="instructions">#REF!</definedName>
    <definedName name="italy">0</definedName>
    <definedName name="japan">0</definedName>
    <definedName name="latinAmerica">0</definedName>
    <definedName name="latinAmericaCountries">#REF!</definedName>
    <definedName name="Linking_1" localSheetId="6">'Price Target'!$B$3:$D$42</definedName>
    <definedName name="Linking_1">#REF!</definedName>
    <definedName name="Linking_10">SUMMARY!$C$4:$EA$85</definedName>
    <definedName name="Linking_11">'Bull Bear'!$AX$162:$BB$173</definedName>
    <definedName name="Linking_12">#REF!</definedName>
    <definedName name="Linking_13">#REF!</definedName>
    <definedName name="Linking_14">SUMMARY!$C$2:$EE$85</definedName>
    <definedName name="Linking_15">SUMMARY!$C$4:$EE$85</definedName>
    <definedName name="Linking_16">#REF!</definedName>
    <definedName name="Linking_17">#REF!</definedName>
    <definedName name="Linking_18">SUMMARY!$C$4:$EE$87</definedName>
    <definedName name="Linking_19">SUMMARY!$C$4:$EI$87</definedName>
    <definedName name="Linking_2">SUMMARY!$C$4:$DW$82</definedName>
    <definedName name="Linking_20">SUMMARY!$C$4:$EI$84</definedName>
    <definedName name="Linking_21">#REF!</definedName>
    <definedName name="Linking_22">#REF!</definedName>
    <definedName name="Linking_23">SUMMARY!$C$4:$EM$84</definedName>
    <definedName name="Linking_24">#REF!</definedName>
    <definedName name="Linking_25">#REF!</definedName>
    <definedName name="Linking_26">SUMMARY!$CN$24</definedName>
    <definedName name="Linking_27">SUMMARY!$C$4:$EM$85</definedName>
    <definedName name="Linking_28">#REF!</definedName>
    <definedName name="Linking_29">SUMMARY!$C$4:$FC$86</definedName>
    <definedName name="Linking_3">#REF!</definedName>
    <definedName name="Linking_30">SUMMARY!$C$4:$EQ$85</definedName>
    <definedName name="Linking_31">#REF!</definedName>
    <definedName name="Linking_32">#REF!</definedName>
    <definedName name="Linking_33">SUMMARY!$C$4:$EU$85</definedName>
    <definedName name="Linking_34">#REF!</definedName>
    <definedName name="Linking_35">#REF!</definedName>
    <definedName name="Linking_36">#REF!</definedName>
    <definedName name="Linking_37">#REF!</definedName>
    <definedName name="Linking_38">SUMMARY!$C$4:$EU$86</definedName>
    <definedName name="Linking_39">#REF!</definedName>
    <definedName name="Linking_4">#REF!</definedName>
    <definedName name="Linking_40">SUMMARY!$C$4:$FG$85</definedName>
    <definedName name="Linking_41">#REF!</definedName>
    <definedName name="Linking_42">#REF!</definedName>
    <definedName name="Linking_43">SUMMARY!$C$2:$EU$85</definedName>
    <definedName name="Linking_44">#REF!</definedName>
    <definedName name="Linking_45">#REF!</definedName>
    <definedName name="Linking_46">#REF!</definedName>
    <definedName name="Linking_47">#REF!</definedName>
    <definedName name="Linking_48">SUMMARY!$C$4:$EY$85</definedName>
    <definedName name="Linking_49">#REF!</definedName>
    <definedName name="Linking_5">#REF!</definedName>
    <definedName name="Linking_50">#REF!</definedName>
    <definedName name="Linking_51">#REF!</definedName>
    <definedName name="Linking_52">#REF!</definedName>
    <definedName name="Linking_53">SUMMARY!$C$4:$EY$86</definedName>
    <definedName name="Linking_54">#REF!</definedName>
    <definedName name="Linking_55">SUMMARY!$C$4:$FC$85</definedName>
    <definedName name="Linking_56">#REF!</definedName>
    <definedName name="Linking_57">#REF!</definedName>
    <definedName name="Linking_58">#REF!</definedName>
    <definedName name="Linking_59">#REF!</definedName>
    <definedName name="Linking_6">#REF!</definedName>
    <definedName name="Linking_60">#REF!</definedName>
    <definedName name="Linking_61">#REF!</definedName>
    <definedName name="Linking_62">SUMMARY!$C$4:$FC$84</definedName>
    <definedName name="Linking_63">#REF!</definedName>
    <definedName name="Linking_64">#REF!</definedName>
    <definedName name="Linking_65">#REF!</definedName>
    <definedName name="Linking_66">#REF!</definedName>
    <definedName name="Linking_67">#REF!</definedName>
    <definedName name="Linking_68">#REF!</definedName>
    <definedName name="Linking_69">[1]Sheet1!$S$33:$Z$41</definedName>
    <definedName name="Linking_7">SUMMARY!$C$4:$EA$82</definedName>
    <definedName name="Linking_70">SUMMARY!$C$4:$FK$85</definedName>
    <definedName name="Linking_71">#REF!</definedName>
    <definedName name="Linking_72">#REF!</definedName>
    <definedName name="Linking_73">#REF!</definedName>
    <definedName name="Linking_74">#REF!</definedName>
    <definedName name="Linking_75">#REF!</definedName>
    <definedName name="Linking_76">'Price Target'!$J$25:$M$42</definedName>
    <definedName name="Linking_77">#REF!</definedName>
    <definedName name="Linking_8">#REF!</definedName>
    <definedName name="Linking_9">#REF!</definedName>
    <definedName name="Linking_Range_1" localSheetId="2">SUMMARY!$C$4:$DG$82</definedName>
    <definedName name="Linking_Range_11">#REF!</definedName>
    <definedName name="Linking_Range_13" localSheetId="2">SUMMARY!$C$4:$DK$82</definedName>
    <definedName name="Linking_Range_14" localSheetId="6">'Price Target'!$B$4:$D$38</definedName>
    <definedName name="Linking_Range_14">#REF!</definedName>
    <definedName name="Linking_Range_15">#REF!</definedName>
    <definedName name="Linking_Range_16" localSheetId="2">SUMMARY!$C$4:$DO$82</definedName>
    <definedName name="Linking_Range_17" localSheetId="6">'Price Target'!$B$4:$D$42</definedName>
    <definedName name="Linking_Range_17">#REF!</definedName>
    <definedName name="Linking_Range_18" localSheetId="2">#REF!</definedName>
    <definedName name="Linking_Range_19">SUMMARY!$C$4:$DS$82</definedName>
    <definedName name="Linking_Range_2">#REF!</definedName>
    <definedName name="Linking_Range_20">#REF!</definedName>
    <definedName name="Linking_Range_21">#REF!</definedName>
    <definedName name="Linking_Range_5" localSheetId="2">SUMMARY!$C$7:$Z$37</definedName>
    <definedName name="Linking_Range_7" localSheetId="2">SUMMARY!$C$4:$DG$83</definedName>
    <definedName name="Linking_Range_9" localSheetId="2">SUMMARY!$C$4:$DK$83</definedName>
    <definedName name="linking_range_expenses">#REF!</definedName>
    <definedName name="linking_range_growth">#REF!</definedName>
    <definedName name="linking_range_refunds">#REF!</definedName>
    <definedName name="middleEast">0</definedName>
    <definedName name="middleEastAfrica">0</definedName>
    <definedName name="middleEastAfricaRegion">#REF!</definedName>
    <definedName name="middleEastAfricaStates">#REF!</definedName>
    <definedName name="northAmerica">0</definedName>
    <definedName name="northAmericaCountries">#REF!</definedName>
    <definedName name="otherAfrica">0</definedName>
    <definedName name="otherAsiaPacific">0.025</definedName>
    <definedName name="otherCentralEasternEurope">0</definedName>
    <definedName name="otherDevelopedEurope">0</definedName>
    <definedName name="otherLATAM">0</definedName>
    <definedName name="_xlnm.Print_Area" localSheetId="2">SUMMARY!$C$2:$FC$85</definedName>
    <definedName name="regionalCostExposure">#REF!</definedName>
    <definedName name="rngBRICS">#REF!,#REF!,#REF!,#REF!</definedName>
    <definedName name="rngContinentWiseValue">#REF!</definedName>
    <definedName name="rngCountryWiseValue">#REF!</definedName>
    <definedName name="rngEEMEA">#REF!,#REF!,#REF!,#REF!</definedName>
    <definedName name="rngStateWiseValue">#REF!</definedName>
    <definedName name="rngTotalRegionExposure">1</definedName>
    <definedName name="showVersionCheckMessage">1</definedName>
    <definedName name="socioEconomicRegion">#REF!</definedName>
    <definedName name="spain">0</definedName>
    <definedName name="totalConsumerDemandExposure">1</definedName>
    <definedName name="totalDomesticCostExposure">#REF!</definedName>
    <definedName name="totalDomesticRevenueExposure">#REF!</definedName>
    <definedName name="totalEndDemandRevenueExposure">#REF!</definedName>
    <definedName name="totalRegionCostExposure">#REF!</definedName>
    <definedName name="totalRegionRevenueExposure">#REF!</definedName>
    <definedName name="uk">0</definedName>
    <definedName name="ValidDateTable">#REF!</definedName>
  </definedNames>
  <calcPr calcId="191029" calcMode="manual" iterate="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47" i="123" l="1"/>
  <c r="AG47" i="123"/>
  <c r="AC47" i="123"/>
  <c r="Y47" i="123"/>
  <c r="U47" i="123"/>
  <c r="Q47" i="123"/>
  <c r="M47" i="123"/>
  <c r="BC144" i="123"/>
  <c r="BB144" i="123"/>
  <c r="BA144" i="123"/>
  <c r="AY144" i="123"/>
  <c r="AX144" i="123"/>
  <c r="AW144" i="123"/>
  <c r="AU144" i="123"/>
  <c r="AT144" i="123"/>
  <c r="AS144" i="123"/>
  <c r="AQ144" i="123"/>
  <c r="AP144" i="123"/>
  <c r="AO144" i="123"/>
  <c r="AA144" i="123"/>
  <c r="Z144" i="123"/>
  <c r="Y144" i="123"/>
  <c r="W144" i="123"/>
  <c r="V144" i="123"/>
  <c r="U144" i="123"/>
  <c r="S144" i="123"/>
  <c r="R144" i="123"/>
  <c r="Q144" i="123"/>
  <c r="O144" i="123"/>
  <c r="N144" i="123"/>
  <c r="M144" i="123"/>
  <c r="H144" i="123"/>
  <c r="I144" i="123"/>
  <c r="J144" i="123"/>
  <c r="K144" i="123"/>
  <c r="M90" i="123"/>
  <c r="N90" i="123"/>
  <c r="O90" i="123"/>
  <c r="Q90" i="123"/>
  <c r="R90" i="123"/>
  <c r="S90" i="123"/>
  <c r="U90" i="123"/>
  <c r="V90" i="123"/>
  <c r="W90" i="123"/>
  <c r="Y90" i="123"/>
  <c r="Z90" i="123"/>
  <c r="AA90" i="123"/>
  <c r="AG90" i="123"/>
  <c r="AH90" i="123"/>
  <c r="AI90" i="123"/>
  <c r="AK90" i="123"/>
  <c r="AL90" i="123"/>
  <c r="AM90" i="123"/>
  <c r="AO90" i="123"/>
  <c r="AP90" i="123"/>
  <c r="AQ90" i="123"/>
  <c r="AS90" i="123"/>
  <c r="AT90" i="123"/>
  <c r="AU90" i="123"/>
  <c r="AW90" i="123"/>
  <c r="AX90" i="123"/>
  <c r="AY90" i="123"/>
  <c r="BA90" i="123"/>
  <c r="BB90" i="123"/>
  <c r="BC90" i="123"/>
  <c r="H90" i="123"/>
  <c r="I90" i="123"/>
  <c r="J90" i="123"/>
  <c r="K90" i="123"/>
  <c r="AC157" i="123"/>
  <c r="DU1402" i="115" l="1"/>
  <c r="FH34" i="117" l="1"/>
  <c r="FD34" i="117"/>
  <c r="EZ34" i="117"/>
  <c r="DS34" i="117"/>
  <c r="DO34" i="117"/>
  <c r="DN34" i="117"/>
  <c r="DM34" i="117"/>
  <c r="DL34" i="117"/>
  <c r="DK34" i="117"/>
  <c r="DJ34" i="117"/>
  <c r="DI34" i="117"/>
  <c r="DG34" i="117"/>
  <c r="DF34" i="117"/>
  <c r="DE34" i="117"/>
  <c r="DC34" i="117"/>
  <c r="DB34" i="117"/>
  <c r="DA34" i="117"/>
  <c r="DE1172" i="115" l="1"/>
  <c r="DH1172" i="115" s="1"/>
  <c r="DE755" i="115"/>
  <c r="DD755" i="115"/>
  <c r="DF755" i="115" l="1"/>
  <c r="DE680" i="115" l="1"/>
  <c r="DH1151" i="115"/>
  <c r="DI1151" i="115" s="1"/>
  <c r="DL1151" i="115" s="1"/>
  <c r="DM1151" i="115" s="1"/>
  <c r="DP1151" i="115" s="1"/>
  <c r="DQ1151" i="115" s="1"/>
  <c r="DE1496" i="115"/>
  <c r="DE1447" i="115"/>
  <c r="DD1438" i="115" l="1"/>
  <c r="DE1425" i="115"/>
  <c r="DE1471" i="115" s="1"/>
  <c r="DH1471" i="115" s="1"/>
  <c r="DI1471" i="115" s="1"/>
  <c r="DE1418" i="115"/>
  <c r="DE1420" i="115"/>
  <c r="DE1298" i="115"/>
  <c r="DE1299" i="115" s="1"/>
  <c r="DE1271" i="115"/>
  <c r="DA1198" i="115"/>
  <c r="DD1197" i="115"/>
  <c r="DD1198" i="115" s="1"/>
  <c r="DE1083" i="115"/>
  <c r="DE1076" i="115"/>
  <c r="DE751" i="115"/>
  <c r="DF403" i="115"/>
  <c r="DE242" i="115"/>
  <c r="DE30" i="115" l="1"/>
  <c r="DE18" i="115"/>
  <c r="AR41" i="123"/>
  <c r="AR86" i="123" s="1"/>
  <c r="AR12" i="123"/>
  <c r="AR10" i="123"/>
  <c r="AR55" i="123" s="1"/>
  <c r="AR2" i="123"/>
  <c r="AR145" i="123" s="1"/>
  <c r="AI5" i="111"/>
  <c r="AI107" i="111" s="1"/>
  <c r="AI4" i="111"/>
  <c r="AI1" i="111" s="1"/>
  <c r="DF1608" i="115"/>
  <c r="DF1607" i="115"/>
  <c r="DF1605" i="115"/>
  <c r="DE1598" i="115"/>
  <c r="DE1597" i="115"/>
  <c r="DE1596" i="115"/>
  <c r="DE1595" i="115"/>
  <c r="DE1594" i="115"/>
  <c r="DE1593" i="115"/>
  <c r="DE1592" i="115"/>
  <c r="DE1580" i="115"/>
  <c r="DE1554" i="115" s="1"/>
  <c r="DF1579" i="115"/>
  <c r="DF1578" i="115"/>
  <c r="DF1577" i="115"/>
  <c r="DF1576" i="115"/>
  <c r="DF1575" i="115"/>
  <c r="DF1574" i="115"/>
  <c r="DF1573" i="115"/>
  <c r="DE1557" i="115"/>
  <c r="DF1529" i="115"/>
  <c r="DE1529" i="115"/>
  <c r="DE1520" i="115"/>
  <c r="DE1518" i="115"/>
  <c r="DE1513" i="115"/>
  <c r="DE1509" i="115"/>
  <c r="DE1508" i="115"/>
  <c r="DE1507" i="115"/>
  <c r="DE1506" i="115"/>
  <c r="DF1503" i="115"/>
  <c r="DE1500" i="115"/>
  <c r="DE1501" i="115" s="1"/>
  <c r="DE1498" i="115"/>
  <c r="DF1498" i="115" s="1"/>
  <c r="DE1497" i="115"/>
  <c r="DF1496" i="115"/>
  <c r="DE1488" i="115"/>
  <c r="DE1486" i="115" s="1"/>
  <c r="DE1474" i="115"/>
  <c r="DE1472" i="115"/>
  <c r="DE1465" i="115"/>
  <c r="DE1464" i="115"/>
  <c r="DE1461" i="115"/>
  <c r="DF1450" i="115"/>
  <c r="DF1448" i="115"/>
  <c r="DE1449" i="115"/>
  <c r="DF1435" i="115"/>
  <c r="DE1434" i="115"/>
  <c r="DF1434" i="115" s="1"/>
  <c r="DF1433" i="115"/>
  <c r="DF1432" i="115"/>
  <c r="DF1428" i="115"/>
  <c r="DF1426" i="115"/>
  <c r="DE1427" i="115"/>
  <c r="DF1421" i="115"/>
  <c r="DF1420" i="115"/>
  <c r="DF1419" i="115"/>
  <c r="DF1415" i="115"/>
  <c r="DE1414" i="115"/>
  <c r="DF1414" i="115" s="1"/>
  <c r="DF1413" i="115"/>
  <c r="DF1412" i="115"/>
  <c r="DE1407" i="115"/>
  <c r="DE1180" i="115" s="1"/>
  <c r="DF1406" i="115"/>
  <c r="DF1405" i="115"/>
  <c r="DF1509" i="115" s="1"/>
  <c r="DF1404" i="115"/>
  <c r="DF1403" i="115"/>
  <c r="DF1402" i="115"/>
  <c r="DF1506" i="115" s="1"/>
  <c r="DE1396" i="115"/>
  <c r="DF1396" i="115" s="1"/>
  <c r="DE1390" i="115"/>
  <c r="DE1302" i="115" s="1"/>
  <c r="DF1302" i="115" s="1"/>
  <c r="DF1389" i="115"/>
  <c r="DF1388" i="115"/>
  <c r="DF1387" i="115"/>
  <c r="DF1386" i="115"/>
  <c r="DF1385" i="115"/>
  <c r="DF1384" i="115"/>
  <c r="DF1383" i="115"/>
  <c r="DF1382" i="115"/>
  <c r="DF1381" i="115"/>
  <c r="DF1380" i="115"/>
  <c r="DF1379" i="115"/>
  <c r="DF1378" i="115"/>
  <c r="DF1377" i="115"/>
  <c r="DF1376" i="115"/>
  <c r="DF1375" i="115"/>
  <c r="DE1371" i="115"/>
  <c r="DE1370" i="115"/>
  <c r="DE1369" i="115"/>
  <c r="DE1368" i="115"/>
  <c r="DE1362" i="115"/>
  <c r="DE1363" i="115" s="1"/>
  <c r="DE1361" i="115"/>
  <c r="DE1351" i="115"/>
  <c r="DF1349" i="115"/>
  <c r="DE1348" i="115"/>
  <c r="DE1342" i="115"/>
  <c r="DE1340" i="115"/>
  <c r="DE1338" i="115"/>
  <c r="DE1339" i="115" s="1"/>
  <c r="DE1334" i="115"/>
  <c r="DF1333" i="115"/>
  <c r="DE1327" i="115"/>
  <c r="DE1323" i="115"/>
  <c r="DE1322" i="115"/>
  <c r="DE1319" i="115"/>
  <c r="DE1317" i="115"/>
  <c r="DE1310" i="115"/>
  <c r="DF1308" i="115"/>
  <c r="DF1304" i="115"/>
  <c r="DF1303" i="115"/>
  <c r="DF1298" i="115"/>
  <c r="DF1297" i="115"/>
  <c r="DF1338" i="115" s="1"/>
  <c r="DF1339" i="115" s="1"/>
  <c r="DF1296" i="115"/>
  <c r="DF1295" i="115"/>
  <c r="DF1294" i="115"/>
  <c r="DF1351" i="115" s="1"/>
  <c r="DF1293" i="115"/>
  <c r="DF1327" i="115" s="1"/>
  <c r="DF1292" i="115"/>
  <c r="DF1323" i="115" s="1"/>
  <c r="DF1291" i="115"/>
  <c r="DF1290" i="115"/>
  <c r="DF1319" i="115" s="1"/>
  <c r="DF1289" i="115"/>
  <c r="DF1317" i="115" s="1"/>
  <c r="DF1287" i="115"/>
  <c r="DF1286" i="115"/>
  <c r="DF1285" i="115"/>
  <c r="DE1284" i="115"/>
  <c r="DF1284" i="115" s="1"/>
  <c r="DF1283" i="115"/>
  <c r="DF1282" i="115"/>
  <c r="DF1275" i="115"/>
  <c r="DF1274" i="115"/>
  <c r="DE1272" i="115"/>
  <c r="DE1276" i="115" s="1"/>
  <c r="DF1270" i="115"/>
  <c r="DF1269" i="115"/>
  <c r="DF1268" i="115"/>
  <c r="DE1234" i="115"/>
  <c r="DE1233" i="115"/>
  <c r="DE1240" i="115" s="1"/>
  <c r="DE1232" i="115"/>
  <c r="DF1229" i="115"/>
  <c r="DF1233" i="115" s="1"/>
  <c r="DF1240" i="115" s="1"/>
  <c r="DE1224" i="115"/>
  <c r="DF1221" i="115"/>
  <c r="DE1221" i="115"/>
  <c r="DF1213" i="115"/>
  <c r="DE1213" i="115"/>
  <c r="DE1209" i="115"/>
  <c r="DE1182" i="115"/>
  <c r="DE1163" i="115"/>
  <c r="DE1166" i="115" s="1"/>
  <c r="DE1131" i="115"/>
  <c r="DF1131" i="115" s="1"/>
  <c r="DE1128" i="115"/>
  <c r="DE1127" i="115"/>
  <c r="DF1126" i="115"/>
  <c r="DF1125" i="115"/>
  <c r="DF1163" i="115" s="1"/>
  <c r="DE1115" i="115"/>
  <c r="DE1111" i="115"/>
  <c r="DE1112" i="115" s="1"/>
  <c r="DE1109" i="115"/>
  <c r="DF1108" i="115"/>
  <c r="DF1102" i="115"/>
  <c r="DE1101" i="115"/>
  <c r="DE1095" i="115"/>
  <c r="DE1090" i="115"/>
  <c r="DE1085" i="115"/>
  <c r="DF1082" i="115"/>
  <c r="DE1078" i="115"/>
  <c r="DF1076" i="115"/>
  <c r="DF1075" i="115"/>
  <c r="DF1074" i="115"/>
  <c r="DF1071" i="115"/>
  <c r="DF1070" i="115"/>
  <c r="DF1069" i="115"/>
  <c r="DE1065" i="115"/>
  <c r="DH1058" i="115" s="1"/>
  <c r="DJ1058" i="115" s="1"/>
  <c r="DF1063" i="115"/>
  <c r="DE1062" i="115"/>
  <c r="DF1059" i="115"/>
  <c r="DD1062" i="115"/>
  <c r="DD1065" i="115"/>
  <c r="DE1058" i="115" s="1"/>
  <c r="DD1078" i="115"/>
  <c r="DE1068" i="115" s="1"/>
  <c r="DD1085" i="115"/>
  <c r="DE1081" i="115" s="1"/>
  <c r="DD1090" i="115"/>
  <c r="DE1088" i="115" s="1"/>
  <c r="DD1095" i="115"/>
  <c r="DE1093" i="115" s="1"/>
  <c r="DD1101" i="115"/>
  <c r="DF1101" i="115" s="1"/>
  <c r="DD1109" i="115"/>
  <c r="DD1111" i="115"/>
  <c r="DD1112" i="115" s="1"/>
  <c r="DD1115" i="115"/>
  <c r="DD1127" i="115"/>
  <c r="DD1128" i="115"/>
  <c r="DD1131" i="115"/>
  <c r="DD1132" i="115" s="1"/>
  <c r="DD1163" i="115"/>
  <c r="DD1166" i="115" s="1"/>
  <c r="DF1052" i="115"/>
  <c r="DF1045" i="115"/>
  <c r="DF1095" i="115" s="1"/>
  <c r="DF1044" i="115"/>
  <c r="DF1090" i="115" s="1"/>
  <c r="DE1043" i="115"/>
  <c r="DE1046" i="115" s="1"/>
  <c r="DF1042" i="115"/>
  <c r="DF1041" i="115"/>
  <c r="DF1085" i="115" s="1"/>
  <c r="DF1040" i="115"/>
  <c r="DF1036" i="115"/>
  <c r="DF38" i="115" s="1"/>
  <c r="DF1035" i="115"/>
  <c r="DF1034" i="115"/>
  <c r="DF1033" i="115"/>
  <c r="DF1032" i="115"/>
  <c r="DE1031" i="115"/>
  <c r="DE1030" i="115" s="1"/>
  <c r="DF1027" i="115"/>
  <c r="DE1024" i="115"/>
  <c r="DE40" i="115" s="1"/>
  <c r="DF1023" i="115"/>
  <c r="DF1022" i="115"/>
  <c r="DF1021" i="115"/>
  <c r="DF1020" i="115"/>
  <c r="DF1019" i="115"/>
  <c r="DF1018" i="115"/>
  <c r="DF1017" i="115"/>
  <c r="DF1016" i="115"/>
  <c r="DE1004" i="115"/>
  <c r="DF1003" i="115"/>
  <c r="DF597" i="115" s="1"/>
  <c r="DE998" i="115"/>
  <c r="DE990" i="115"/>
  <c r="DE966" i="115"/>
  <c r="DF964" i="115"/>
  <c r="DE961" i="115"/>
  <c r="DE969" i="115" s="1"/>
  <c r="DE949" i="115"/>
  <c r="DE948" i="115"/>
  <c r="DE947" i="115"/>
  <c r="DE946" i="115"/>
  <c r="DE945" i="115"/>
  <c r="DE943" i="115"/>
  <c r="DE929" i="115"/>
  <c r="DF923" i="115"/>
  <c r="DF883" i="115" s="1"/>
  <c r="DF911" i="115"/>
  <c r="DE910" i="115"/>
  <c r="DE909" i="115"/>
  <c r="DF908" i="115"/>
  <c r="DF886" i="115"/>
  <c r="DF884" i="115"/>
  <c r="DE883" i="115"/>
  <c r="DE892" i="115" s="1"/>
  <c r="DE880" i="115"/>
  <c r="DE879" i="115" s="1"/>
  <c r="DF878" i="115"/>
  <c r="DE876" i="115"/>
  <c r="DE875" i="115" s="1"/>
  <c r="DF874" i="115"/>
  <c r="DF873" i="115"/>
  <c r="DF872" i="115"/>
  <c r="DE866" i="115"/>
  <c r="DE865" i="115"/>
  <c r="DE864" i="115"/>
  <c r="DE907" i="115" s="1"/>
  <c r="DF861" i="115"/>
  <c r="DE842" i="115"/>
  <c r="DE925" i="115" s="1"/>
  <c r="DE841" i="115"/>
  <c r="DE916" i="115" s="1"/>
  <c r="DE840" i="115"/>
  <c r="DE792" i="115"/>
  <c r="DF791" i="115"/>
  <c r="DE790" i="115"/>
  <c r="DE789" i="115"/>
  <c r="DE788" i="115"/>
  <c r="DE772" i="115"/>
  <c r="DF743" i="115"/>
  <c r="DF742" i="115"/>
  <c r="DF741" i="115"/>
  <c r="DF727" i="115"/>
  <c r="DF724" i="115"/>
  <c r="DE715" i="115"/>
  <c r="DE712" i="115"/>
  <c r="DE710" i="115"/>
  <c r="DF708" i="115"/>
  <c r="DE707" i="115"/>
  <c r="DE709" i="115" s="1"/>
  <c r="DF706" i="115"/>
  <c r="DF705" i="115"/>
  <c r="DF704" i="115"/>
  <c r="DF703" i="115"/>
  <c r="DE697" i="115"/>
  <c r="DF693" i="115"/>
  <c r="DF685" i="115"/>
  <c r="DF684" i="115"/>
  <c r="DF683" i="115"/>
  <c r="DF682" i="115"/>
  <c r="DF681" i="115"/>
  <c r="DF680" i="115"/>
  <c r="DF675" i="115"/>
  <c r="DE664" i="115"/>
  <c r="DE687" i="115" s="1"/>
  <c r="DE663" i="115"/>
  <c r="DE692" i="115" s="1"/>
  <c r="DE662" i="115"/>
  <c r="DE674" i="115" s="1"/>
  <c r="DF654" i="115"/>
  <c r="DE654" i="115"/>
  <c r="DF647" i="115"/>
  <c r="DE642" i="115"/>
  <c r="DF641" i="115"/>
  <c r="DE641" i="115"/>
  <c r="DF567" i="115"/>
  <c r="DF572" i="115"/>
  <c r="DE576" i="115"/>
  <c r="DF577" i="115"/>
  <c r="DF578" i="115"/>
  <c r="DF579" i="115"/>
  <c r="DE580" i="115"/>
  <c r="DE584" i="115"/>
  <c r="DE589" i="115" s="1"/>
  <c r="DF585" i="115"/>
  <c r="DF586" i="115"/>
  <c r="DF587" i="115"/>
  <c r="DF588" i="115"/>
  <c r="DF594" i="115"/>
  <c r="DE597" i="115"/>
  <c r="DE598" i="115"/>
  <c r="DE566" i="115" s="1"/>
  <c r="DE568" i="115" s="1"/>
  <c r="DF599" i="115"/>
  <c r="DF600" i="115"/>
  <c r="DF601" i="115"/>
  <c r="DE605" i="115"/>
  <c r="DF605" i="115"/>
  <c r="DF548" i="115"/>
  <c r="DE546" i="115"/>
  <c r="DE544" i="115"/>
  <c r="DE543" i="115"/>
  <c r="DE542" i="115"/>
  <c r="DF532" i="115"/>
  <c r="DF530" i="115"/>
  <c r="DF523" i="115" s="1"/>
  <c r="DF87" i="115"/>
  <c r="DF1461" i="115" s="1"/>
  <c r="DH87" i="115"/>
  <c r="DI87" i="115" s="1"/>
  <c r="DE88" i="115"/>
  <c r="DE101" i="115" s="1"/>
  <c r="DE525" i="115"/>
  <c r="DE69" i="115" s="1"/>
  <c r="DE523" i="115"/>
  <c r="DE66" i="115" s="1"/>
  <c r="DF512" i="115"/>
  <c r="DE512" i="115"/>
  <c r="DE509" i="115"/>
  <c r="DE505" i="115"/>
  <c r="DF495" i="115"/>
  <c r="DE495" i="115"/>
  <c r="DF487" i="115"/>
  <c r="DE487" i="115"/>
  <c r="DF486" i="115"/>
  <c r="DE486" i="115"/>
  <c r="DF483" i="115"/>
  <c r="DE483" i="115"/>
  <c r="DE481" i="115"/>
  <c r="DE479" i="115"/>
  <c r="DF476" i="115"/>
  <c r="DE476" i="115"/>
  <c r="DF473" i="115"/>
  <c r="DE473" i="115"/>
  <c r="DE472" i="115"/>
  <c r="DE1517" i="115" s="1"/>
  <c r="DF471" i="115"/>
  <c r="DF472" i="115" s="1"/>
  <c r="DF1517" i="115" s="1"/>
  <c r="DF464" i="115"/>
  <c r="DF489" i="115" s="1"/>
  <c r="DE464" i="115"/>
  <c r="DE489" i="115" s="1"/>
  <c r="DF462" i="115"/>
  <c r="DF485" i="115" s="1"/>
  <c r="DE462" i="115"/>
  <c r="DE646" i="115" s="1"/>
  <c r="DE448" i="115"/>
  <c r="DE444" i="115"/>
  <c r="DE443" i="115"/>
  <c r="DE440" i="115"/>
  <c r="DF426" i="115"/>
  <c r="DE423" i="115"/>
  <c r="DE421" i="115"/>
  <c r="DE420" i="115"/>
  <c r="DE425" i="115" s="1"/>
  <c r="DE427" i="115" s="1"/>
  <c r="DE897" i="115" s="1"/>
  <c r="DE937" i="115" s="1"/>
  <c r="DF419" i="115"/>
  <c r="DF418" i="115"/>
  <c r="DF412" i="115"/>
  <c r="DF411" i="115"/>
  <c r="DF410" i="115"/>
  <c r="DE400" i="115"/>
  <c r="DE392" i="115"/>
  <c r="DE380" i="115"/>
  <c r="DE382" i="115" s="1"/>
  <c r="DF378" i="115"/>
  <c r="DF376" i="115"/>
  <c r="DF444" i="115" s="1"/>
  <c r="DF375" i="115"/>
  <c r="DF443" i="115" s="1"/>
  <c r="DF374" i="115"/>
  <c r="DF370" i="115"/>
  <c r="DF368" i="115"/>
  <c r="DF400" i="115" s="1"/>
  <c r="DF367" i="115"/>
  <c r="DF392" i="115" s="1"/>
  <c r="DE365" i="115"/>
  <c r="DF365" i="115" s="1"/>
  <c r="DE351" i="115"/>
  <c r="DE350" i="115"/>
  <c r="DE349" i="115"/>
  <c r="DE348" i="115"/>
  <c r="DE331" i="115"/>
  <c r="DE334" i="115" s="1"/>
  <c r="DF334" i="115" s="1"/>
  <c r="DE329" i="115"/>
  <c r="DE328" i="115"/>
  <c r="DE327" i="115"/>
  <c r="DE325" i="115"/>
  <c r="DF324" i="115"/>
  <c r="DF323" i="115"/>
  <c r="DF322" i="115"/>
  <c r="DF321" i="115"/>
  <c r="DE304" i="115"/>
  <c r="DE302" i="115"/>
  <c r="DE301" i="115"/>
  <c r="DE300" i="115"/>
  <c r="DE298" i="115"/>
  <c r="DF297" i="115"/>
  <c r="DF296" i="115"/>
  <c r="DF295" i="115"/>
  <c r="DF294" i="115"/>
  <c r="DE290" i="115"/>
  <c r="DE289" i="115"/>
  <c r="DE288" i="115"/>
  <c r="DE287" i="115"/>
  <c r="DE284" i="115"/>
  <c r="DF283" i="115"/>
  <c r="DF282" i="115"/>
  <c r="DF281" i="115"/>
  <c r="DF280" i="115"/>
  <c r="DE272" i="115"/>
  <c r="DE271" i="115"/>
  <c r="DE257" i="115"/>
  <c r="DE256" i="115"/>
  <c r="DE254" i="115"/>
  <c r="DF252" i="115"/>
  <c r="DF249" i="115"/>
  <c r="DF248" i="115"/>
  <c r="DE247" i="115"/>
  <c r="DF244" i="115"/>
  <c r="DF1340" i="115" s="1"/>
  <c r="DE241" i="115"/>
  <c r="DE236" i="115"/>
  <c r="DE219" i="115"/>
  <c r="DF218" i="115"/>
  <c r="DF217" i="115"/>
  <c r="DF215" i="115"/>
  <c r="DE188" i="115"/>
  <c r="DE187" i="115"/>
  <c r="DE186" i="115"/>
  <c r="DE184" i="115"/>
  <c r="DE197" i="115" s="1"/>
  <c r="DE183" i="115"/>
  <c r="DE205" i="115" s="1"/>
  <c r="DE182" i="115"/>
  <c r="DF179" i="115"/>
  <c r="DE178" i="115"/>
  <c r="DF178" i="115" s="1"/>
  <c r="DF177" i="115"/>
  <c r="DF176" i="115"/>
  <c r="DF175" i="115"/>
  <c r="DE169" i="115"/>
  <c r="DE167" i="115"/>
  <c r="DE164" i="115"/>
  <c r="DF157" i="115"/>
  <c r="DF254" i="115" s="1"/>
  <c r="DF155" i="115"/>
  <c r="DF153" i="115"/>
  <c r="DF152" i="115"/>
  <c r="DF1322" i="115" s="1"/>
  <c r="DE151" i="115"/>
  <c r="DF151" i="115" s="1"/>
  <c r="DE149" i="115"/>
  <c r="DE1463" i="115" s="1"/>
  <c r="DF1463" i="115" s="1"/>
  <c r="DE138" i="115"/>
  <c r="DE140" i="115" s="1"/>
  <c r="DE137" i="115"/>
  <c r="DE135" i="115"/>
  <c r="DF133" i="115"/>
  <c r="DE132" i="115"/>
  <c r="DF131" i="115"/>
  <c r="DE116" i="115"/>
  <c r="DE118" i="115" s="1"/>
  <c r="DE115" i="115"/>
  <c r="DE113" i="115"/>
  <c r="DF111" i="115"/>
  <c r="DE110" i="115"/>
  <c r="DF109" i="115"/>
  <c r="DE104" i="115"/>
  <c r="DE103" i="115"/>
  <c r="DF99" i="115"/>
  <c r="DF98" i="115"/>
  <c r="DE93" i="115"/>
  <c r="DE91" i="115"/>
  <c r="DE96" i="115" s="1"/>
  <c r="DF89" i="115"/>
  <c r="DF79" i="115"/>
  <c r="DF138" i="115" s="1"/>
  <c r="DF77" i="115"/>
  <c r="DF116" i="115" s="1"/>
  <c r="DE59" i="115"/>
  <c r="DE57" i="115"/>
  <c r="DE48" i="115"/>
  <c r="DF44" i="115"/>
  <c r="AR39" i="123" s="1"/>
  <c r="AR137" i="123" s="1"/>
  <c r="DE38" i="115"/>
  <c r="DE36" i="115"/>
  <c r="DF35" i="115"/>
  <c r="DF998" i="115" s="1"/>
  <c r="DF33" i="115"/>
  <c r="DF236" i="115" s="1"/>
  <c r="DE31" i="115"/>
  <c r="DF29" i="115"/>
  <c r="DF28" i="115"/>
  <c r="DF27" i="115"/>
  <c r="DE25" i="115"/>
  <c r="DF24" i="115"/>
  <c r="DF23" i="115"/>
  <c r="DF21" i="115"/>
  <c r="DE19" i="115"/>
  <c r="DF17" i="115"/>
  <c r="DF664" i="115" s="1"/>
  <c r="DF687" i="115" s="1"/>
  <c r="DF16" i="115"/>
  <c r="DF663" i="115" s="1"/>
  <c r="DF15" i="115"/>
  <c r="DF662" i="115" s="1"/>
  <c r="DF14" i="115"/>
  <c r="AR15" i="123" s="1"/>
  <c r="AR113" i="123" s="1"/>
  <c r="DE639" i="115"/>
  <c r="DF638" i="115"/>
  <c r="DF637" i="115"/>
  <c r="DF636" i="115"/>
  <c r="AH85" i="111" l="1"/>
  <c r="DE617" i="115"/>
  <c r="DE757" i="115"/>
  <c r="DE756" i="115" s="1"/>
  <c r="DF780" i="115"/>
  <c r="DE1341" i="115"/>
  <c r="DE1343" i="115" s="1"/>
  <c r="AH56" i="111"/>
  <c r="DE1487" i="115"/>
  <c r="DE142" i="115"/>
  <c r="DE141" i="115" s="1"/>
  <c r="AR33" i="123"/>
  <c r="AR78" i="123" s="1"/>
  <c r="AH54" i="111"/>
  <c r="DE1336" i="115"/>
  <c r="AJ5" i="111"/>
  <c r="DE1255" i="115"/>
  <c r="DF1255" i="115" s="1"/>
  <c r="AR91" i="123"/>
  <c r="AR11" i="123"/>
  <c r="AR48" i="123"/>
  <c r="AR139" i="123"/>
  <c r="AR29" i="123"/>
  <c r="AR108" i="123"/>
  <c r="AR101" i="123"/>
  <c r="AR60" i="123"/>
  <c r="AR84" i="123"/>
  <c r="AJ4" i="111"/>
  <c r="DF380" i="115"/>
  <c r="DF382" i="115" s="1"/>
  <c r="DE1358" i="115"/>
  <c r="DF1358" i="115" s="1"/>
  <c r="DF1462" i="115"/>
  <c r="DF1443" i="115" s="1"/>
  <c r="DF1271" i="115"/>
  <c r="DF1272" i="115" s="1"/>
  <c r="DF1276" i="115" s="1"/>
  <c r="DF1062" i="115"/>
  <c r="AH88" i="111" s="1"/>
  <c r="DE1364" i="115"/>
  <c r="DF88" i="115"/>
  <c r="DE1089" i="115"/>
  <c r="DE1300" i="115"/>
  <c r="DE1133" i="115"/>
  <c r="DF580" i="115"/>
  <c r="DF1465" i="115"/>
  <c r="DJ87" i="115"/>
  <c r="DK87" i="115" s="1"/>
  <c r="DL87" i="115"/>
  <c r="DM87" i="115" s="1"/>
  <c r="DN87" i="115" s="1"/>
  <c r="DF110" i="115"/>
  <c r="DF132" i="115"/>
  <c r="DE243" i="115"/>
  <c r="DE235" i="115" s="1"/>
  <c r="DE234" i="115" s="1"/>
  <c r="DE581" i="115"/>
  <c r="DE336" i="115"/>
  <c r="DF336" i="115" s="1"/>
  <c r="DE852" i="115"/>
  <c r="DE918" i="115" s="1"/>
  <c r="DE1324" i="115"/>
  <c r="DE1347" i="115"/>
  <c r="DF284" i="115"/>
  <c r="DE1485" i="115"/>
  <c r="DE120" i="115"/>
  <c r="DF120" i="115" s="1"/>
  <c r="DF1488" i="115"/>
  <c r="DF1487" i="115" s="1"/>
  <c r="DF1580" i="115"/>
  <c r="DF1554" i="115" s="1"/>
  <c r="DE970" i="115"/>
  <c r="DE971" i="115" s="1"/>
  <c r="DE352" i="115"/>
  <c r="DE1005" i="115" s="1"/>
  <c r="DE1007" i="115" s="1"/>
  <c r="DE1008" i="115" s="1"/>
  <c r="DE780" i="115"/>
  <c r="DE944" i="115"/>
  <c r="DF140" i="115"/>
  <c r="DE942" i="115"/>
  <c r="DF639" i="115"/>
  <c r="DE422" i="115"/>
  <c r="DF646" i="115"/>
  <c r="DE853" i="115"/>
  <c r="DF1043" i="115"/>
  <c r="DF1472" i="115"/>
  <c r="DE1604" i="115"/>
  <c r="DF142" i="115"/>
  <c r="DE596" i="115"/>
  <c r="DE595" i="115" s="1"/>
  <c r="DE655" i="115" s="1"/>
  <c r="DF966" i="115"/>
  <c r="DE999" i="115"/>
  <c r="DE1000" i="115" s="1"/>
  <c r="DF1164" i="115"/>
  <c r="DF1467" i="115"/>
  <c r="DE602" i="115"/>
  <c r="DE614" i="115" s="1"/>
  <c r="DE686" i="115"/>
  <c r="DF686" i="115" s="1"/>
  <c r="DF576" i="115"/>
  <c r="DE843" i="115"/>
  <c r="DE952" i="115" s="1"/>
  <c r="DE1114" i="115"/>
  <c r="DF1341" i="115"/>
  <c r="DF256" i="115"/>
  <c r="DF255" i="115" s="1"/>
  <c r="DF420" i="115"/>
  <c r="DF425" i="115" s="1"/>
  <c r="DF427" i="115" s="1"/>
  <c r="DF617" i="115"/>
  <c r="DE665" i="115"/>
  <c r="DE851" i="115"/>
  <c r="DE905" i="115"/>
  <c r="DF961" i="115"/>
  <c r="DF969" i="115" s="1"/>
  <c r="DE1084" i="115"/>
  <c r="DF1166" i="115"/>
  <c r="DE1311" i="115"/>
  <c r="DE1312" i="115" s="1"/>
  <c r="DF1342" i="115"/>
  <c r="DE1499" i="115"/>
  <c r="DE1504" i="115" s="1"/>
  <c r="DF1557" i="115"/>
  <c r="DE335" i="115"/>
  <c r="DF335" i="115" s="1"/>
  <c r="DF598" i="115"/>
  <c r="DF596" i="115" s="1"/>
  <c r="DE666" i="115"/>
  <c r="DE917" i="115"/>
  <c r="DE1094" i="115"/>
  <c r="DF1115" i="115"/>
  <c r="DE1132" i="115"/>
  <c r="DF1132" i="115" s="1"/>
  <c r="DF1324" i="115"/>
  <c r="DE1422" i="115"/>
  <c r="DE1423" i="115" s="1"/>
  <c r="DE1469" i="115"/>
  <c r="DE1416" i="115"/>
  <c r="DF1416" i="115" s="1"/>
  <c r="DF1497" i="115"/>
  <c r="DF1499" i="115" s="1"/>
  <c r="DF1504" i="115" s="1"/>
  <c r="DF1390" i="115"/>
  <c r="DF1234" i="115"/>
  <c r="DF1474" i="115"/>
  <c r="DE1599" i="115"/>
  <c r="DE1558" i="115" s="1"/>
  <c r="DE1559" i="115" s="1"/>
  <c r="DF1464" i="115"/>
  <c r="DE1510" i="115"/>
  <c r="DF1310" i="115"/>
  <c r="DE1467" i="115"/>
  <c r="DE1519" i="115"/>
  <c r="DF1449" i="115"/>
  <c r="DF1442" i="115"/>
  <c r="DF1440" i="115"/>
  <c r="DF1441" i="115" s="1"/>
  <c r="DF1469" i="115"/>
  <c r="DF1466" i="115"/>
  <c r="DE1473" i="115"/>
  <c r="DE1475" i="115"/>
  <c r="DF1427" i="115"/>
  <c r="DE1440" i="115"/>
  <c r="DE1441" i="115" s="1"/>
  <c r="DE1462" i="115"/>
  <c r="DE1443" i="115" s="1"/>
  <c r="DE1466" i="115"/>
  <c r="DF1507" i="115"/>
  <c r="DE1436" i="115"/>
  <c r="DF1508" i="115"/>
  <c r="DF1232" i="115"/>
  <c r="DF1407" i="115"/>
  <c r="DF1418" i="115"/>
  <c r="DF1425" i="115"/>
  <c r="DF1447" i="115"/>
  <c r="DE1490" i="115"/>
  <c r="DF1490" i="115" s="1"/>
  <c r="DE1442" i="115"/>
  <c r="DE1454" i="115"/>
  <c r="DE1455" i="115" s="1"/>
  <c r="DF1127" i="115"/>
  <c r="DE1129" i="115" s="1"/>
  <c r="DF1083" i="115"/>
  <c r="DD1133" i="115"/>
  <c r="DD1134" i="115" s="1"/>
  <c r="DF1054" i="115"/>
  <c r="DF1053" i="115"/>
  <c r="DF1031" i="115"/>
  <c r="DF1024" i="115"/>
  <c r="DE445" i="115"/>
  <c r="DF445" i="115" s="1"/>
  <c r="DE381" i="115"/>
  <c r="DE70" i="115"/>
  <c r="DE868" i="115"/>
  <c r="DE846" i="115"/>
  <c r="DE793" i="115"/>
  <c r="DF707" i="115"/>
  <c r="DF709" i="115" s="1"/>
  <c r="DE691" i="115"/>
  <c r="DE699" i="115"/>
  <c r="DE711" i="115"/>
  <c r="DE723" i="115" s="1"/>
  <c r="DE676" i="115"/>
  <c r="DE545" i="115"/>
  <c r="DE547" i="115" s="1"/>
  <c r="DE549" i="115" s="1"/>
  <c r="DF525" i="115"/>
  <c r="DF999" i="115" s="1"/>
  <c r="DF1000" i="115" s="1"/>
  <c r="DE180" i="115"/>
  <c r="DF180" i="115" s="1"/>
  <c r="DF349" i="115"/>
  <c r="DF421" i="115"/>
  <c r="DF488" i="115"/>
  <c r="DF325" i="115"/>
  <c r="DF298" i="115"/>
  <c r="DE154" i="115"/>
  <c r="DE224" i="115" s="1"/>
  <c r="DE285" i="115"/>
  <c r="DE488" i="115"/>
  <c r="DF219" i="115"/>
  <c r="DF149" i="115"/>
  <c r="AR4" i="123" s="1"/>
  <c r="DE172" i="115"/>
  <c r="DE100" i="115"/>
  <c r="DF118" i="115"/>
  <c r="DF197" i="115"/>
  <c r="DF257" i="115"/>
  <c r="DE258" i="115"/>
  <c r="DF205" i="115"/>
  <c r="DE310" i="115"/>
  <c r="DE309" i="115"/>
  <c r="DE311" i="115"/>
  <c r="DE308" i="115"/>
  <c r="DE307" i="115"/>
  <c r="DF423" i="115"/>
  <c r="DF350" i="115"/>
  <c r="DE150" i="115"/>
  <c r="DE1478" i="115" s="1"/>
  <c r="DF1478" i="115" s="1"/>
  <c r="DE484" i="115"/>
  <c r="DF484" i="115"/>
  <c r="DF272" i="115"/>
  <c r="DE255" i="115"/>
  <c r="DE333" i="115"/>
  <c r="DE337" i="115"/>
  <c r="DE485" i="115"/>
  <c r="DF348" i="115"/>
  <c r="DF351" i="115"/>
  <c r="DE20" i="115"/>
  <c r="DE26" i="115" s="1"/>
  <c r="DF66" i="115"/>
  <c r="DF1454" i="115" l="1"/>
  <c r="DF1455" i="115" s="1"/>
  <c r="AR131" i="123"/>
  <c r="DF581" i="115"/>
  <c r="AR17" i="123" s="1"/>
  <c r="DE765" i="115"/>
  <c r="DO87" i="115"/>
  <c r="DE1468" i="115"/>
  <c r="DF1468" i="115" s="1"/>
  <c r="DE520" i="115"/>
  <c r="DE63" i="115" s="1"/>
  <c r="DF422" i="115"/>
  <c r="DF1486" i="115"/>
  <c r="AR102" i="123"/>
  <c r="AR49" i="123"/>
  <c r="DE844" i="115"/>
  <c r="DE847" i="115" s="1"/>
  <c r="DE1147" i="115" s="1"/>
  <c r="DE453" i="115"/>
  <c r="AR56" i="123"/>
  <c r="AR57" i="123" s="1"/>
  <c r="AR109" i="123"/>
  <c r="AR110" i="123" s="1"/>
  <c r="DE372" i="115"/>
  <c r="DE373" i="115" s="1"/>
  <c r="DE442" i="115"/>
  <c r="DE354" i="115"/>
  <c r="DE571" i="115"/>
  <c r="DE573" i="115" s="1"/>
  <c r="DF1485" i="115"/>
  <c r="AK5" i="111"/>
  <c r="DF352" i="115"/>
  <c r="DF452" i="115" s="1"/>
  <c r="DE353" i="115"/>
  <c r="DF520" i="115"/>
  <c r="DE1417" i="115"/>
  <c r="DE1430" i="115" s="1"/>
  <c r="DF1343" i="115"/>
  <c r="AR74" i="123"/>
  <c r="AR127" i="123"/>
  <c r="AJ1" i="111"/>
  <c r="AK4" i="111"/>
  <c r="AK1" i="111" s="1"/>
  <c r="DE1565" i="115"/>
  <c r="DE950" i="115"/>
  <c r="DF1133" i="115"/>
  <c r="DF1134" i="115" s="1"/>
  <c r="DF141" i="115"/>
  <c r="DE1134" i="115"/>
  <c r="DE223" i="115"/>
  <c r="DE273" i="115"/>
  <c r="DE119" i="115"/>
  <c r="DE204" i="115" s="1"/>
  <c r="DE529" i="115"/>
  <c r="DE531" i="115" s="1"/>
  <c r="DF1299" i="115"/>
  <c r="DF1300" i="115" s="1"/>
  <c r="DP87" i="115"/>
  <c r="DQ87" i="115" s="1"/>
  <c r="DR87" i="115" s="1"/>
  <c r="DS87" i="115" s="1"/>
  <c r="DE749" i="115"/>
  <c r="DE451" i="115"/>
  <c r="DE452" i="115"/>
  <c r="DF1510" i="115"/>
  <c r="DF1512" i="115" s="1"/>
  <c r="DE1484" i="115"/>
  <c r="DE973" i="115"/>
  <c r="DE980" i="115" s="1"/>
  <c r="DE1481" i="115"/>
  <c r="DE1482" i="115" s="1"/>
  <c r="DF1482" i="115" s="1"/>
  <c r="DF1046" i="115"/>
  <c r="DF381" i="115" s="1"/>
  <c r="DF1114" i="115"/>
  <c r="DF1116" i="115" s="1"/>
  <c r="DF69" i="115"/>
  <c r="DE275" i="115"/>
  <c r="DE491" i="115"/>
  <c r="DE906" i="115"/>
  <c r="DE740" i="115"/>
  <c r="DE1521" i="115"/>
  <c r="DF1422" i="115"/>
  <c r="DF602" i="115"/>
  <c r="DE922" i="115"/>
  <c r="DE1606" i="115"/>
  <c r="DE1609" i="115" s="1"/>
  <c r="DE1116" i="115"/>
  <c r="DE1119" i="115" s="1"/>
  <c r="DE1118" i="115"/>
  <c r="DF154" i="115"/>
  <c r="DE554" i="115"/>
  <c r="DE555" i="115" s="1"/>
  <c r="DE1512" i="115"/>
  <c r="DF1471" i="115"/>
  <c r="DF1353" i="115"/>
  <c r="DF1473" i="115"/>
  <c r="DF1475" i="115"/>
  <c r="DE1444" i="115"/>
  <c r="DE1437" i="115"/>
  <c r="DF1436" i="115"/>
  <c r="DE1055" i="115"/>
  <c r="DE867" i="115"/>
  <c r="DE521" i="115"/>
  <c r="DE64" i="115" s="1"/>
  <c r="DE728" i="115"/>
  <c r="DE725" i="115"/>
  <c r="DE754" i="115"/>
  <c r="DE698" i="115"/>
  <c r="DE364" i="115"/>
  <c r="DE430" i="115" s="1"/>
  <c r="DE338" i="115"/>
  <c r="DE260" i="115"/>
  <c r="DE225" i="115"/>
  <c r="DE156" i="115"/>
  <c r="DE158" i="115" s="1"/>
  <c r="DE274" i="115"/>
  <c r="DF307" i="115"/>
  <c r="DE196" i="115"/>
  <c r="DF309" i="115"/>
  <c r="DF150" i="115"/>
  <c r="DE502" i="115"/>
  <c r="DF101" i="115"/>
  <c r="DE312" i="115"/>
  <c r="DF308" i="115"/>
  <c r="DF310" i="115"/>
  <c r="DF258" i="115"/>
  <c r="DF333" i="115"/>
  <c r="DF337" i="115" s="1"/>
  <c r="DF100" i="115"/>
  <c r="DF119" i="115"/>
  <c r="DE32" i="115"/>
  <c r="DR95" i="115"/>
  <c r="DN95" i="115"/>
  <c r="DJ95" i="115"/>
  <c r="AL102" i="111"/>
  <c r="DE1158" i="115" l="1"/>
  <c r="DE388" i="115"/>
  <c r="DF354" i="115"/>
  <c r="DF355" i="115" s="1"/>
  <c r="DF442" i="115"/>
  <c r="DE533" i="115"/>
  <c r="DE534" i="115"/>
  <c r="DF372" i="115"/>
  <c r="DE901" i="115"/>
  <c r="DE1479" i="115"/>
  <c r="DF451" i="115"/>
  <c r="AR97" i="123"/>
  <c r="DF453" i="115"/>
  <c r="DF353" i="115"/>
  <c r="DF156" i="115"/>
  <c r="DF158" i="115" s="1"/>
  <c r="AR8" i="123"/>
  <c r="AR62" i="123"/>
  <c r="AR115" i="123"/>
  <c r="DF1417" i="115"/>
  <c r="DF1479" i="115" s="1"/>
  <c r="AR151" i="123"/>
  <c r="DF225" i="115"/>
  <c r="DE366" i="115"/>
  <c r="DE369" i="115" s="1"/>
  <c r="DE385" i="115"/>
  <c r="DE390" i="115"/>
  <c r="DF275" i="115"/>
  <c r="DF224" i="115"/>
  <c r="DF223" i="115"/>
  <c r="DF364" i="115"/>
  <c r="DF1150" i="115" s="1"/>
  <c r="DE457" i="115"/>
  <c r="DF491" i="115"/>
  <c r="DE856" i="115"/>
  <c r="DE744" i="115"/>
  <c r="DE748" i="115"/>
  <c r="DE750" i="115" s="1"/>
  <c r="DE931" i="115"/>
  <c r="DE924" i="115"/>
  <c r="DE1246" i="115"/>
  <c r="DE1483" i="115"/>
  <c r="DF1483" i="115" s="1"/>
  <c r="DE896" i="115"/>
  <c r="DE898" i="115" s="1"/>
  <c r="DE900" i="115" s="1"/>
  <c r="DF973" i="115"/>
  <c r="DF980" i="115" s="1"/>
  <c r="DF1481" i="115"/>
  <c r="DF260" i="115"/>
  <c r="DF274" i="115"/>
  <c r="DF614" i="115"/>
  <c r="DE389" i="115"/>
  <c r="DE1150" i="115"/>
  <c r="DE902" i="115"/>
  <c r="DF273" i="115"/>
  <c r="DF1444" i="115"/>
  <c r="DF1437" i="115"/>
  <c r="DF1438" i="115" s="1"/>
  <c r="DE1452" i="115"/>
  <c r="DE1445" i="115"/>
  <c r="DF1445" i="115" s="1"/>
  <c r="DE1480" i="115"/>
  <c r="DF1430" i="115"/>
  <c r="DE1429" i="115"/>
  <c r="DF1055" i="115"/>
  <c r="DE1048" i="115"/>
  <c r="DE522" i="115"/>
  <c r="DE524" i="115" s="1"/>
  <c r="DE526" i="115" s="1"/>
  <c r="DE1140" i="115" s="1"/>
  <c r="DE65" i="115"/>
  <c r="DE67" i="115" s="1"/>
  <c r="DE71" i="115" s="1"/>
  <c r="DE854" i="115"/>
  <c r="DE615" i="115"/>
  <c r="DE616" i="115" s="1"/>
  <c r="DE770" i="115"/>
  <c r="DE557" i="115"/>
  <c r="DF196" i="115"/>
  <c r="DE198" i="115"/>
  <c r="DF311" i="115"/>
  <c r="DF312" i="115" s="1"/>
  <c r="DF502" i="115"/>
  <c r="DE433" i="115"/>
  <c r="DE434" i="115"/>
  <c r="DE435" i="115"/>
  <c r="DE206" i="115"/>
  <c r="DF204" i="115"/>
  <c r="DF373" i="115"/>
  <c r="DE432" i="115"/>
  <c r="DE446" i="115"/>
  <c r="DE447" i="115" s="1"/>
  <c r="DE377" i="115"/>
  <c r="DE431" i="115"/>
  <c r="DE34" i="115"/>
  <c r="BC138" i="123"/>
  <c r="BB138" i="123"/>
  <c r="BA138" i="123"/>
  <c r="BC101" i="123"/>
  <c r="BB101" i="123"/>
  <c r="BA101" i="123"/>
  <c r="BC85" i="123"/>
  <c r="BB85" i="123"/>
  <c r="BA85" i="123"/>
  <c r="BC48" i="123"/>
  <c r="BB48" i="123"/>
  <c r="BA48" i="123"/>
  <c r="DF390" i="115" l="1"/>
  <c r="DF430" i="115"/>
  <c r="DF457" i="115"/>
  <c r="DF366" i="115"/>
  <c r="DF384" i="115" s="1"/>
  <c r="DF388" i="115"/>
  <c r="AR6" i="123"/>
  <c r="AR106" i="123"/>
  <c r="AR53" i="123"/>
  <c r="AR75" i="123" s="1"/>
  <c r="AR30" i="123"/>
  <c r="DE384" i="115"/>
  <c r="DF385" i="115"/>
  <c r="DF389" i="115"/>
  <c r="DE559" i="115"/>
  <c r="DE1146" i="115"/>
  <c r="DE1148" i="115" s="1"/>
  <c r="DE995" i="115"/>
  <c r="DE991" i="115"/>
  <c r="DE992" i="115" s="1"/>
  <c r="DE1553" i="115"/>
  <c r="DE996" i="115"/>
  <c r="DE930" i="115"/>
  <c r="DF1500" i="115"/>
  <c r="DF1501" i="115" s="1"/>
  <c r="DF1484" i="115"/>
  <c r="DF1429" i="115"/>
  <c r="DF1480" i="115"/>
  <c r="DF1452" i="115"/>
  <c r="DE1457" i="115"/>
  <c r="DE1451" i="115"/>
  <c r="DE1456" i="115"/>
  <c r="DF1048" i="115"/>
  <c r="DE1049" i="115"/>
  <c r="DE855" i="115"/>
  <c r="DE951" i="115"/>
  <c r="DE779" i="115"/>
  <c r="DF206" i="115"/>
  <c r="DF377" i="115"/>
  <c r="DF436" i="115" s="1"/>
  <c r="DE436" i="115"/>
  <c r="DF432" i="115"/>
  <c r="DF446" i="115"/>
  <c r="DF447" i="115" s="1"/>
  <c r="DE449" i="115"/>
  <c r="DE456" i="115"/>
  <c r="DE455" i="115"/>
  <c r="DF435" i="115"/>
  <c r="DF433" i="115"/>
  <c r="DF434" i="115"/>
  <c r="DE387" i="115"/>
  <c r="DF369" i="115"/>
  <c r="DE386" i="115"/>
  <c r="DF431" i="115"/>
  <c r="DE37" i="115"/>
  <c r="FJ77" i="117"/>
  <c r="FI77" i="117"/>
  <c r="FH42" i="117"/>
  <c r="FH5" i="117"/>
  <c r="CK224" i="117"/>
  <c r="CJ224" i="117"/>
  <c r="CK205" i="117"/>
  <c r="CJ205" i="117"/>
  <c r="CK183" i="117"/>
  <c r="CJ183" i="117"/>
  <c r="CL165" i="117"/>
  <c r="CK151" i="117"/>
  <c r="CK195" i="117" s="1"/>
  <c r="CK105" i="117" s="1"/>
  <c r="CJ151" i="117"/>
  <c r="CJ195" i="117" s="1"/>
  <c r="CJ105" i="117" s="1"/>
  <c r="CK135" i="117"/>
  <c r="CJ135" i="117"/>
  <c r="CK129" i="117"/>
  <c r="CJ129" i="117"/>
  <c r="CJ122" i="117"/>
  <c r="CI24" i="117"/>
  <c r="DE997" i="115" l="1"/>
  <c r="DE1001" i="115" s="1"/>
  <c r="AR98" i="123"/>
  <c r="AR104" i="123"/>
  <c r="AR128" i="123"/>
  <c r="AR152" i="123" s="1"/>
  <c r="AR51" i="123"/>
  <c r="AR31" i="123"/>
  <c r="DE1555" i="115"/>
  <c r="DE1562" i="115" s="1"/>
  <c r="DE993" i="115" s="1"/>
  <c r="DE1561" i="115"/>
  <c r="DE1564" i="115"/>
  <c r="DE1566" i="115" s="1"/>
  <c r="DE938" i="115"/>
  <c r="DE939" i="115" s="1"/>
  <c r="DF1049" i="115"/>
  <c r="DE1281" i="115"/>
  <c r="DE1458" i="115"/>
  <c r="DF1451" i="115"/>
  <c r="DF1458" i="115" s="1"/>
  <c r="DF1457" i="115"/>
  <c r="DF1456" i="115"/>
  <c r="DE1476" i="115"/>
  <c r="DE536" i="115"/>
  <c r="DE538" i="115"/>
  <c r="DE953" i="115"/>
  <c r="DF387" i="115"/>
  <c r="DF386" i="115"/>
  <c r="DF449" i="115"/>
  <c r="DF455" i="115"/>
  <c r="DF456" i="115"/>
  <c r="DE39" i="115"/>
  <c r="DE43" i="115"/>
  <c r="DE45" i="115" s="1"/>
  <c r="CL195" i="117"/>
  <c r="AR76" i="123" l="1"/>
  <c r="AR129" i="123"/>
  <c r="DF1476" i="115"/>
  <c r="DE1523" i="115"/>
  <c r="DE1216" i="115"/>
  <c r="DE1288" i="115"/>
  <c r="DE1301" i="115" s="1"/>
  <c r="DF1281" i="115"/>
  <c r="DF1288" i="115" s="1"/>
  <c r="DF1301" i="115" s="1"/>
  <c r="DE1568" i="115"/>
  <c r="DE41" i="115"/>
  <c r="DE1227" i="115"/>
  <c r="DE1244" i="115" s="1"/>
  <c r="DE1135" i="115"/>
  <c r="DE1409" i="115" l="1"/>
  <c r="DE1410" i="115" s="1"/>
  <c r="DE1179" i="115"/>
  <c r="DE1252" i="115"/>
  <c r="DE1136" i="115"/>
  <c r="DE1138" i="115"/>
  <c r="DE1141" i="115"/>
  <c r="DE1142" i="115" s="1"/>
  <c r="DF1252" i="115"/>
  <c r="DF1267" i="115" s="1"/>
  <c r="DF1409" i="115"/>
  <c r="DF1410" i="115" s="1"/>
  <c r="DE1223" i="115"/>
  <c r="DE1225" i="115" s="1"/>
  <c r="DE1242" i="115" s="1"/>
  <c r="DE1072" i="115"/>
  <c r="DE1143" i="115"/>
  <c r="DE1217" i="115"/>
  <c r="DE1238" i="115"/>
  <c r="DE1198" i="115"/>
  <c r="DE1199" i="115" s="1"/>
  <c r="DR1054" i="115"/>
  <c r="DN1054" i="115"/>
  <c r="DJ1054" i="115"/>
  <c r="DM955" i="115"/>
  <c r="DL955" i="115"/>
  <c r="DI955" i="115"/>
  <c r="DH955" i="115"/>
  <c r="DI910" i="115"/>
  <c r="DH910" i="115"/>
  <c r="DF1273" i="115" l="1"/>
  <c r="DF1277" i="115"/>
  <c r="DE1267" i="115"/>
  <c r="DE1181" i="115"/>
  <c r="DE1183" i="115" s="1"/>
  <c r="DE1073" i="115"/>
  <c r="DE1077" i="115" s="1"/>
  <c r="AY138" i="123"/>
  <c r="AX138" i="123"/>
  <c r="AW138" i="123"/>
  <c r="AU138" i="123"/>
  <c r="AT138" i="123"/>
  <c r="AS138" i="123"/>
  <c r="AY85" i="123"/>
  <c r="AX85" i="123"/>
  <c r="AW85" i="123"/>
  <c r="AU85" i="123"/>
  <c r="AT85" i="123"/>
  <c r="AS85" i="123"/>
  <c r="DE1184" i="115" l="1"/>
  <c r="DE1277" i="115"/>
  <c r="DE1273" i="115"/>
  <c r="AM11" i="111" l="1"/>
  <c r="AT96" i="111"/>
  <c r="AU96" i="111" s="1"/>
  <c r="AV96" i="111" s="1"/>
  <c r="AW96" i="111" s="1"/>
  <c r="AX96" i="111" s="1"/>
  <c r="AY96" i="111" s="1"/>
  <c r="AZ96" i="111" s="1"/>
  <c r="BA96" i="111" s="1"/>
  <c r="BB96" i="111" s="1"/>
  <c r="BC96" i="111" s="1"/>
  <c r="BD96" i="111" s="1"/>
  <c r="BE96" i="111" s="1"/>
  <c r="BF96" i="111" s="1"/>
  <c r="BG96" i="111" s="1"/>
  <c r="BH96" i="111" s="1"/>
  <c r="BI96" i="111" s="1"/>
  <c r="BJ96" i="111" s="1"/>
  <c r="BK96" i="111" s="1"/>
  <c r="BL96" i="111" s="1"/>
  <c r="BM96" i="111" s="1"/>
  <c r="BN96" i="111" s="1"/>
  <c r="BO96" i="111" s="1"/>
  <c r="BP96" i="111" s="1"/>
  <c r="BQ96" i="111" s="1"/>
  <c r="BR96" i="111" s="1"/>
  <c r="BS96" i="111" s="1"/>
  <c r="BT96" i="111" s="1"/>
  <c r="BU96" i="111" s="1"/>
  <c r="BV96" i="111" s="1"/>
  <c r="BW96" i="111" s="1"/>
  <c r="BX96" i="111" s="1"/>
  <c r="BY96" i="111" s="1"/>
  <c r="BZ96" i="111" s="1"/>
  <c r="CA96" i="111" s="1"/>
  <c r="CB96" i="111" s="1"/>
  <c r="CC96" i="111" s="1"/>
  <c r="CD96" i="111" s="1"/>
  <c r="CE96" i="111" s="1"/>
  <c r="CF96" i="111" s="1"/>
  <c r="CG96" i="111" s="1"/>
  <c r="AT95" i="111"/>
  <c r="AU95" i="111" s="1"/>
  <c r="AV95" i="111" s="1"/>
  <c r="AW95" i="111" s="1"/>
  <c r="AX95" i="111" s="1"/>
  <c r="AY95" i="111" s="1"/>
  <c r="AZ95" i="111" s="1"/>
  <c r="BA95" i="111" s="1"/>
  <c r="BB95" i="111" s="1"/>
  <c r="BC95" i="111" s="1"/>
  <c r="BD95" i="111" s="1"/>
  <c r="BE95" i="111" s="1"/>
  <c r="BF95" i="111" s="1"/>
  <c r="BG95" i="111" s="1"/>
  <c r="BH95" i="111" s="1"/>
  <c r="BI95" i="111" s="1"/>
  <c r="BJ95" i="111" s="1"/>
  <c r="BK95" i="111" s="1"/>
  <c r="BL95" i="111" s="1"/>
  <c r="BM95" i="111" s="1"/>
  <c r="BN95" i="111" s="1"/>
  <c r="BO95" i="111" s="1"/>
  <c r="BP95" i="111" s="1"/>
  <c r="BQ95" i="111" s="1"/>
  <c r="BR95" i="111" s="1"/>
  <c r="BS95" i="111" s="1"/>
  <c r="BT95" i="111" s="1"/>
  <c r="BU95" i="111" s="1"/>
  <c r="BV95" i="111" s="1"/>
  <c r="BW95" i="111" s="1"/>
  <c r="BX95" i="111" s="1"/>
  <c r="BY95" i="111" s="1"/>
  <c r="BZ95" i="111" s="1"/>
  <c r="CA95" i="111" s="1"/>
  <c r="CB95" i="111" s="1"/>
  <c r="CC95" i="111" s="1"/>
  <c r="CD95" i="111" s="1"/>
  <c r="CE95" i="111" s="1"/>
  <c r="CF95" i="111" s="1"/>
  <c r="CG95" i="111" s="1"/>
  <c r="AM96" i="111"/>
  <c r="AN96" i="111" s="1"/>
  <c r="AO96" i="111" s="1"/>
  <c r="AP96" i="111" s="1"/>
  <c r="AQ96" i="111" s="1"/>
  <c r="AR96" i="111" s="1"/>
  <c r="AM95" i="111"/>
  <c r="AN95" i="111" s="1"/>
  <c r="AO95" i="111" s="1"/>
  <c r="AP95" i="111" s="1"/>
  <c r="AQ95" i="111" s="1"/>
  <c r="AR95" i="111" s="1"/>
  <c r="P79" i="111"/>
  <c r="P76" i="111"/>
  <c r="P10" i="111"/>
  <c r="DR1608" i="115"/>
  <c r="DR1607" i="115"/>
  <c r="DR1605" i="115"/>
  <c r="DQ1598" i="115"/>
  <c r="DP1598" i="115"/>
  <c r="DQ1597" i="115"/>
  <c r="DP1597" i="115"/>
  <c r="DQ1596" i="115"/>
  <c r="DP1596" i="115"/>
  <c r="DQ1595" i="115"/>
  <c r="DP1595" i="115"/>
  <c r="DQ1594" i="115"/>
  <c r="DP1594" i="115"/>
  <c r="DQ1593" i="115"/>
  <c r="DP1593" i="115"/>
  <c r="DQ1592" i="115"/>
  <c r="DP1592" i="115"/>
  <c r="DQ1580" i="115"/>
  <c r="DP1580" i="115"/>
  <c r="DR1579" i="115"/>
  <c r="DR1578" i="115"/>
  <c r="DR1577" i="115"/>
  <c r="DR1576" i="115"/>
  <c r="DR1575" i="115"/>
  <c r="DR1574" i="115"/>
  <c r="DR1573" i="115"/>
  <c r="DQ1389" i="115"/>
  <c r="DR1389" i="115" s="1"/>
  <c r="DR1349" i="115"/>
  <c r="DQ1348" i="115"/>
  <c r="DP1348" i="115"/>
  <c r="DR1333" i="115"/>
  <c r="DR1229" i="115"/>
  <c r="DQ1149" i="115"/>
  <c r="DP1149" i="115"/>
  <c r="DR1094" i="115"/>
  <c r="DR1089" i="115"/>
  <c r="DR1084" i="115"/>
  <c r="DR1083" i="115"/>
  <c r="DR1082" i="115"/>
  <c r="DQ1074" i="115"/>
  <c r="DP1074" i="115"/>
  <c r="DR1071" i="115"/>
  <c r="DR1070" i="115"/>
  <c r="DR1069" i="115"/>
  <c r="DR1063" i="115"/>
  <c r="DR1053" i="115"/>
  <c r="DR1035" i="115"/>
  <c r="DR1034" i="115"/>
  <c r="DR1033" i="115"/>
  <c r="DR1032" i="115"/>
  <c r="DQ1031" i="115"/>
  <c r="DP1031" i="115"/>
  <c r="DP1036" i="115" s="1"/>
  <c r="DR1030" i="115"/>
  <c r="DQ1024" i="115"/>
  <c r="DP1024" i="115"/>
  <c r="DP40" i="115" s="1"/>
  <c r="DR1023" i="115"/>
  <c r="DR1022" i="115"/>
  <c r="DR1021" i="115"/>
  <c r="DR1020" i="115"/>
  <c r="DR1019" i="115"/>
  <c r="DR1018" i="115"/>
  <c r="DR1017" i="115"/>
  <c r="DR1016" i="115"/>
  <c r="DR964" i="115"/>
  <c r="DP955" i="115"/>
  <c r="DQ949" i="115"/>
  <c r="DP949" i="115"/>
  <c r="DQ948" i="115"/>
  <c r="DP948" i="115"/>
  <c r="DQ947" i="115"/>
  <c r="DP947" i="115"/>
  <c r="DQ946" i="115"/>
  <c r="DP946" i="115"/>
  <c r="DQ945" i="115"/>
  <c r="DP945" i="115"/>
  <c r="DQ944" i="115"/>
  <c r="DP944" i="115"/>
  <c r="DQ943" i="115"/>
  <c r="CK150" i="117" s="1"/>
  <c r="DP943" i="115"/>
  <c r="CJ150" i="117" s="1"/>
  <c r="DQ942" i="115"/>
  <c r="CK152" i="117" s="1"/>
  <c r="DP942" i="115"/>
  <c r="CJ152" i="117" s="1"/>
  <c r="CJ196" i="117" s="1"/>
  <c r="DQ924" i="115"/>
  <c r="DP924" i="115"/>
  <c r="DR923" i="115"/>
  <c r="CL151" i="117" s="1"/>
  <c r="CL105" i="117" s="1"/>
  <c r="DQ907" i="115"/>
  <c r="DP907" i="115"/>
  <c r="DR891" i="115"/>
  <c r="DR890" i="115"/>
  <c r="DR889" i="115"/>
  <c r="DR888" i="115"/>
  <c r="DR887" i="115"/>
  <c r="DR885" i="115"/>
  <c r="DQ883" i="115"/>
  <c r="DP883" i="115"/>
  <c r="DP1604" i="115" s="1"/>
  <c r="DQ880" i="115"/>
  <c r="DQ886" i="115" s="1"/>
  <c r="DP880" i="115"/>
  <c r="DR879" i="115"/>
  <c r="DR878" i="115"/>
  <c r="DQ876" i="115"/>
  <c r="DQ884" i="115" s="1"/>
  <c r="DP876" i="115"/>
  <c r="DP884" i="115" s="1"/>
  <c r="DR875" i="115"/>
  <c r="DR874" i="115"/>
  <c r="DR873" i="115"/>
  <c r="DR872" i="115"/>
  <c r="DQ866" i="115"/>
  <c r="DP866" i="115"/>
  <c r="DQ865" i="115"/>
  <c r="DQ917" i="115" s="1"/>
  <c r="DP865" i="115"/>
  <c r="DP917" i="115" s="1"/>
  <c r="DQ864" i="115"/>
  <c r="DP864" i="115"/>
  <c r="DR791" i="115"/>
  <c r="DR790" i="115"/>
  <c r="DR789" i="115"/>
  <c r="DR788" i="115"/>
  <c r="DR743" i="115"/>
  <c r="DR742" i="115"/>
  <c r="DR741" i="115"/>
  <c r="DR727" i="115"/>
  <c r="DR724" i="115"/>
  <c r="DQ710" i="115"/>
  <c r="DP710" i="115"/>
  <c r="DR686" i="115"/>
  <c r="DR685" i="115"/>
  <c r="DR684" i="115"/>
  <c r="DR683" i="115"/>
  <c r="DR682" i="115"/>
  <c r="DQ636" i="115"/>
  <c r="DQ637" i="115" s="1"/>
  <c r="DR601" i="115"/>
  <c r="DR600" i="115"/>
  <c r="DR599" i="115"/>
  <c r="DQ580" i="115"/>
  <c r="DP580" i="115"/>
  <c r="DR579" i="115"/>
  <c r="DR578" i="115"/>
  <c r="DR577" i="115"/>
  <c r="DQ576" i="115"/>
  <c r="DP576" i="115"/>
  <c r="DQ544" i="115"/>
  <c r="DP544" i="115"/>
  <c r="DQ543" i="115"/>
  <c r="DP543" i="115"/>
  <c r="DQ542" i="115"/>
  <c r="DP542" i="115"/>
  <c r="DR530" i="115"/>
  <c r="DR523" i="115" s="1"/>
  <c r="DQ523" i="115"/>
  <c r="DP523" i="115"/>
  <c r="DR426" i="115"/>
  <c r="DQ419" i="115"/>
  <c r="DP419" i="115"/>
  <c r="DR418" i="115"/>
  <c r="DR412" i="115"/>
  <c r="DR403" i="115"/>
  <c r="DR248" i="115"/>
  <c r="DR242" i="115"/>
  <c r="DQ127" i="115"/>
  <c r="DP127" i="115"/>
  <c r="DQ96" i="115"/>
  <c r="DP96" i="115"/>
  <c r="DQ23" i="115"/>
  <c r="DP23" i="115"/>
  <c r="DQ22" i="115"/>
  <c r="DP22" i="115"/>
  <c r="DQ21" i="115"/>
  <c r="DP21" i="115"/>
  <c r="DA755" i="115"/>
  <c r="CZ755" i="115"/>
  <c r="A191" i="115"/>
  <c r="DB179" i="115"/>
  <c r="CJ27" i="117" l="1"/>
  <c r="CJ174" i="117"/>
  <c r="CL135" i="117"/>
  <c r="CJ194" i="117"/>
  <c r="CJ148" i="117"/>
  <c r="CJ134" i="117"/>
  <c r="CK196" i="117"/>
  <c r="CK106" i="117" s="1"/>
  <c r="CL183" i="117"/>
  <c r="CK174" i="117"/>
  <c r="CK194" i="117"/>
  <c r="CK104" i="117" s="1"/>
  <c r="CK148" i="117"/>
  <c r="CK192" i="117" s="1"/>
  <c r="CK102" i="117" s="1"/>
  <c r="CK134" i="117"/>
  <c r="CJ175" i="117"/>
  <c r="CL129" i="117"/>
  <c r="CJ149" i="117"/>
  <c r="CJ176" i="117" s="1"/>
  <c r="CK149" i="117"/>
  <c r="CK176" i="117" s="1"/>
  <c r="CK41" i="117"/>
  <c r="CL41" i="117"/>
  <c r="CK175" i="117"/>
  <c r="CK137" i="117"/>
  <c r="CJ106" i="117"/>
  <c r="CJ137" i="117"/>
  <c r="CJ41" i="117"/>
  <c r="DQ1606" i="115"/>
  <c r="DQ546" i="115"/>
  <c r="DP420" i="115"/>
  <c r="DR883" i="115"/>
  <c r="DP38" i="115"/>
  <c r="DQ40" i="115"/>
  <c r="DR880" i="115"/>
  <c r="DR864" i="115"/>
  <c r="DR907" i="115"/>
  <c r="DR1348" i="115"/>
  <c r="DR576" i="115"/>
  <c r="DR944" i="115"/>
  <c r="DR948" i="115"/>
  <c r="DR23" i="115"/>
  <c r="DR947" i="115"/>
  <c r="DR1594" i="115"/>
  <c r="DR1598" i="115"/>
  <c r="DR924" i="115"/>
  <c r="DR949" i="115"/>
  <c r="DP545" i="115"/>
  <c r="DR710" i="115"/>
  <c r="DR1592" i="115"/>
  <c r="DR1596" i="115"/>
  <c r="DR22" i="115"/>
  <c r="DR1593" i="115"/>
  <c r="DR580" i="115"/>
  <c r="DR945" i="115"/>
  <c r="DR1595" i="115"/>
  <c r="DR544" i="115"/>
  <c r="DR1024" i="115"/>
  <c r="DR866" i="115"/>
  <c r="DR1031" i="115"/>
  <c r="DR21" i="115"/>
  <c r="DR1074" i="115"/>
  <c r="DP410" i="115"/>
  <c r="DP581" i="115"/>
  <c r="DP520" i="115" s="1"/>
  <c r="DQ545" i="115"/>
  <c r="DQ581" i="115"/>
  <c r="DQ520" i="115" s="1"/>
  <c r="DQ1036" i="115"/>
  <c r="DR884" i="115"/>
  <c r="DR543" i="115"/>
  <c r="DR876" i="115"/>
  <c r="DR942" i="115"/>
  <c r="CL152" i="117" s="1"/>
  <c r="DR946" i="115"/>
  <c r="DR1597" i="115"/>
  <c r="DR636" i="115"/>
  <c r="DQ410" i="115"/>
  <c r="DQ420" i="115"/>
  <c r="DR419" i="115"/>
  <c r="DR917" i="115"/>
  <c r="DR865" i="115"/>
  <c r="DR542" i="115"/>
  <c r="DP886" i="115"/>
  <c r="DQ950" i="115"/>
  <c r="DR943" i="115"/>
  <c r="CL150" i="117" s="1"/>
  <c r="DQ1604" i="115"/>
  <c r="DQ892" i="115"/>
  <c r="DQ846" i="115" s="1"/>
  <c r="DP1599" i="115"/>
  <c r="DP1565" i="115" s="1"/>
  <c r="DP950" i="115"/>
  <c r="DQ1599" i="115"/>
  <c r="DQ1565" i="115" s="1"/>
  <c r="DP1606" i="115"/>
  <c r="DP1554" i="115"/>
  <c r="DR1580" i="115"/>
  <c r="DQ1554" i="115"/>
  <c r="DG179" i="115"/>
  <c r="DB755" i="115"/>
  <c r="DH179" i="115"/>
  <c r="DH755" i="115" s="1"/>
  <c r="DD95" i="115"/>
  <c r="DF95" i="115" s="1"/>
  <c r="DH1487" i="115"/>
  <c r="CL196" i="117" l="1"/>
  <c r="CL106" i="117" s="1"/>
  <c r="CL194" i="117"/>
  <c r="CL104" i="117" s="1"/>
  <c r="CK177" i="117"/>
  <c r="CJ104" i="117"/>
  <c r="CJ177" i="117"/>
  <c r="CJ178" i="117" s="1"/>
  <c r="CJ193" i="117" s="1"/>
  <c r="CJ103" i="117" s="1"/>
  <c r="CL148" i="117"/>
  <c r="CJ153" i="117"/>
  <c r="CJ192" i="117"/>
  <c r="CL192" i="117" s="1"/>
  <c r="DR40" i="115"/>
  <c r="CK27" i="117"/>
  <c r="CL149" i="117"/>
  <c r="CL176" i="117" s="1"/>
  <c r="CL175" i="117"/>
  <c r="CL137" i="117"/>
  <c r="CL134" i="117"/>
  <c r="CK138" i="117"/>
  <c r="CK191" i="117"/>
  <c r="CK101" i="117" s="1"/>
  <c r="CK39" i="117"/>
  <c r="CJ138" i="117"/>
  <c r="CJ191" i="117"/>
  <c r="CJ101" i="117" s="1"/>
  <c r="CL174" i="117"/>
  <c r="CJ39" i="117"/>
  <c r="CJ25" i="117"/>
  <c r="CK153" i="117"/>
  <c r="DP422" i="115"/>
  <c r="DP425" i="115"/>
  <c r="DP427" i="115" s="1"/>
  <c r="DP897" i="115" s="1"/>
  <c r="DQ38" i="115"/>
  <c r="DQ1609" i="115"/>
  <c r="DR421" i="115"/>
  <c r="DR1606" i="115"/>
  <c r="DR886" i="115"/>
  <c r="DR581" i="115"/>
  <c r="DR545" i="115"/>
  <c r="DR1599" i="115"/>
  <c r="DR1565" i="115" s="1"/>
  <c r="DQ529" i="115"/>
  <c r="DQ531" i="115" s="1"/>
  <c r="DP1558" i="115"/>
  <c r="DR1604" i="115"/>
  <c r="DQ547" i="115"/>
  <c r="DR1036" i="115"/>
  <c r="DQ1558" i="115"/>
  <c r="DQ867" i="115"/>
  <c r="DQ868" i="115" s="1"/>
  <c r="DR420" i="115"/>
  <c r="DP892" i="115"/>
  <c r="DP846" i="115" s="1"/>
  <c r="DP546" i="115"/>
  <c r="DQ422" i="115"/>
  <c r="DQ425" i="115"/>
  <c r="DQ427" i="115" s="1"/>
  <c r="DQ897" i="115" s="1"/>
  <c r="DR410" i="115"/>
  <c r="DP1609" i="115"/>
  <c r="DQ521" i="115"/>
  <c r="DQ869" i="115"/>
  <c r="DR1554" i="115"/>
  <c r="DP867" i="115"/>
  <c r="DR950" i="115"/>
  <c r="DI179" i="115"/>
  <c r="DJ179" i="115" s="1"/>
  <c r="CJ244" i="117" l="1"/>
  <c r="DP937" i="115"/>
  <c r="CL27" i="117"/>
  <c r="DR520" i="115"/>
  <c r="BD17" i="123"/>
  <c r="CJ179" i="117"/>
  <c r="CJ102" i="117"/>
  <c r="CJ107" i="117" s="1"/>
  <c r="CK178" i="117"/>
  <c r="CK193" i="117" s="1"/>
  <c r="CK103" i="117" s="1"/>
  <c r="CK107" i="117" s="1"/>
  <c r="CL102" i="117"/>
  <c r="CL177" i="117"/>
  <c r="DQ522" i="115"/>
  <c r="CK40" i="117"/>
  <c r="CL138" i="117"/>
  <c r="CL191" i="117"/>
  <c r="CL101" i="117" s="1"/>
  <c r="CJ197" i="117"/>
  <c r="CK25" i="117"/>
  <c r="CL153" i="117"/>
  <c r="DR1558" i="115"/>
  <c r="DQ548" i="115"/>
  <c r="DR1609" i="115"/>
  <c r="DQ532" i="115"/>
  <c r="DQ533" i="115" s="1"/>
  <c r="DR892" i="115"/>
  <c r="DR38" i="115"/>
  <c r="DR422" i="115"/>
  <c r="DR425" i="115"/>
  <c r="DR427" i="115" s="1"/>
  <c r="DR423" i="115"/>
  <c r="DP547" i="115"/>
  <c r="DR546" i="115"/>
  <c r="DR846" i="115"/>
  <c r="DP869" i="115"/>
  <c r="DP521" i="115"/>
  <c r="DP529" i="115"/>
  <c r="DP531" i="115" s="1"/>
  <c r="DQ937" i="115"/>
  <c r="DR897" i="115"/>
  <c r="DP868" i="115"/>
  <c r="DR867" i="115"/>
  <c r="DR868" i="115" s="1"/>
  <c r="DL179" i="115"/>
  <c r="DL755" i="115" s="1"/>
  <c r="DI755" i="115"/>
  <c r="DJ755" i="115" s="1"/>
  <c r="DK179" i="115"/>
  <c r="CK244" i="117" l="1"/>
  <c r="DQ524" i="115"/>
  <c r="CL39" i="117"/>
  <c r="CK197" i="117"/>
  <c r="BD24" i="123"/>
  <c r="BD62" i="123"/>
  <c r="BD115" i="123"/>
  <c r="CK179" i="117"/>
  <c r="DQ996" i="115"/>
  <c r="CK42" i="117"/>
  <c r="DP522" i="115"/>
  <c r="CJ40" i="117"/>
  <c r="CL25" i="117"/>
  <c r="DQ549" i="115"/>
  <c r="DQ525" i="115"/>
  <c r="DP532" i="115"/>
  <c r="DP548" i="115"/>
  <c r="DR547" i="115"/>
  <c r="DR937" i="115"/>
  <c r="DR869" i="115"/>
  <c r="DR521" i="115"/>
  <c r="DR529" i="115"/>
  <c r="DR531" i="115" s="1"/>
  <c r="DM179" i="115"/>
  <c r="DB860" i="115"/>
  <c r="DB861" i="115" s="1"/>
  <c r="DD751" i="115"/>
  <c r="CL244" i="117" l="1"/>
  <c r="DP524" i="115"/>
  <c r="BD122" i="123"/>
  <c r="BD69" i="123"/>
  <c r="DP996" i="115"/>
  <c r="CJ42" i="117"/>
  <c r="DR522" i="115"/>
  <c r="CL40" i="117"/>
  <c r="DQ999" i="115"/>
  <c r="DQ526" i="115"/>
  <c r="DR548" i="115"/>
  <c r="DM755" i="115"/>
  <c r="DN755" i="115" s="1"/>
  <c r="DP179" i="115"/>
  <c r="DR532" i="115"/>
  <c r="DP525" i="115"/>
  <c r="DP549" i="115"/>
  <c r="DP533" i="115"/>
  <c r="DN179" i="115"/>
  <c r="DO179" i="115" s="1"/>
  <c r="DD403" i="115"/>
  <c r="DE403" i="115" s="1"/>
  <c r="DM127" i="115"/>
  <c r="DL127" i="115"/>
  <c r="DI127" i="115"/>
  <c r="DH127" i="115"/>
  <c r="CZ126" i="115"/>
  <c r="CW126" i="115"/>
  <c r="CV126" i="115"/>
  <c r="DR524" i="115" l="1"/>
  <c r="CL178" i="117"/>
  <c r="DQ1140" i="115"/>
  <c r="CK43" i="117"/>
  <c r="DR549" i="115"/>
  <c r="DR525" i="115"/>
  <c r="DR550" i="115"/>
  <c r="DR533" i="115"/>
  <c r="DP755" i="115"/>
  <c r="DQ179" i="115"/>
  <c r="DP999" i="115"/>
  <c r="DP526" i="115"/>
  <c r="CX177" i="115"/>
  <c r="CX176" i="115"/>
  <c r="CX175" i="115"/>
  <c r="DB177" i="115"/>
  <c r="DB176" i="115"/>
  <c r="DB175" i="115"/>
  <c r="DD1474" i="115"/>
  <c r="DD1448" i="115"/>
  <c r="DD1472" i="115" s="1"/>
  <c r="DD1496" i="115"/>
  <c r="DD1447" i="115"/>
  <c r="DD1433" i="115"/>
  <c r="DD1418" i="115"/>
  <c r="DD1425" i="115"/>
  <c r="DD1420" i="115"/>
  <c r="DB1291" i="115"/>
  <c r="DD1298" i="115"/>
  <c r="DD1299" i="115" s="1"/>
  <c r="DE1372" i="115" s="1"/>
  <c r="DD1271" i="115"/>
  <c r="DD792" i="115"/>
  <c r="DB403" i="115"/>
  <c r="DD242" i="115"/>
  <c r="DF242" i="115" s="1"/>
  <c r="DD30" i="115"/>
  <c r="DF30" i="115" s="1"/>
  <c r="DF31" i="115" s="1"/>
  <c r="DD18" i="115"/>
  <c r="DF18" i="115" s="1"/>
  <c r="CL42" i="117" l="1"/>
  <c r="DR999" i="115"/>
  <c r="DF792" i="115"/>
  <c r="DE798" i="115"/>
  <c r="DF19" i="115"/>
  <c r="DF665" i="115"/>
  <c r="DF740" i="115" s="1"/>
  <c r="DR996" i="115"/>
  <c r="DP1140" i="115"/>
  <c r="CJ43" i="117"/>
  <c r="CL193" i="117"/>
  <c r="CL179" i="117"/>
  <c r="DR526" i="115"/>
  <c r="DQ755" i="115"/>
  <c r="DR755" i="115" s="1"/>
  <c r="DR179" i="115"/>
  <c r="DS179" i="115" s="1"/>
  <c r="DC176" i="115"/>
  <c r="DC175" i="115"/>
  <c r="DC177" i="115"/>
  <c r="DH1291" i="115"/>
  <c r="DI1291" i="115" s="1"/>
  <c r="DL1291" i="115" s="1"/>
  <c r="DM1291" i="115" s="1"/>
  <c r="DP1291" i="115" s="1"/>
  <c r="DQ1291" i="115" s="1"/>
  <c r="DG1291" i="115"/>
  <c r="DE1105" i="115"/>
  <c r="DF744" i="115" l="1"/>
  <c r="DF748" i="115"/>
  <c r="DF666" i="115"/>
  <c r="DF20" i="115"/>
  <c r="DR1140" i="115"/>
  <c r="CL43" i="117"/>
  <c r="CL103" i="117"/>
  <c r="CL107" i="117" s="1"/>
  <c r="CL197" i="117"/>
  <c r="DS1291" i="115"/>
  <c r="DR1291" i="115"/>
  <c r="DJ1291" i="115"/>
  <c r="DK1291" i="115"/>
  <c r="DO1291" i="115"/>
  <c r="DN1291" i="115"/>
  <c r="DD1598" i="115"/>
  <c r="DF1598" i="115" s="1"/>
  <c r="DD1597" i="115"/>
  <c r="DF1597" i="115" s="1"/>
  <c r="DD1596" i="115"/>
  <c r="DF1596" i="115" s="1"/>
  <c r="DD1595" i="115"/>
  <c r="DF1595" i="115" s="1"/>
  <c r="DD1594" i="115"/>
  <c r="DF1594" i="115" s="1"/>
  <c r="DD1593" i="115"/>
  <c r="DF1593" i="115" s="1"/>
  <c r="DD1592" i="115"/>
  <c r="DF1592" i="115" s="1"/>
  <c r="DD1580" i="115"/>
  <c r="DD1557" i="115"/>
  <c r="DD1529" i="115"/>
  <c r="DD1520" i="115"/>
  <c r="DF1520" i="115" s="1"/>
  <c r="DD1518" i="115"/>
  <c r="DF1518" i="115" s="1"/>
  <c r="DF1519" i="115" s="1"/>
  <c r="DD1513" i="115"/>
  <c r="DD1509" i="115"/>
  <c r="DD1508" i="115"/>
  <c r="DD1507" i="115"/>
  <c r="DD1506" i="115"/>
  <c r="DD1500" i="115"/>
  <c r="DD1501" i="115" s="1"/>
  <c r="DD1498" i="115"/>
  <c r="DD1497" i="115"/>
  <c r="DD1493" i="115"/>
  <c r="DD1492" i="115"/>
  <c r="DD1488" i="115"/>
  <c r="DD1487" i="115" s="1"/>
  <c r="DD1465" i="115"/>
  <c r="DD1464" i="115"/>
  <c r="DD1461" i="115"/>
  <c r="DD1449" i="115"/>
  <c r="DD1434" i="115"/>
  <c r="DD1440" i="115" s="1"/>
  <c r="DD1441" i="115" s="1"/>
  <c r="DD1427" i="115"/>
  <c r="DD1467" i="115"/>
  <c r="DD1414" i="115"/>
  <c r="DD1407" i="115"/>
  <c r="DD1390" i="115"/>
  <c r="DD1302" i="115" s="1"/>
  <c r="DD1371" i="115"/>
  <c r="DD1370" i="115"/>
  <c r="DD1369" i="115"/>
  <c r="DD1368" i="115"/>
  <c r="DD1367" i="115"/>
  <c r="DD1362" i="115"/>
  <c r="DD1363" i="115" s="1"/>
  <c r="DD1361" i="115"/>
  <c r="DD1351" i="115"/>
  <c r="DE1346" i="115" s="1"/>
  <c r="DE1350" i="115" s="1"/>
  <c r="DD1348" i="115"/>
  <c r="DF1348" i="115" s="1"/>
  <c r="DD1342" i="115"/>
  <c r="DD1340" i="115"/>
  <c r="DD1338" i="115"/>
  <c r="DD1339" i="115" s="1"/>
  <c r="DD1334" i="115"/>
  <c r="DE1331" i="115" s="1"/>
  <c r="DE1332" i="115" s="1"/>
  <c r="DD1327" i="115"/>
  <c r="DD1323" i="115"/>
  <c r="DD1322" i="115"/>
  <c r="DD1319" i="115"/>
  <c r="DD1317" i="115"/>
  <c r="DD1310" i="115"/>
  <c r="DD1358" i="115"/>
  <c r="DE1356" i="115" s="1"/>
  <c r="DE1357" i="115" s="1"/>
  <c r="DE1359" i="115" s="1"/>
  <c r="DD1284" i="115"/>
  <c r="DD1272" i="115"/>
  <c r="DD1276" i="115" s="1"/>
  <c r="DD1234" i="115"/>
  <c r="DD1233" i="115"/>
  <c r="DD1240" i="115" s="1"/>
  <c r="DD1232" i="115"/>
  <c r="DD1224" i="115"/>
  <c r="DF1224" i="115" s="1"/>
  <c r="DD1221" i="115"/>
  <c r="DD1213" i="115"/>
  <c r="DD1209" i="115"/>
  <c r="DE1210" i="115" s="1"/>
  <c r="DE1211" i="115" s="1"/>
  <c r="DD1311" i="115"/>
  <c r="DD1043" i="115"/>
  <c r="DD1114" i="115" s="1"/>
  <c r="DD1030" i="115"/>
  <c r="DF1030" i="115" s="1"/>
  <c r="DD1024" i="115"/>
  <c r="DD40" i="115" s="1"/>
  <c r="DF40" i="115" s="1"/>
  <c r="DD1004" i="115"/>
  <c r="DD998" i="115"/>
  <c r="DD990" i="115"/>
  <c r="DF990" i="115" s="1"/>
  <c r="DD966" i="115"/>
  <c r="DE963" i="115" s="1"/>
  <c r="DE965" i="115" s="1"/>
  <c r="DD961" i="115"/>
  <c r="DD949" i="115"/>
  <c r="DF949" i="115" s="1"/>
  <c r="DD948" i="115"/>
  <c r="DF948" i="115" s="1"/>
  <c r="DD947" i="115"/>
  <c r="DF947" i="115" s="1"/>
  <c r="DD946" i="115"/>
  <c r="DF946" i="115" s="1"/>
  <c r="DD945" i="115"/>
  <c r="DF945" i="115" s="1"/>
  <c r="DD943" i="115"/>
  <c r="DF943" i="115" s="1"/>
  <c r="DD929" i="115"/>
  <c r="DD910" i="115"/>
  <c r="DD909" i="115"/>
  <c r="DD883" i="115"/>
  <c r="DD880" i="115"/>
  <c r="DD876" i="115"/>
  <c r="DD866" i="115"/>
  <c r="DD865" i="115"/>
  <c r="DD917" i="115" s="1"/>
  <c r="DF917" i="115" s="1"/>
  <c r="DD864" i="115"/>
  <c r="DD842" i="115"/>
  <c r="DD841" i="115"/>
  <c r="DF841" i="115" s="1"/>
  <c r="DD840" i="115"/>
  <c r="DF840" i="115" s="1"/>
  <c r="DD790" i="115"/>
  <c r="DF790" i="115" s="1"/>
  <c r="DD788" i="115"/>
  <c r="DF788" i="115" s="1"/>
  <c r="DD715" i="115"/>
  <c r="DD710" i="115"/>
  <c r="DF710" i="115" s="1"/>
  <c r="DF711" i="115" s="1"/>
  <c r="DF723" i="115" s="1"/>
  <c r="DD707" i="115"/>
  <c r="DD709" i="115" s="1"/>
  <c r="DD697" i="115"/>
  <c r="DD664" i="115"/>
  <c r="DD663" i="115"/>
  <c r="DE669" i="115" s="1"/>
  <c r="DD662" i="115"/>
  <c r="DD654" i="115"/>
  <c r="DD642" i="115"/>
  <c r="DF642" i="115" s="1"/>
  <c r="DD641" i="115"/>
  <c r="DD639" i="115"/>
  <c r="DD605" i="115"/>
  <c r="DD598" i="115"/>
  <c r="DD597" i="115"/>
  <c r="DD584" i="115"/>
  <c r="DD580" i="115"/>
  <c r="DD576" i="115"/>
  <c r="DD546" i="115"/>
  <c r="DF546" i="115" s="1"/>
  <c r="DD544" i="115"/>
  <c r="DF544" i="115" s="1"/>
  <c r="DD543" i="115"/>
  <c r="DF543" i="115" s="1"/>
  <c r="DD542" i="115"/>
  <c r="DF542" i="115" s="1"/>
  <c r="DD525" i="115"/>
  <c r="DD999" i="115" s="1"/>
  <c r="DD523" i="115"/>
  <c r="DD66" i="115" s="1"/>
  <c r="DD512" i="115"/>
  <c r="DD509" i="115"/>
  <c r="DE510" i="115" s="1"/>
  <c r="DE511" i="115" s="1"/>
  <c r="DD505" i="115"/>
  <c r="DE506" i="115" s="1"/>
  <c r="DE507" i="115" s="1"/>
  <c r="DD495" i="115"/>
  <c r="DE496" i="115" s="1"/>
  <c r="DD487" i="115"/>
  <c r="DD486" i="115"/>
  <c r="DD483" i="115"/>
  <c r="DD481" i="115"/>
  <c r="DD479" i="115"/>
  <c r="DD476" i="115"/>
  <c r="DD473" i="115"/>
  <c r="DD472" i="115"/>
  <c r="DD1517" i="115" s="1"/>
  <c r="DD464" i="115"/>
  <c r="DD488" i="115" s="1"/>
  <c r="DD462" i="115"/>
  <c r="DD444" i="115"/>
  <c r="DD443" i="115"/>
  <c r="DD423" i="115"/>
  <c r="DD421" i="115"/>
  <c r="DD420" i="115"/>
  <c r="DD422" i="115" s="1"/>
  <c r="DD405" i="115"/>
  <c r="DD400" i="115"/>
  <c r="DD392" i="115"/>
  <c r="DD380" i="115"/>
  <c r="DD382" i="115" s="1"/>
  <c r="DD365" i="115"/>
  <c r="DD351" i="115"/>
  <c r="DE359" i="115" s="1"/>
  <c r="DD350" i="115"/>
  <c r="DE358" i="115" s="1"/>
  <c r="DD349" i="115"/>
  <c r="DE357" i="115" s="1"/>
  <c r="DD348" i="115"/>
  <c r="DE356" i="115" s="1"/>
  <c r="DD331" i="115"/>
  <c r="DD336" i="115" s="1"/>
  <c r="DE343" i="115" s="1"/>
  <c r="DD330" i="115"/>
  <c r="DD329" i="115"/>
  <c r="DD328" i="115"/>
  <c r="DD327" i="115"/>
  <c r="DD325" i="115"/>
  <c r="DE330" i="115" s="1"/>
  <c r="DD304" i="115"/>
  <c r="DD307" i="115" s="1"/>
  <c r="DE314" i="115" s="1"/>
  <c r="DD303" i="115"/>
  <c r="DD302" i="115"/>
  <c r="DD301" i="115"/>
  <c r="DD300" i="115"/>
  <c r="DD298" i="115"/>
  <c r="DE303" i="115" s="1"/>
  <c r="DD290" i="115"/>
  <c r="DD289" i="115"/>
  <c r="DD288" i="115"/>
  <c r="DD287" i="115"/>
  <c r="DD284" i="115"/>
  <c r="DE291" i="115" s="1"/>
  <c r="DD272" i="115"/>
  <c r="DD271" i="115"/>
  <c r="DD266" i="115"/>
  <c r="DD268" i="115" s="1"/>
  <c r="DD257" i="115"/>
  <c r="DD256" i="115"/>
  <c r="DD254" i="115"/>
  <c r="DD247" i="115"/>
  <c r="DD241" i="115"/>
  <c r="DD963" i="115" s="1"/>
  <c r="DF963" i="115" s="1"/>
  <c r="DD236" i="115"/>
  <c r="DD219" i="115"/>
  <c r="DD188" i="115"/>
  <c r="DD187" i="115"/>
  <c r="DD186" i="115"/>
  <c r="DD184" i="115"/>
  <c r="DD183" i="115"/>
  <c r="DD182" i="115"/>
  <c r="DE192" i="115" s="1"/>
  <c r="DD178" i="115"/>
  <c r="DD169" i="115"/>
  <c r="DD167" i="115"/>
  <c r="DD164" i="115"/>
  <c r="DD151" i="115"/>
  <c r="DE163" i="115" s="1"/>
  <c r="DD149" i="115"/>
  <c r="DD138" i="115"/>
  <c r="DD142" i="115" s="1"/>
  <c r="DE146" i="115" s="1"/>
  <c r="DD137" i="115"/>
  <c r="DD135" i="115"/>
  <c r="DD132" i="115"/>
  <c r="DE136" i="115" s="1"/>
  <c r="DD116" i="115"/>
  <c r="DD118" i="115" s="1"/>
  <c r="DE122" i="115" s="1"/>
  <c r="DE127" i="115" s="1"/>
  <c r="DD115" i="115"/>
  <c r="DD113" i="115"/>
  <c r="DD110" i="115"/>
  <c r="DE114" i="115" s="1"/>
  <c r="DD104" i="115"/>
  <c r="DD103" i="115"/>
  <c r="DD93" i="115"/>
  <c r="DD91" i="115"/>
  <c r="DD88" i="115"/>
  <c r="DE92" i="115" s="1"/>
  <c r="DD59" i="115"/>
  <c r="DD57" i="115"/>
  <c r="DD48" i="115"/>
  <c r="DD38" i="115"/>
  <c r="DD36" i="115"/>
  <c r="DF36" i="115" s="1"/>
  <c r="DD843" i="115"/>
  <c r="DD22" i="115"/>
  <c r="DD665" i="115"/>
  <c r="DE671" i="115" s="1"/>
  <c r="DD13" i="115"/>
  <c r="DD12" i="115" s="1"/>
  <c r="A192" i="115"/>
  <c r="DA182" i="115"/>
  <c r="CZ182" i="115"/>
  <c r="CW182" i="115"/>
  <c r="A210" i="115"/>
  <c r="A209" i="115"/>
  <c r="A208" i="115"/>
  <c r="A202" i="115"/>
  <c r="A201" i="115"/>
  <c r="A200" i="115"/>
  <c r="DA188" i="115"/>
  <c r="CZ188" i="115"/>
  <c r="DA187" i="115"/>
  <c r="CZ187" i="115"/>
  <c r="CZ186" i="115"/>
  <c r="DA186" i="115"/>
  <c r="A194" i="115"/>
  <c r="A193" i="115"/>
  <c r="A189" i="115"/>
  <c r="A188" i="115"/>
  <c r="A187" i="115"/>
  <c r="A186" i="115"/>
  <c r="CW184" i="115"/>
  <c r="CW197" i="115" s="1"/>
  <c r="CX197" i="115" s="1"/>
  <c r="CW183" i="115"/>
  <c r="CW205" i="115" s="1"/>
  <c r="CX205" i="115" s="1"/>
  <c r="CZ184" i="115"/>
  <c r="CZ197" i="115" s="1"/>
  <c r="CZ183" i="115"/>
  <c r="CZ205" i="115" s="1"/>
  <c r="DA184" i="115"/>
  <c r="DA197" i="115" s="1"/>
  <c r="DB197" i="115" s="1"/>
  <c r="DA183" i="115"/>
  <c r="DA205" i="115" s="1"/>
  <c r="DB205" i="115" s="1"/>
  <c r="CW178" i="115"/>
  <c r="CX178" i="115" s="1"/>
  <c r="CV178" i="115"/>
  <c r="CZ178" i="115"/>
  <c r="CZ180" i="115" s="1"/>
  <c r="DA178" i="115"/>
  <c r="DE763" i="115" l="1"/>
  <c r="DD757" i="115"/>
  <c r="DD756" i="115" s="1"/>
  <c r="DF1521" i="115"/>
  <c r="AH57" i="111"/>
  <c r="AR35" i="123"/>
  <c r="DE967" i="115"/>
  <c r="DF1599" i="115"/>
  <c r="DD1463" i="115"/>
  <c r="DD1462" i="115" s="1"/>
  <c r="DD1443" i="115" s="1"/>
  <c r="DE161" i="115"/>
  <c r="DD197" i="115"/>
  <c r="DE201" i="115" s="1"/>
  <c r="DE194" i="115"/>
  <c r="DF725" i="115"/>
  <c r="DF728" i="115"/>
  <c r="DD925" i="115"/>
  <c r="DF842" i="115"/>
  <c r="DD907" i="115"/>
  <c r="DF907" i="115" s="1"/>
  <c r="DF864" i="115"/>
  <c r="DD875" i="115"/>
  <c r="DF876" i="115"/>
  <c r="DF70" i="115"/>
  <c r="DD589" i="115"/>
  <c r="DF584" i="115"/>
  <c r="DF589" i="115" s="1"/>
  <c r="DD674" i="115"/>
  <c r="DE668" i="115"/>
  <c r="DD879" i="115"/>
  <c r="DF880" i="115"/>
  <c r="DD205" i="115"/>
  <c r="DE209" i="115" s="1"/>
  <c r="DE193" i="115"/>
  <c r="DD789" i="115"/>
  <c r="DF789" i="115" s="1"/>
  <c r="DF793" i="115" s="1"/>
  <c r="DF22" i="115"/>
  <c r="DF25" i="115" s="1"/>
  <c r="AR18" i="123" s="1"/>
  <c r="DE1352" i="115"/>
  <c r="DE933" i="115"/>
  <c r="DF929" i="115"/>
  <c r="DD952" i="115"/>
  <c r="DF843" i="115"/>
  <c r="DD180" i="115"/>
  <c r="DE190" i="115" s="1"/>
  <c r="DE189" i="115"/>
  <c r="DD646" i="115"/>
  <c r="DE480" i="115"/>
  <c r="DD1347" i="115"/>
  <c r="DF1347" i="115" s="1"/>
  <c r="DE670" i="115"/>
  <c r="DD1118" i="115"/>
  <c r="DD1116" i="115"/>
  <c r="DD1119" i="115" s="1"/>
  <c r="DD267" i="115"/>
  <c r="DD270" i="115" s="1"/>
  <c r="DE1530" i="115"/>
  <c r="DD1158" i="115"/>
  <c r="DD617" i="115"/>
  <c r="DB178" i="115"/>
  <c r="DC178" i="115" s="1"/>
  <c r="DA180" i="115"/>
  <c r="DD1490" i="115"/>
  <c r="DC197" i="115"/>
  <c r="DD1312" i="115"/>
  <c r="DD1442" i="115"/>
  <c r="DC205" i="115"/>
  <c r="DD1519" i="115"/>
  <c r="DD1521" i="115" s="1"/>
  <c r="DD1499" i="115"/>
  <c r="DD1504" i="115" s="1"/>
  <c r="DD25" i="115"/>
  <c r="DD566" i="115"/>
  <c r="DD445" i="115"/>
  <c r="DD489" i="115"/>
  <c r="DD189" i="115"/>
  <c r="DD1486" i="115"/>
  <c r="DD545" i="115"/>
  <c r="DD1341" i="115"/>
  <c r="DD1343" i="115" s="1"/>
  <c r="DD1436" i="115"/>
  <c r="DD1485" i="115"/>
  <c r="DI1485" i="115" s="1"/>
  <c r="DL1485" i="115" s="1"/>
  <c r="DM1485" i="115" s="1"/>
  <c r="DP1485" i="115" s="1"/>
  <c r="DQ1485" i="115" s="1"/>
  <c r="DD192" i="115"/>
  <c r="DD1599" i="115"/>
  <c r="DD1565" i="115" s="1"/>
  <c r="DD19" i="115"/>
  <c r="DD666" i="115" s="1"/>
  <c r="DE672" i="115" s="1"/>
  <c r="DD96" i="115"/>
  <c r="DD172" i="115"/>
  <c r="DD243" i="115"/>
  <c r="DD235" i="115" s="1"/>
  <c r="DD334" i="115"/>
  <c r="DE341" i="115" s="1"/>
  <c r="DD352" i="115"/>
  <c r="DD309" i="115"/>
  <c r="DE316" i="115" s="1"/>
  <c r="DD425" i="115"/>
  <c r="DD427" i="115" s="1"/>
  <c r="DD897" i="115" s="1"/>
  <c r="DD140" i="115"/>
  <c r="DD193" i="115"/>
  <c r="DD311" i="115"/>
  <c r="DE318" i="115" s="1"/>
  <c r="DD335" i="115"/>
  <c r="DE342" i="115" s="1"/>
  <c r="DD485" i="115"/>
  <c r="DD853" i="115"/>
  <c r="DD1364" i="115"/>
  <c r="DD194" i="115"/>
  <c r="DD337" i="115"/>
  <c r="DE344" i="115" s="1"/>
  <c r="DD590" i="115"/>
  <c r="DD844" i="115"/>
  <c r="DD1000" i="115"/>
  <c r="DD120" i="115"/>
  <c r="DD308" i="115"/>
  <c r="DE315" i="115" s="1"/>
  <c r="DD333" i="115"/>
  <c r="DE340" i="115" s="1"/>
  <c r="DD581" i="115"/>
  <c r="DD520" i="115" s="1"/>
  <c r="DD687" i="115"/>
  <c r="DD1046" i="115"/>
  <c r="DD381" i="115" s="1"/>
  <c r="DD692" i="115"/>
  <c r="DD970" i="115"/>
  <c r="DD255" i="115"/>
  <c r="DD262" i="115" s="1"/>
  <c r="DD263" i="115"/>
  <c r="DD258" i="115"/>
  <c r="DD101" i="115"/>
  <c r="DE106" i="115" s="1"/>
  <c r="DD150" i="115"/>
  <c r="DE162" i="115" s="1"/>
  <c r="DD1422" i="115"/>
  <c r="DD740" i="115"/>
  <c r="DD154" i="115"/>
  <c r="DD261" i="115"/>
  <c r="DD711" i="115"/>
  <c r="DD723" i="115" s="1"/>
  <c r="DD310" i="115"/>
  <c r="DE317" i="115" s="1"/>
  <c r="DD602" i="115"/>
  <c r="DD892" i="115"/>
  <c r="DD1604" i="115"/>
  <c r="DD1180" i="115"/>
  <c r="DD1466" i="115"/>
  <c r="DD1416" i="115"/>
  <c r="DD1471" i="115"/>
  <c r="DD1454" i="115"/>
  <c r="DD1455" i="115" s="1"/>
  <c r="DD1510" i="115"/>
  <c r="DD852" i="115"/>
  <c r="DD916" i="115"/>
  <c r="DF916" i="115" s="1"/>
  <c r="DD965" i="115"/>
  <c r="DD967" i="115" s="1"/>
  <c r="DD1255" i="115"/>
  <c r="DD1473" i="115"/>
  <c r="DD69" i="115"/>
  <c r="DD31" i="115"/>
  <c r="DD70" i="115"/>
  <c r="DD285" i="115"/>
  <c r="DD484" i="115"/>
  <c r="DD596" i="115"/>
  <c r="DD595" i="115" s="1"/>
  <c r="DF595" i="115" s="1"/>
  <c r="DD780" i="115"/>
  <c r="DD969" i="115"/>
  <c r="DD1324" i="115"/>
  <c r="DD1336" i="115"/>
  <c r="DD1475" i="115"/>
  <c r="DD1554" i="115"/>
  <c r="DD851" i="115"/>
  <c r="DF851" i="115" s="1"/>
  <c r="DD905" i="115"/>
  <c r="DF905" i="115" s="1"/>
  <c r="CZ192" i="115"/>
  <c r="DA192" i="115"/>
  <c r="CZ209" i="115"/>
  <c r="DA209" i="115"/>
  <c r="CZ201" i="115"/>
  <c r="DA193" i="115"/>
  <c r="DA201" i="115"/>
  <c r="CZ194" i="115"/>
  <c r="CZ189" i="115"/>
  <c r="DA194" i="115"/>
  <c r="DA189" i="115"/>
  <c r="CZ193" i="115"/>
  <c r="DH1052" i="115"/>
  <c r="DB1052" i="115"/>
  <c r="CX1054" i="115"/>
  <c r="CX1053" i="115"/>
  <c r="CX1052" i="115"/>
  <c r="CW1055" i="115"/>
  <c r="CX1055" i="115" s="1"/>
  <c r="A1051" i="115"/>
  <c r="DF692" i="115" l="1"/>
  <c r="DD1469" i="115"/>
  <c r="AR63" i="123"/>
  <c r="AR116" i="123"/>
  <c r="AR16" i="123"/>
  <c r="AR20" i="123"/>
  <c r="DD1444" i="115"/>
  <c r="AR133" i="123"/>
  <c r="AR80" i="123"/>
  <c r="DD201" i="115"/>
  <c r="DF844" i="115"/>
  <c r="DD793" i="115"/>
  <c r="DD749" i="115" s="1"/>
  <c r="DD209" i="115"/>
  <c r="DD264" i="115"/>
  <c r="DF749" i="115"/>
  <c r="DF750" i="115" s="1"/>
  <c r="DF554" i="115"/>
  <c r="DD568" i="115"/>
  <c r="DF568" i="115" s="1"/>
  <c r="DF566" i="115"/>
  <c r="DF26" i="115"/>
  <c r="DE956" i="115"/>
  <c r="DF952" i="115"/>
  <c r="DD676" i="115"/>
  <c r="DF676" i="115" s="1"/>
  <c r="DF674" i="115"/>
  <c r="DD141" i="115"/>
  <c r="DE145" i="115" s="1"/>
  <c r="DE144" i="115"/>
  <c r="DD547" i="115"/>
  <c r="DF545" i="115"/>
  <c r="DE773" i="115"/>
  <c r="DF771" i="115"/>
  <c r="DF757" i="115" s="1"/>
  <c r="DF756" i="115" s="1"/>
  <c r="DD937" i="115"/>
  <c r="DF897" i="115"/>
  <c r="DF937" i="115" s="1"/>
  <c r="DF925" i="115"/>
  <c r="DE926" i="115"/>
  <c r="DD234" i="115"/>
  <c r="DF234" i="115" s="1"/>
  <c r="DF235" i="115"/>
  <c r="DF655" i="115"/>
  <c r="DD275" i="115"/>
  <c r="DE166" i="115"/>
  <c r="DF1565" i="115"/>
  <c r="DF1558" i="115"/>
  <c r="DF1559" i="115" s="1"/>
  <c r="DD942" i="115"/>
  <c r="DF875" i="115"/>
  <c r="DD119" i="115"/>
  <c r="DE123" i="115" s="1"/>
  <c r="DE124" i="115"/>
  <c r="DD922" i="115"/>
  <c r="DD924" i="115" s="1"/>
  <c r="DF924" i="115" s="1"/>
  <c r="DF853" i="115"/>
  <c r="DF866" i="115" s="1"/>
  <c r="DF965" i="115"/>
  <c r="DF967" i="115" s="1"/>
  <c r="DD918" i="115"/>
  <c r="DF852" i="115"/>
  <c r="DF865" i="115" s="1"/>
  <c r="DF1604" i="115"/>
  <c r="DD944" i="115"/>
  <c r="DF944" i="115" s="1"/>
  <c r="DF879" i="115"/>
  <c r="DE968" i="115"/>
  <c r="DD442" i="115"/>
  <c r="DE360" i="115"/>
  <c r="DD1169" i="115"/>
  <c r="G17" i="111"/>
  <c r="DB180" i="115"/>
  <c r="DA190" i="115"/>
  <c r="DD191" i="115"/>
  <c r="DD190" i="115"/>
  <c r="DG205" i="115"/>
  <c r="DD312" i="115"/>
  <c r="DD1512" i="115"/>
  <c r="DD372" i="115"/>
  <c r="DD373" i="115" s="1"/>
  <c r="DD446" i="115" s="1"/>
  <c r="DD1437" i="115"/>
  <c r="DD1558" i="115"/>
  <c r="DD1559" i="115" s="1"/>
  <c r="DD1005" i="115"/>
  <c r="DD1007" i="115" s="1"/>
  <c r="DD1008" i="115" s="1"/>
  <c r="DF1008" i="115" s="1"/>
  <c r="DD338" i="115"/>
  <c r="DD1468" i="115"/>
  <c r="DD773" i="115"/>
  <c r="DD772" i="115"/>
  <c r="DD452" i="115"/>
  <c r="DD451" i="115"/>
  <c r="DD453" i="115"/>
  <c r="DD353" i="115"/>
  <c r="DD354" i="115"/>
  <c r="DD20" i="115"/>
  <c r="DD26" i="115" s="1"/>
  <c r="DD901" i="115" s="1"/>
  <c r="DD1300" i="115"/>
  <c r="DD260" i="115"/>
  <c r="DD846" i="115"/>
  <c r="DF846" i="115" s="1"/>
  <c r="DD868" i="115"/>
  <c r="DD728" i="115"/>
  <c r="DD725" i="115"/>
  <c r="DD1481" i="115"/>
  <c r="DD1482" i="115" s="1"/>
  <c r="DD364" i="115"/>
  <c r="DD1150" i="115" s="1"/>
  <c r="DD156" i="115"/>
  <c r="DE168" i="115" s="1"/>
  <c r="DD491" i="115"/>
  <c r="DD224" i="115"/>
  <c r="DE228" i="115" s="1"/>
  <c r="DD973" i="115"/>
  <c r="DD980" i="115" s="1"/>
  <c r="DE981" i="115" s="1"/>
  <c r="DD274" i="115"/>
  <c r="DD223" i="115"/>
  <c r="DE227" i="115" s="1"/>
  <c r="DD748" i="115"/>
  <c r="DD744" i="115"/>
  <c r="DE745" i="115" s="1"/>
  <c r="DD1478" i="115"/>
  <c r="DD502" i="115"/>
  <c r="DE503" i="115" s="1"/>
  <c r="DD699" i="115"/>
  <c r="DD691" i="115"/>
  <c r="DD655" i="115"/>
  <c r="DD1484" i="115"/>
  <c r="DD1423" i="115"/>
  <c r="DD100" i="115"/>
  <c r="DE105" i="115" s="1"/>
  <c r="DD906" i="115"/>
  <c r="DF906" i="115" s="1"/>
  <c r="DD968" i="115"/>
  <c r="DD971" i="115"/>
  <c r="DD765" i="115"/>
  <c r="DD614" i="115"/>
  <c r="DD1417" i="115"/>
  <c r="DD273" i="115"/>
  <c r="DD225" i="115"/>
  <c r="DE229" i="115" s="1"/>
  <c r="DH182" i="115"/>
  <c r="DH205" i="115"/>
  <c r="CW1048" i="115"/>
  <c r="DI1052" i="115"/>
  <c r="DL1052" i="115" s="1"/>
  <c r="DM1052" i="115" s="1"/>
  <c r="DP1052" i="115" s="1"/>
  <c r="DQ1052" i="115" s="1"/>
  <c r="CZ1055" i="115"/>
  <c r="CZ1048" i="115" s="1"/>
  <c r="DF699" i="115" l="1"/>
  <c r="DF691" i="115"/>
  <c r="DE1060" i="115"/>
  <c r="DD1170" i="115"/>
  <c r="DD554" i="115"/>
  <c r="DD555" i="115" s="1"/>
  <c r="DD1146" i="115" s="1"/>
  <c r="DD571" i="115"/>
  <c r="DD573" i="115" s="1"/>
  <c r="DD1452" i="115"/>
  <c r="DD1457" i="115" s="1"/>
  <c r="DD1445" i="115"/>
  <c r="DD750" i="115"/>
  <c r="DE799" i="115"/>
  <c r="DD204" i="115"/>
  <c r="DE208" i="115" s="1"/>
  <c r="DF847" i="115"/>
  <c r="AR22" i="123" s="1"/>
  <c r="AR24" i="123"/>
  <c r="AR118" i="123"/>
  <c r="AR65" i="123"/>
  <c r="AR61" i="123"/>
  <c r="AR64" i="123" s="1"/>
  <c r="AR114" i="123"/>
  <c r="AR117" i="123" s="1"/>
  <c r="DD251" i="115"/>
  <c r="DD250" i="115" s="1"/>
  <c r="DD931" i="115"/>
  <c r="DF922" i="115"/>
  <c r="DF931" i="115" s="1"/>
  <c r="DF930" i="115" s="1"/>
  <c r="DF938" i="115" s="1"/>
  <c r="DF939" i="115" s="1"/>
  <c r="DF698" i="115"/>
  <c r="DF754" i="115"/>
  <c r="DF918" i="115"/>
  <c r="DE919" i="115"/>
  <c r="DD196" i="115"/>
  <c r="DE200" i="115" s="1"/>
  <c r="DF521" i="115"/>
  <c r="DF529" i="115"/>
  <c r="DF531" i="115" s="1"/>
  <c r="DF63" i="115"/>
  <c r="DF32" i="115"/>
  <c r="AH53" i="111" s="1"/>
  <c r="DF901" i="115"/>
  <c r="DD867" i="115"/>
  <c r="DF868" i="115"/>
  <c r="DD549" i="115"/>
  <c r="DF547" i="115"/>
  <c r="DD1606" i="115"/>
  <c r="DF942" i="115"/>
  <c r="DD950" i="115"/>
  <c r="DF950" i="115" s="1"/>
  <c r="DE759" i="115"/>
  <c r="DE764" i="115" s="1"/>
  <c r="DE492" i="115"/>
  <c r="DE493" i="115"/>
  <c r="DF968" i="115"/>
  <c r="DF251" i="115"/>
  <c r="DF555" i="115"/>
  <c r="AR19" i="123" s="1"/>
  <c r="DD1159" i="115"/>
  <c r="DD1175" i="115"/>
  <c r="DE1061" i="115" s="1"/>
  <c r="DE1103" i="115"/>
  <c r="DD388" i="115"/>
  <c r="DR1052" i="115"/>
  <c r="DD377" i="115"/>
  <c r="DD390" i="115"/>
  <c r="DD63" i="115"/>
  <c r="DH197" i="115"/>
  <c r="DI197" i="115" s="1"/>
  <c r="DJ197" i="115" s="1"/>
  <c r="DG197" i="115"/>
  <c r="DG175" i="115"/>
  <c r="DD32" i="115"/>
  <c r="DD34" i="115" s="1"/>
  <c r="DD447" i="115"/>
  <c r="DD1480" i="115"/>
  <c r="DD1430" i="115"/>
  <c r="DD1429" i="115" s="1"/>
  <c r="DD1479" i="115"/>
  <c r="DD158" i="115"/>
  <c r="DE170" i="115" s="1"/>
  <c r="DD1483" i="115"/>
  <c r="DD521" i="115"/>
  <c r="DD529" i="115"/>
  <c r="DD531" i="115" s="1"/>
  <c r="DD847" i="115"/>
  <c r="DD1147" i="115" s="1"/>
  <c r="DD754" i="115"/>
  <c r="DD698" i="115"/>
  <c r="DD366" i="115"/>
  <c r="DD430" i="115"/>
  <c r="DD432" i="115" s="1"/>
  <c r="DD389" i="115"/>
  <c r="DD385" i="115"/>
  <c r="DD457" i="115"/>
  <c r="DI182" i="115"/>
  <c r="DH175" i="115"/>
  <c r="DH99" i="115" s="1"/>
  <c r="DH183" i="115"/>
  <c r="DH193" i="115" s="1"/>
  <c r="DI205" i="115"/>
  <c r="DJ205" i="115" s="1"/>
  <c r="DK205" i="115" s="1"/>
  <c r="DN1052" i="115"/>
  <c r="DJ1052" i="115"/>
  <c r="DE1064" i="115" l="1"/>
  <c r="DF571" i="115"/>
  <c r="DD206" i="115"/>
  <c r="DE210" i="115" s="1"/>
  <c r="DD1451" i="115"/>
  <c r="DD1458" i="115" s="1"/>
  <c r="DD1456" i="115"/>
  <c r="DD198" i="115"/>
  <c r="DE202" i="115" s="1"/>
  <c r="AR93" i="123"/>
  <c r="AR147" i="123"/>
  <c r="AR69" i="123"/>
  <c r="AR122" i="123"/>
  <c r="AR120" i="123"/>
  <c r="AR67" i="123"/>
  <c r="AR25" i="123"/>
  <c r="DF896" i="115"/>
  <c r="DF898" i="115" s="1"/>
  <c r="DF900" i="115" s="1"/>
  <c r="DF1147" i="115"/>
  <c r="DE1144" i="115"/>
  <c r="DE1139" i="115"/>
  <c r="DE497" i="115"/>
  <c r="DD854" i="115"/>
  <c r="DF867" i="115"/>
  <c r="DF533" i="115"/>
  <c r="DF534" i="115"/>
  <c r="DF770" i="115"/>
  <c r="DF615" i="115"/>
  <c r="DF616" i="115" s="1"/>
  <c r="DF64" i="115"/>
  <c r="DF65" i="115" s="1"/>
  <c r="DF67" i="115" s="1"/>
  <c r="DF71" i="115" s="1"/>
  <c r="DF522" i="115"/>
  <c r="DF524" i="115" s="1"/>
  <c r="DD557" i="115"/>
  <c r="DF573" i="115"/>
  <c r="DF557" i="115" s="1"/>
  <c r="DD930" i="115"/>
  <c r="DE935" i="115"/>
  <c r="DF1146" i="115"/>
  <c r="DF559" i="115"/>
  <c r="DE1204" i="115"/>
  <c r="DE1205" i="115" s="1"/>
  <c r="DF1606" i="115"/>
  <c r="DF1609" i="115" s="1"/>
  <c r="DD1609" i="115"/>
  <c r="DF1246" i="115"/>
  <c r="DF34" i="115"/>
  <c r="DF902" i="115"/>
  <c r="EY34" i="117" s="1"/>
  <c r="DD1148" i="115"/>
  <c r="DE251" i="115"/>
  <c r="DD550" i="115"/>
  <c r="DF549" i="115"/>
  <c r="DD1176" i="115"/>
  <c r="DE1104" i="115" s="1"/>
  <c r="DE1106" i="115" s="1"/>
  <c r="DD770" i="115"/>
  <c r="DK197" i="115"/>
  <c r="DH184" i="115"/>
  <c r="DH194" i="115" s="1"/>
  <c r="DH104" i="115"/>
  <c r="DD1246" i="115"/>
  <c r="DD384" i="115"/>
  <c r="DD369" i="115"/>
  <c r="DD559" i="115"/>
  <c r="DD896" i="115"/>
  <c r="DD898" i="115" s="1"/>
  <c r="DD900" i="115" s="1"/>
  <c r="DD856" i="115"/>
  <c r="DD902" i="115"/>
  <c r="DD991" i="115"/>
  <c r="DD992" i="115" s="1"/>
  <c r="DD1553" i="115"/>
  <c r="DD995" i="115"/>
  <c r="DD37" i="115"/>
  <c r="DD534" i="115"/>
  <c r="DD533" i="115"/>
  <c r="DD435" i="115"/>
  <c r="DD434" i="115"/>
  <c r="DD433" i="115"/>
  <c r="DD431" i="115"/>
  <c r="DD615" i="115"/>
  <c r="DD616" i="115" s="1"/>
  <c r="DD64" i="115"/>
  <c r="DD65" i="115" s="1"/>
  <c r="DD67" i="115" s="1"/>
  <c r="DD71" i="115" s="1"/>
  <c r="DD522" i="115"/>
  <c r="DD524" i="115" s="1"/>
  <c r="DD436" i="115"/>
  <c r="DD449" i="115"/>
  <c r="DD456" i="115"/>
  <c r="DD455" i="115"/>
  <c r="DI175" i="115"/>
  <c r="DL182" i="115"/>
  <c r="DI183" i="115"/>
  <c r="DI193" i="115" s="1"/>
  <c r="DL205" i="115"/>
  <c r="DL197" i="115"/>
  <c r="DI184" i="115"/>
  <c r="DD1476" i="115" l="1"/>
  <c r="DF1148" i="115"/>
  <c r="AR123" i="123"/>
  <c r="AR32" i="123"/>
  <c r="AH55" i="111"/>
  <c r="AR27" i="123"/>
  <c r="AR28" i="123"/>
  <c r="AR70" i="123"/>
  <c r="DE1202" i="115"/>
  <c r="DE1203" i="115" s="1"/>
  <c r="DF779" i="115"/>
  <c r="DF995" i="115"/>
  <c r="DF991" i="115"/>
  <c r="DF992" i="115" s="1"/>
  <c r="DF1553" i="115"/>
  <c r="DF37" i="115"/>
  <c r="DF526" i="115"/>
  <c r="DF1140" i="115" s="1"/>
  <c r="DF996" i="115"/>
  <c r="DD951" i="115"/>
  <c r="DD855" i="115"/>
  <c r="DF855" i="115" s="1"/>
  <c r="DF854" i="115"/>
  <c r="DE934" i="115"/>
  <c r="DD938" i="115"/>
  <c r="DD939" i="115" s="1"/>
  <c r="DI194" i="115"/>
  <c r="DI99" i="115"/>
  <c r="DI104" i="115" s="1"/>
  <c r="DJ175" i="115"/>
  <c r="DK175" i="115" s="1"/>
  <c r="DD386" i="115"/>
  <c r="DD387" i="115"/>
  <c r="DD779" i="115"/>
  <c r="DD1555" i="115"/>
  <c r="DD1562" i="115" s="1"/>
  <c r="DD993" i="115" s="1"/>
  <c r="DD1561" i="115"/>
  <c r="DD996" i="115"/>
  <c r="DD997" i="115" s="1"/>
  <c r="DD1001" i="115" s="1"/>
  <c r="DD526" i="115"/>
  <c r="DD1140" i="115" s="1"/>
  <c r="DD1564" i="115"/>
  <c r="DD1566" i="115" s="1"/>
  <c r="DD536" i="115"/>
  <c r="DD43" i="115"/>
  <c r="DD45" i="115" s="1"/>
  <c r="DD39" i="115"/>
  <c r="DD1135" i="115" s="1"/>
  <c r="DD538" i="115"/>
  <c r="DM182" i="115"/>
  <c r="DL175" i="115"/>
  <c r="DL99" i="115" s="1"/>
  <c r="DM197" i="115"/>
  <c r="DL184" i="115"/>
  <c r="DL194" i="115" s="1"/>
  <c r="DM205" i="115"/>
  <c r="DL183" i="115"/>
  <c r="DL193" i="115" s="1"/>
  <c r="DF997" i="115" l="1"/>
  <c r="DF1001" i="115" s="1"/>
  <c r="AR77" i="123"/>
  <c r="AR130" i="123"/>
  <c r="AR34" i="123"/>
  <c r="AR125" i="123"/>
  <c r="AR149" i="123"/>
  <c r="AR126" i="123"/>
  <c r="AR150" i="123" s="1"/>
  <c r="AR95" i="123"/>
  <c r="AR72" i="123"/>
  <c r="AR73" i="123"/>
  <c r="AR96" i="123" s="1"/>
  <c r="AH58" i="111"/>
  <c r="AR36" i="123"/>
  <c r="DF951" i="115"/>
  <c r="DF953" i="115" s="1"/>
  <c r="DE955" i="115"/>
  <c r="DD953" i="115"/>
  <c r="DF1555" i="115"/>
  <c r="DF1562" i="115" s="1"/>
  <c r="DF993" i="115" s="1"/>
  <c r="DF1561" i="115"/>
  <c r="DF538" i="115"/>
  <c r="AR37" i="123" s="1"/>
  <c r="AR42" i="123" s="1"/>
  <c r="AR140" i="123" s="1"/>
  <c r="DF536" i="115"/>
  <c r="DF1564" i="115"/>
  <c r="DF1566" i="115" s="1"/>
  <c r="DF43" i="115"/>
  <c r="DF45" i="115" s="1"/>
  <c r="DF39" i="115"/>
  <c r="DD1141" i="115"/>
  <c r="DD1142" i="115" s="1"/>
  <c r="DD1138" i="115"/>
  <c r="DD1136" i="115"/>
  <c r="DN205" i="115"/>
  <c r="DO205" i="115" s="1"/>
  <c r="DP205" i="115"/>
  <c r="DN197" i="115"/>
  <c r="DO197" i="115" s="1"/>
  <c r="DP197" i="115"/>
  <c r="DM175" i="115"/>
  <c r="DM99" i="115" s="1"/>
  <c r="DM104" i="115" s="1"/>
  <c r="DP182" i="115"/>
  <c r="DL104" i="115"/>
  <c r="DD1227" i="115"/>
  <c r="DD1244" i="115" s="1"/>
  <c r="DD41" i="115"/>
  <c r="DD1568" i="115"/>
  <c r="DD1523" i="115"/>
  <c r="DD1216" i="115"/>
  <c r="DM183" i="115"/>
  <c r="DM193" i="115" s="1"/>
  <c r="DM184" i="115"/>
  <c r="DM194" i="115" s="1"/>
  <c r="AR79" i="123" l="1"/>
  <c r="AR81" i="123" s="1"/>
  <c r="AR132" i="123"/>
  <c r="AR134" i="123" s="1"/>
  <c r="AR135" i="123"/>
  <c r="AR153" i="123" s="1"/>
  <c r="AR82" i="123"/>
  <c r="AR99" i="123" s="1"/>
  <c r="AR40" i="123"/>
  <c r="DF41" i="115"/>
  <c r="AH60" i="111" s="1"/>
  <c r="DF1227" i="115"/>
  <c r="DF1244" i="115" s="1"/>
  <c r="DF1135" i="115"/>
  <c r="DF1523" i="115"/>
  <c r="DF1216" i="115"/>
  <c r="DD1072" i="115"/>
  <c r="DF1072" i="115" s="1"/>
  <c r="AH84" i="111" s="1"/>
  <c r="DD1143" i="115"/>
  <c r="DF1568" i="115"/>
  <c r="DN175" i="115"/>
  <c r="DO175" i="115" s="1"/>
  <c r="DP175" i="115"/>
  <c r="DQ182" i="115"/>
  <c r="DQ175" i="115" s="1"/>
  <c r="DP184" i="115"/>
  <c r="DQ197" i="115"/>
  <c r="DQ205" i="115"/>
  <c r="DP183" i="115"/>
  <c r="DD1238" i="115"/>
  <c r="DD1130" i="115" s="1"/>
  <c r="DD1137" i="115" s="1"/>
  <c r="DD1217" i="115"/>
  <c r="DD1223" i="115"/>
  <c r="DD1225" i="115" s="1"/>
  <c r="DD1242" i="115" s="1"/>
  <c r="AR43" i="123" l="1"/>
  <c r="AR138" i="123"/>
  <c r="AR85" i="123"/>
  <c r="DF1217" i="115"/>
  <c r="DF1238" i="115"/>
  <c r="AR45" i="123" s="1"/>
  <c r="DF1136" i="115"/>
  <c r="DF1138" i="115"/>
  <c r="DF1141" i="115"/>
  <c r="DF1142" i="115" s="1"/>
  <c r="DF1223" i="115"/>
  <c r="DF1225" i="115" s="1"/>
  <c r="DF1242" i="115" s="1"/>
  <c r="DF1143" i="115"/>
  <c r="DP193" i="115"/>
  <c r="DR205" i="115"/>
  <c r="DS205" i="115" s="1"/>
  <c r="DQ183" i="115"/>
  <c r="DR197" i="115"/>
  <c r="DS197" i="115" s="1"/>
  <c r="DQ184" i="115"/>
  <c r="DP194" i="115"/>
  <c r="DQ99" i="115"/>
  <c r="DR175" i="115"/>
  <c r="DS175" i="115" s="1"/>
  <c r="DQ186" i="115"/>
  <c r="DP186" i="115"/>
  <c r="DP99" i="115"/>
  <c r="AR87" i="123" l="1"/>
  <c r="AR141" i="123"/>
  <c r="AR154" i="123"/>
  <c r="DP104" i="115"/>
  <c r="DQ104" i="115"/>
  <c r="DR99" i="115"/>
  <c r="DQ194" i="115"/>
  <c r="DQ193" i="115"/>
  <c r="AR100" i="123" l="1"/>
  <c r="DB248" i="115"/>
  <c r="DB249" i="115"/>
  <c r="CZ1171" i="115" l="1"/>
  <c r="DA1171" i="115" s="1"/>
  <c r="CZ1198" i="115"/>
  <c r="DA683" i="115"/>
  <c r="DA680" i="115"/>
  <c r="DA1415" i="115"/>
  <c r="DA1447" i="115"/>
  <c r="DA1425" i="115"/>
  <c r="DA1418" i="115"/>
  <c r="DA1298" i="115"/>
  <c r="DA1299" i="115" s="1"/>
  <c r="DD1372" i="115" s="1"/>
  <c r="DA1271" i="115"/>
  <c r="DA1109" i="115"/>
  <c r="DA1083" i="115"/>
  <c r="DB727" i="115"/>
  <c r="DA576" i="115"/>
  <c r="DA580" i="115"/>
  <c r="CX422" i="115"/>
  <c r="DA420" i="115"/>
  <c r="DA422" i="115" s="1"/>
  <c r="CZ420" i="115"/>
  <c r="CZ422" i="115" s="1"/>
  <c r="DA423" i="115"/>
  <c r="CZ423" i="115"/>
  <c r="DA421" i="115"/>
  <c r="CZ421" i="115"/>
  <c r="DB419" i="115"/>
  <c r="DB418" i="115"/>
  <c r="DA242" i="115"/>
  <c r="DA30" i="115"/>
  <c r="DA18" i="115"/>
  <c r="AY101" i="123"/>
  <c r="AX101" i="123"/>
  <c r="AW101" i="123"/>
  <c r="AU101" i="123"/>
  <c r="AT101" i="123"/>
  <c r="AS101" i="123"/>
  <c r="AQ101" i="123"/>
  <c r="AP101" i="123"/>
  <c r="AO101" i="123"/>
  <c r="AM101" i="123"/>
  <c r="AL101" i="123"/>
  <c r="AK101" i="123"/>
  <c r="AI101" i="123"/>
  <c r="AH101" i="123"/>
  <c r="AG101" i="123"/>
  <c r="AE101" i="123"/>
  <c r="AD101" i="123"/>
  <c r="AC101" i="123"/>
  <c r="AA101" i="123"/>
  <c r="Z101" i="123"/>
  <c r="Y101" i="123"/>
  <c r="W101" i="123"/>
  <c r="V101" i="123"/>
  <c r="U101" i="123"/>
  <c r="S101" i="123"/>
  <c r="R101" i="123"/>
  <c r="Q101" i="123"/>
  <c r="O101" i="123"/>
  <c r="N101" i="123"/>
  <c r="M101" i="123"/>
  <c r="M48" i="123"/>
  <c r="N48" i="123"/>
  <c r="O48" i="123"/>
  <c r="Q48" i="123"/>
  <c r="R48" i="123"/>
  <c r="S48" i="123"/>
  <c r="U48" i="123"/>
  <c r="V48" i="123"/>
  <c r="W48" i="123"/>
  <c r="Y48" i="123"/>
  <c r="Z48" i="123"/>
  <c r="AA48" i="123"/>
  <c r="AC48" i="123"/>
  <c r="AD48" i="123"/>
  <c r="AE48" i="123"/>
  <c r="AG48" i="123"/>
  <c r="AH48" i="123"/>
  <c r="AI48" i="123"/>
  <c r="AK48" i="123"/>
  <c r="AL48" i="123"/>
  <c r="AM48" i="123"/>
  <c r="AO48" i="123"/>
  <c r="AP48" i="123"/>
  <c r="AQ48" i="123"/>
  <c r="AS48" i="123"/>
  <c r="AT48" i="123"/>
  <c r="AU48" i="123"/>
  <c r="AW48" i="123"/>
  <c r="AX48" i="123"/>
  <c r="AY48" i="123"/>
  <c r="AM139" i="123"/>
  <c r="AM141" i="123" s="1"/>
  <c r="AL139" i="123"/>
  <c r="AL141" i="123" s="1"/>
  <c r="AK139" i="123"/>
  <c r="AK141" i="123" s="1"/>
  <c r="AM89" i="123"/>
  <c r="AL89" i="123"/>
  <c r="AK89" i="123"/>
  <c r="AK46" i="123"/>
  <c r="AM42" i="123"/>
  <c r="AL42" i="123"/>
  <c r="AK42" i="123"/>
  <c r="AN41" i="123"/>
  <c r="AN139" i="123" s="1"/>
  <c r="AK24" i="123"/>
  <c r="AK122" i="123" s="1"/>
  <c r="AK123" i="123" s="1"/>
  <c r="AK126" i="123" s="1"/>
  <c r="AK19" i="123"/>
  <c r="AK17" i="123"/>
  <c r="AK62" i="123" s="1"/>
  <c r="AN12" i="123"/>
  <c r="AN10" i="123"/>
  <c r="AN55" i="123" s="1"/>
  <c r="AN2" i="123"/>
  <c r="AN91" i="123" s="1"/>
  <c r="FD42" i="117"/>
  <c r="FD5" i="117"/>
  <c r="CG224" i="117"/>
  <c r="CF224" i="117"/>
  <c r="CG205" i="117"/>
  <c r="CF205" i="117"/>
  <c r="CG183" i="117"/>
  <c r="CF183" i="117"/>
  <c r="CH165" i="117"/>
  <c r="CG151" i="117"/>
  <c r="CG195" i="117" s="1"/>
  <c r="CF151" i="117"/>
  <c r="CG135" i="117"/>
  <c r="CF135" i="117"/>
  <c r="CG129" i="117"/>
  <c r="CF129" i="117"/>
  <c r="CF122" i="117"/>
  <c r="CE24" i="117"/>
  <c r="AK143" i="123" l="1"/>
  <c r="AK144" i="123"/>
  <c r="AL143" i="123"/>
  <c r="AL144" i="123"/>
  <c r="AM143" i="123"/>
  <c r="AM144" i="123"/>
  <c r="AK16" i="123"/>
  <c r="AK61" i="123" s="1"/>
  <c r="AK64" i="123" s="1"/>
  <c r="AK69" i="123"/>
  <c r="AN86" i="123"/>
  <c r="AK115" i="123"/>
  <c r="AN48" i="123"/>
  <c r="AN101" i="123"/>
  <c r="DB420" i="115"/>
  <c r="DB422" i="115" s="1"/>
  <c r="DB421" i="115"/>
  <c r="AN108" i="123"/>
  <c r="AN145" i="123"/>
  <c r="CG105" i="117"/>
  <c r="CF195" i="117"/>
  <c r="CH195" i="117" s="1"/>
  <c r="AG5" i="111"/>
  <c r="AG46" i="111"/>
  <c r="AG1" i="111"/>
  <c r="AF46" i="111"/>
  <c r="AF1" i="111"/>
  <c r="DB1608" i="115"/>
  <c r="DB1607" i="115"/>
  <c r="DB1605" i="115"/>
  <c r="DA1598" i="115"/>
  <c r="DA1597" i="115"/>
  <c r="DA1596" i="115"/>
  <c r="DA1595" i="115"/>
  <c r="DA1594" i="115"/>
  <c r="DA1593" i="115"/>
  <c r="DA1592" i="115"/>
  <c r="DA1580" i="115"/>
  <c r="DA1554" i="115" s="1"/>
  <c r="DB1579" i="115"/>
  <c r="DB1578" i="115"/>
  <c r="DB1577" i="115"/>
  <c r="DB1576" i="115"/>
  <c r="DB1575" i="115"/>
  <c r="DB1574" i="115"/>
  <c r="DB1573" i="115"/>
  <c r="DA1557" i="115"/>
  <c r="DB1529" i="115"/>
  <c r="DA1529" i="115"/>
  <c r="DA1520" i="115"/>
  <c r="DA1518" i="115"/>
  <c r="DA1513" i="115"/>
  <c r="DA1509" i="115"/>
  <c r="DA1508" i="115"/>
  <c r="DA1507" i="115"/>
  <c r="DA1506" i="115"/>
  <c r="DB1503" i="115"/>
  <c r="DA1500" i="115"/>
  <c r="DA1501" i="115" s="1"/>
  <c r="DA1498" i="115"/>
  <c r="DB1498" i="115" s="1"/>
  <c r="DA1497" i="115"/>
  <c r="DB1497" i="115" s="1"/>
  <c r="DB1496" i="115"/>
  <c r="DA1488" i="115"/>
  <c r="DA1474" i="115"/>
  <c r="DA1472" i="115"/>
  <c r="DA1465" i="115"/>
  <c r="DA1464" i="115"/>
  <c r="DA1461" i="115"/>
  <c r="DB1450" i="115"/>
  <c r="DA1449" i="115"/>
  <c r="DA1454" i="115" s="1"/>
  <c r="DB1448" i="115"/>
  <c r="DB1435" i="115"/>
  <c r="DA1434" i="115"/>
  <c r="DB1434" i="115" s="1"/>
  <c r="DB1433" i="115"/>
  <c r="DB1432" i="115"/>
  <c r="DB1428" i="115"/>
  <c r="DB1426" i="115"/>
  <c r="DA1471" i="115"/>
  <c r="DB1421" i="115"/>
  <c r="DB1420" i="115"/>
  <c r="DB1419" i="115"/>
  <c r="DB1415" i="115"/>
  <c r="DA1414" i="115"/>
  <c r="DB1413" i="115"/>
  <c r="DB1412" i="115"/>
  <c r="DA1407" i="115"/>
  <c r="DB1406" i="115"/>
  <c r="DB1405" i="115"/>
  <c r="DE1493" i="115" s="1"/>
  <c r="DB1404" i="115"/>
  <c r="DB1403" i="115"/>
  <c r="DB1402" i="115"/>
  <c r="DA1396" i="115"/>
  <c r="DB1396" i="115" s="1"/>
  <c r="DA1390" i="115"/>
  <c r="DA1302" i="115" s="1"/>
  <c r="DB1389" i="115"/>
  <c r="DB1388" i="115"/>
  <c r="DB1387" i="115"/>
  <c r="DB1386" i="115"/>
  <c r="DB1385" i="115"/>
  <c r="DB1384" i="115"/>
  <c r="DB1383" i="115"/>
  <c r="DB1382" i="115"/>
  <c r="DB1381" i="115"/>
  <c r="DB1380" i="115"/>
  <c r="DB1379" i="115"/>
  <c r="DB1378" i="115"/>
  <c r="DB1377" i="115"/>
  <c r="DB1376" i="115"/>
  <c r="DB1375" i="115"/>
  <c r="DA1371" i="115"/>
  <c r="DA1370" i="115"/>
  <c r="DA1369" i="115"/>
  <c r="DA1368" i="115"/>
  <c r="DA1362" i="115"/>
  <c r="DA1363" i="115" s="1"/>
  <c r="DA1361" i="115"/>
  <c r="DA1358" i="115"/>
  <c r="DD1356" i="115" s="1"/>
  <c r="DA1351" i="115"/>
  <c r="DD1346" i="115" s="1"/>
  <c r="DA1348" i="115"/>
  <c r="DA1342" i="115"/>
  <c r="DA1340" i="115"/>
  <c r="DA1338" i="115"/>
  <c r="DA1339" i="115" s="1"/>
  <c r="DA1334" i="115"/>
  <c r="DD1331" i="115" s="1"/>
  <c r="DB1333" i="115"/>
  <c r="DA1327" i="115"/>
  <c r="DA1323" i="115"/>
  <c r="DA1322" i="115"/>
  <c r="DA1319" i="115"/>
  <c r="DA1317" i="115"/>
  <c r="DA1310" i="115"/>
  <c r="DB1310" i="115" s="1"/>
  <c r="DB1308" i="115"/>
  <c r="DB1304" i="115"/>
  <c r="DB1303" i="115"/>
  <c r="DB1298" i="115"/>
  <c r="DB1299" i="115"/>
  <c r="DC1297" i="115"/>
  <c r="DB1297" i="115"/>
  <c r="DB1338" i="115" s="1"/>
  <c r="DB1339" i="115" s="1"/>
  <c r="DC1296" i="115"/>
  <c r="DB1296" i="115"/>
  <c r="DC1295" i="115"/>
  <c r="DB1295" i="115"/>
  <c r="DC1294" i="115"/>
  <c r="DB1294" i="115"/>
  <c r="DB1351" i="115" s="1"/>
  <c r="DC1293" i="115"/>
  <c r="DB1293" i="115"/>
  <c r="DB1327" i="115" s="1"/>
  <c r="DC1292" i="115"/>
  <c r="DB1292" i="115"/>
  <c r="DB1323" i="115" s="1"/>
  <c r="DC1290" i="115"/>
  <c r="DB1290" i="115"/>
  <c r="DB1319" i="115" s="1"/>
  <c r="DC1289" i="115"/>
  <c r="DB1289" i="115"/>
  <c r="DB1317" i="115" s="1"/>
  <c r="DB1287" i="115"/>
  <c r="DB1286" i="115"/>
  <c r="DB1285" i="115"/>
  <c r="DA1284" i="115"/>
  <c r="DB1284" i="115" s="1"/>
  <c r="DB1283" i="115"/>
  <c r="DB1282" i="115"/>
  <c r="DB1275" i="115"/>
  <c r="DB1274" i="115"/>
  <c r="DB1270" i="115"/>
  <c r="DB1269" i="115"/>
  <c r="DB1268" i="115"/>
  <c r="DA1260" i="115"/>
  <c r="DD1260" i="115" s="1"/>
  <c r="DA1258" i="115"/>
  <c r="DD1258" i="115" s="1"/>
  <c r="DA1234" i="115"/>
  <c r="DA1233" i="115"/>
  <c r="DA1240" i="115" s="1"/>
  <c r="DA1232" i="115"/>
  <c r="DB1229" i="115"/>
  <c r="DB1234" i="115" s="1"/>
  <c r="DA1224" i="115"/>
  <c r="DB1221" i="115"/>
  <c r="DA1221" i="115"/>
  <c r="DB1213" i="115"/>
  <c r="DA1213" i="115"/>
  <c r="DA1209" i="115"/>
  <c r="DD1210" i="115" s="1"/>
  <c r="DD1211" i="115" s="1"/>
  <c r="DE1260" i="115" l="1"/>
  <c r="DE1261" i="115" s="1"/>
  <c r="DE1258" i="115"/>
  <c r="DE1259" i="115" s="1"/>
  <c r="DD1350" i="115"/>
  <c r="DF1346" i="115"/>
  <c r="DD1357" i="115"/>
  <c r="DF1356" i="115"/>
  <c r="DD1332" i="115"/>
  <c r="DF1332" i="115" s="1"/>
  <c r="DF1331" i="115"/>
  <c r="DB1507" i="115"/>
  <c r="DE1492" i="115"/>
  <c r="DA1486" i="115"/>
  <c r="DD1489" i="115"/>
  <c r="DD514" i="115"/>
  <c r="DD1530" i="115"/>
  <c r="DB1509" i="115"/>
  <c r="DA1455" i="115"/>
  <c r="AK114" i="123"/>
  <c r="AK117" i="123" s="1"/>
  <c r="AK134" i="123" s="1"/>
  <c r="AK138" i="123" s="1"/>
  <c r="DB1464" i="115"/>
  <c r="DA1341" i="115"/>
  <c r="DA1343" i="115" s="1"/>
  <c r="DA1364" i="115"/>
  <c r="DA1490" i="115"/>
  <c r="DB1490" i="115" s="1"/>
  <c r="DA1324" i="115"/>
  <c r="DB1474" i="115"/>
  <c r="DA1466" i="115"/>
  <c r="DB1440" i="115"/>
  <c r="DB1441" i="115" s="1"/>
  <c r="DB1499" i="115"/>
  <c r="DB1504" i="115" s="1"/>
  <c r="DA1255" i="115"/>
  <c r="DB1255" i="115" s="1"/>
  <c r="DA1336" i="115"/>
  <c r="CF105" i="117"/>
  <c r="DB1465" i="115"/>
  <c r="DB1472" i="115"/>
  <c r="DB1467" i="115"/>
  <c r="DA1510" i="115"/>
  <c r="DA1599" i="115"/>
  <c r="DB1508" i="115"/>
  <c r="DB1233" i="115"/>
  <c r="DB1240" i="115" s="1"/>
  <c r="DB1358" i="115"/>
  <c r="DB1390" i="115"/>
  <c r="DA1272" i="115"/>
  <c r="DA1276" i="115" s="1"/>
  <c r="DB1271" i="115"/>
  <c r="DB1272" i="115" s="1"/>
  <c r="DB1276" i="115" s="1"/>
  <c r="DB1302" i="115"/>
  <c r="DB1506" i="115"/>
  <c r="DB1407" i="115"/>
  <c r="DB1342" i="115"/>
  <c r="DA1499" i="115"/>
  <c r="DA1504" i="115" s="1"/>
  <c r="DB1232" i="115"/>
  <c r="DA1422" i="115"/>
  <c r="DB1418" i="115"/>
  <c r="DB1449" i="115"/>
  <c r="DA1487" i="115"/>
  <c r="DA1485" i="115"/>
  <c r="DB1488" i="115"/>
  <c r="DB1580" i="115"/>
  <c r="DA1300" i="115"/>
  <c r="DA1427" i="115"/>
  <c r="DA1436" i="115"/>
  <c r="DA1440" i="115"/>
  <c r="DA1441" i="115" s="1"/>
  <c r="DA1442" i="115"/>
  <c r="DA1467" i="115"/>
  <c r="DB1300" i="115"/>
  <c r="DB1447" i="115"/>
  <c r="DB1454" i="115" s="1"/>
  <c r="DB1455" i="115" s="1"/>
  <c r="DB1414" i="115"/>
  <c r="DA1416" i="115"/>
  <c r="DA1417" i="115" s="1"/>
  <c r="DB1425" i="115"/>
  <c r="CZ1173" i="115"/>
  <c r="CZ1176" i="115" s="1"/>
  <c r="DA1104" i="115" s="1"/>
  <c r="CZ1175" i="115"/>
  <c r="DA1061" i="115" s="1"/>
  <c r="DA1163" i="115"/>
  <c r="DA1166" i="115" s="1"/>
  <c r="DA1128" i="115"/>
  <c r="DA1127" i="115"/>
  <c r="DB1126" i="115"/>
  <c r="DB1125" i="115"/>
  <c r="DF1128" i="115" s="1"/>
  <c r="DA1115" i="115"/>
  <c r="DB1102" i="115"/>
  <c r="DA1101" i="115"/>
  <c r="DA1095" i="115"/>
  <c r="DD1093" i="115" s="1"/>
  <c r="DA1090" i="115"/>
  <c r="DD1088" i="115" s="1"/>
  <c r="DA1085" i="115"/>
  <c r="DD1081" i="115" s="1"/>
  <c r="DB1083" i="115"/>
  <c r="DB1082" i="115"/>
  <c r="DA1078" i="115"/>
  <c r="DD1068" i="115" s="1"/>
  <c r="DB1074" i="115"/>
  <c r="DB1071" i="115"/>
  <c r="DB1070" i="115"/>
  <c r="DB1069" i="115"/>
  <c r="DA1065" i="115"/>
  <c r="DD1058" i="115" s="1"/>
  <c r="DB1063" i="115"/>
  <c r="DA1062" i="115"/>
  <c r="DA1060" i="115"/>
  <c r="DB1059" i="115"/>
  <c r="DB1045" i="115"/>
  <c r="DB1095" i="115" s="1"/>
  <c r="DB1044" i="115"/>
  <c r="DB1090" i="115" s="1"/>
  <c r="DA1043" i="115"/>
  <c r="DA1114" i="115" s="1"/>
  <c r="DB1042" i="115"/>
  <c r="DB1041" i="115"/>
  <c r="DB1085" i="115" s="1"/>
  <c r="DB1040" i="115"/>
  <c r="DB1036" i="115"/>
  <c r="DB38" i="115" s="1"/>
  <c r="DB1035" i="115"/>
  <c r="DB1034" i="115"/>
  <c r="DB1033" i="115"/>
  <c r="DB1032" i="115"/>
  <c r="DA1031" i="115"/>
  <c r="DB1031" i="115" s="1"/>
  <c r="DB1027" i="115"/>
  <c r="DA1024" i="115"/>
  <c r="DA40" i="115" s="1"/>
  <c r="DB1023" i="115"/>
  <c r="DB1022" i="115"/>
  <c r="DB1021" i="115"/>
  <c r="DB1020" i="115"/>
  <c r="DB1019" i="115"/>
  <c r="DB1018" i="115"/>
  <c r="DB1017" i="115"/>
  <c r="DB1016" i="115"/>
  <c r="DA1004" i="115"/>
  <c r="DB1003" i="115"/>
  <c r="DB597" i="115" s="1"/>
  <c r="DA998" i="115"/>
  <c r="DA990" i="115"/>
  <c r="DA966" i="115"/>
  <c r="DB964" i="115"/>
  <c r="DA961" i="115"/>
  <c r="DA949" i="115"/>
  <c r="DA948" i="115"/>
  <c r="DA947" i="115"/>
  <c r="DA946" i="115"/>
  <c r="DA945" i="115"/>
  <c r="DA943" i="115"/>
  <c r="DA929" i="115"/>
  <c r="DD933" i="115" s="1"/>
  <c r="DB923" i="115"/>
  <c r="DB883" i="115" s="1"/>
  <c r="DB911" i="115"/>
  <c r="DA910" i="115"/>
  <c r="DA909" i="115"/>
  <c r="DB908" i="115"/>
  <c r="DB886" i="115"/>
  <c r="DB884" i="115"/>
  <c r="DA883" i="115"/>
  <c r="DA880" i="115"/>
  <c r="DB878" i="115"/>
  <c r="DA876" i="115"/>
  <c r="DB874" i="115"/>
  <c r="DB873" i="115"/>
  <c r="DB872" i="115"/>
  <c r="DA866" i="115"/>
  <c r="DA865" i="115"/>
  <c r="DA917" i="115" s="1"/>
  <c r="DA864" i="115"/>
  <c r="DA907" i="115" s="1"/>
  <c r="DA842" i="115"/>
  <c r="DA841" i="115"/>
  <c r="DA840" i="115"/>
  <c r="DA792" i="115"/>
  <c r="DD798" i="115" s="1"/>
  <c r="DB791" i="115"/>
  <c r="DA790" i="115"/>
  <c r="DA789" i="115"/>
  <c r="DA788" i="115"/>
  <c r="DA773" i="115"/>
  <c r="DA772" i="115"/>
  <c r="DB771" i="115"/>
  <c r="DB743" i="115"/>
  <c r="DB742" i="115"/>
  <c r="DB741" i="115"/>
  <c r="DB724" i="115"/>
  <c r="DA715" i="115"/>
  <c r="DA712" i="115"/>
  <c r="DA710" i="115"/>
  <c r="DB708" i="115"/>
  <c r="DF715" i="115" s="1"/>
  <c r="DA707" i="115"/>
  <c r="DB706" i="115"/>
  <c r="DB705" i="115"/>
  <c r="DB704" i="115"/>
  <c r="DB703" i="115"/>
  <c r="DA697" i="115"/>
  <c r="DB693" i="115"/>
  <c r="DB685" i="115"/>
  <c r="DB684" i="115"/>
  <c r="DB683" i="115"/>
  <c r="DB682" i="115"/>
  <c r="DB681" i="115"/>
  <c r="DB680" i="115"/>
  <c r="DB675" i="115"/>
  <c r="DA664" i="115"/>
  <c r="DD670" i="115" s="1"/>
  <c r="DA663" i="115"/>
  <c r="DA662" i="115"/>
  <c r="DB654" i="115"/>
  <c r="DA654" i="115"/>
  <c r="DB647" i="115"/>
  <c r="DA642" i="115"/>
  <c r="DB641" i="115"/>
  <c r="DA641" i="115"/>
  <c r="DA639" i="115"/>
  <c r="DB638" i="115"/>
  <c r="DB637" i="115"/>
  <c r="DB636" i="115"/>
  <c r="DB605" i="115"/>
  <c r="DA605" i="115"/>
  <c r="DD763" i="115" s="1"/>
  <c r="DB601" i="115"/>
  <c r="DB600" i="115"/>
  <c r="DB599" i="115"/>
  <c r="DA598" i="115"/>
  <c r="DA597" i="115"/>
  <c r="DB594" i="115"/>
  <c r="DB588" i="115"/>
  <c r="DB587" i="115"/>
  <c r="DB586" i="115"/>
  <c r="DB585" i="115"/>
  <c r="DA584" i="115"/>
  <c r="DB579" i="115"/>
  <c r="DB578" i="115"/>
  <c r="DB577" i="115"/>
  <c r="DB572" i="115"/>
  <c r="DB548" i="115"/>
  <c r="DA546" i="115"/>
  <c r="DA544" i="115"/>
  <c r="DA543" i="115"/>
  <c r="DA542" i="115"/>
  <c r="DB532" i="115"/>
  <c r="DB530" i="115"/>
  <c r="DB523" i="115" s="1"/>
  <c r="DA525" i="115"/>
  <c r="DA999" i="115" s="1"/>
  <c r="DA523" i="115"/>
  <c r="DA66" i="115" s="1"/>
  <c r="DB512" i="115"/>
  <c r="DA512" i="115"/>
  <c r="DA509" i="115"/>
  <c r="DD510" i="115" s="1"/>
  <c r="DD511" i="115" s="1"/>
  <c r="DA505" i="115"/>
  <c r="DD506" i="115" s="1"/>
  <c r="DD507" i="115" s="1"/>
  <c r="DB495" i="115"/>
  <c r="DA495" i="115"/>
  <c r="DD496" i="115" s="1"/>
  <c r="DE499" i="115" s="1"/>
  <c r="DB487" i="115"/>
  <c r="DA487" i="115"/>
  <c r="DB486" i="115"/>
  <c r="DA486" i="115"/>
  <c r="DB483" i="115"/>
  <c r="DA483" i="115"/>
  <c r="DA481" i="115"/>
  <c r="DA479" i="115"/>
  <c r="DB476" i="115"/>
  <c r="DA476" i="115"/>
  <c r="DB473" i="115"/>
  <c r="DA473" i="115"/>
  <c r="DA472" i="115"/>
  <c r="DA1517" i="115" s="1"/>
  <c r="DA1519" i="115" s="1"/>
  <c r="DB471" i="115"/>
  <c r="DB472" i="115" s="1"/>
  <c r="DB464" i="115"/>
  <c r="DB489" i="115" s="1"/>
  <c r="DA464" i="115"/>
  <c r="DA488" i="115" s="1"/>
  <c r="DC463" i="115"/>
  <c r="DB462" i="115"/>
  <c r="DA462" i="115"/>
  <c r="DC461" i="115"/>
  <c r="DA448" i="115"/>
  <c r="DA444" i="115"/>
  <c r="DA443" i="115"/>
  <c r="DA440" i="115"/>
  <c r="DB426" i="115"/>
  <c r="DB425" i="115"/>
  <c r="DB412" i="115"/>
  <c r="DB411" i="115"/>
  <c r="DB410" i="115"/>
  <c r="DB423" i="115" s="1"/>
  <c r="DA400" i="115"/>
  <c r="DA392" i="115"/>
  <c r="DA380" i="115"/>
  <c r="DA382" i="115" s="1"/>
  <c r="DB378" i="115"/>
  <c r="DB376" i="115"/>
  <c r="DB444" i="115" s="1"/>
  <c r="DB375" i="115"/>
  <c r="DB443" i="115" s="1"/>
  <c r="DB374" i="115"/>
  <c r="DB370" i="115"/>
  <c r="DB368" i="115"/>
  <c r="DB1115" i="115" s="1"/>
  <c r="AG92" i="111" s="1"/>
  <c r="DB367" i="115"/>
  <c r="DB392" i="115" s="1"/>
  <c r="DA365" i="115"/>
  <c r="DB365" i="115" s="1"/>
  <c r="DA351" i="115"/>
  <c r="DD359" i="115" s="1"/>
  <c r="DA350" i="115"/>
  <c r="DA349" i="115"/>
  <c r="DD357" i="115" s="1"/>
  <c r="DA348" i="115"/>
  <c r="DD356" i="115" s="1"/>
  <c r="DA331" i="115"/>
  <c r="DA329" i="115"/>
  <c r="DA328" i="115"/>
  <c r="DA327" i="115"/>
  <c r="DA325" i="115"/>
  <c r="DB324" i="115"/>
  <c r="DB323" i="115"/>
  <c r="DB322" i="115"/>
  <c r="DB321" i="115"/>
  <c r="DA304" i="115"/>
  <c r="DA302" i="115"/>
  <c r="DA301" i="115"/>
  <c r="DA300" i="115"/>
  <c r="DA298" i="115"/>
  <c r="DB297" i="115"/>
  <c r="DB296" i="115"/>
  <c r="DB295" i="115"/>
  <c r="DB294" i="115"/>
  <c r="DA290" i="115"/>
  <c r="DA289" i="115"/>
  <c r="DA288" i="115"/>
  <c r="DA287" i="115"/>
  <c r="DA284" i="115"/>
  <c r="DD291" i="115" s="1"/>
  <c r="DB283" i="115"/>
  <c r="DB282" i="115"/>
  <c r="DB281" i="115"/>
  <c r="DB280" i="115"/>
  <c r="DA272" i="115"/>
  <c r="DA257" i="115"/>
  <c r="DA256" i="115"/>
  <c r="DA254" i="115"/>
  <c r="DB252" i="115"/>
  <c r="DF247" i="115" s="1"/>
  <c r="DA271" i="115"/>
  <c r="DA247" i="115"/>
  <c r="DB244" i="115"/>
  <c r="DA241" i="115"/>
  <c r="DA243" i="115" s="1"/>
  <c r="DA235" i="115" s="1"/>
  <c r="DA236" i="115"/>
  <c r="DA219" i="115"/>
  <c r="DB218" i="115"/>
  <c r="DF271" i="115" s="1"/>
  <c r="DB217" i="115"/>
  <c r="DB215" i="115"/>
  <c r="DA169" i="115"/>
  <c r="DA167" i="115"/>
  <c r="DA164" i="115"/>
  <c r="DB157" i="115"/>
  <c r="DB254" i="115" s="1"/>
  <c r="DB155" i="115"/>
  <c r="DB153" i="115"/>
  <c r="DB152" i="115"/>
  <c r="DB1322" i="115" s="1"/>
  <c r="DB1324" i="115" s="1"/>
  <c r="DA151" i="115"/>
  <c r="DD163" i="115" s="1"/>
  <c r="DA149" i="115"/>
  <c r="DD161" i="115" s="1"/>
  <c r="DA138" i="115"/>
  <c r="DA140" i="115" s="1"/>
  <c r="DD144" i="115" s="1"/>
  <c r="DA137" i="115"/>
  <c r="DA135" i="115"/>
  <c r="DB133" i="115"/>
  <c r="DA132" i="115"/>
  <c r="DD136" i="115" s="1"/>
  <c r="DB131" i="115"/>
  <c r="DA116" i="115"/>
  <c r="DA118" i="115" s="1"/>
  <c r="DD122" i="115" s="1"/>
  <c r="DD127" i="115" s="1"/>
  <c r="DA115" i="115"/>
  <c r="DA113" i="115"/>
  <c r="DB111" i="115"/>
  <c r="DA110" i="115"/>
  <c r="DD114" i="115" s="1"/>
  <c r="DB109" i="115"/>
  <c r="DA104" i="115"/>
  <c r="DA103" i="115"/>
  <c r="DB99" i="115"/>
  <c r="DB98" i="115"/>
  <c r="DA93" i="115"/>
  <c r="DA91" i="115"/>
  <c r="DA96" i="115" s="1"/>
  <c r="DB89" i="115"/>
  <c r="DA88" i="115"/>
  <c r="DD92" i="115" s="1"/>
  <c r="DB87" i="115"/>
  <c r="DB79" i="115"/>
  <c r="DB138" i="115" s="1"/>
  <c r="DB77" i="115"/>
  <c r="DB116" i="115" s="1"/>
  <c r="DA59" i="115"/>
  <c r="DA57" i="115"/>
  <c r="DA48" i="115"/>
  <c r="DB44" i="115"/>
  <c r="AN39" i="123" s="1"/>
  <c r="DA38" i="115"/>
  <c r="DA36" i="115"/>
  <c r="DB35" i="115"/>
  <c r="DB33" i="115"/>
  <c r="DF57" i="115" s="1"/>
  <c r="DA31" i="115"/>
  <c r="DA843" i="115"/>
  <c r="DA952" i="115" s="1"/>
  <c r="DB29" i="115"/>
  <c r="DB28" i="115"/>
  <c r="DB27" i="115"/>
  <c r="DA25" i="115"/>
  <c r="DE53" i="115" s="1"/>
  <c r="DB24" i="115"/>
  <c r="DB23" i="115"/>
  <c r="DB21" i="115"/>
  <c r="DB17" i="115"/>
  <c r="DB664" i="115" s="1"/>
  <c r="DB16" i="115"/>
  <c r="DB663" i="115" s="1"/>
  <c r="DB15" i="115"/>
  <c r="DB662" i="115" s="1"/>
  <c r="DB14" i="115"/>
  <c r="DF48" i="115" s="1"/>
  <c r="DA13" i="115"/>
  <c r="DA12" i="115" s="1"/>
  <c r="CZ13" i="115"/>
  <c r="CZ12" i="115" s="1"/>
  <c r="CZ18" i="115"/>
  <c r="CZ19" i="115" s="1"/>
  <c r="CZ22" i="115"/>
  <c r="CZ25" i="115" s="1"/>
  <c r="DD53" i="115" s="1"/>
  <c r="CZ30" i="115"/>
  <c r="CZ31" i="115" s="1"/>
  <c r="DD55" i="115" s="1"/>
  <c r="CZ36" i="115"/>
  <c r="CZ38" i="115"/>
  <c r="CZ48" i="115"/>
  <c r="CZ57" i="115"/>
  <c r="CZ59" i="115"/>
  <c r="CZ88" i="115"/>
  <c r="CZ101" i="115" s="1"/>
  <c r="CZ91" i="115"/>
  <c r="CZ93" i="115"/>
  <c r="CZ95" i="115"/>
  <c r="DB95" i="115" s="1"/>
  <c r="CZ103" i="115"/>
  <c r="CZ104" i="115"/>
  <c r="CZ110" i="115"/>
  <c r="CZ113" i="115"/>
  <c r="CZ115" i="115"/>
  <c r="CZ116" i="115"/>
  <c r="CZ118" i="115" s="1"/>
  <c r="CZ132" i="115"/>
  <c r="CZ135" i="115"/>
  <c r="CZ137" i="115"/>
  <c r="CZ138" i="115"/>
  <c r="CZ140" i="115" s="1"/>
  <c r="CZ149" i="115"/>
  <c r="CZ172" i="115" s="1"/>
  <c r="CZ151" i="115"/>
  <c r="CZ154" i="115" s="1"/>
  <c r="CZ164" i="115"/>
  <c r="CZ167" i="115"/>
  <c r="CZ169" i="115"/>
  <c r="CZ219" i="115"/>
  <c r="CZ236" i="115"/>
  <c r="CZ241" i="115"/>
  <c r="CZ242" i="115"/>
  <c r="CZ247" i="115"/>
  <c r="CZ254" i="115"/>
  <c r="CZ256" i="115"/>
  <c r="CZ257" i="115"/>
  <c r="CZ266" i="115"/>
  <c r="CZ271" i="115"/>
  <c r="CZ272" i="115"/>
  <c r="CZ284" i="115"/>
  <c r="CZ287" i="115"/>
  <c r="CZ288" i="115"/>
  <c r="CZ289" i="115"/>
  <c r="CZ290" i="115"/>
  <c r="CZ298" i="115"/>
  <c r="CZ300" i="115"/>
  <c r="CZ301" i="115"/>
  <c r="CZ302" i="115"/>
  <c r="CZ303" i="115"/>
  <c r="CZ304" i="115"/>
  <c r="CZ308" i="115" s="1"/>
  <c r="CZ325" i="115"/>
  <c r="CZ327" i="115"/>
  <c r="CZ328" i="115"/>
  <c r="CZ329" i="115"/>
  <c r="CZ330" i="115"/>
  <c r="CZ331" i="115"/>
  <c r="CZ334" i="115" s="1"/>
  <c r="CZ348" i="115"/>
  <c r="CZ349" i="115"/>
  <c r="CZ350" i="115"/>
  <c r="CZ351" i="115"/>
  <c r="CZ365" i="115"/>
  <c r="CZ380" i="115"/>
  <c r="CZ382" i="115" s="1"/>
  <c r="CZ392" i="115"/>
  <c r="CZ400" i="115"/>
  <c r="CZ403" i="115"/>
  <c r="DA403" i="115" s="1"/>
  <c r="CZ405" i="115"/>
  <c r="CZ425" i="115"/>
  <c r="CZ427" i="115" s="1"/>
  <c r="CZ897" i="115" s="1"/>
  <c r="CZ443" i="115"/>
  <c r="CZ444" i="115"/>
  <c r="CZ462" i="115"/>
  <c r="CZ646" i="115" s="1"/>
  <c r="CZ464" i="115"/>
  <c r="CZ489" i="115" s="1"/>
  <c r="CZ472" i="115"/>
  <c r="CZ473" i="115"/>
  <c r="CZ476" i="115"/>
  <c r="CZ479" i="115"/>
  <c r="CZ481" i="115"/>
  <c r="CZ483" i="115"/>
  <c r="CZ486" i="115"/>
  <c r="CZ487" i="115"/>
  <c r="CZ495" i="115"/>
  <c r="CZ505" i="115"/>
  <c r="CZ509" i="115"/>
  <c r="CZ512" i="115"/>
  <c r="CZ523" i="115"/>
  <c r="CZ66" i="115" s="1"/>
  <c r="CZ525" i="115"/>
  <c r="CZ69" i="115" s="1"/>
  <c r="CZ542" i="115"/>
  <c r="CZ543" i="115"/>
  <c r="CZ544" i="115"/>
  <c r="CZ546" i="115"/>
  <c r="CZ576" i="115"/>
  <c r="CZ580" i="115"/>
  <c r="CZ584" i="115"/>
  <c r="CZ589" i="115" s="1"/>
  <c r="CZ597" i="115"/>
  <c r="CZ598" i="115"/>
  <c r="CZ605" i="115"/>
  <c r="CZ757" i="115" s="1"/>
  <c r="CZ639" i="115"/>
  <c r="CZ641" i="115"/>
  <c r="CZ642" i="115"/>
  <c r="CZ654" i="115"/>
  <c r="CZ662" i="115"/>
  <c r="CZ674" i="115" s="1"/>
  <c r="CZ676" i="115" s="1"/>
  <c r="CZ663" i="115"/>
  <c r="CZ664" i="115"/>
  <c r="CZ687" i="115" s="1"/>
  <c r="CZ697" i="115"/>
  <c r="CZ707" i="115"/>
  <c r="CZ710" i="115"/>
  <c r="CZ715" i="115"/>
  <c r="CZ772" i="115"/>
  <c r="CZ773" i="115"/>
  <c r="CZ788" i="115"/>
  <c r="CZ790" i="115"/>
  <c r="CZ792" i="115"/>
  <c r="CZ840" i="115"/>
  <c r="CZ905" i="115" s="1"/>
  <c r="CZ841" i="115"/>
  <c r="CZ916" i="115" s="1"/>
  <c r="CZ842" i="115"/>
  <c r="CZ925" i="115" s="1"/>
  <c r="DD927" i="115" s="1"/>
  <c r="CZ864" i="115"/>
  <c r="CZ865" i="115"/>
  <c r="CZ917" i="115" s="1"/>
  <c r="CZ866" i="115"/>
  <c r="CZ876" i="115"/>
  <c r="CZ880" i="115"/>
  <c r="CZ879" i="115" s="1"/>
  <c r="CZ883" i="115"/>
  <c r="CZ892" i="115" s="1"/>
  <c r="CZ868" i="115" s="1"/>
  <c r="CZ909" i="115"/>
  <c r="CZ910" i="115"/>
  <c r="CZ929" i="115"/>
  <c r="CZ943" i="115"/>
  <c r="CZ945" i="115"/>
  <c r="CZ946" i="115"/>
  <c r="CZ947" i="115"/>
  <c r="CZ948" i="115"/>
  <c r="CZ949" i="115"/>
  <c r="CZ961" i="115"/>
  <c r="CZ969" i="115" s="1"/>
  <c r="CZ966" i="115"/>
  <c r="DA963" i="115" s="1"/>
  <c r="CZ990" i="115"/>
  <c r="CZ998" i="115"/>
  <c r="CZ1004" i="115"/>
  <c r="CZ1024" i="115"/>
  <c r="CZ40" i="115" s="1"/>
  <c r="CZ1030" i="115"/>
  <c r="CZ1043" i="115"/>
  <c r="CZ445" i="115" s="1"/>
  <c r="CZ1060" i="115"/>
  <c r="CZ1065" i="115"/>
  <c r="DA1058" i="115" s="1"/>
  <c r="CZ1078" i="115"/>
  <c r="DA1068" i="115" s="1"/>
  <c r="CZ1085" i="115"/>
  <c r="DA1081" i="115" s="1"/>
  <c r="CZ1090" i="115"/>
  <c r="DA1088" i="115" s="1"/>
  <c r="CZ1095" i="115"/>
  <c r="CZ1109" i="115"/>
  <c r="CZ1111" i="115"/>
  <c r="CZ1112" i="115" s="1"/>
  <c r="CZ1115" i="115"/>
  <c r="CZ1127" i="115"/>
  <c r="CZ1128" i="115"/>
  <c r="CZ1131" i="115"/>
  <c r="CZ1132" i="115" s="1"/>
  <c r="CZ1163" i="115"/>
  <c r="CZ1166" i="115" s="1"/>
  <c r="DN1608" i="115"/>
  <c r="DN1607" i="115"/>
  <c r="DN1605" i="115"/>
  <c r="DM1598" i="115"/>
  <c r="DL1598" i="115"/>
  <c r="DM1597" i="115"/>
  <c r="DL1597" i="115"/>
  <c r="DM1596" i="115"/>
  <c r="DL1596" i="115"/>
  <c r="DM1595" i="115"/>
  <c r="DL1595" i="115"/>
  <c r="DM1594" i="115"/>
  <c r="DL1594" i="115"/>
  <c r="DM1593" i="115"/>
  <c r="DL1593" i="115"/>
  <c r="DM1592" i="115"/>
  <c r="DL1592" i="115"/>
  <c r="DM1580" i="115"/>
  <c r="DM1554" i="115" s="1"/>
  <c r="DL1580" i="115"/>
  <c r="DL1554" i="115" s="1"/>
  <c r="DN1579" i="115"/>
  <c r="DN1578" i="115"/>
  <c r="DN1577" i="115"/>
  <c r="DN1576" i="115"/>
  <c r="DN1575" i="115"/>
  <c r="DN1574" i="115"/>
  <c r="DN1573" i="115"/>
  <c r="DM1389" i="115"/>
  <c r="DN1389" i="115" s="1"/>
  <c r="DN1349" i="115"/>
  <c r="DM1348" i="115"/>
  <c r="DL1348" i="115"/>
  <c r="DN1333" i="115"/>
  <c r="DN1229" i="115"/>
  <c r="DN1094" i="115"/>
  <c r="DN1089" i="115"/>
  <c r="DN1084" i="115"/>
  <c r="DN1083" i="115"/>
  <c r="DN1082" i="115"/>
  <c r="DM1074" i="115"/>
  <c r="DL1074" i="115"/>
  <c r="DN1071" i="115"/>
  <c r="DN1070" i="115"/>
  <c r="DN1069" i="115"/>
  <c r="DN1063" i="115"/>
  <c r="DN1035" i="115"/>
  <c r="DN1034" i="115"/>
  <c r="DN1033" i="115"/>
  <c r="DN1032" i="115"/>
  <c r="DM1031" i="115"/>
  <c r="DL1031" i="115"/>
  <c r="DL1036" i="115" s="1"/>
  <c r="DN1030" i="115"/>
  <c r="DM1024" i="115"/>
  <c r="DM40" i="115" s="1"/>
  <c r="DL1024" i="115"/>
  <c r="DN1023" i="115"/>
  <c r="DN1022" i="115"/>
  <c r="DN1021" i="115"/>
  <c r="DN1020" i="115"/>
  <c r="DN1019" i="115"/>
  <c r="DN1018" i="115"/>
  <c r="DN1017" i="115"/>
  <c r="DN1016" i="115"/>
  <c r="DN964" i="115"/>
  <c r="DM949" i="115"/>
  <c r="DL949" i="115"/>
  <c r="DM948" i="115"/>
  <c r="DL948" i="115"/>
  <c r="DM947" i="115"/>
  <c r="DL947" i="115"/>
  <c r="DM946" i="115"/>
  <c r="DL946" i="115"/>
  <c r="DM945" i="115"/>
  <c r="DL945" i="115"/>
  <c r="DM944" i="115"/>
  <c r="DL944" i="115"/>
  <c r="DM943" i="115"/>
  <c r="DL943" i="115"/>
  <c r="DM942" i="115"/>
  <c r="DL942" i="115"/>
  <c r="DM924" i="115"/>
  <c r="DL924" i="115"/>
  <c r="DN923" i="115"/>
  <c r="DN883" i="115" s="1"/>
  <c r="DM907" i="115"/>
  <c r="DL907" i="115"/>
  <c r="DN891" i="115"/>
  <c r="DN890" i="115"/>
  <c r="DN889" i="115"/>
  <c r="DN888" i="115"/>
  <c r="DN887" i="115"/>
  <c r="DN885" i="115"/>
  <c r="DM883" i="115"/>
  <c r="DL883" i="115"/>
  <c r="DL1604" i="115" s="1"/>
  <c r="DM880" i="115"/>
  <c r="DM886" i="115" s="1"/>
  <c r="DL880" i="115"/>
  <c r="DN879" i="115"/>
  <c r="DN878" i="115"/>
  <c r="DM876" i="115"/>
  <c r="DM884" i="115" s="1"/>
  <c r="DL876" i="115"/>
  <c r="DL884" i="115" s="1"/>
  <c r="DN875" i="115"/>
  <c r="DN874" i="115"/>
  <c r="DN873" i="115"/>
  <c r="DN872" i="115"/>
  <c r="DM866" i="115"/>
  <c r="DL866" i="115"/>
  <c r="DM865" i="115"/>
  <c r="DM917" i="115" s="1"/>
  <c r="DL865" i="115"/>
  <c r="DM864" i="115"/>
  <c r="DL864" i="115"/>
  <c r="DN791" i="115"/>
  <c r="DN790" i="115"/>
  <c r="DN789" i="115"/>
  <c r="DN788" i="115"/>
  <c r="DN743" i="115"/>
  <c r="DN742" i="115"/>
  <c r="DN741" i="115"/>
  <c r="DN727" i="115"/>
  <c r="DN724" i="115"/>
  <c r="DM710" i="115"/>
  <c r="DL710" i="115"/>
  <c r="DN686" i="115"/>
  <c r="DN685" i="115"/>
  <c r="DN684" i="115"/>
  <c r="DN683" i="115"/>
  <c r="DN682" i="115"/>
  <c r="DM636" i="115"/>
  <c r="DN601" i="115"/>
  <c r="DN600" i="115"/>
  <c r="DN599" i="115"/>
  <c r="DM580" i="115"/>
  <c r="DL580" i="115"/>
  <c r="DN579" i="115"/>
  <c r="DN578" i="115"/>
  <c r="DN577" i="115"/>
  <c r="DM576" i="115"/>
  <c r="DL576" i="115"/>
  <c r="DM544" i="115"/>
  <c r="DL544" i="115"/>
  <c r="DM543" i="115"/>
  <c r="DL543" i="115"/>
  <c r="DM542" i="115"/>
  <c r="DL542" i="115"/>
  <c r="DN530" i="115"/>
  <c r="DN523" i="115" s="1"/>
  <c r="DM523" i="115"/>
  <c r="DL523" i="115"/>
  <c r="DM419" i="115"/>
  <c r="DL419" i="115"/>
  <c r="DN418" i="115"/>
  <c r="DN412" i="115"/>
  <c r="DN403" i="115"/>
  <c r="DN248" i="115"/>
  <c r="DN242" i="115"/>
  <c r="DM96" i="115"/>
  <c r="DL96" i="115"/>
  <c r="DM23" i="115"/>
  <c r="DL23" i="115"/>
  <c r="DM22" i="115"/>
  <c r="DL22" i="115"/>
  <c r="DM21" i="115"/>
  <c r="DL21" i="115"/>
  <c r="DB617" i="115" l="1"/>
  <c r="DB757" i="115"/>
  <c r="DB756" i="115" s="1"/>
  <c r="DF1334" i="115"/>
  <c r="DF1336" i="115" s="1"/>
  <c r="DF1058" i="115"/>
  <c r="DF1081" i="115"/>
  <c r="DD1084" i="115"/>
  <c r="DF1084" i="115" s="1"/>
  <c r="DF1088" i="115"/>
  <c r="DD1089" i="115"/>
  <c r="DF1089" i="115" s="1"/>
  <c r="DB1487" i="115"/>
  <c r="DE1489" i="115"/>
  <c r="DD956" i="115"/>
  <c r="DE957" i="115"/>
  <c r="DB1340" i="115"/>
  <c r="DB1341" i="115" s="1"/>
  <c r="DB1343" i="115" s="1"/>
  <c r="DF241" i="115"/>
  <c r="DF243" i="115" s="1"/>
  <c r="DF1093" i="115"/>
  <c r="DD1094" i="115"/>
  <c r="DF1094" i="115" s="1"/>
  <c r="AG36" i="111"/>
  <c r="DF1530" i="115"/>
  <c r="DE55" i="115"/>
  <c r="DA709" i="115"/>
  <c r="DE716" i="115" s="1"/>
  <c r="DE714" i="115"/>
  <c r="DD1359" i="115"/>
  <c r="DF1357" i="115"/>
  <c r="DF1359" i="115" s="1"/>
  <c r="DF59" i="115"/>
  <c r="DF250" i="115"/>
  <c r="DE250" i="115" s="1"/>
  <c r="DF697" i="115"/>
  <c r="DD1073" i="115"/>
  <c r="DD1077" i="115" s="1"/>
  <c r="DF1077" i="115" s="1"/>
  <c r="AH89" i="111" s="1"/>
  <c r="DF1068" i="115"/>
  <c r="DF1073" i="115" s="1"/>
  <c r="DG87" i="115"/>
  <c r="DD1352" i="115"/>
  <c r="DF1350" i="115"/>
  <c r="DF1352" i="115" s="1"/>
  <c r="DM637" i="115"/>
  <c r="DP637" i="115"/>
  <c r="DD758" i="115"/>
  <c r="CZ756" i="115"/>
  <c r="DA1512" i="115"/>
  <c r="CZ666" i="115"/>
  <c r="DD49" i="115"/>
  <c r="CZ709" i="115"/>
  <c r="DD716" i="115" s="1"/>
  <c r="DD714" i="115"/>
  <c r="DA692" i="115"/>
  <c r="DD669" i="115"/>
  <c r="DA1311" i="115"/>
  <c r="DA1312" i="115" s="1"/>
  <c r="DA485" i="115"/>
  <c r="DD480" i="115"/>
  <c r="DB350" i="115"/>
  <c r="DD358" i="115"/>
  <c r="DA674" i="115"/>
  <c r="DB674" i="115" s="1"/>
  <c r="DD668" i="115"/>
  <c r="DA1089" i="115"/>
  <c r="DB864" i="115"/>
  <c r="DA933" i="115"/>
  <c r="DB576" i="115"/>
  <c r="DN1031" i="115"/>
  <c r="CZ310" i="115"/>
  <c r="DB544" i="115"/>
  <c r="CZ665" i="115"/>
  <c r="CZ740" i="115" s="1"/>
  <c r="CZ744" i="115" s="1"/>
  <c r="DD746" i="115" s="1"/>
  <c r="CZ581" i="115"/>
  <c r="CZ520" i="115" s="1"/>
  <c r="DN1594" i="115"/>
  <c r="DN1596" i="115"/>
  <c r="DN1598" i="115"/>
  <c r="CZ485" i="115"/>
  <c r="CZ307" i="115"/>
  <c r="CZ484" i="115"/>
  <c r="CZ309" i="115"/>
  <c r="CZ311" i="115"/>
  <c r="CZ312" i="115" s="1"/>
  <c r="DM546" i="115"/>
  <c r="DN576" i="115"/>
  <c r="CZ789" i="115"/>
  <c r="CZ793" i="115" s="1"/>
  <c r="CZ907" i="115"/>
  <c r="DB907" i="115" s="1"/>
  <c r="CZ843" i="115"/>
  <c r="CZ952" i="115" s="1"/>
  <c r="CZ488" i="115"/>
  <c r="DA851" i="115"/>
  <c r="DA906" i="115" s="1"/>
  <c r="DN944" i="115"/>
  <c r="DN1074" i="115"/>
  <c r="CH129" i="117"/>
  <c r="DL410" i="115"/>
  <c r="DN542" i="115"/>
  <c r="DB542" i="115"/>
  <c r="DM581" i="115"/>
  <c r="DM520" i="115" s="1"/>
  <c r="CZ1133" i="115"/>
  <c r="CZ1134" i="115" s="1"/>
  <c r="CZ999" i="115"/>
  <c r="CZ1000" i="115" s="1"/>
  <c r="CZ852" i="115"/>
  <c r="CZ918" i="115" s="1"/>
  <c r="DD920" i="115" s="1"/>
  <c r="CZ970" i="115"/>
  <c r="CZ971" i="115" s="1"/>
  <c r="DA114" i="115"/>
  <c r="DA122" i="115"/>
  <c r="DA127" i="115" s="1"/>
  <c r="DA234" i="115"/>
  <c r="DA303" i="115"/>
  <c r="DB546" i="115"/>
  <c r="CZ225" i="115"/>
  <c r="DM545" i="115"/>
  <c r="DN580" i="115"/>
  <c r="DN948" i="115"/>
  <c r="CZ260" i="115"/>
  <c r="CZ96" i="115"/>
  <c r="DA510" i="115"/>
  <c r="DA511" i="115" s="1"/>
  <c r="DB40" i="115"/>
  <c r="DN1595" i="115"/>
  <c r="DB710" i="115"/>
  <c r="CH41" i="117"/>
  <c r="DL38" i="115"/>
  <c r="CZ275" i="115"/>
  <c r="CZ223" i="115"/>
  <c r="CZ491" i="115"/>
  <c r="CZ224" i="115"/>
  <c r="CZ274" i="115"/>
  <c r="CZ364" i="115"/>
  <c r="CZ1150" i="115" s="1"/>
  <c r="CZ973" i="115"/>
  <c r="CZ980" i="115" s="1"/>
  <c r="CZ156" i="115"/>
  <c r="CH135" i="117"/>
  <c r="DL40" i="115"/>
  <c r="DN21" i="115"/>
  <c r="DN23" i="115"/>
  <c r="CG27" i="117"/>
  <c r="CG41" i="117"/>
  <c r="CG174" i="117"/>
  <c r="DN544" i="115"/>
  <c r="CG134" i="117"/>
  <c r="DN945" i="115"/>
  <c r="CG148" i="117"/>
  <c r="DN949" i="115"/>
  <c r="DL1149" i="115"/>
  <c r="FE77" i="117"/>
  <c r="DN1024" i="115"/>
  <c r="CZ963" i="115"/>
  <c r="DB963" i="115" s="1"/>
  <c r="CZ617" i="115"/>
  <c r="CZ765" i="115" s="1"/>
  <c r="CZ243" i="115"/>
  <c r="CZ235" i="115" s="1"/>
  <c r="CZ234" i="115" s="1"/>
  <c r="CZ142" i="115"/>
  <c r="DA136" i="115"/>
  <c r="DA144" i="115"/>
  <c r="DA445" i="115"/>
  <c r="DB445" i="115" s="1"/>
  <c r="DA763" i="115"/>
  <c r="DB642" i="115"/>
  <c r="DB841" i="115"/>
  <c r="DB945" i="115"/>
  <c r="DB887" i="115" s="1"/>
  <c r="DB949" i="115"/>
  <c r="DB891" i="115" s="1"/>
  <c r="DA1030" i="115"/>
  <c r="DB1030" i="115" s="1"/>
  <c r="DA1093" i="115"/>
  <c r="DA1094" i="115" s="1"/>
  <c r="DB1471" i="115"/>
  <c r="CF150" i="117"/>
  <c r="CZ20" i="115"/>
  <c r="DN710" i="115"/>
  <c r="DN864" i="115"/>
  <c r="CH151" i="117"/>
  <c r="CH105" i="117" s="1"/>
  <c r="DN946" i="115"/>
  <c r="DM1149" i="115"/>
  <c r="FF77" i="117"/>
  <c r="CH183" i="117"/>
  <c r="CZ780" i="115"/>
  <c r="DD781" i="115" s="1"/>
  <c r="CZ335" i="115"/>
  <c r="CZ255" i="115"/>
  <c r="CZ262" i="115" s="1"/>
  <c r="CZ150" i="115"/>
  <c r="DB22" i="115"/>
  <c r="DB25" i="115" s="1"/>
  <c r="DF53" i="115" s="1"/>
  <c r="DB30" i="115"/>
  <c r="DB31" i="115" s="1"/>
  <c r="DA70" i="115"/>
  <c r="AN137" i="123"/>
  <c r="AN84" i="123"/>
  <c r="DA291" i="115"/>
  <c r="DA506" i="115"/>
  <c r="DA507" i="115" s="1"/>
  <c r="DB584" i="115"/>
  <c r="DB589" i="115" s="1"/>
  <c r="DB792" i="115"/>
  <c r="DB929" i="115"/>
  <c r="DB946" i="115"/>
  <c r="DB888" i="115" s="1"/>
  <c r="DB947" i="115"/>
  <c r="DB889" i="115" s="1"/>
  <c r="DB990" i="115"/>
  <c r="DN22" i="115"/>
  <c r="CF41" i="117"/>
  <c r="CF174" i="117"/>
  <c r="DL581" i="115"/>
  <c r="DL520" i="115" s="1"/>
  <c r="CF134" i="117"/>
  <c r="CF191" i="117" s="1"/>
  <c r="DN907" i="115"/>
  <c r="DN943" i="115"/>
  <c r="CG150" i="117"/>
  <c r="CG194" i="117" s="1"/>
  <c r="CG104" i="117" s="1"/>
  <c r="CF148" i="117"/>
  <c r="DN1348" i="115"/>
  <c r="DN1580" i="115"/>
  <c r="DN1554" i="115" s="1"/>
  <c r="DN1597" i="115"/>
  <c r="CZ70" i="115"/>
  <c r="DB13" i="115"/>
  <c r="DB12" i="115" s="1"/>
  <c r="DB236" i="115"/>
  <c r="DA330" i="115"/>
  <c r="DB790" i="115"/>
  <c r="DB840" i="115"/>
  <c r="DB917" i="115"/>
  <c r="DA892" i="115"/>
  <c r="DA868" i="115" s="1"/>
  <c r="DA1604" i="115"/>
  <c r="DB943" i="115"/>
  <c r="DB885" i="115" s="1"/>
  <c r="DB948" i="115"/>
  <c r="DB890" i="115" s="1"/>
  <c r="DB1127" i="115"/>
  <c r="DA1129" i="115" s="1"/>
  <c r="DB1166" i="115"/>
  <c r="DN924" i="115"/>
  <c r="DN884" i="115"/>
  <c r="DL1606" i="115"/>
  <c r="DL1609" i="115" s="1"/>
  <c r="CF152" i="117"/>
  <c r="DM1606" i="115"/>
  <c r="CG152" i="117"/>
  <c r="CF149" i="117"/>
  <c r="CG149" i="117"/>
  <c r="DB880" i="115"/>
  <c r="CF175" i="117"/>
  <c r="CF137" i="117"/>
  <c r="DN543" i="115"/>
  <c r="CG175" i="117"/>
  <c r="CG137" i="117"/>
  <c r="AG32" i="111"/>
  <c r="DB1043" i="115"/>
  <c r="AG41" i="111" s="1"/>
  <c r="AG91" i="111" s="1"/>
  <c r="DA879" i="115"/>
  <c r="DB879" i="115" s="1"/>
  <c r="DA545" i="115"/>
  <c r="DA547" i="115" s="1"/>
  <c r="DA549" i="115" s="1"/>
  <c r="DB1517" i="115"/>
  <c r="AG47" i="111"/>
  <c r="DB485" i="115"/>
  <c r="AN11" i="123"/>
  <c r="DA617" i="115"/>
  <c r="DM410" i="115"/>
  <c r="DL420" i="115"/>
  <c r="DB380" i="115"/>
  <c r="DB382" i="115" s="1"/>
  <c r="AG15" i="111"/>
  <c r="DA358" i="115"/>
  <c r="DA255" i="115"/>
  <c r="DB110" i="115"/>
  <c r="DB1461" i="115"/>
  <c r="DB1442" i="115" s="1"/>
  <c r="DA172" i="115"/>
  <c r="DA1463" i="115"/>
  <c r="DA916" i="115"/>
  <c r="DA905" i="115"/>
  <c r="DB905" i="115" s="1"/>
  <c r="DA687" i="115"/>
  <c r="DA686" i="115" s="1"/>
  <c r="DB686" i="115" s="1"/>
  <c r="DA1347" i="115"/>
  <c r="DA670" i="115"/>
  <c r="DA1000" i="115"/>
  <c r="AN33" i="123"/>
  <c r="AG56" i="111"/>
  <c r="DB1557" i="115"/>
  <c r="DB961" i="115"/>
  <c r="DB969" i="115" s="1"/>
  <c r="AN29" i="123"/>
  <c r="AG54" i="111"/>
  <c r="DB598" i="115"/>
  <c r="DB596" i="115" s="1"/>
  <c r="AN15" i="123"/>
  <c r="DA1558" i="115"/>
  <c r="DA1559" i="115" s="1"/>
  <c r="DA1565" i="115"/>
  <c r="DA1430" i="115"/>
  <c r="DB1417" i="115"/>
  <c r="AG31" i="111" s="1"/>
  <c r="DB1466" i="115"/>
  <c r="DA1521" i="115"/>
  <c r="DB1510" i="115"/>
  <c r="DB1512" i="115" s="1"/>
  <c r="DB1436" i="115"/>
  <c r="AG19" i="111" s="1"/>
  <c r="DA1437" i="115"/>
  <c r="DB1422" i="115"/>
  <c r="AG34" i="111" s="1"/>
  <c r="DA1423" i="115"/>
  <c r="DA1484" i="115"/>
  <c r="DB1486" i="115"/>
  <c r="DA1468" i="115"/>
  <c r="DB1468" i="115" s="1"/>
  <c r="DB1416" i="115"/>
  <c r="AG30" i="111" s="1"/>
  <c r="DA1475" i="115"/>
  <c r="DA1473" i="115"/>
  <c r="DB1427" i="115"/>
  <c r="DB1554" i="115"/>
  <c r="DB1485" i="115"/>
  <c r="DB1353" i="115"/>
  <c r="DA1103" i="115"/>
  <c r="DB484" i="115"/>
  <c r="DB646" i="115"/>
  <c r="DA668" i="115"/>
  <c r="DA69" i="115"/>
  <c r="DA150" i="115"/>
  <c r="DA92" i="115"/>
  <c r="DB149" i="115"/>
  <c r="DB488" i="115"/>
  <c r="DA793" i="115"/>
  <c r="DD799" i="115" s="1"/>
  <c r="CZ100" i="115"/>
  <c r="DB36" i="115"/>
  <c r="DA285" i="115"/>
  <c r="DB427" i="115"/>
  <c r="DB543" i="115"/>
  <c r="DA589" i="115"/>
  <c r="DA669" i="115"/>
  <c r="DA852" i="115"/>
  <c r="DB140" i="115"/>
  <c r="DA101" i="115"/>
  <c r="DA161" i="115"/>
  <c r="DB284" i="115"/>
  <c r="DB639" i="115"/>
  <c r="DB1024" i="115"/>
  <c r="DB1163" i="115"/>
  <c r="DB1164" i="115" s="1"/>
  <c r="DA120" i="115"/>
  <c r="DD124" i="115" s="1"/>
  <c r="DB966" i="115"/>
  <c r="DA665" i="115"/>
  <c r="DD671" i="115" s="1"/>
  <c r="DB18" i="115"/>
  <c r="DB665" i="115" s="1"/>
  <c r="DB998" i="115"/>
  <c r="DB687" i="115"/>
  <c r="DB118" i="115"/>
  <c r="DA163" i="115"/>
  <c r="DA154" i="115"/>
  <c r="DB151" i="115"/>
  <c r="DB219" i="115"/>
  <c r="DB257" i="115"/>
  <c r="DB298" i="115"/>
  <c r="DA310" i="115"/>
  <c r="DD317" i="115" s="1"/>
  <c r="DA308" i="115"/>
  <c r="DD315" i="115" s="1"/>
  <c r="DA309" i="115"/>
  <c r="DD316" i="115" s="1"/>
  <c r="DA307" i="115"/>
  <c r="DD314" i="115" s="1"/>
  <c r="DA357" i="115"/>
  <c r="DB349" i="115"/>
  <c r="DA496" i="115"/>
  <c r="DD499" i="115" s="1"/>
  <c r="DB525" i="115"/>
  <c r="DB999" i="115" s="1"/>
  <c r="DA581" i="115"/>
  <c r="AM17" i="123" s="1"/>
  <c r="DA602" i="115"/>
  <c r="DA566" i="115"/>
  <c r="DA596" i="115"/>
  <c r="DA595" i="115" s="1"/>
  <c r="DB142" i="115"/>
  <c r="DB132" i="115"/>
  <c r="DA142" i="115"/>
  <c r="DD146" i="115" s="1"/>
  <c r="DB325" i="115"/>
  <c r="DA335" i="115"/>
  <c r="DD342" i="115" s="1"/>
  <c r="DA336" i="115"/>
  <c r="DD343" i="115" s="1"/>
  <c r="DA333" i="115"/>
  <c r="DD340" i="115" s="1"/>
  <c r="DA19" i="115"/>
  <c r="DE49" i="115" s="1"/>
  <c r="DB88" i="115"/>
  <c r="DG88" i="115" s="1"/>
  <c r="DB242" i="115"/>
  <c r="DB272" i="115"/>
  <c r="DB256" i="115"/>
  <c r="DA334" i="115"/>
  <c r="DD341" i="115" s="1"/>
  <c r="DA359" i="115"/>
  <c r="DB351" i="115"/>
  <c r="DA646" i="115"/>
  <c r="DA484" i="115"/>
  <c r="DA480" i="115"/>
  <c r="DA489" i="115"/>
  <c r="DB66" i="115"/>
  <c r="DA970" i="115"/>
  <c r="DA258" i="115"/>
  <c r="DA311" i="115"/>
  <c r="DA337" i="115"/>
  <c r="DD344" i="115" s="1"/>
  <c r="DB400" i="115"/>
  <c r="DB580" i="115"/>
  <c r="DA780" i="115"/>
  <c r="DE781" i="115" s="1"/>
  <c r="DB707" i="115"/>
  <c r="DF714" i="115" s="1"/>
  <c r="DA757" i="115"/>
  <c r="DA756" i="115" s="1"/>
  <c r="DA352" i="115"/>
  <c r="DA356" i="115"/>
  <c r="DB780" i="115"/>
  <c r="DA925" i="115"/>
  <c r="DD926" i="115" s="1"/>
  <c r="DA853" i="115"/>
  <c r="DB842" i="115"/>
  <c r="DA875" i="115"/>
  <c r="DB876" i="115"/>
  <c r="DB348" i="115"/>
  <c r="DA965" i="115"/>
  <c r="DA1064" i="115"/>
  <c r="DB1060" i="115"/>
  <c r="DA1084" i="115"/>
  <c r="DA798" i="115"/>
  <c r="DA1116" i="115"/>
  <c r="DA1119" i="115" s="1"/>
  <c r="DA1118" i="115"/>
  <c r="DA1131" i="115"/>
  <c r="DB788" i="115"/>
  <c r="DA844" i="115"/>
  <c r="DA969" i="115"/>
  <c r="DA1046" i="115"/>
  <c r="CZ1114" i="115"/>
  <c r="CZ1046" i="115"/>
  <c r="CZ867" i="115"/>
  <c r="CZ853" i="115"/>
  <c r="CZ937" i="115"/>
  <c r="CZ875" i="115"/>
  <c r="CZ944" i="115"/>
  <c r="CZ851" i="115"/>
  <c r="CZ846" i="115"/>
  <c r="AL24" i="123" s="1"/>
  <c r="CZ692" i="115"/>
  <c r="CZ545" i="115"/>
  <c r="CZ547" i="115" s="1"/>
  <c r="CZ549" i="115" s="1"/>
  <c r="CZ550" i="115" s="1"/>
  <c r="CZ566" i="115"/>
  <c r="CZ567" i="115" s="1"/>
  <c r="CZ596" i="115"/>
  <c r="CZ595" i="115" s="1"/>
  <c r="CZ602" i="115"/>
  <c r="CZ336" i="115"/>
  <c r="CZ337" i="115"/>
  <c r="CZ333" i="115"/>
  <c r="CZ285" i="115"/>
  <c r="CZ261" i="115"/>
  <c r="CZ263" i="115"/>
  <c r="CZ268" i="115"/>
  <c r="CZ352" i="115"/>
  <c r="CZ452" i="115" s="1"/>
  <c r="CZ258" i="115"/>
  <c r="CZ273" i="115"/>
  <c r="CZ120" i="115"/>
  <c r="DN419" i="115"/>
  <c r="DM420" i="115"/>
  <c r="DL545" i="115"/>
  <c r="DN636" i="115"/>
  <c r="DN866" i="115"/>
  <c r="DL886" i="115"/>
  <c r="DL892" i="115" s="1"/>
  <c r="DL846" i="115" s="1"/>
  <c r="DN880" i="115"/>
  <c r="DN865" i="115"/>
  <c r="DL917" i="115"/>
  <c r="DN917" i="115" s="1"/>
  <c r="DL950" i="115"/>
  <c r="DM1604" i="115"/>
  <c r="DN1604" i="115" s="1"/>
  <c r="DM892" i="115"/>
  <c r="DM846" i="115" s="1"/>
  <c r="DN947" i="115"/>
  <c r="DN876" i="115"/>
  <c r="DM950" i="115"/>
  <c r="DM1036" i="115"/>
  <c r="DN942" i="115"/>
  <c r="DM1599" i="115"/>
  <c r="DN1593" i="115"/>
  <c r="DN1592" i="115"/>
  <c r="DL1599" i="115"/>
  <c r="DA711" i="115" l="1"/>
  <c r="DA723" i="115" s="1"/>
  <c r="AH83" i="111"/>
  <c r="DF1078" i="115"/>
  <c r="DA691" i="115"/>
  <c r="DA698" i="115" s="1"/>
  <c r="DE696" i="115"/>
  <c r="DF55" i="115"/>
  <c r="DF970" i="115"/>
  <c r="DF971" i="115" s="1"/>
  <c r="DD759" i="115"/>
  <c r="DD764" i="115" s="1"/>
  <c r="DE758" i="115"/>
  <c r="DA725" i="115"/>
  <c r="DE735" i="115" s="1"/>
  <c r="DE734" i="115"/>
  <c r="DB789" i="115"/>
  <c r="DB793" i="115" s="1"/>
  <c r="DB749" i="115" s="1"/>
  <c r="DR637" i="115"/>
  <c r="CH174" i="117"/>
  <c r="DA676" i="115"/>
  <c r="DD677" i="115" s="1"/>
  <c r="CZ711" i="115"/>
  <c r="CZ723" i="115" s="1"/>
  <c r="DD734" i="115" s="1"/>
  <c r="DA699" i="115"/>
  <c r="CZ571" i="115"/>
  <c r="CZ573" i="115" s="1"/>
  <c r="CZ366" i="115"/>
  <c r="CZ369" i="115" s="1"/>
  <c r="CH149" i="117"/>
  <c r="CH176" i="117" s="1"/>
  <c r="AL17" i="123"/>
  <c r="AL16" i="123" s="1"/>
  <c r="DB852" i="115"/>
  <c r="DB865" i="115" s="1"/>
  <c r="DA106" i="115"/>
  <c r="DD106" i="115"/>
  <c r="DB692" i="115"/>
  <c r="DD696" i="115"/>
  <c r="DA225" i="115"/>
  <c r="DD229" i="115" s="1"/>
  <c r="DD166" i="115"/>
  <c r="DA502" i="115"/>
  <c r="DD503" i="115" s="1"/>
  <c r="DD162" i="115"/>
  <c r="DA452" i="115"/>
  <c r="DD360" i="115"/>
  <c r="DA318" i="115"/>
  <c r="DD318" i="115"/>
  <c r="DB916" i="115"/>
  <c r="DD919" i="115"/>
  <c r="DB952" i="115"/>
  <c r="DD957" i="115"/>
  <c r="CZ26" i="115"/>
  <c r="DD54" i="115" s="1"/>
  <c r="DD50" i="115"/>
  <c r="CZ430" i="115"/>
  <c r="CZ435" i="115" s="1"/>
  <c r="CZ385" i="115"/>
  <c r="CZ844" i="115"/>
  <c r="CZ847" i="115" s="1"/>
  <c r="AL22" i="123" s="1"/>
  <c r="DB234" i="115"/>
  <c r="DB251" i="115" s="1"/>
  <c r="DL422" i="115"/>
  <c r="DB851" i="115"/>
  <c r="DB581" i="115"/>
  <c r="AN17" i="123" s="1"/>
  <c r="AN115" i="123" s="1"/>
  <c r="DA846" i="115"/>
  <c r="AM24" i="123" s="1"/>
  <c r="AM69" i="123" s="1"/>
  <c r="DB1046" i="115"/>
  <c r="DB381" i="115" s="1"/>
  <c r="DN581" i="115"/>
  <c r="DN520" i="115" s="1"/>
  <c r="CH137" i="117"/>
  <c r="DB235" i="115"/>
  <c r="CG138" i="117"/>
  <c r="CH134" i="117"/>
  <c r="DN40" i="115"/>
  <c r="DM547" i="115"/>
  <c r="DB843" i="115"/>
  <c r="DB844" i="115" s="1"/>
  <c r="DA956" i="115"/>
  <c r="DA728" i="115"/>
  <c r="DE736" i="115" s="1"/>
  <c r="CZ251" i="115"/>
  <c r="CZ250" i="115" s="1"/>
  <c r="CZ748" i="115"/>
  <c r="CZ965" i="115"/>
  <c r="CZ967" i="115" s="1"/>
  <c r="CZ968" i="115" s="1"/>
  <c r="DB602" i="115"/>
  <c r="DB614" i="115" s="1"/>
  <c r="DA944" i="115"/>
  <c r="DB944" i="115" s="1"/>
  <c r="DB892" i="115"/>
  <c r="DB1114" i="115"/>
  <c r="DB1116" i="115" s="1"/>
  <c r="CF138" i="117"/>
  <c r="CZ529" i="115"/>
  <c r="CZ531" i="115" s="1"/>
  <c r="CZ533" i="115" s="1"/>
  <c r="CZ554" i="115"/>
  <c r="DA918" i="115"/>
  <c r="DA919" i="115" s="1"/>
  <c r="DN410" i="115"/>
  <c r="CZ502" i="115"/>
  <c r="CF101" i="117"/>
  <c r="CZ141" i="115"/>
  <c r="CZ196" i="115" s="1"/>
  <c r="CZ158" i="115"/>
  <c r="DN1599" i="115"/>
  <c r="DN1565" i="115" s="1"/>
  <c r="DM1609" i="115"/>
  <c r="CF192" i="117"/>
  <c r="CF102" i="117" s="1"/>
  <c r="CH150" i="117"/>
  <c r="CG192" i="117"/>
  <c r="CG102" i="117" s="1"/>
  <c r="CH148" i="117"/>
  <c r="CG191" i="117"/>
  <c r="CH191" i="117" s="1"/>
  <c r="CF27" i="117"/>
  <c r="CZ590" i="115"/>
  <c r="DB567" i="115"/>
  <c r="DB545" i="115"/>
  <c r="DB549" i="115"/>
  <c r="CF194" i="117"/>
  <c r="CH194" i="117" s="1"/>
  <c r="CF25" i="117"/>
  <c r="CH152" i="117"/>
  <c r="DN1606" i="115"/>
  <c r="CG196" i="117"/>
  <c r="CG106" i="117" s="1"/>
  <c r="CF196" i="117"/>
  <c r="CF106" i="117" s="1"/>
  <c r="CF176" i="117"/>
  <c r="CF177" i="117" s="1"/>
  <c r="CF153" i="117"/>
  <c r="CG176" i="117"/>
  <c r="CG177" i="117" s="1"/>
  <c r="CG178" i="117" s="1"/>
  <c r="CG153" i="117"/>
  <c r="DN886" i="115"/>
  <c r="DB547" i="115"/>
  <c r="AL69" i="123"/>
  <c r="AL122" i="123"/>
  <c r="AL123" i="123" s="1"/>
  <c r="AL126" i="123" s="1"/>
  <c r="CF39" i="117"/>
  <c r="CG39" i="117"/>
  <c r="DN545" i="115"/>
  <c r="CH175" i="117"/>
  <c r="AG22" i="111"/>
  <c r="AG35" i="111"/>
  <c r="AG26" i="111" s="1"/>
  <c r="AG33" i="111"/>
  <c r="DA1204" i="115"/>
  <c r="AM62" i="123"/>
  <c r="AM16" i="123"/>
  <c r="AM115" i="123"/>
  <c r="AN109" i="123"/>
  <c r="AN110" i="123" s="1"/>
  <c r="AN56" i="123"/>
  <c r="AN57" i="123" s="1"/>
  <c r="DL425" i="115"/>
  <c r="AG29" i="111"/>
  <c r="DA273" i="115"/>
  <c r="DA1481" i="115"/>
  <c r="DA1462" i="115"/>
  <c r="DA1443" i="115" s="1"/>
  <c r="DA1469" i="115"/>
  <c r="DB1463" i="115"/>
  <c r="DB1444" i="115" s="1"/>
  <c r="AG17" i="111" s="1"/>
  <c r="DB150" i="115"/>
  <c r="DA1478" i="115"/>
  <c r="DA1445" i="115" s="1"/>
  <c r="DB1445" i="115" s="1"/>
  <c r="AG18" i="111" s="1"/>
  <c r="DA1444" i="115"/>
  <c r="AN4" i="123"/>
  <c r="AG7" i="111"/>
  <c r="AG52" i="111"/>
  <c r="AN78" i="123"/>
  <c r="AN131" i="123"/>
  <c r="DB70" i="115"/>
  <c r="AN35" i="123"/>
  <c r="AG57" i="111"/>
  <c r="AN74" i="123"/>
  <c r="AN127" i="123"/>
  <c r="AG67" i="111"/>
  <c r="AN113" i="123"/>
  <c r="AN60" i="123"/>
  <c r="AG50" i="111"/>
  <c r="DA1452" i="115"/>
  <c r="DB1437" i="115"/>
  <c r="DB1438" i="115" s="1"/>
  <c r="DB1484" i="115" s="1"/>
  <c r="DB1475" i="115"/>
  <c r="DB1473" i="115"/>
  <c r="DB1430" i="115"/>
  <c r="DA1429" i="115"/>
  <c r="DA1480" i="115"/>
  <c r="DA100" i="115"/>
  <c r="DA162" i="115"/>
  <c r="DA344" i="115"/>
  <c r="DB19" i="115"/>
  <c r="DB69" i="115"/>
  <c r="DA451" i="115"/>
  <c r="DA799" i="115"/>
  <c r="DA749" i="115"/>
  <c r="DB1000" i="115"/>
  <c r="DB1108" i="115"/>
  <c r="DA1111" i="115"/>
  <c r="DA1112" i="115" s="1"/>
  <c r="DA926" i="115"/>
  <c r="DB925" i="115"/>
  <c r="DA1005" i="115"/>
  <c r="DA1007" i="115" s="1"/>
  <c r="DA1008" i="115" s="1"/>
  <c r="DA354" i="115"/>
  <c r="DB352" i="115"/>
  <c r="DB451" i="115" s="1"/>
  <c r="DA360" i="115"/>
  <c r="DA353" i="115"/>
  <c r="DA372" i="115"/>
  <c r="DA373" i="115" s="1"/>
  <c r="DA442" i="115"/>
  <c r="DA765" i="115"/>
  <c r="DA759" i="115"/>
  <c r="DA764" i="115" s="1"/>
  <c r="DB101" i="115"/>
  <c r="DA312" i="115"/>
  <c r="DA315" i="115"/>
  <c r="DB308" i="115"/>
  <c r="DA973" i="115"/>
  <c r="DA980" i="115" s="1"/>
  <c r="DA364" i="115"/>
  <c r="DA491" i="115"/>
  <c r="DA223" i="115"/>
  <c r="DB154" i="115"/>
  <c r="DA274" i="115"/>
  <c r="DA156" i="115"/>
  <c r="DA224" i="115"/>
  <c r="DA166" i="115"/>
  <c r="DA260" i="115"/>
  <c r="DA275" i="115"/>
  <c r="DB740" i="115"/>
  <c r="DA381" i="115"/>
  <c r="DB258" i="115"/>
  <c r="DB255" i="115"/>
  <c r="DA666" i="115"/>
  <c r="DD672" i="115" s="1"/>
  <c r="DA20" i="115"/>
  <c r="DE50" i="115" s="1"/>
  <c r="DB336" i="115"/>
  <c r="DA343" i="115"/>
  <c r="DA568" i="115"/>
  <c r="DB566" i="115"/>
  <c r="DB307" i="115"/>
  <c r="DA314" i="115"/>
  <c r="DA971" i="115"/>
  <c r="DA942" i="115"/>
  <c r="DA1606" i="115" s="1"/>
  <c r="DB875" i="115"/>
  <c r="DB853" i="115"/>
  <c r="DB866" i="115" s="1"/>
  <c r="DA922" i="115"/>
  <c r="DA425" i="115"/>
  <c r="DA427" i="115" s="1"/>
  <c r="DA897" i="115" s="1"/>
  <c r="DA341" i="115"/>
  <c r="DB334" i="115"/>
  <c r="DA338" i="115"/>
  <c r="DA342" i="115"/>
  <c r="DB335" i="115"/>
  <c r="DA146" i="115"/>
  <c r="DA141" i="115"/>
  <c r="DA655" i="115"/>
  <c r="DB595" i="115"/>
  <c r="DA614" i="115"/>
  <c r="DA316" i="115"/>
  <c r="DB309" i="115"/>
  <c r="DA1133" i="115"/>
  <c r="DB1133" i="115" s="1"/>
  <c r="DA1132" i="115"/>
  <c r="DB1131" i="115"/>
  <c r="DA967" i="115"/>
  <c r="DA968" i="115" s="1"/>
  <c r="DB868" i="115"/>
  <c r="DA867" i="115"/>
  <c r="DA754" i="115"/>
  <c r="DB709" i="115"/>
  <c r="DF716" i="115" s="1"/>
  <c r="DB333" i="115"/>
  <c r="DA340" i="115"/>
  <c r="DB141" i="115"/>
  <c r="DA520" i="115"/>
  <c r="DA453" i="115"/>
  <c r="DB310" i="115"/>
  <c r="DA317" i="115"/>
  <c r="DA671" i="115"/>
  <c r="DA740" i="115"/>
  <c r="DA124" i="115"/>
  <c r="DB120" i="115"/>
  <c r="DA119" i="115"/>
  <c r="CZ353" i="115"/>
  <c r="CZ442" i="115"/>
  <c r="CZ372" i="115"/>
  <c r="CZ451" i="115"/>
  <c r="CZ354" i="115"/>
  <c r="CZ453" i="115"/>
  <c r="CZ1005" i="115"/>
  <c r="CZ1007" i="115" s="1"/>
  <c r="CZ1008" i="115" s="1"/>
  <c r="CZ457" i="115"/>
  <c r="CZ614" i="115"/>
  <c r="CZ521" i="115"/>
  <c r="CZ119" i="115"/>
  <c r="CZ204" i="115" s="1"/>
  <c r="CZ338" i="115"/>
  <c r="CZ655" i="115"/>
  <c r="CZ906" i="115"/>
  <c r="CZ1116" i="115"/>
  <c r="CZ1119" i="115" s="1"/>
  <c r="CZ1118" i="115"/>
  <c r="CZ691" i="115"/>
  <c r="CZ699" i="115"/>
  <c r="CZ749" i="115"/>
  <c r="CZ942" i="115"/>
  <c r="CZ922" i="115"/>
  <c r="CZ854" i="115"/>
  <c r="CZ381" i="115"/>
  <c r="CZ1049" i="115"/>
  <c r="DL1565" i="115"/>
  <c r="DL1558" i="115"/>
  <c r="DN1036" i="115"/>
  <c r="DM38" i="115"/>
  <c r="DN950" i="115"/>
  <c r="DL867" i="115"/>
  <c r="DM425" i="115"/>
  <c r="DM427" i="115" s="1"/>
  <c r="DM897" i="115" s="1"/>
  <c r="DM422" i="115"/>
  <c r="DM867" i="115"/>
  <c r="DM868" i="115" s="1"/>
  <c r="DM869" i="115"/>
  <c r="DM521" i="115"/>
  <c r="DN421" i="115"/>
  <c r="DN420" i="115"/>
  <c r="DL546" i="115"/>
  <c r="DM1558" i="115"/>
  <c r="DM1565" i="115"/>
  <c r="DN846" i="115"/>
  <c r="DL869" i="115"/>
  <c r="DL521" i="115"/>
  <c r="DM529" i="115"/>
  <c r="DM531" i="115" s="1"/>
  <c r="DL529" i="115"/>
  <c r="DL531" i="115" s="1"/>
  <c r="DE695" i="115" l="1"/>
  <c r="DF49" i="115"/>
  <c r="DB699" i="115"/>
  <c r="DF696" i="115"/>
  <c r="CZ434" i="115"/>
  <c r="DB676" i="115"/>
  <c r="DE677" i="115" s="1"/>
  <c r="CZ728" i="115"/>
  <c r="DD736" i="115" s="1"/>
  <c r="CZ725" i="115"/>
  <c r="DD735" i="115" s="1"/>
  <c r="CZ384" i="115"/>
  <c r="CZ433" i="115"/>
  <c r="CH138" i="117"/>
  <c r="AL62" i="123"/>
  <c r="CZ63" i="115"/>
  <c r="CZ32" i="115"/>
  <c r="DD56" i="115" s="1"/>
  <c r="DA229" i="115"/>
  <c r="AM122" i="123"/>
  <c r="AM123" i="123" s="1"/>
  <c r="AM126" i="123" s="1"/>
  <c r="AL115" i="123"/>
  <c r="DA204" i="115"/>
  <c r="DA208" i="115" s="1"/>
  <c r="DD123" i="115"/>
  <c r="DA981" i="115"/>
  <c r="DD981" i="115"/>
  <c r="DA228" i="115"/>
  <c r="DD228" i="115"/>
  <c r="DA227" i="115"/>
  <c r="DD227" i="115"/>
  <c r="DA196" i="115"/>
  <c r="DA200" i="115" s="1"/>
  <c r="DD145" i="115"/>
  <c r="DB100" i="115"/>
  <c r="DD105" i="115"/>
  <c r="DB691" i="115"/>
  <c r="DD695" i="115"/>
  <c r="DD168" i="115"/>
  <c r="DD493" i="115"/>
  <c r="DD492" i="115"/>
  <c r="CZ555" i="115"/>
  <c r="CZ1146" i="115" s="1"/>
  <c r="DD562" i="115"/>
  <c r="CZ901" i="115"/>
  <c r="DB520" i="115"/>
  <c r="AN62" i="123"/>
  <c r="DA529" i="115"/>
  <c r="DA531" i="115" s="1"/>
  <c r="DA533" i="115" s="1"/>
  <c r="DA521" i="115"/>
  <c r="DA64" i="115" s="1"/>
  <c r="DA847" i="115"/>
  <c r="AM22" i="123" s="1"/>
  <c r="AM25" i="123" s="1"/>
  <c r="AM28" i="123" s="1"/>
  <c r="DB846" i="115"/>
  <c r="DB521" i="115" s="1"/>
  <c r="DB64" i="115" s="1"/>
  <c r="CZ206" i="115"/>
  <c r="CZ198" i="115"/>
  <c r="DA145" i="115"/>
  <c r="CZ534" i="115"/>
  <c r="DM548" i="115"/>
  <c r="DB918" i="115"/>
  <c r="DN423" i="115"/>
  <c r="CH101" i="117"/>
  <c r="DA105" i="115"/>
  <c r="DB965" i="115"/>
  <c r="DB967" i="115" s="1"/>
  <c r="DB968" i="115" s="1"/>
  <c r="AZ17" i="123"/>
  <c r="CH39" i="117"/>
  <c r="CZ750" i="115"/>
  <c r="CH27" i="117"/>
  <c r="DN1558" i="115"/>
  <c r="CG40" i="117"/>
  <c r="DM937" i="115"/>
  <c r="CH104" i="117"/>
  <c r="DN1609" i="115"/>
  <c r="DM522" i="115"/>
  <c r="CF104" i="117"/>
  <c r="CG101" i="117"/>
  <c r="DB502" i="115"/>
  <c r="DF503" i="115" s="1"/>
  <c r="CH153" i="117"/>
  <c r="CF244" i="117"/>
  <c r="AL61" i="123"/>
  <c r="AL64" i="123" s="1"/>
  <c r="AL114" i="123"/>
  <c r="AL117" i="123" s="1"/>
  <c r="AL134" i="123" s="1"/>
  <c r="AL138" i="123" s="1"/>
  <c r="CG25" i="117"/>
  <c r="DN38" i="115"/>
  <c r="DA123" i="115"/>
  <c r="DB666" i="115"/>
  <c r="DB554" i="115" s="1"/>
  <c r="CH192" i="117"/>
  <c r="CH102" i="117" s="1"/>
  <c r="DA503" i="115"/>
  <c r="CH196" i="117"/>
  <c r="CH106" i="117" s="1"/>
  <c r="CG193" i="117"/>
  <c r="CG197" i="117" s="1"/>
  <c r="CG179" i="117"/>
  <c r="CF178" i="117"/>
  <c r="CF193" i="117" s="1"/>
  <c r="AZ24" i="123"/>
  <c r="DN546" i="115"/>
  <c r="DN892" i="115"/>
  <c r="DL522" i="115"/>
  <c r="CF40" i="117"/>
  <c r="CH177" i="117"/>
  <c r="DB906" i="115"/>
  <c r="AL25" i="123"/>
  <c r="AL28" i="123" s="1"/>
  <c r="AG20" i="111"/>
  <c r="DA1205" i="115"/>
  <c r="DA1609" i="115"/>
  <c r="AM114" i="123"/>
  <c r="AM117" i="123" s="1"/>
  <c r="AM134" i="123" s="1"/>
  <c r="AM138" i="123" s="1"/>
  <c r="AM61" i="123"/>
  <c r="AM64" i="123" s="1"/>
  <c r="DA1482" i="115"/>
  <c r="DB1482" i="115" s="1"/>
  <c r="DA1483" i="115"/>
  <c r="DB1483" i="115" s="1"/>
  <c r="DB273" i="115"/>
  <c r="AN8" i="123"/>
  <c r="AN6" i="123" s="1"/>
  <c r="AR7" i="123" s="1"/>
  <c r="DB1481" i="115"/>
  <c r="AG9" i="111"/>
  <c r="DB1462" i="115"/>
  <c r="DB1443" i="115" s="1"/>
  <c r="DB1469" i="115"/>
  <c r="AN49" i="123"/>
  <c r="AR50" i="123" s="1"/>
  <c r="AN102" i="123"/>
  <c r="AR103" i="123" s="1"/>
  <c r="AG27" i="111"/>
  <c r="DB1478" i="115"/>
  <c r="DB1479" i="115" s="1"/>
  <c r="DA1479" i="115"/>
  <c r="AG65" i="111"/>
  <c r="AN133" i="123"/>
  <c r="AN80" i="123"/>
  <c r="AN151" i="123"/>
  <c r="AN97" i="123"/>
  <c r="AG63" i="111"/>
  <c r="AN18" i="123"/>
  <c r="DB1480" i="115"/>
  <c r="DB1500" i="115"/>
  <c r="DB1501" i="115" s="1"/>
  <c r="DB1429" i="115"/>
  <c r="DA1451" i="115"/>
  <c r="DA1476" i="115" s="1"/>
  <c r="DB1452" i="115"/>
  <c r="DA1457" i="115"/>
  <c r="DA1456" i="115"/>
  <c r="DB20" i="115"/>
  <c r="DF50" i="115" s="1"/>
  <c r="DB225" i="115"/>
  <c r="DB453" i="115"/>
  <c r="DB568" i="115"/>
  <c r="DA744" i="115"/>
  <c r="DA748" i="115"/>
  <c r="DA750" i="115" s="1"/>
  <c r="DB711" i="115"/>
  <c r="DB723" i="115" s="1"/>
  <c r="DF734" i="115" s="1"/>
  <c r="DA251" i="115"/>
  <c r="DB275" i="115"/>
  <c r="DB119" i="115"/>
  <c r="DB337" i="115"/>
  <c r="DB655" i="115"/>
  <c r="DA937" i="115"/>
  <c r="DB897" i="115"/>
  <c r="DB922" i="115"/>
  <c r="DA931" i="115"/>
  <c r="DD935" i="115" s="1"/>
  <c r="DA493" i="115"/>
  <c r="DA492" i="115"/>
  <c r="DA615" i="115"/>
  <c r="DA616" i="115" s="1"/>
  <c r="DA770" i="115"/>
  <c r="DB867" i="115"/>
  <c r="DA854" i="115"/>
  <c r="DB942" i="115"/>
  <c r="DA950" i="115"/>
  <c r="DB452" i="115"/>
  <c r="DA26" i="115"/>
  <c r="DE54" i="115" s="1"/>
  <c r="DA168" i="115"/>
  <c r="DA158" i="115"/>
  <c r="DB1132" i="115"/>
  <c r="DB1134" i="115" s="1"/>
  <c r="DA1134" i="115"/>
  <c r="DB1008" i="115"/>
  <c r="DA571" i="115"/>
  <c r="DA672" i="115"/>
  <c r="DA554" i="115"/>
  <c r="DE562" i="115" s="1"/>
  <c r="DB311" i="115"/>
  <c r="DB748" i="115"/>
  <c r="DB750" i="115" s="1"/>
  <c r="DB744" i="115"/>
  <c r="DF746" i="115" s="1"/>
  <c r="DB973" i="115"/>
  <c r="DB491" i="115"/>
  <c r="DB156" i="115"/>
  <c r="DB364" i="115"/>
  <c r="DB223" i="115"/>
  <c r="DB224" i="115"/>
  <c r="DB274" i="115"/>
  <c r="DB260" i="115"/>
  <c r="DA1150" i="115"/>
  <c r="DA389" i="115"/>
  <c r="DA385" i="115"/>
  <c r="DA457" i="115"/>
  <c r="DA430" i="115"/>
  <c r="DA431" i="115" s="1"/>
  <c r="DA366" i="115"/>
  <c r="DA377" i="115"/>
  <c r="DB372" i="115"/>
  <c r="DA390" i="115"/>
  <c r="DA388" i="115"/>
  <c r="DB353" i="115"/>
  <c r="DB442" i="115"/>
  <c r="DB354" i="115"/>
  <c r="DB355" i="115" s="1"/>
  <c r="DA924" i="115"/>
  <c r="CZ557" i="115"/>
  <c r="CZ924" i="115"/>
  <c r="CZ931" i="115"/>
  <c r="CZ64" i="115"/>
  <c r="CZ522" i="115"/>
  <c r="CZ524" i="115" s="1"/>
  <c r="CZ373" i="115"/>
  <c r="CZ377" i="115" s="1"/>
  <c r="CZ436" i="115" s="1"/>
  <c r="CZ431" i="115"/>
  <c r="CZ390" i="115"/>
  <c r="CZ388" i="115"/>
  <c r="CZ389" i="115"/>
  <c r="CZ951" i="115"/>
  <c r="CZ855" i="115"/>
  <c r="CZ698" i="115"/>
  <c r="CZ754" i="115"/>
  <c r="CZ896" i="115"/>
  <c r="CZ898" i="115" s="1"/>
  <c r="CZ900" i="115" s="1"/>
  <c r="CZ856" i="115"/>
  <c r="CZ1147" i="115"/>
  <c r="CZ950" i="115"/>
  <c r="CZ387" i="115"/>
  <c r="CZ386" i="115"/>
  <c r="DL532" i="115"/>
  <c r="DM532" i="115"/>
  <c r="DM533" i="115" s="1"/>
  <c r="DL427" i="115"/>
  <c r="DL897" i="115" s="1"/>
  <c r="DN426" i="115"/>
  <c r="DN867" i="115"/>
  <c r="DN868" i="115" s="1"/>
  <c r="DL868" i="115"/>
  <c r="DL547" i="115"/>
  <c r="DN869" i="115"/>
  <c r="DN521" i="115"/>
  <c r="DN529" i="115"/>
  <c r="DN531" i="115" s="1"/>
  <c r="DN422" i="115"/>
  <c r="DN425" i="115"/>
  <c r="DE500" i="115" l="1"/>
  <c r="DF562" i="115"/>
  <c r="DB754" i="115"/>
  <c r="DF695" i="115"/>
  <c r="DD745" i="115"/>
  <c r="DE746" i="115"/>
  <c r="DF493" i="115"/>
  <c r="DF497" i="115" s="1"/>
  <c r="DE494" i="115"/>
  <c r="CZ65" i="115"/>
  <c r="CZ67" i="115" s="1"/>
  <c r="CZ71" i="115" s="1"/>
  <c r="CZ34" i="115"/>
  <c r="DD58" i="115" s="1"/>
  <c r="DB698" i="115"/>
  <c r="CZ902" i="115"/>
  <c r="CZ559" i="115"/>
  <c r="DD564" i="115" s="1"/>
  <c r="DM549" i="115"/>
  <c r="DD200" i="115"/>
  <c r="DB196" i="115"/>
  <c r="DD208" i="115"/>
  <c r="DB204" i="115"/>
  <c r="DA522" i="115"/>
  <c r="DA524" i="115" s="1"/>
  <c r="DA526" i="115" s="1"/>
  <c r="DA1140" i="115" s="1"/>
  <c r="DA198" i="115"/>
  <c r="DD202" i="115" s="1"/>
  <c r="DA206" i="115"/>
  <c r="AL19" i="123"/>
  <c r="DD563" i="115"/>
  <c r="DA170" i="115"/>
  <c r="DD170" i="115"/>
  <c r="DD497" i="115"/>
  <c r="DD494" i="115"/>
  <c r="DB529" i="115"/>
  <c r="DB531" i="115" s="1"/>
  <c r="DB534" i="115" s="1"/>
  <c r="DB847" i="115"/>
  <c r="AN22" i="123" s="1"/>
  <c r="DA1147" i="115"/>
  <c r="DA896" i="115"/>
  <c r="DA898" i="115" s="1"/>
  <c r="DA900" i="115" s="1"/>
  <c r="DA856" i="115"/>
  <c r="AN24" i="123"/>
  <c r="AN122" i="123" s="1"/>
  <c r="AZ62" i="123"/>
  <c r="AZ115" i="123"/>
  <c r="DB522" i="115"/>
  <c r="DB524" i="115" s="1"/>
  <c r="DB526" i="115" s="1"/>
  <c r="DB1140" i="115" s="1"/>
  <c r="CG103" i="117"/>
  <c r="CG107" i="117" s="1"/>
  <c r="DM524" i="115"/>
  <c r="DL524" i="115"/>
  <c r="CH25" i="117"/>
  <c r="DB158" i="115"/>
  <c r="DB924" i="115"/>
  <c r="DB312" i="115"/>
  <c r="CF179" i="117"/>
  <c r="CG244" i="117"/>
  <c r="CF103" i="117"/>
  <c r="CF107" i="117" s="1"/>
  <c r="CF197" i="117"/>
  <c r="DN522" i="115"/>
  <c r="DN524" i="115" s="1"/>
  <c r="CH40" i="117"/>
  <c r="AZ69" i="123"/>
  <c r="AZ122" i="123"/>
  <c r="CZ1148" i="115"/>
  <c r="DN427" i="115"/>
  <c r="DM525" i="115"/>
  <c r="AG23" i="111"/>
  <c r="AG21" i="111"/>
  <c r="AG13" i="111"/>
  <c r="AG78" i="111"/>
  <c r="AG8" i="111"/>
  <c r="AN53" i="123"/>
  <c r="AN75" i="123" s="1"/>
  <c r="AN106" i="123"/>
  <c r="AN128" i="123" s="1"/>
  <c r="AN30" i="123"/>
  <c r="AN51" i="123"/>
  <c r="AR52" i="123" s="1"/>
  <c r="AN31" i="123"/>
  <c r="DB26" i="115"/>
  <c r="DF54" i="115" s="1"/>
  <c r="AN63" i="123"/>
  <c r="AN116" i="123"/>
  <c r="AN16" i="123"/>
  <c r="AN20" i="123"/>
  <c r="AR21" i="123" s="1"/>
  <c r="DB1457" i="115"/>
  <c r="DB1456" i="115"/>
  <c r="DA1458" i="115"/>
  <c r="DB1451" i="115"/>
  <c r="DB1458" i="115" s="1"/>
  <c r="DA436" i="115"/>
  <c r="DB377" i="115"/>
  <c r="DA555" i="115"/>
  <c r="DA63" i="115"/>
  <c r="DA65" i="115" s="1"/>
  <c r="DA67" i="115" s="1"/>
  <c r="DA71" i="115" s="1"/>
  <c r="DA32" i="115"/>
  <c r="DE56" i="115" s="1"/>
  <c r="DA901" i="115"/>
  <c r="DA779" i="115"/>
  <c r="DA935" i="115"/>
  <c r="DA930" i="115"/>
  <c r="DD934" i="115" s="1"/>
  <c r="DB728" i="115"/>
  <c r="DF736" i="115" s="1"/>
  <c r="DB725" i="115"/>
  <c r="DF735" i="115" s="1"/>
  <c r="DB555" i="115"/>
  <c r="DF563" i="115" s="1"/>
  <c r="DB390" i="115"/>
  <c r="DB388" i="115"/>
  <c r="DA384" i="115"/>
  <c r="DA369" i="115"/>
  <c r="DB980" i="115"/>
  <c r="DF981" i="115" s="1"/>
  <c r="DB931" i="115"/>
  <c r="DB615" i="115"/>
  <c r="DB616" i="115" s="1"/>
  <c r="DB770" i="115"/>
  <c r="DA745" i="115"/>
  <c r="DB373" i="115"/>
  <c r="DB446" i="115" s="1"/>
  <c r="DA432" i="115"/>
  <c r="DA446" i="115"/>
  <c r="DA447" i="115" s="1"/>
  <c r="DA435" i="115"/>
  <c r="DA433" i="115"/>
  <c r="DA434" i="115"/>
  <c r="DB1150" i="115"/>
  <c r="DB389" i="115"/>
  <c r="DB385" i="115"/>
  <c r="DB457" i="115"/>
  <c r="DB430" i="115"/>
  <c r="DB431" i="115" s="1"/>
  <c r="DB366" i="115"/>
  <c r="DB384" i="115" s="1"/>
  <c r="DA573" i="115"/>
  <c r="DB571" i="115"/>
  <c r="DB950" i="115"/>
  <c r="DA951" i="115"/>
  <c r="DB854" i="115"/>
  <c r="DA855" i="115"/>
  <c r="DB855" i="115" s="1"/>
  <c r="DA497" i="115"/>
  <c r="DB937" i="115"/>
  <c r="CZ615" i="115"/>
  <c r="CZ616" i="115" s="1"/>
  <c r="CZ770" i="115"/>
  <c r="CZ526" i="115"/>
  <c r="CZ1140" i="115" s="1"/>
  <c r="CZ996" i="115"/>
  <c r="CZ930" i="115"/>
  <c r="CZ700" i="115"/>
  <c r="DA700" i="115" s="1"/>
  <c r="CZ953" i="115"/>
  <c r="CZ446" i="115"/>
  <c r="CZ447" i="115" s="1"/>
  <c r="CZ432" i="115"/>
  <c r="DL937" i="115"/>
  <c r="DN897" i="115"/>
  <c r="DS897" i="115" s="1"/>
  <c r="DN532" i="115"/>
  <c r="DL525" i="115"/>
  <c r="DL548" i="115"/>
  <c r="DL549" i="115" s="1"/>
  <c r="DN547" i="115"/>
  <c r="DL533" i="115"/>
  <c r="AN67" i="123" l="1"/>
  <c r="AR68" i="123" s="1"/>
  <c r="AR23" i="123"/>
  <c r="AM19" i="123"/>
  <c r="DE563" i="115"/>
  <c r="CZ995" i="115"/>
  <c r="CZ997" i="115" s="1"/>
  <c r="CZ1001" i="115" s="1"/>
  <c r="CZ991" i="115"/>
  <c r="CZ992" i="115" s="1"/>
  <c r="CZ37" i="115"/>
  <c r="DD60" i="115" s="1"/>
  <c r="DA202" i="115"/>
  <c r="DA996" i="115"/>
  <c r="AN120" i="123"/>
  <c r="DB533" i="115"/>
  <c r="DD210" i="115"/>
  <c r="DB206" i="115"/>
  <c r="DB1147" i="115"/>
  <c r="DA210" i="115"/>
  <c r="DA953" i="115"/>
  <c r="DD955" i="115"/>
  <c r="DB896" i="115"/>
  <c r="DB898" i="115" s="1"/>
  <c r="AN69" i="123"/>
  <c r="AN70" i="123" s="1"/>
  <c r="AR71" i="123" s="1"/>
  <c r="AN25" i="123"/>
  <c r="DB996" i="115"/>
  <c r="AN104" i="123"/>
  <c r="DM996" i="115"/>
  <c r="CG42" i="117"/>
  <c r="CH42" i="117"/>
  <c r="CF42" i="117"/>
  <c r="DL996" i="115"/>
  <c r="CH244" i="117"/>
  <c r="DN996" i="115"/>
  <c r="DN549" i="115"/>
  <c r="DN548" i="115"/>
  <c r="DN550" i="115" s="1"/>
  <c r="DM999" i="115"/>
  <c r="DM526" i="115"/>
  <c r="AG25" i="111"/>
  <c r="AG24" i="111"/>
  <c r="AG79" i="111"/>
  <c r="AN98" i="123"/>
  <c r="DB436" i="115"/>
  <c r="AG28" i="111"/>
  <c r="AN152" i="123"/>
  <c r="AN76" i="123"/>
  <c r="DB902" i="115"/>
  <c r="EU34" i="117" s="1"/>
  <c r="AN19" i="123"/>
  <c r="AN61" i="123"/>
  <c r="AN64" i="123" s="1"/>
  <c r="AN114" i="123"/>
  <c r="AN117" i="123" s="1"/>
  <c r="DA1246" i="115"/>
  <c r="AN118" i="123"/>
  <c r="AR119" i="123" s="1"/>
  <c r="AN65" i="123"/>
  <c r="AR66" i="123" s="1"/>
  <c r="AG51" i="111"/>
  <c r="DB32" i="115"/>
  <c r="DF56" i="115" s="1"/>
  <c r="DB63" i="115"/>
  <c r="DB901" i="115"/>
  <c r="DB1476" i="115"/>
  <c r="DB432" i="115"/>
  <c r="DB447" i="115"/>
  <c r="DB930" i="115"/>
  <c r="DB573" i="115"/>
  <c r="DB557" i="115" s="1"/>
  <c r="DA557" i="115"/>
  <c r="DA449" i="115"/>
  <c r="DA456" i="115"/>
  <c r="DA455" i="115"/>
  <c r="DB779" i="115"/>
  <c r="DB1146" i="115"/>
  <c r="DB559" i="115"/>
  <c r="DF564" i="115" s="1"/>
  <c r="DA938" i="115"/>
  <c r="DA939" i="115" s="1"/>
  <c r="DA934" i="115"/>
  <c r="DA387" i="115"/>
  <c r="DB369" i="115"/>
  <c r="DA386" i="115"/>
  <c r="DA1146" i="115"/>
  <c r="DA1148" i="115" s="1"/>
  <c r="DA559" i="115"/>
  <c r="DE564" i="115" s="1"/>
  <c r="DA902" i="115"/>
  <c r="DA955" i="115"/>
  <c r="DB951" i="115"/>
  <c r="DB434" i="115"/>
  <c r="DB435" i="115"/>
  <c r="DB433" i="115"/>
  <c r="DA34" i="115"/>
  <c r="DE58" i="115" s="1"/>
  <c r="CZ449" i="115"/>
  <c r="CZ456" i="115"/>
  <c r="CZ455" i="115"/>
  <c r="CZ938" i="115"/>
  <c r="CZ939" i="115" s="1"/>
  <c r="CZ779" i="115"/>
  <c r="DL999" i="115"/>
  <c r="DL526" i="115"/>
  <c r="DN525" i="115"/>
  <c r="DN937" i="115"/>
  <c r="DN533" i="115"/>
  <c r="AN129" i="123" l="1"/>
  <c r="AR105" i="123"/>
  <c r="AN123" i="123"/>
  <c r="AR124" i="123" s="1"/>
  <c r="AR121" i="123"/>
  <c r="CZ43" i="115"/>
  <c r="CZ45" i="115" s="1"/>
  <c r="CZ39" i="115"/>
  <c r="CZ41" i="115" s="1"/>
  <c r="AN125" i="123"/>
  <c r="AN72" i="123"/>
  <c r="AN28" i="123"/>
  <c r="AN27" i="123"/>
  <c r="CZ538" i="115"/>
  <c r="CZ536" i="115"/>
  <c r="DB1148" i="115"/>
  <c r="DG206" i="115"/>
  <c r="DH198" i="115"/>
  <c r="DH206" i="115"/>
  <c r="DG204" i="115"/>
  <c r="DM1140" i="115"/>
  <c r="CG43" i="117"/>
  <c r="DL1140" i="115"/>
  <c r="CF43" i="117"/>
  <c r="CH178" i="117"/>
  <c r="AN149" i="123"/>
  <c r="AN95" i="123"/>
  <c r="AG49" i="111"/>
  <c r="AG77" i="111"/>
  <c r="AG64" i="111"/>
  <c r="AN147" i="123"/>
  <c r="AN126" i="123"/>
  <c r="DB65" i="115"/>
  <c r="AG53" i="111"/>
  <c r="AG66" i="111" s="1"/>
  <c r="DB1246" i="115"/>
  <c r="DB34" i="115"/>
  <c r="DF58" i="115" s="1"/>
  <c r="AN93" i="123"/>
  <c r="AN73" i="123"/>
  <c r="DA1553" i="115"/>
  <c r="DB938" i="115"/>
  <c r="DB939" i="115" s="1"/>
  <c r="DB387" i="115"/>
  <c r="DB386" i="115"/>
  <c r="DB900" i="115"/>
  <c r="DB449" i="115"/>
  <c r="DB456" i="115"/>
  <c r="DB455" i="115"/>
  <c r="DA995" i="115"/>
  <c r="DA997" i="115" s="1"/>
  <c r="DA1001" i="115" s="1"/>
  <c r="DA991" i="115"/>
  <c r="DA992" i="115" s="1"/>
  <c r="DA37" i="115"/>
  <c r="DE60" i="115" s="1"/>
  <c r="DB953" i="115"/>
  <c r="DN999" i="115"/>
  <c r="DN526" i="115"/>
  <c r="AE46" i="117"/>
  <c r="AN150" i="123" l="1"/>
  <c r="CZ1135" i="115"/>
  <c r="CZ1136" i="115" s="1"/>
  <c r="AN96" i="123"/>
  <c r="DG196" i="115"/>
  <c r="DI198" i="115"/>
  <c r="DH196" i="115"/>
  <c r="DI206" i="115"/>
  <c r="DJ206" i="115" s="1"/>
  <c r="DK206" i="115" s="1"/>
  <c r="DH204" i="115"/>
  <c r="CH193" i="117"/>
  <c r="CH179" i="117"/>
  <c r="DN1140" i="115"/>
  <c r="CH43" i="117"/>
  <c r="DB67" i="115"/>
  <c r="DB71" i="115" s="1"/>
  <c r="DA1564" i="115"/>
  <c r="DA1566" i="115" s="1"/>
  <c r="DE1567" i="115" s="1"/>
  <c r="DA1561" i="115"/>
  <c r="DA1555" i="115"/>
  <c r="DA1562" i="115" s="1"/>
  <c r="AN32" i="123"/>
  <c r="DB1553" i="115"/>
  <c r="AG55" i="111"/>
  <c r="AG80" i="111" s="1"/>
  <c r="DB995" i="115"/>
  <c r="DB997" i="115" s="1"/>
  <c r="DB1001" i="115" s="1"/>
  <c r="DB991" i="115"/>
  <c r="DB992" i="115" s="1"/>
  <c r="DB37" i="115"/>
  <c r="DF60" i="115" s="1"/>
  <c r="AG62" i="111"/>
  <c r="DA538" i="115"/>
  <c r="DA536" i="115"/>
  <c r="DA43" i="115"/>
  <c r="DA45" i="115" s="1"/>
  <c r="DA39" i="115"/>
  <c r="DA1227" i="115" s="1"/>
  <c r="DA1244" i="115" s="1"/>
  <c r="CZ1072" i="115"/>
  <c r="CZ1143" i="115"/>
  <c r="CZ1141" i="115"/>
  <c r="CZ1142" i="115" s="1"/>
  <c r="CZ1138" i="115"/>
  <c r="DH200" i="115" l="1"/>
  <c r="DH141" i="115"/>
  <c r="DH145" i="115" s="1"/>
  <c r="DI196" i="115"/>
  <c r="DJ196" i="115" s="1"/>
  <c r="DK196" i="115" s="1"/>
  <c r="DL198" i="115"/>
  <c r="DH208" i="115"/>
  <c r="DH119" i="115"/>
  <c r="DH123" i="115" s="1"/>
  <c r="DI204" i="115"/>
  <c r="DJ204" i="115" s="1"/>
  <c r="DK204" i="115" s="1"/>
  <c r="DL206" i="115"/>
  <c r="CH197" i="117"/>
  <c r="CH103" i="117"/>
  <c r="CH107" i="117" s="1"/>
  <c r="AN36" i="123"/>
  <c r="AG58" i="111"/>
  <c r="DB1564" i="115"/>
  <c r="DB43" i="115"/>
  <c r="DB45" i="115" s="1"/>
  <c r="DB39" i="115"/>
  <c r="DB536" i="115"/>
  <c r="AN130" i="123"/>
  <c r="AN77" i="123"/>
  <c r="AN34" i="123"/>
  <c r="DA1568" i="115"/>
  <c r="DE1569" i="115" s="1"/>
  <c r="DB538" i="115"/>
  <c r="DA1523" i="115"/>
  <c r="DA1216" i="115"/>
  <c r="DB1561" i="115"/>
  <c r="DB1555" i="115"/>
  <c r="DA1135" i="115"/>
  <c r="DA1144" i="115" s="1"/>
  <c r="DA41" i="115"/>
  <c r="DA1223" i="115" s="1"/>
  <c r="DA1225" i="115" s="1"/>
  <c r="DA1242" i="115" s="1"/>
  <c r="DM206" i="115" l="1"/>
  <c r="DP206" i="115" s="1"/>
  <c r="DL204" i="115"/>
  <c r="DM198" i="115"/>
  <c r="DL196" i="115"/>
  <c r="DI119" i="115"/>
  <c r="DI123" i="115" s="1"/>
  <c r="DI208" i="115"/>
  <c r="DI200" i="115"/>
  <c r="DI141" i="115"/>
  <c r="DA1217" i="115"/>
  <c r="DA1238" i="115"/>
  <c r="AN37" i="123"/>
  <c r="AN42" i="123" s="1"/>
  <c r="AN140" i="123" s="1"/>
  <c r="DB1227" i="115"/>
  <c r="DB1244" i="115" s="1"/>
  <c r="DB41" i="115"/>
  <c r="DB1135" i="115"/>
  <c r="AG70" i="111"/>
  <c r="AG68" i="111"/>
  <c r="DB1523" i="115"/>
  <c r="DB1216" i="115"/>
  <c r="AN135" i="123"/>
  <c r="AN153" i="123" s="1"/>
  <c r="AN82" i="123"/>
  <c r="AN99" i="123" s="1"/>
  <c r="AN40" i="123"/>
  <c r="AN132" i="123"/>
  <c r="AN134" i="123" s="1"/>
  <c r="AN79" i="123"/>
  <c r="AN81" i="123" s="1"/>
  <c r="DA1072" i="115"/>
  <c r="DA1143" i="115"/>
  <c r="DA1141" i="115"/>
  <c r="DA1142" i="115" s="1"/>
  <c r="DA1136" i="115"/>
  <c r="DA1139" i="115"/>
  <c r="DA1138" i="115"/>
  <c r="DQ206" i="115" l="1"/>
  <c r="DP204" i="115"/>
  <c r="DM196" i="115"/>
  <c r="DN196" i="115" s="1"/>
  <c r="DO196" i="115" s="1"/>
  <c r="DP198" i="115"/>
  <c r="DM204" i="115"/>
  <c r="DN204" i="115" s="1"/>
  <c r="DO204" i="115" s="1"/>
  <c r="DN206" i="115"/>
  <c r="DO206" i="115" s="1"/>
  <c r="DJ141" i="115"/>
  <c r="DI145" i="115"/>
  <c r="DL200" i="115"/>
  <c r="DL141" i="115"/>
  <c r="DL145" i="115" s="1"/>
  <c r="DL208" i="115"/>
  <c r="DL119" i="115"/>
  <c r="DL123" i="115" s="1"/>
  <c r="DB1217" i="115"/>
  <c r="DB1238" i="115"/>
  <c r="DB1141" i="115"/>
  <c r="DB1142" i="115" s="1"/>
  <c r="DB1138" i="115"/>
  <c r="DB1136" i="115"/>
  <c r="AG69" i="111"/>
  <c r="DB1143" i="115"/>
  <c r="DB1223" i="115"/>
  <c r="AG60" i="111"/>
  <c r="AG114" i="111" s="1"/>
  <c r="AN43" i="123"/>
  <c r="AR44" i="123" s="1"/>
  <c r="AN85" i="123"/>
  <c r="AN138" i="123"/>
  <c r="DB1072" i="115"/>
  <c r="DA1073" i="115"/>
  <c r="AR142" i="123" l="1"/>
  <c r="AR88" i="123"/>
  <c r="DM200" i="115"/>
  <c r="DM141" i="115"/>
  <c r="DN141" i="115" s="1"/>
  <c r="DO141" i="115" s="1"/>
  <c r="DP208" i="115"/>
  <c r="DP119" i="115"/>
  <c r="DQ198" i="115"/>
  <c r="DQ196" i="115" s="1"/>
  <c r="DP196" i="115"/>
  <c r="DR206" i="115"/>
  <c r="DS206" i="115" s="1"/>
  <c r="DQ204" i="115"/>
  <c r="DM119" i="115"/>
  <c r="DM123" i="115" s="1"/>
  <c r="DM208" i="115"/>
  <c r="AN141" i="123"/>
  <c r="AN87" i="123"/>
  <c r="AN45" i="123"/>
  <c r="AG59" i="111"/>
  <c r="AG108" i="111"/>
  <c r="AG124" i="111" s="1"/>
  <c r="AN154" i="123"/>
  <c r="AG84" i="111"/>
  <c r="DI866" i="115"/>
  <c r="DH866" i="115"/>
  <c r="DM145" i="115" l="1"/>
  <c r="DQ208" i="115"/>
  <c r="DQ119" i="115"/>
  <c r="DR204" i="115"/>
  <c r="DS204" i="115" s="1"/>
  <c r="DP200" i="115"/>
  <c r="DP141" i="115"/>
  <c r="DQ141" i="115"/>
  <c r="DR196" i="115"/>
  <c r="DS196" i="115" s="1"/>
  <c r="DQ200" i="115"/>
  <c r="DP123" i="115"/>
  <c r="AN100" i="123"/>
  <c r="DQ145" i="115" l="1"/>
  <c r="DR141" i="115"/>
  <c r="DS141" i="115" s="1"/>
  <c r="DP145" i="115"/>
  <c r="DQ123" i="115"/>
  <c r="DH497" i="115" l="1"/>
  <c r="DI497" i="115" s="1"/>
  <c r="DL497" i="115" s="1"/>
  <c r="DM497" i="115" s="1"/>
  <c r="DP497" i="115" s="1"/>
  <c r="DQ497" i="115" s="1"/>
  <c r="DI1486" i="115" l="1"/>
  <c r="DL1486" i="115" s="1"/>
  <c r="CZ1472" i="115"/>
  <c r="CW1472" i="115"/>
  <c r="CZ1447" i="115"/>
  <c r="CZ1449" i="115" s="1"/>
  <c r="CW1447" i="115"/>
  <c r="CX1447" i="115" s="1"/>
  <c r="CV1447" i="115"/>
  <c r="CV1449" i="115" s="1"/>
  <c r="CX1448" i="115"/>
  <c r="CX1426" i="115"/>
  <c r="CZ1425" i="115"/>
  <c r="CZ1427" i="115" s="1"/>
  <c r="CW1425" i="115"/>
  <c r="CX1425" i="115" s="1"/>
  <c r="CV1426" i="115"/>
  <c r="CV1472" i="115" s="1"/>
  <c r="CV1425" i="115"/>
  <c r="DM1486" i="115" l="1"/>
  <c r="DP1486" i="115" s="1"/>
  <c r="DQ1486" i="115" s="1"/>
  <c r="CX1471" i="115"/>
  <c r="CV1471" i="115"/>
  <c r="CX1472" i="115"/>
  <c r="CW1471" i="115"/>
  <c r="CZ1471" i="115"/>
  <c r="DL1471" i="115" s="1"/>
  <c r="DM1471" i="115" s="1"/>
  <c r="DP1471" i="115" s="1"/>
  <c r="DQ1471" i="115" s="1"/>
  <c r="DH1472" i="115"/>
  <c r="CW1449" i="115"/>
  <c r="CW1454" i="115" s="1"/>
  <c r="CW1455" i="115" s="1"/>
  <c r="CZ1454" i="115"/>
  <c r="CZ1455" i="115" s="1"/>
  <c r="CV1454" i="115"/>
  <c r="CV1455" i="115" s="1"/>
  <c r="DH1454" i="115"/>
  <c r="CV1427" i="115"/>
  <c r="CW1427" i="115"/>
  <c r="DI1472" i="115" l="1"/>
  <c r="DL1472" i="115" s="1"/>
  <c r="DM1472" i="115" s="1"/>
  <c r="DP1472" i="115" s="1"/>
  <c r="DQ1472" i="115" s="1"/>
  <c r="DI1454" i="115"/>
  <c r="DL1454" i="115" s="1"/>
  <c r="DH1455" i="115"/>
  <c r="DL1455" i="115" l="1"/>
  <c r="DM1454" i="115"/>
  <c r="DI1455" i="115"/>
  <c r="DM1455" i="115" l="1"/>
  <c r="DP1454" i="115"/>
  <c r="CV1464" i="115"/>
  <c r="DH1465" i="115"/>
  <c r="DI1465" i="115" s="1"/>
  <c r="DL1465" i="115" s="1"/>
  <c r="DM1465" i="115" s="1"/>
  <c r="DP1465" i="115" s="1"/>
  <c r="DQ1465" i="115" s="1"/>
  <c r="CZ1465" i="115"/>
  <c r="CW1465" i="115"/>
  <c r="CV1465" i="115"/>
  <c r="CZ1464" i="115"/>
  <c r="CW1464" i="115"/>
  <c r="CZ1434" i="115"/>
  <c r="CZ1440" i="115" s="1"/>
  <c r="CW1434" i="115"/>
  <c r="CW1440" i="115" s="1"/>
  <c r="CW1441" i="115" s="1"/>
  <c r="CV1434" i="115"/>
  <c r="CV1440" i="115" s="1"/>
  <c r="CV1441" i="115" s="1"/>
  <c r="CX1433" i="115"/>
  <c r="CX1432" i="115"/>
  <c r="CX1413" i="115"/>
  <c r="CX1412" i="115"/>
  <c r="CV1414" i="115"/>
  <c r="CW1414" i="115"/>
  <c r="CZ1414" i="115"/>
  <c r="DP1455" i="115" l="1"/>
  <c r="DQ1454" i="115"/>
  <c r="DQ1455" i="115" s="1"/>
  <c r="DH1464" i="115"/>
  <c r="DI1464" i="115" s="1"/>
  <c r="DL1464" i="115" s="1"/>
  <c r="DM1464" i="115" s="1"/>
  <c r="DP1464" i="115" s="1"/>
  <c r="DQ1464" i="115" s="1"/>
  <c r="CX1464" i="115"/>
  <c r="CZ1466" i="115"/>
  <c r="CX1465" i="115"/>
  <c r="CZ1441" i="115"/>
  <c r="CV576" i="115"/>
  <c r="CW576" i="115"/>
  <c r="CV598" i="115"/>
  <c r="CX567" i="115"/>
  <c r="AL11" i="111"/>
  <c r="P11" i="111" s="1"/>
  <c r="AN11" i="111" l="1"/>
  <c r="AO11" i="111" s="1"/>
  <c r="AP11" i="111" s="1"/>
  <c r="AQ11" i="111" s="1"/>
  <c r="AR11" i="111" s="1"/>
  <c r="AO10" i="111"/>
  <c r="AP10" i="111" s="1"/>
  <c r="AQ10" i="111" s="1"/>
  <c r="AR10" i="111" s="1"/>
  <c r="DH1440" i="115" l="1"/>
  <c r="DH1441" i="115" l="1"/>
  <c r="DI1440" i="115"/>
  <c r="DL1440" i="115" s="1"/>
  <c r="DM1440" i="115" l="1"/>
  <c r="DP1440" i="115" s="1"/>
  <c r="DL1441" i="115"/>
  <c r="DI1441" i="115"/>
  <c r="DI924" i="115"/>
  <c r="DH924" i="115"/>
  <c r="DQ1440" i="115" l="1"/>
  <c r="DP1441" i="115"/>
  <c r="DM1441" i="115"/>
  <c r="CW88" i="115"/>
  <c r="CZ92" i="115" s="1"/>
  <c r="CV88" i="115"/>
  <c r="DQ1441" i="115" l="1"/>
  <c r="DI96" i="115"/>
  <c r="DH96" i="115"/>
  <c r="CW95" i="115"/>
  <c r="CV95" i="115"/>
  <c r="CX95" i="115" s="1"/>
  <c r="CW38" i="115" l="1"/>
  <c r="CZ1271" i="115"/>
  <c r="CZ1349" i="115"/>
  <c r="DB1349" i="115" s="1"/>
  <c r="CZ1415" i="115"/>
  <c r="CZ1513" i="115"/>
  <c r="CZ1418" i="115"/>
  <c r="CZ1298" i="115"/>
  <c r="DC1298" i="115" s="1"/>
  <c r="CZ1299" i="115" l="1"/>
  <c r="CW242" i="115"/>
  <c r="CV242" i="115"/>
  <c r="A168" i="115"/>
  <c r="CX42" i="115"/>
  <c r="CV18" i="115"/>
  <c r="CW18" i="115"/>
  <c r="DC1299" i="115" l="1"/>
  <c r="DA1372" i="115"/>
  <c r="CX242" i="115"/>
  <c r="CZ1598" i="115"/>
  <c r="DB1598" i="115" s="1"/>
  <c r="CZ1597" i="115"/>
  <c r="DB1597" i="115" s="1"/>
  <c r="CZ1596" i="115"/>
  <c r="DB1596" i="115" s="1"/>
  <c r="CZ1595" i="115"/>
  <c r="DB1595" i="115" s="1"/>
  <c r="CZ1594" i="115"/>
  <c r="DB1594" i="115" s="1"/>
  <c r="CZ1593" i="115"/>
  <c r="DB1593" i="115" s="1"/>
  <c r="CZ1592" i="115"/>
  <c r="DB1592" i="115" s="1"/>
  <c r="CZ1580" i="115"/>
  <c r="CZ1554" i="115" s="1"/>
  <c r="CZ1557" i="115"/>
  <c r="CZ1529" i="115"/>
  <c r="CZ1520" i="115"/>
  <c r="DB1520" i="115" s="1"/>
  <c r="CZ1518" i="115"/>
  <c r="DB1518" i="115" s="1"/>
  <c r="DB1519" i="115" s="1"/>
  <c r="CZ1509" i="115"/>
  <c r="CZ1508" i="115"/>
  <c r="CZ1507" i="115"/>
  <c r="CZ1506" i="115"/>
  <c r="CZ1500" i="115"/>
  <c r="CZ1501" i="115" s="1"/>
  <c r="CZ1498" i="115"/>
  <c r="CZ1497" i="115"/>
  <c r="CZ1493" i="115"/>
  <c r="CZ1492" i="115"/>
  <c r="CZ1488" i="115"/>
  <c r="CZ1486" i="115" s="1"/>
  <c r="CZ1474" i="115"/>
  <c r="CZ1461" i="115"/>
  <c r="CZ1473" i="115"/>
  <c r="CZ1422" i="115"/>
  <c r="CZ1484" i="115" s="1"/>
  <c r="CZ1467" i="115"/>
  <c r="CZ1390" i="115"/>
  <c r="CZ1302" i="115" s="1"/>
  <c r="CZ1371" i="115"/>
  <c r="CZ1370" i="115"/>
  <c r="CZ1369" i="115"/>
  <c r="CZ1368" i="115"/>
  <c r="CZ1367" i="115"/>
  <c r="CZ1362" i="115"/>
  <c r="CZ1363" i="115" s="1"/>
  <c r="CZ1361" i="115"/>
  <c r="CZ1351" i="115"/>
  <c r="DA1346" i="115" s="1"/>
  <c r="DA1350" i="115" s="1"/>
  <c r="CZ1348" i="115"/>
  <c r="DB1348" i="115" s="1"/>
  <c r="CZ1342" i="115"/>
  <c r="CZ1340" i="115"/>
  <c r="CZ1338" i="115"/>
  <c r="CZ1339" i="115" s="1"/>
  <c r="CZ1334" i="115"/>
  <c r="DA1331" i="115" s="1"/>
  <c r="DA1332" i="115" s="1"/>
  <c r="CZ1327" i="115"/>
  <c r="CZ1323" i="115"/>
  <c r="CZ1322" i="115"/>
  <c r="CZ1319" i="115"/>
  <c r="CZ1317" i="115"/>
  <c r="CZ1310" i="115"/>
  <c r="CZ1284" i="115"/>
  <c r="CZ1272" i="115"/>
  <c r="CZ1276" i="115" s="1"/>
  <c r="CZ1234" i="115"/>
  <c r="CZ1233" i="115"/>
  <c r="CZ1240" i="115" s="1"/>
  <c r="CZ1232" i="115"/>
  <c r="CZ1224" i="115"/>
  <c r="DB1224" i="115" s="1"/>
  <c r="DB1225" i="115" s="1"/>
  <c r="DB1242" i="115" s="1"/>
  <c r="CZ1221" i="115"/>
  <c r="CZ1213" i="115"/>
  <c r="CZ1209" i="115"/>
  <c r="DA1210" i="115" s="1"/>
  <c r="DA1211" i="115" s="1"/>
  <c r="CZ1311" i="115"/>
  <c r="CZ1281" i="115"/>
  <c r="CZ1604" i="115"/>
  <c r="DB1604" i="115" s="1"/>
  <c r="CZ1606" i="115"/>
  <c r="DB1606" i="115" s="1"/>
  <c r="DB1609" i="115" l="1"/>
  <c r="DB1521" i="115"/>
  <c r="DB1599" i="115"/>
  <c r="DA1352" i="115"/>
  <c r="CZ1324" i="115"/>
  <c r="CZ1288" i="115"/>
  <c r="CZ1499" i="115"/>
  <c r="CZ1504" i="115" s="1"/>
  <c r="CZ1475" i="115"/>
  <c r="CZ1341" i="115"/>
  <c r="CZ1343" i="115" s="1"/>
  <c r="CZ1442" i="115"/>
  <c r="CZ1599" i="115"/>
  <c r="CZ1558" i="115" s="1"/>
  <c r="CZ1559" i="115" s="1"/>
  <c r="CZ1364" i="115"/>
  <c r="CZ1436" i="115"/>
  <c r="CZ1437" i="115" s="1"/>
  <c r="CZ1452" i="115" s="1"/>
  <c r="CZ1451" i="115" s="1"/>
  <c r="CZ1458" i="115" s="1"/>
  <c r="CZ1510" i="115"/>
  <c r="CZ1312" i="115"/>
  <c r="CZ1423" i="115"/>
  <c r="CZ1609" i="115"/>
  <c r="CZ1485" i="115"/>
  <c r="CZ1358" i="115"/>
  <c r="DA1356" i="115" s="1"/>
  <c r="DA1357" i="115" s="1"/>
  <c r="DA1359" i="115" s="1"/>
  <c r="CZ1487" i="115"/>
  <c r="CZ1416" i="115"/>
  <c r="CZ1417" i="115" s="1"/>
  <c r="CZ1347" i="115"/>
  <c r="DB1347" i="115" s="1"/>
  <c r="CZ1517" i="115"/>
  <c r="CZ1519" i="115" s="1"/>
  <c r="CZ1521" i="115" s="1"/>
  <c r="DB1565" i="115" l="1"/>
  <c r="DB1566" i="115" s="1"/>
  <c r="DF1567" i="115" s="1"/>
  <c r="DB1558" i="115"/>
  <c r="DB1559" i="115" s="1"/>
  <c r="DB1562" i="115" s="1"/>
  <c r="CZ1565" i="115"/>
  <c r="CZ1512" i="115"/>
  <c r="CZ1457" i="115"/>
  <c r="CZ1456" i="115"/>
  <c r="CZ1478" i="115"/>
  <c r="CZ1445" i="115" s="1"/>
  <c r="CZ1463" i="115"/>
  <c r="CZ1468" i="115"/>
  <c r="CZ1300" i="115"/>
  <c r="CZ1407" i="115"/>
  <c r="CW681" i="115"/>
  <c r="CW683" i="115"/>
  <c r="CX1388" i="115"/>
  <c r="DA1530" i="115" l="1"/>
  <c r="CZ267" i="115"/>
  <c r="CZ1158" i="115"/>
  <c r="CZ1301" i="115"/>
  <c r="CZ1252" i="115" s="1"/>
  <c r="CZ1160" i="115" s="1"/>
  <c r="CZ1191" i="115" s="1"/>
  <c r="DC1300" i="115"/>
  <c r="DB1568" i="115"/>
  <c r="DF1569" i="115" s="1"/>
  <c r="CZ1481" i="115"/>
  <c r="CZ1444" i="115"/>
  <c r="CZ1462" i="115"/>
  <c r="CZ1443" i="115" s="1"/>
  <c r="CZ1469" i="115"/>
  <c r="CZ1430" i="115"/>
  <c r="CZ1429" i="115" s="1"/>
  <c r="CZ1476" i="115" s="1"/>
  <c r="CZ1480" i="115"/>
  <c r="CZ1479" i="115"/>
  <c r="CZ1263" i="115"/>
  <c r="CZ1264" i="115"/>
  <c r="CZ1490" i="115"/>
  <c r="CZ1255" i="115"/>
  <c r="CZ1180" i="115"/>
  <c r="CZ1336" i="115"/>
  <c r="CZ1179" i="115" l="1"/>
  <c r="CZ1409" i="115"/>
  <c r="CZ1410" i="115" s="1"/>
  <c r="CZ264" i="115"/>
  <c r="CZ270" i="115"/>
  <c r="CZ1483" i="115"/>
  <c r="CZ1482" i="115"/>
  <c r="CZ1246" i="115"/>
  <c r="CZ1267" i="115"/>
  <c r="CZ1181" i="115"/>
  <c r="CZ1183" i="115" s="1"/>
  <c r="CZ1184" i="115" s="1"/>
  <c r="CZ1261" i="115"/>
  <c r="CZ1265" i="115" s="1"/>
  <c r="CZ1259" i="115"/>
  <c r="DH1388" i="115"/>
  <c r="DI1388" i="115" s="1"/>
  <c r="DJ1388" i="115" l="1"/>
  <c r="DL1388" i="115"/>
  <c r="DM1388" i="115" s="1"/>
  <c r="CZ1553" i="115"/>
  <c r="CZ1277" i="115"/>
  <c r="CZ1273" i="115"/>
  <c r="DN1388" i="115" l="1"/>
  <c r="DP1388" i="115"/>
  <c r="DQ1388" i="115" s="1"/>
  <c r="DR1388" i="115" s="1"/>
  <c r="CZ1561" i="115"/>
  <c r="CZ1555" i="115"/>
  <c r="CZ1562" i="115" s="1"/>
  <c r="CZ993" i="115" s="1"/>
  <c r="CZ1564" i="115"/>
  <c r="CZ1566" i="115" s="1"/>
  <c r="DD1567" i="115" s="1"/>
  <c r="CZ1227" i="115" l="1"/>
  <c r="CZ1244" i="115" s="1"/>
  <c r="CZ1568" i="115"/>
  <c r="DD1569" i="115" s="1"/>
  <c r="CZ1216" i="115"/>
  <c r="CZ1523" i="115"/>
  <c r="BT46" i="117" l="1"/>
  <c r="CZ1217" i="115"/>
  <c r="CZ1238" i="115"/>
  <c r="CZ1130" i="115" s="1"/>
  <c r="CZ1137" i="115" s="1"/>
  <c r="CZ1223" i="115"/>
  <c r="CZ1225" i="115" s="1"/>
  <c r="CZ1242" i="115" s="1"/>
  <c r="DH1164" i="115" l="1"/>
  <c r="DI1164" i="115" s="1"/>
  <c r="DL1164" i="115" s="1"/>
  <c r="DM1164" i="115" l="1"/>
  <c r="BI1323" i="115"/>
  <c r="BH1323" i="115"/>
  <c r="BI1322" i="115"/>
  <c r="BH1322" i="115"/>
  <c r="BM1323" i="115"/>
  <c r="BL1323" i="115"/>
  <c r="BM1322" i="115"/>
  <c r="BL1322" i="115"/>
  <c r="BQ1323" i="115"/>
  <c r="BP1323" i="115"/>
  <c r="BQ1322" i="115"/>
  <c r="BP1322" i="115"/>
  <c r="BU1323" i="115"/>
  <c r="BT1323" i="115"/>
  <c r="BU1322" i="115"/>
  <c r="BT1322" i="115"/>
  <c r="BY1323" i="115"/>
  <c r="BX1323" i="115"/>
  <c r="BY1322" i="115"/>
  <c r="BX1322" i="115"/>
  <c r="CC1323" i="115"/>
  <c r="CB1323" i="115"/>
  <c r="CC1322" i="115"/>
  <c r="CB1322" i="115"/>
  <c r="CG1323" i="115"/>
  <c r="CF1323" i="115"/>
  <c r="CG1322" i="115"/>
  <c r="CF1322" i="115"/>
  <c r="CK1323" i="115"/>
  <c r="CJ1323" i="115"/>
  <c r="CK1322" i="115"/>
  <c r="CJ1322" i="115"/>
  <c r="CO1323" i="115"/>
  <c r="CN1323" i="115"/>
  <c r="CO1322" i="115"/>
  <c r="CN1322" i="115"/>
  <c r="CS1323" i="115"/>
  <c r="CR1323" i="115"/>
  <c r="CS1322" i="115"/>
  <c r="CR1322" i="115"/>
  <c r="CW1323" i="115"/>
  <c r="CW1322" i="115"/>
  <c r="CV1323" i="115"/>
  <c r="CV1322" i="115"/>
  <c r="DP1164" i="115" l="1"/>
  <c r="CW1324" i="115"/>
  <c r="CJ1324" i="115"/>
  <c r="BY1324" i="115"/>
  <c r="CK1324" i="115"/>
  <c r="CR1324" i="115"/>
  <c r="CN1324" i="115"/>
  <c r="CF1324" i="115"/>
  <c r="CB1324" i="115"/>
  <c r="BX1324" i="115"/>
  <c r="BT1324" i="115"/>
  <c r="BP1324" i="115"/>
  <c r="BL1324" i="115"/>
  <c r="BH1324" i="115"/>
  <c r="CS1324" i="115"/>
  <c r="CO1324" i="115"/>
  <c r="CG1324" i="115"/>
  <c r="CC1324" i="115"/>
  <c r="BU1324" i="115"/>
  <c r="BQ1324" i="115"/>
  <c r="BM1324" i="115"/>
  <c r="BI1324" i="115"/>
  <c r="CV1324" i="115"/>
  <c r="DQ1164" i="115" l="1"/>
  <c r="DH1324" i="115" l="1"/>
  <c r="DI1324" i="115" l="1"/>
  <c r="DL1324" i="115" s="1"/>
  <c r="DM1324" i="115" l="1"/>
  <c r="DP1324" i="115" s="1"/>
  <c r="DQ1324" i="115" s="1"/>
  <c r="CW36" i="115"/>
  <c r="CV36" i="115"/>
  <c r="CX36" i="115" l="1"/>
  <c r="CW348" i="115"/>
  <c r="CZ356" i="115" s="1"/>
  <c r="CW349" i="115"/>
  <c r="CZ357" i="115" s="1"/>
  <c r="CW350" i="115"/>
  <c r="CZ358" i="115" s="1"/>
  <c r="CW351" i="115"/>
  <c r="CZ359" i="115" s="1"/>
  <c r="CW149" i="115"/>
  <c r="CZ161" i="115" s="1"/>
  <c r="CW151" i="115"/>
  <c r="CZ163" i="115" s="1"/>
  <c r="CW773" i="115"/>
  <c r="CV773" i="115"/>
  <c r="CS773" i="115"/>
  <c r="CR773" i="115"/>
  <c r="CO773" i="115"/>
  <c r="CN773" i="115"/>
  <c r="CK773" i="115"/>
  <c r="CJ773" i="115"/>
  <c r="CG773" i="115"/>
  <c r="CF773" i="115"/>
  <c r="CC773" i="115"/>
  <c r="CB773" i="115"/>
  <c r="BY773" i="115"/>
  <c r="BX773" i="115"/>
  <c r="BU773" i="115"/>
  <c r="BT773" i="115"/>
  <c r="BQ773" i="115"/>
  <c r="BP773" i="115"/>
  <c r="AF57" i="111" l="1"/>
  <c r="BQ48" i="117"/>
  <c r="BP48" i="117"/>
  <c r="BM48" i="117"/>
  <c r="BL48" i="117"/>
  <c r="BI48" i="117"/>
  <c r="BH48" i="117"/>
  <c r="BE48" i="117"/>
  <c r="BD48" i="117"/>
  <c r="BA48" i="117"/>
  <c r="AZ48" i="117"/>
  <c r="AW48" i="117"/>
  <c r="AV48" i="117"/>
  <c r="AS48" i="117"/>
  <c r="AR48" i="117"/>
  <c r="AO48" i="117"/>
  <c r="AN48" i="117"/>
  <c r="AK48" i="117"/>
  <c r="AJ48" i="117"/>
  <c r="AG48" i="117"/>
  <c r="AF48" i="117"/>
  <c r="AE48" i="117"/>
  <c r="AC48" i="117"/>
  <c r="AB48" i="117"/>
  <c r="CX157" i="115" l="1"/>
  <c r="CX155" i="115"/>
  <c r="CX153" i="115"/>
  <c r="CX152" i="115"/>
  <c r="CX1322" i="115" s="1"/>
  <c r="CX151" i="115"/>
  <c r="DC151" i="115" s="1"/>
  <c r="CX149" i="115"/>
  <c r="CW154" i="115"/>
  <c r="CZ166" i="115" s="1"/>
  <c r="CX349" i="115"/>
  <c r="CX350" i="115"/>
  <c r="CX351" i="115"/>
  <c r="CX348" i="115"/>
  <c r="CW248" i="115"/>
  <c r="CW249" i="115"/>
  <c r="AF7" i="111" l="1"/>
  <c r="DC149" i="115"/>
  <c r="AN5" i="123" s="1"/>
  <c r="CW156" i="115"/>
  <c r="CX154" i="115"/>
  <c r="BQ53" i="117"/>
  <c r="CX1048" i="115"/>
  <c r="CW1415" i="115"/>
  <c r="CW1418" i="115"/>
  <c r="CW1298" i="115"/>
  <c r="CW1271" i="115"/>
  <c r="CS1102" i="115"/>
  <c r="CW1107" i="115"/>
  <c r="CZ1101" i="115" s="1"/>
  <c r="DB1101" i="115" s="1"/>
  <c r="CW1083" i="115"/>
  <c r="CW1060" i="115"/>
  <c r="CW680" i="115"/>
  <c r="CV642" i="115"/>
  <c r="CW584" i="115"/>
  <c r="CW580" i="115"/>
  <c r="CW876" i="115"/>
  <c r="CW875" i="115" s="1"/>
  <c r="CW880" i="115"/>
  <c r="CW879" i="115" s="1"/>
  <c r="CW842" i="115"/>
  <c r="CW841" i="115"/>
  <c r="CW840" i="115"/>
  <c r="CX403" i="115"/>
  <c r="CW418" i="115"/>
  <c r="CX421" i="115"/>
  <c r="CX419" i="115"/>
  <c r="CW30" i="115"/>
  <c r="CW843" i="115" s="1"/>
  <c r="CW25" i="115"/>
  <c r="DA53" i="115" s="1"/>
  <c r="CV1173" i="115"/>
  <c r="CZ168" i="115" l="1"/>
  <c r="AG10" i="111"/>
  <c r="AF9" i="111"/>
  <c r="DC154" i="115"/>
  <c r="AN9" i="123" s="1"/>
  <c r="CW1299" i="115"/>
  <c r="CZ1372" i="115" s="1"/>
  <c r="CW158" i="115"/>
  <c r="CZ170" i="115" s="1"/>
  <c r="BR53" i="117"/>
  <c r="CX156" i="115"/>
  <c r="CW1108" i="115"/>
  <c r="CX1108" i="115" s="1"/>
  <c r="CW844" i="115"/>
  <c r="CW581" i="115"/>
  <c r="CX1387" i="115"/>
  <c r="CX1608" i="115"/>
  <c r="CX1607" i="115"/>
  <c r="CX1605" i="115"/>
  <c r="CW1598" i="115"/>
  <c r="CW1597" i="115"/>
  <c r="CW1596" i="115"/>
  <c r="CW1595" i="115"/>
  <c r="CW1594" i="115"/>
  <c r="CW1593" i="115"/>
  <c r="CW1592" i="115"/>
  <c r="CW1580" i="115"/>
  <c r="CW1554" i="115" s="1"/>
  <c r="CX1579" i="115"/>
  <c r="CX1578" i="115"/>
  <c r="CX1577" i="115"/>
  <c r="CX1576" i="115"/>
  <c r="CX1575" i="115"/>
  <c r="CX1574" i="115"/>
  <c r="CX1573" i="115"/>
  <c r="CW1557" i="115"/>
  <c r="CX1529" i="115"/>
  <c r="CW1529" i="115"/>
  <c r="CW1520" i="115"/>
  <c r="CW1518" i="115"/>
  <c r="CW1509" i="115"/>
  <c r="CW1508" i="115"/>
  <c r="CW1507" i="115"/>
  <c r="CW1506" i="115"/>
  <c r="CW1500" i="115"/>
  <c r="CW1501" i="115" s="1"/>
  <c r="CW1498" i="115"/>
  <c r="CW1497" i="115"/>
  <c r="CW1488" i="115"/>
  <c r="CW1475" i="115"/>
  <c r="CW1474" i="115"/>
  <c r="CW1466" i="115"/>
  <c r="CW1461" i="115"/>
  <c r="CW1442" i="115" s="1"/>
  <c r="CW1436" i="115"/>
  <c r="CW1437" i="115" s="1"/>
  <c r="CW1452" i="115" s="1"/>
  <c r="CW1473" i="115"/>
  <c r="CW1422" i="115"/>
  <c r="CW1484" i="115" s="1"/>
  <c r="CW1416" i="115"/>
  <c r="CW1417" i="115" s="1"/>
  <c r="CW1396" i="115"/>
  <c r="CX1396" i="115" s="1"/>
  <c r="CX1389" i="115"/>
  <c r="CX1386" i="115"/>
  <c r="CX1385" i="115"/>
  <c r="CX1384" i="115"/>
  <c r="CX1383" i="115"/>
  <c r="CX1382" i="115"/>
  <c r="CX1381" i="115"/>
  <c r="CX1380" i="115"/>
  <c r="CX1379" i="115"/>
  <c r="CX1378" i="115"/>
  <c r="CX1377" i="115"/>
  <c r="CX1376" i="115"/>
  <c r="CX1375" i="115"/>
  <c r="CW1371" i="115"/>
  <c r="CW1370" i="115"/>
  <c r="CW1369" i="115"/>
  <c r="CW1368" i="115"/>
  <c r="CW1362" i="115"/>
  <c r="CW1363" i="115" s="1"/>
  <c r="CW1361" i="115"/>
  <c r="CW1351" i="115"/>
  <c r="CZ1346" i="115" s="1"/>
  <c r="CX1349" i="115"/>
  <c r="CW1348" i="115"/>
  <c r="CW1340" i="115"/>
  <c r="CW1338" i="115"/>
  <c r="CW1339" i="115" s="1"/>
  <c r="CW1334" i="115"/>
  <c r="CZ1331" i="115" s="1"/>
  <c r="CX1333" i="115"/>
  <c r="CW1327" i="115"/>
  <c r="CW1319" i="115"/>
  <c r="CW1317" i="115"/>
  <c r="CW1310" i="115"/>
  <c r="CX1310" i="115" s="1"/>
  <c r="CX1308" i="115"/>
  <c r="CX1304" i="115"/>
  <c r="CX1303" i="115"/>
  <c r="CX1298" i="115"/>
  <c r="CW1358" i="115"/>
  <c r="CZ1356" i="115" s="1"/>
  <c r="CX1297" i="115"/>
  <c r="CX1338" i="115" s="1"/>
  <c r="CX1339" i="115" s="1"/>
  <c r="CX1296" i="115"/>
  <c r="CX1295" i="115"/>
  <c r="CX1294" i="115"/>
  <c r="CX1351" i="115" s="1"/>
  <c r="DC1351" i="115" s="1"/>
  <c r="CX1293" i="115"/>
  <c r="CX1327" i="115" s="1"/>
  <c r="CX1292" i="115"/>
  <c r="CX1323" i="115" s="1"/>
  <c r="CX1324" i="115" s="1"/>
  <c r="CX1290" i="115"/>
  <c r="CX1319" i="115" s="1"/>
  <c r="CX1289" i="115"/>
  <c r="CX1317" i="115" s="1"/>
  <c r="CX1287" i="115"/>
  <c r="CX1286" i="115"/>
  <c r="CX1285" i="115"/>
  <c r="CW1284" i="115"/>
  <c r="CX1284" i="115" s="1"/>
  <c r="CX1283" i="115"/>
  <c r="CX1282" i="115"/>
  <c r="CX1275" i="115"/>
  <c r="CX1274" i="115"/>
  <c r="CW1272" i="115"/>
  <c r="CW1276" i="115" s="1"/>
  <c r="CX1270" i="115"/>
  <c r="CX1269" i="115"/>
  <c r="CX1268" i="115"/>
  <c r="CW1258" i="115"/>
  <c r="CW1260" i="115"/>
  <c r="CW1234" i="115"/>
  <c r="CW1233" i="115"/>
  <c r="CW1240" i="115" s="1"/>
  <c r="CW1232" i="115"/>
  <c r="CX1229" i="115"/>
  <c r="CX1233" i="115" s="1"/>
  <c r="CX1240" i="115" s="1"/>
  <c r="DC1240" i="115" s="1"/>
  <c r="CW1224" i="115"/>
  <c r="CX1221" i="115"/>
  <c r="CW1221" i="115"/>
  <c r="CX1213" i="115"/>
  <c r="CW1213" i="115"/>
  <c r="CW1209" i="115"/>
  <c r="CW1197" i="115"/>
  <c r="CZ1062" i="115" s="1"/>
  <c r="DB1062" i="115" s="1"/>
  <c r="AG88" i="111" s="1"/>
  <c r="CV1176" i="115"/>
  <c r="CW1104" i="115" s="1"/>
  <c r="CV1175" i="115"/>
  <c r="CW1061" i="115" s="1"/>
  <c r="CW1182" i="115"/>
  <c r="CW1163" i="115"/>
  <c r="CW1166" i="115" s="1"/>
  <c r="CW1131" i="115"/>
  <c r="CX1131" i="115" s="1"/>
  <c r="CW1128" i="115"/>
  <c r="CW1127" i="115"/>
  <c r="CX1126" i="115"/>
  <c r="CX1125" i="115"/>
  <c r="CW1115" i="115"/>
  <c r="CW1103" i="115"/>
  <c r="CX1102" i="115"/>
  <c r="CW1101" i="115"/>
  <c r="CW1095" i="115"/>
  <c r="CZ1093" i="115" s="1"/>
  <c r="CW1090" i="115"/>
  <c r="CZ1088" i="115" s="1"/>
  <c r="CW1085" i="115"/>
  <c r="CZ1081" i="115" s="1"/>
  <c r="CX1083" i="115"/>
  <c r="CX1082" i="115"/>
  <c r="CW1078" i="115"/>
  <c r="CZ1068" i="115" s="1"/>
  <c r="CX1075" i="115"/>
  <c r="CX1074" i="115"/>
  <c r="CX1071" i="115"/>
  <c r="CX1070" i="115"/>
  <c r="CX1069" i="115"/>
  <c r="CW1065" i="115"/>
  <c r="CZ1058" i="115" s="1"/>
  <c r="CX1063" i="115"/>
  <c r="CX1059" i="115"/>
  <c r="CX1045" i="115"/>
  <c r="CX1095" i="115" s="1"/>
  <c r="CX1044" i="115"/>
  <c r="CX1090" i="115" s="1"/>
  <c r="CW1043" i="115"/>
  <c r="CW1046" i="115" s="1"/>
  <c r="CX1042" i="115"/>
  <c r="CX1041" i="115"/>
  <c r="CX1085" i="115" s="1"/>
  <c r="CX1040" i="115"/>
  <c r="CX1036" i="115"/>
  <c r="CX38" i="115" s="1"/>
  <c r="CX1035" i="115"/>
  <c r="CX1034" i="115"/>
  <c r="CX1033" i="115"/>
  <c r="CX1032" i="115"/>
  <c r="CW1031" i="115"/>
  <c r="CX1027" i="115"/>
  <c r="CW1024" i="115"/>
  <c r="CW40" i="115" s="1"/>
  <c r="CX1023" i="115"/>
  <c r="CX1022" i="115"/>
  <c r="CX1021" i="115"/>
  <c r="CX1020" i="115"/>
  <c r="CX1019" i="115"/>
  <c r="CX1018" i="115"/>
  <c r="CX1017" i="115"/>
  <c r="CX1016" i="115"/>
  <c r="CW1004" i="115"/>
  <c r="CX1003" i="115"/>
  <c r="CW998" i="115"/>
  <c r="CW990" i="115"/>
  <c r="CW966" i="115"/>
  <c r="CX964" i="115"/>
  <c r="CW961" i="115"/>
  <c r="CW969" i="115" s="1"/>
  <c r="CW949" i="115"/>
  <c r="CW948" i="115"/>
  <c r="CW947" i="115"/>
  <c r="CW946" i="115"/>
  <c r="CW945" i="115"/>
  <c r="CW943" i="115"/>
  <c r="CW929" i="115"/>
  <c r="CZ933" i="115" s="1"/>
  <c r="CX923" i="115"/>
  <c r="CX883" i="115" s="1"/>
  <c r="CX911" i="115"/>
  <c r="CW910" i="115"/>
  <c r="CW909" i="115"/>
  <c r="CX908" i="115"/>
  <c r="CX886" i="115"/>
  <c r="CX884" i="115"/>
  <c r="CW883" i="115"/>
  <c r="CW892" i="115" s="1"/>
  <c r="CX872" i="115"/>
  <c r="CW905" i="115"/>
  <c r="CW792" i="115"/>
  <c r="CZ798" i="115" s="1"/>
  <c r="CX791" i="115"/>
  <c r="CW790" i="115"/>
  <c r="CW789" i="115"/>
  <c r="CW788" i="115"/>
  <c r="CW772" i="115"/>
  <c r="CX771" i="115"/>
  <c r="CX743" i="115"/>
  <c r="CX742" i="115"/>
  <c r="CX727" i="115"/>
  <c r="CX724" i="115"/>
  <c r="CW715" i="115"/>
  <c r="CW712" i="115"/>
  <c r="CW710" i="115"/>
  <c r="CX708" i="115"/>
  <c r="DB715" i="115" s="1"/>
  <c r="CW707" i="115"/>
  <c r="DA714" i="115" s="1"/>
  <c r="CX706" i="115"/>
  <c r="CX705" i="115"/>
  <c r="CX704" i="115"/>
  <c r="CX703" i="115"/>
  <c r="CW697" i="115"/>
  <c r="CX693" i="115"/>
  <c r="CX685" i="115"/>
  <c r="CX684" i="115"/>
  <c r="CX683" i="115"/>
  <c r="CX682" i="115"/>
  <c r="CX681" i="115"/>
  <c r="DC681" i="115" s="1"/>
  <c r="CX680" i="115"/>
  <c r="DC680" i="115" s="1"/>
  <c r="CW665" i="115"/>
  <c r="CZ671" i="115" s="1"/>
  <c r="CW664" i="115"/>
  <c r="CZ670" i="115" s="1"/>
  <c r="CW663" i="115"/>
  <c r="CZ669" i="115" s="1"/>
  <c r="CW662" i="115"/>
  <c r="CZ668" i="115" s="1"/>
  <c r="CX654" i="115"/>
  <c r="CW654" i="115"/>
  <c r="CX647" i="115"/>
  <c r="CW642" i="115"/>
  <c r="CX641" i="115"/>
  <c r="CW641" i="115"/>
  <c r="CX638" i="115"/>
  <c r="CW639" i="115"/>
  <c r="CX636" i="115"/>
  <c r="CX605" i="115"/>
  <c r="CW605" i="115"/>
  <c r="CZ763" i="115" s="1"/>
  <c r="CX601" i="115"/>
  <c r="CX600" i="115"/>
  <c r="CX599" i="115"/>
  <c r="CW598" i="115"/>
  <c r="CW602" i="115" s="1"/>
  <c r="CW614" i="115" s="1"/>
  <c r="CX594" i="115"/>
  <c r="DC594" i="115" s="1"/>
  <c r="CX587" i="115"/>
  <c r="CX586" i="115"/>
  <c r="CX579" i="115"/>
  <c r="CX578" i="115"/>
  <c r="CX577" i="115"/>
  <c r="CX548" i="115"/>
  <c r="CW546" i="115"/>
  <c r="CW544" i="115"/>
  <c r="CW543" i="115"/>
  <c r="CW542" i="115"/>
  <c r="CX532" i="115"/>
  <c r="CX530" i="115"/>
  <c r="CX523" i="115" s="1"/>
  <c r="CW525" i="115"/>
  <c r="CW999" i="115" s="1"/>
  <c r="CW523" i="115"/>
  <c r="CW66" i="115" s="1"/>
  <c r="CX512" i="115"/>
  <c r="CW512" i="115"/>
  <c r="CW509" i="115"/>
  <c r="CZ510" i="115" s="1"/>
  <c r="CZ511" i="115" s="1"/>
  <c r="CW505" i="115"/>
  <c r="CZ506" i="115" s="1"/>
  <c r="CZ507" i="115" s="1"/>
  <c r="CX495" i="115"/>
  <c r="CW495" i="115"/>
  <c r="CZ496" i="115" s="1"/>
  <c r="CX487" i="115"/>
  <c r="CW487" i="115"/>
  <c r="CX486" i="115"/>
  <c r="CW486" i="115"/>
  <c r="CX483" i="115"/>
  <c r="CW483" i="115"/>
  <c r="CW481" i="115"/>
  <c r="CW479" i="115"/>
  <c r="CX476" i="115"/>
  <c r="CW476" i="115"/>
  <c r="CX473" i="115"/>
  <c r="CW473" i="115"/>
  <c r="CW472" i="115"/>
  <c r="CW1517" i="115" s="1"/>
  <c r="CX471" i="115"/>
  <c r="CX472" i="115" s="1"/>
  <c r="CX464" i="115"/>
  <c r="CX488" i="115" s="1"/>
  <c r="CW464" i="115"/>
  <c r="CW489" i="115" s="1"/>
  <c r="CX462" i="115"/>
  <c r="CW462" i="115"/>
  <c r="CZ480" i="115" s="1"/>
  <c r="CW448" i="115"/>
  <c r="CW444" i="115"/>
  <c r="CW443" i="115"/>
  <c r="CW440" i="115"/>
  <c r="CX426" i="115"/>
  <c r="CX412" i="115"/>
  <c r="CX411" i="115"/>
  <c r="CX410" i="115"/>
  <c r="CX423" i="115" s="1"/>
  <c r="CW400" i="115"/>
  <c r="CW392" i="115"/>
  <c r="CW380" i="115"/>
  <c r="CW382" i="115" s="1"/>
  <c r="CX378" i="115"/>
  <c r="CX376" i="115"/>
  <c r="CX444" i="115" s="1"/>
  <c r="CX375" i="115"/>
  <c r="CX374" i="115"/>
  <c r="CX370" i="115"/>
  <c r="CX368" i="115"/>
  <c r="CX400" i="115" s="1"/>
  <c r="CX367" i="115"/>
  <c r="CX392" i="115" s="1"/>
  <c r="CW365" i="115"/>
  <c r="CX365" i="115" s="1"/>
  <c r="CW331" i="115"/>
  <c r="CW329" i="115"/>
  <c r="CW328" i="115"/>
  <c r="CW327" i="115"/>
  <c r="CW325" i="115"/>
  <c r="CX324" i="115"/>
  <c r="CX323" i="115"/>
  <c r="CX322" i="115"/>
  <c r="CX321" i="115"/>
  <c r="CW304" i="115"/>
  <c r="CW307" i="115" s="1"/>
  <c r="CZ314" i="115" s="1"/>
  <c r="CW302" i="115"/>
  <c r="CW301" i="115"/>
  <c r="CW300" i="115"/>
  <c r="CW298" i="115"/>
  <c r="CX297" i="115"/>
  <c r="CX296" i="115"/>
  <c r="CX295" i="115"/>
  <c r="CX294" i="115"/>
  <c r="CW290" i="115"/>
  <c r="CW289" i="115"/>
  <c r="CW288" i="115"/>
  <c r="CW287" i="115"/>
  <c r="CW284" i="115"/>
  <c r="CZ291" i="115" s="1"/>
  <c r="CX283" i="115"/>
  <c r="DC283" i="115" s="1"/>
  <c r="CX282" i="115"/>
  <c r="DC282" i="115" s="1"/>
  <c r="CX281" i="115"/>
  <c r="DC281" i="115" s="1"/>
  <c r="CX280" i="115"/>
  <c r="DC280" i="115" s="1"/>
  <c r="CW272" i="115"/>
  <c r="CW271" i="115"/>
  <c r="CW257" i="115"/>
  <c r="CX257" i="115" s="1"/>
  <c r="CW256" i="115"/>
  <c r="CW254" i="115"/>
  <c r="CX252" i="115"/>
  <c r="DB247" i="115" s="1"/>
  <c r="CW247" i="115"/>
  <c r="CX244" i="115"/>
  <c r="CW241" i="115"/>
  <c r="CW236" i="115"/>
  <c r="CW219" i="115"/>
  <c r="CX218" i="115"/>
  <c r="DB271" i="115" s="1"/>
  <c r="CX217" i="115"/>
  <c r="CX215" i="115"/>
  <c r="CW169" i="115"/>
  <c r="CW167" i="115"/>
  <c r="CW164" i="115"/>
  <c r="CX254" i="115"/>
  <c r="CW224" i="115"/>
  <c r="CZ228" i="115" s="1"/>
  <c r="CW1463" i="115"/>
  <c r="CW138" i="115"/>
  <c r="CW142" i="115" s="1"/>
  <c r="CZ146" i="115" s="1"/>
  <c r="CW137" i="115"/>
  <c r="CW135" i="115"/>
  <c r="CX133" i="115"/>
  <c r="DC133" i="115" s="1"/>
  <c r="CW132" i="115"/>
  <c r="CX131" i="115"/>
  <c r="DC131" i="115" s="1"/>
  <c r="CW116" i="115"/>
  <c r="CW120" i="115" s="1"/>
  <c r="CZ124" i="115" s="1"/>
  <c r="CW115" i="115"/>
  <c r="CW113" i="115"/>
  <c r="CX111" i="115"/>
  <c r="DC111" i="115" s="1"/>
  <c r="CW110" i="115"/>
  <c r="CX109" i="115"/>
  <c r="DC109" i="115" s="1"/>
  <c r="CW104" i="115"/>
  <c r="CW103" i="115"/>
  <c r="CX99" i="115"/>
  <c r="CX98" i="115"/>
  <c r="CW93" i="115"/>
  <c r="CW91" i="115"/>
  <c r="CW96" i="115" s="1"/>
  <c r="CX89" i="115"/>
  <c r="CX87" i="115"/>
  <c r="CX79" i="115"/>
  <c r="CX138" i="115" s="1"/>
  <c r="CX77" i="115"/>
  <c r="CX116" i="115" s="1"/>
  <c r="CW70" i="115"/>
  <c r="CW59" i="115"/>
  <c r="CW57" i="115"/>
  <c r="CW48" i="115"/>
  <c r="CX44" i="115"/>
  <c r="AJ39" i="123" s="1"/>
  <c r="AJ137" i="123" s="1"/>
  <c r="CX70" i="115"/>
  <c r="CX35" i="115"/>
  <c r="CX33" i="115"/>
  <c r="CW31" i="115"/>
  <c r="CX29" i="115"/>
  <c r="CX28" i="115"/>
  <c r="CX27" i="115"/>
  <c r="CX24" i="115"/>
  <c r="CX23" i="115"/>
  <c r="CX21" i="115"/>
  <c r="CW19" i="115"/>
  <c r="CX17" i="115"/>
  <c r="CX664" i="115" s="1"/>
  <c r="CX16" i="115"/>
  <c r="CX663" i="115" s="1"/>
  <c r="DC663" i="115" s="1"/>
  <c r="CX15" i="115"/>
  <c r="CX662" i="115" s="1"/>
  <c r="DC662" i="115" s="1"/>
  <c r="CX14" i="115"/>
  <c r="FB77" i="117"/>
  <c r="FA77" i="117"/>
  <c r="EZ42" i="117"/>
  <c r="EZ5" i="117"/>
  <c r="CC224" i="117"/>
  <c r="CB224" i="117"/>
  <c r="CC205" i="117"/>
  <c r="CB205" i="117"/>
  <c r="CC183" i="117"/>
  <c r="CB183" i="117"/>
  <c r="CD165" i="117"/>
  <c r="CC151" i="117"/>
  <c r="CC195" i="117" s="1"/>
  <c r="CC105" i="117" s="1"/>
  <c r="CB151" i="117"/>
  <c r="CB195" i="117" s="1"/>
  <c r="CC135" i="117"/>
  <c r="CB135" i="117"/>
  <c r="CC129" i="117"/>
  <c r="CB129" i="117"/>
  <c r="CB122" i="117"/>
  <c r="CA24" i="117"/>
  <c r="DJ1608" i="115"/>
  <c r="DJ1607" i="115"/>
  <c r="DJ1605" i="115"/>
  <c r="DI1598" i="115"/>
  <c r="DH1598" i="115"/>
  <c r="DI1597" i="115"/>
  <c r="DH1597" i="115"/>
  <c r="DI1596" i="115"/>
  <c r="DH1596" i="115"/>
  <c r="DI1595" i="115"/>
  <c r="DH1595" i="115"/>
  <c r="DI1594" i="115"/>
  <c r="DH1594" i="115"/>
  <c r="DI1593" i="115"/>
  <c r="DH1593" i="115"/>
  <c r="DI1592" i="115"/>
  <c r="DH1592" i="115"/>
  <c r="DI1580" i="115"/>
  <c r="DI1554" i="115" s="1"/>
  <c r="DH1580" i="115"/>
  <c r="DH1554" i="115" s="1"/>
  <c r="DJ1579" i="115"/>
  <c r="DJ1578" i="115"/>
  <c r="DJ1577" i="115"/>
  <c r="DJ1576" i="115"/>
  <c r="DJ1575" i="115"/>
  <c r="DJ1574" i="115"/>
  <c r="DJ1573" i="115"/>
  <c r="DI1389" i="115"/>
  <c r="DJ1389" i="115" s="1"/>
  <c r="DJ1349" i="115"/>
  <c r="DI1348" i="115"/>
  <c r="DH1348" i="115"/>
  <c r="DJ1333" i="115"/>
  <c r="DJ1229" i="115"/>
  <c r="DI1196" i="115"/>
  <c r="DI1149" i="115"/>
  <c r="DH1149" i="115"/>
  <c r="DJ1094" i="115"/>
  <c r="DJ1089" i="115"/>
  <c r="DJ1084" i="115"/>
  <c r="DJ1083" i="115"/>
  <c r="DJ1082" i="115"/>
  <c r="DI1074" i="115"/>
  <c r="DH1074" i="115"/>
  <c r="DJ1071" i="115"/>
  <c r="DJ1070" i="115"/>
  <c r="DJ1069" i="115"/>
  <c r="DJ1063" i="115"/>
  <c r="DJ1035" i="115"/>
  <c r="DJ1034" i="115"/>
  <c r="DJ1033" i="115"/>
  <c r="DJ1032" i="115"/>
  <c r="DI1031" i="115"/>
  <c r="DH1031" i="115"/>
  <c r="DH1036" i="115" s="1"/>
  <c r="DJ1030" i="115"/>
  <c r="DI1024" i="115"/>
  <c r="DH1024" i="115"/>
  <c r="DJ1023" i="115"/>
  <c r="DJ1022" i="115"/>
  <c r="DJ1021" i="115"/>
  <c r="DJ1020" i="115"/>
  <c r="DJ1019" i="115"/>
  <c r="DJ1018" i="115"/>
  <c r="DJ1017" i="115"/>
  <c r="DJ1016" i="115"/>
  <c r="DJ964" i="115"/>
  <c r="DI949" i="115"/>
  <c r="DH949" i="115"/>
  <c r="DI948" i="115"/>
  <c r="DH948" i="115"/>
  <c r="DI947" i="115"/>
  <c r="DH947" i="115"/>
  <c r="CB148" i="117" s="1"/>
  <c r="DI946" i="115"/>
  <c r="DH946" i="115"/>
  <c r="DI945" i="115"/>
  <c r="DH945" i="115"/>
  <c r="DI944" i="115"/>
  <c r="DH944" i="115"/>
  <c r="CB149" i="117" s="1"/>
  <c r="CB176" i="117" s="1"/>
  <c r="DI943" i="115"/>
  <c r="DH943" i="115"/>
  <c r="CB150" i="117" s="1"/>
  <c r="CB194" i="117" s="1"/>
  <c r="DI942" i="115"/>
  <c r="CC152" i="117" s="1"/>
  <c r="CC196" i="117" s="1"/>
  <c r="CC106" i="117" s="1"/>
  <c r="DH942" i="115"/>
  <c r="DH1606" i="115" s="1"/>
  <c r="DJ924" i="115"/>
  <c r="DJ923" i="115"/>
  <c r="DI907" i="115"/>
  <c r="DH907" i="115"/>
  <c r="DJ891" i="115"/>
  <c r="DJ890" i="115"/>
  <c r="DJ889" i="115"/>
  <c r="DJ888" i="115"/>
  <c r="DJ887" i="115"/>
  <c r="DJ885" i="115"/>
  <c r="DI883" i="115"/>
  <c r="DI1604" i="115" s="1"/>
  <c r="DH883" i="115"/>
  <c r="DH1604" i="115" s="1"/>
  <c r="DI880" i="115"/>
  <c r="DI886" i="115" s="1"/>
  <c r="DH880" i="115"/>
  <c r="DJ879" i="115"/>
  <c r="DJ878" i="115"/>
  <c r="DI876" i="115"/>
  <c r="DI884" i="115" s="1"/>
  <c r="DH876" i="115"/>
  <c r="DJ875" i="115"/>
  <c r="DJ874" i="115"/>
  <c r="DJ873" i="115"/>
  <c r="DJ872" i="115"/>
  <c r="DI865" i="115"/>
  <c r="DI917" i="115" s="1"/>
  <c r="DH865" i="115"/>
  <c r="DI864" i="115"/>
  <c r="DH864" i="115"/>
  <c r="DJ791" i="115"/>
  <c r="DJ790" i="115"/>
  <c r="DJ789" i="115"/>
  <c r="DJ788" i="115"/>
  <c r="DJ743" i="115"/>
  <c r="DJ742" i="115"/>
  <c r="DJ741" i="115"/>
  <c r="DJ727" i="115"/>
  <c r="DJ724" i="115"/>
  <c r="DI710" i="115"/>
  <c r="DH710" i="115"/>
  <c r="DJ686" i="115"/>
  <c r="DJ685" i="115"/>
  <c r="DJ684" i="115"/>
  <c r="DJ683" i="115"/>
  <c r="DJ682" i="115"/>
  <c r="DJ601" i="115"/>
  <c r="DJ600" i="115"/>
  <c r="DJ599" i="115"/>
  <c r="DI580" i="115"/>
  <c r="CC137" i="117" s="1"/>
  <c r="DH580" i="115"/>
  <c r="DJ579" i="115"/>
  <c r="DJ578" i="115"/>
  <c r="DJ577" i="115"/>
  <c r="DI576" i="115"/>
  <c r="DH576" i="115"/>
  <c r="DI544" i="115"/>
  <c r="DH544" i="115"/>
  <c r="DI543" i="115"/>
  <c r="DH543" i="115"/>
  <c r="DI542" i="115"/>
  <c r="DH542" i="115"/>
  <c r="DJ530" i="115"/>
  <c r="DJ523" i="115" s="1"/>
  <c r="DI523" i="115"/>
  <c r="DH523" i="115"/>
  <c r="DI419" i="115"/>
  <c r="DH419" i="115"/>
  <c r="DJ418" i="115"/>
  <c r="DJ412" i="115"/>
  <c r="DJ403" i="115"/>
  <c r="DJ248" i="115"/>
  <c r="DJ242" i="115"/>
  <c r="DI23" i="115"/>
  <c r="DH23" i="115"/>
  <c r="DI22" i="115"/>
  <c r="DH22" i="115"/>
  <c r="DI21" i="115"/>
  <c r="DH21" i="115"/>
  <c r="DW1268" i="115"/>
  <c r="DW1269" i="115"/>
  <c r="DW1270" i="115"/>
  <c r="DW1274" i="115"/>
  <c r="DW1275" i="115"/>
  <c r="CZ114" i="115" l="1"/>
  <c r="CZ136" i="115"/>
  <c r="CX687" i="115"/>
  <c r="DC687" i="115" s="1"/>
  <c r="DC664" i="115"/>
  <c r="DA55" i="115"/>
  <c r="DC89" i="115"/>
  <c r="DC99" i="115"/>
  <c r="DB1081" i="115"/>
  <c r="CZ1084" i="115"/>
  <c r="DB1084" i="115" s="1"/>
  <c r="CZ1350" i="115"/>
  <c r="DB1346" i="115"/>
  <c r="DC14" i="115"/>
  <c r="DB48" i="115"/>
  <c r="CW666" i="115"/>
  <c r="CZ672" i="115" s="1"/>
  <c r="DA49" i="115"/>
  <c r="CX961" i="115"/>
  <c r="CX969" i="115" s="1"/>
  <c r="AF54" i="111"/>
  <c r="DB57" i="115"/>
  <c r="DC33" i="115"/>
  <c r="DB250" i="115"/>
  <c r="DA250" i="115" s="1"/>
  <c r="AF15" i="111"/>
  <c r="DC370" i="115"/>
  <c r="CX1517" i="115"/>
  <c r="AF47" i="111"/>
  <c r="CX780" i="115"/>
  <c r="DC605" i="115"/>
  <c r="DB697" i="115"/>
  <c r="DC693" i="115"/>
  <c r="DB1068" i="115"/>
  <c r="DB1073" i="115" s="1"/>
  <c r="CZ1073" i="115"/>
  <c r="DB1088" i="115"/>
  <c r="CZ1089" i="115"/>
  <c r="DB1089" i="115" s="1"/>
  <c r="CZ1357" i="115"/>
  <c r="DB1356" i="115"/>
  <c r="AN107" i="123"/>
  <c r="AN54" i="123"/>
  <c r="AF56" i="111"/>
  <c r="DB59" i="115"/>
  <c r="CX485" i="115"/>
  <c r="DC462" i="115"/>
  <c r="DB1093" i="115"/>
  <c r="CZ1094" i="115"/>
  <c r="DB1094" i="115" s="1"/>
  <c r="AF8" i="111"/>
  <c r="AG12" i="111"/>
  <c r="DC87" i="115"/>
  <c r="DC98" i="115"/>
  <c r="CX966" i="115"/>
  <c r="DB241" i="115"/>
  <c r="DB243" i="115" s="1"/>
  <c r="DA499" i="115"/>
  <c r="DB1058" i="115"/>
  <c r="CX1163" i="115"/>
  <c r="DC1125" i="115"/>
  <c r="DB1128" i="115"/>
  <c r="CZ1332" i="115"/>
  <c r="DB1332" i="115" s="1"/>
  <c r="DB1331" i="115"/>
  <c r="CX158" i="115"/>
  <c r="DC158" i="115" s="1"/>
  <c r="CW757" i="115"/>
  <c r="CW1111" i="115"/>
  <c r="CW1112" i="115" s="1"/>
  <c r="DJ864" i="115"/>
  <c r="DJ1597" i="115"/>
  <c r="CW1487" i="115"/>
  <c r="CZ1489" i="115"/>
  <c r="FS6" i="117"/>
  <c r="FS7" i="117" s="1"/>
  <c r="CZ1210" i="115"/>
  <c r="CZ1211" i="115" s="1"/>
  <c r="CW692" i="115"/>
  <c r="CW1347" i="115"/>
  <c r="CW1311" i="115"/>
  <c r="CW1312" i="115" s="1"/>
  <c r="CW485" i="115"/>
  <c r="CW740" i="115"/>
  <c r="CW744" i="115" s="1"/>
  <c r="DJ1598" i="115"/>
  <c r="CW150" i="115"/>
  <c r="CZ162" i="115" s="1"/>
  <c r="CW1000" i="115"/>
  <c r="DI40" i="115"/>
  <c r="AJ29" i="123"/>
  <c r="AJ74" i="123" s="1"/>
  <c r="CW1519" i="115"/>
  <c r="CW1521" i="115" s="1"/>
  <c r="DJ1074" i="115"/>
  <c r="CD129" i="117"/>
  <c r="BR48" i="117"/>
  <c r="CB41" i="117"/>
  <c r="CX236" i="115"/>
  <c r="CW352" i="115"/>
  <c r="CD183" i="117"/>
  <c r="CB152" i="117"/>
  <c r="CB196" i="117" s="1"/>
  <c r="CD196" i="117" s="1"/>
  <c r="DJ1595" i="115"/>
  <c r="DJ876" i="115"/>
  <c r="DJ1593" i="115"/>
  <c r="CX298" i="115"/>
  <c r="DJ1594" i="115"/>
  <c r="DI581" i="115"/>
  <c r="DI520" i="115" s="1"/>
  <c r="DJ576" i="115"/>
  <c r="DI1599" i="115"/>
  <c r="DI1565" i="115" s="1"/>
  <c r="CX140" i="115"/>
  <c r="DC140" i="115" s="1"/>
  <c r="CX110" i="115"/>
  <c r="DC110" i="115" s="1"/>
  <c r="CX132" i="115"/>
  <c r="DC132" i="115" s="1"/>
  <c r="DJ866" i="115"/>
  <c r="CC175" i="117"/>
  <c r="DJ580" i="115"/>
  <c r="CC134" i="117"/>
  <c r="CC191" i="117" s="1"/>
  <c r="CC150" i="117"/>
  <c r="CC194" i="117" s="1"/>
  <c r="CC104" i="117" s="1"/>
  <c r="DJ1348" i="115"/>
  <c r="DJ23" i="115"/>
  <c r="DJ544" i="115"/>
  <c r="DJ946" i="115"/>
  <c r="CD135" i="117"/>
  <c r="CD151" i="117"/>
  <c r="DJ883" i="115"/>
  <c r="CW285" i="115"/>
  <c r="CC41" i="117"/>
  <c r="DH884" i="115"/>
  <c r="DJ1031" i="115"/>
  <c r="CW1030" i="115"/>
  <c r="CX1031" i="115"/>
  <c r="DJ947" i="115"/>
  <c r="DH38" i="115"/>
  <c r="DJ1580" i="115"/>
  <c r="DJ1554" i="115" s="1"/>
  <c r="CD41" i="117"/>
  <c r="CB137" i="117"/>
  <c r="DI1606" i="115"/>
  <c r="DH40" i="115"/>
  <c r="DH410" i="115"/>
  <c r="DH545" i="115"/>
  <c r="CB174" i="117"/>
  <c r="CB134" i="117"/>
  <c r="CB191" i="117" s="1"/>
  <c r="DJ907" i="115"/>
  <c r="DJ949" i="115"/>
  <c r="CW333" i="115"/>
  <c r="CZ340" i="115" s="1"/>
  <c r="CW334" i="115"/>
  <c r="CZ341" i="115" s="1"/>
  <c r="DJ22" i="115"/>
  <c r="DJ710" i="115"/>
  <c r="CB192" i="117"/>
  <c r="CB102" i="117" s="1"/>
  <c r="CC148" i="117"/>
  <c r="CD148" i="117" s="1"/>
  <c r="CW1604" i="115"/>
  <c r="DI545" i="115"/>
  <c r="DJ944" i="115"/>
  <c r="DI1036" i="115"/>
  <c r="DJ1596" i="115"/>
  <c r="CC149" i="117"/>
  <c r="CC176" i="117" s="1"/>
  <c r="CW308" i="115"/>
  <c r="CZ315" i="115" s="1"/>
  <c r="CX1115" i="115"/>
  <c r="AF92" i="111" s="1"/>
  <c r="CW1341" i="115"/>
  <c r="CW1049" i="115"/>
  <c r="DJ21" i="115"/>
  <c r="CB175" i="117"/>
  <c r="DJ948" i="115"/>
  <c r="DH1599" i="115"/>
  <c r="CC174" i="117"/>
  <c r="CW311" i="115"/>
  <c r="CZ318" i="115" s="1"/>
  <c r="CW846" i="115"/>
  <c r="CW847" i="115" s="1"/>
  <c r="CW856" i="115" s="1"/>
  <c r="CW868" i="115"/>
  <c r="CX1580" i="115"/>
  <c r="CX1554" i="115" s="1"/>
  <c r="DH581" i="115"/>
  <c r="DH520" i="115" s="1"/>
  <c r="DJ543" i="115"/>
  <c r="CW364" i="115"/>
  <c r="CW260" i="115"/>
  <c r="CW491" i="115"/>
  <c r="CW973" i="115"/>
  <c r="CW980" i="115" s="1"/>
  <c r="CZ981" i="115" s="1"/>
  <c r="CW275" i="115"/>
  <c r="CW273" i="115"/>
  <c r="CW1481" i="115"/>
  <c r="CW1482" i="115" s="1"/>
  <c r="CX273" i="115"/>
  <c r="CW274" i="115"/>
  <c r="CX325" i="115"/>
  <c r="CW1467" i="115"/>
  <c r="CW1451" i="115"/>
  <c r="CW1458" i="115" s="1"/>
  <c r="CW1457" i="115"/>
  <c r="CW1456" i="115"/>
  <c r="CW1423" i="115"/>
  <c r="CW1510" i="115"/>
  <c r="CW1499" i="115"/>
  <c r="CW1504" i="115" s="1"/>
  <c r="CW1132" i="115"/>
  <c r="CX1127" i="115"/>
  <c r="CW1129" i="115" s="1"/>
  <c r="CX1043" i="115"/>
  <c r="CW709" i="115"/>
  <c r="CW69" i="115"/>
  <c r="CW646" i="115"/>
  <c r="CX646" i="115"/>
  <c r="CX443" i="115"/>
  <c r="CX380" i="115"/>
  <c r="CX382" i="115" s="1"/>
  <c r="CX1340" i="115"/>
  <c r="CX1341" i="115" s="1"/>
  <c r="CW1462" i="115"/>
  <c r="CW1443" i="115" s="1"/>
  <c r="CW1444" i="115"/>
  <c r="CW172" i="115"/>
  <c r="CW1469" i="115"/>
  <c r="CW970" i="115"/>
  <c r="CW971" i="115" s="1"/>
  <c r="CX256" i="115"/>
  <c r="CX258" i="115" s="1"/>
  <c r="CX274" i="115"/>
  <c r="CW309" i="115"/>
  <c r="CZ316" i="115" s="1"/>
  <c r="CW140" i="115"/>
  <c r="CZ144" i="115" s="1"/>
  <c r="CW310" i="115"/>
  <c r="CZ317" i="115" s="1"/>
  <c r="CW335" i="115"/>
  <c r="CZ342" i="115" s="1"/>
  <c r="CW118" i="115"/>
  <c r="CZ122" i="115" s="1"/>
  <c r="CZ127" i="115" s="1"/>
  <c r="CW336" i="115"/>
  <c r="CZ343" i="115" s="1"/>
  <c r="CX998" i="115"/>
  <c r="CX1557" i="115"/>
  <c r="CW925" i="115"/>
  <c r="CZ926" i="115" s="1"/>
  <c r="CW916" i="115"/>
  <c r="CZ919" i="115" s="1"/>
  <c r="CW793" i="115"/>
  <c r="CZ799" i="115" s="1"/>
  <c r="CW687" i="115"/>
  <c r="CW686" i="115" s="1"/>
  <c r="CX686" i="115" s="1"/>
  <c r="CX598" i="115"/>
  <c r="CW1599" i="115"/>
  <c r="CW1480" i="115"/>
  <c r="CW1430" i="115"/>
  <c r="CW1429" i="115" s="1"/>
  <c r="CW1468" i="115"/>
  <c r="CW1485" i="115"/>
  <c r="CW1486" i="115"/>
  <c r="CX1299" i="115"/>
  <c r="CX1300" i="115" s="1"/>
  <c r="CX1390" i="115"/>
  <c r="CW1300" i="115"/>
  <c r="CW1364" i="115"/>
  <c r="CX1358" i="115"/>
  <c r="CW1390" i="115"/>
  <c r="CW1302" i="115" s="1"/>
  <c r="CX1271" i="115"/>
  <c r="CX1272" i="115" s="1"/>
  <c r="CX1276" i="115" s="1"/>
  <c r="CX1232" i="115"/>
  <c r="CX1234" i="115"/>
  <c r="CW1133" i="115"/>
  <c r="CW1114" i="115"/>
  <c r="CX1024" i="115"/>
  <c r="CW952" i="115"/>
  <c r="CX588" i="115"/>
  <c r="CX580" i="115"/>
  <c r="CX642" i="115"/>
  <c r="CX707" i="115"/>
  <c r="CW520" i="115"/>
  <c r="CX585" i="115"/>
  <c r="CX637" i="115"/>
  <c r="CX741" i="115"/>
  <c r="CX576" i="115" s="1"/>
  <c r="CW617" i="115"/>
  <c r="CW674" i="115"/>
  <c r="CW676" i="115" s="1"/>
  <c r="CZ677" i="115" s="1"/>
  <c r="CW780" i="115"/>
  <c r="DA781" i="115" s="1"/>
  <c r="CX617" i="115"/>
  <c r="CX66" i="115"/>
  <c r="CW484" i="115"/>
  <c r="CX484" i="115"/>
  <c r="CW545" i="115"/>
  <c r="CX489" i="115"/>
  <c r="CW488" i="115"/>
  <c r="CX525" i="115"/>
  <c r="CX425" i="115"/>
  <c r="CX427" i="115" s="1"/>
  <c r="CX307" i="115"/>
  <c r="DC307" i="115" s="1"/>
  <c r="CX284" i="115"/>
  <c r="DC284" i="115" s="1"/>
  <c r="CW337" i="115"/>
  <c r="CZ344" i="115" s="1"/>
  <c r="CX272" i="115"/>
  <c r="CX260" i="115"/>
  <c r="CW255" i="115"/>
  <c r="CW258" i="115"/>
  <c r="CX224" i="115"/>
  <c r="CW225" i="115"/>
  <c r="CZ229" i="115" s="1"/>
  <c r="CX88" i="115"/>
  <c r="DC88" i="115" s="1"/>
  <c r="CX219" i="115"/>
  <c r="CX225" i="115" s="1"/>
  <c r="CX223" i="115"/>
  <c r="CX120" i="115"/>
  <c r="DC120" i="115" s="1"/>
  <c r="CW101" i="115"/>
  <c r="CZ106" i="115" s="1"/>
  <c r="CX142" i="115"/>
  <c r="DC142" i="115" s="1"/>
  <c r="CW223" i="115"/>
  <c r="CZ227" i="115" s="1"/>
  <c r="CW20" i="115"/>
  <c r="DA50" i="115" s="1"/>
  <c r="AJ35" i="123"/>
  <c r="AJ133" i="123" s="1"/>
  <c r="AJ84" i="123"/>
  <c r="CD195" i="117"/>
  <c r="CB105" i="117"/>
  <c r="CB104" i="117"/>
  <c r="DI420" i="115"/>
  <c r="DI410" i="115"/>
  <c r="DI546" i="115"/>
  <c r="DH420" i="115"/>
  <c r="DJ419" i="115"/>
  <c r="DJ865" i="115"/>
  <c r="DH917" i="115"/>
  <c r="DJ917" i="115" s="1"/>
  <c r="DJ943" i="115"/>
  <c r="DJ542" i="115"/>
  <c r="DH886" i="115"/>
  <c r="DJ880" i="115"/>
  <c r="DJ945" i="115"/>
  <c r="DI892" i="115"/>
  <c r="DI846" i="115" s="1"/>
  <c r="DH950" i="115"/>
  <c r="DJ1024" i="115"/>
  <c r="DH1609" i="115"/>
  <c r="DJ1604" i="115"/>
  <c r="DI950" i="115"/>
  <c r="DJ942" i="115"/>
  <c r="DJ1592" i="115"/>
  <c r="CW748" i="115" l="1"/>
  <c r="DB1334" i="115"/>
  <c r="DB1336" i="115" s="1"/>
  <c r="DB970" i="115"/>
  <c r="DB971" i="115" s="1"/>
  <c r="CX1046" i="115"/>
  <c r="AF41" i="111"/>
  <c r="AG83" i="111"/>
  <c r="CZ956" i="115"/>
  <c r="DA957" i="115"/>
  <c r="CZ492" i="115"/>
  <c r="DD500" i="115" s="1"/>
  <c r="CZ493" i="115"/>
  <c r="CW453" i="115"/>
  <c r="CZ360" i="115"/>
  <c r="CZ745" i="115"/>
  <c r="DA746" i="115"/>
  <c r="CW699" i="115"/>
  <c r="DA696" i="115"/>
  <c r="CZ1359" i="115"/>
  <c r="DB1357" i="115"/>
  <c r="DB1359" i="115" s="1"/>
  <c r="CZ759" i="115"/>
  <c r="CZ764" i="115" s="1"/>
  <c r="DA758" i="115"/>
  <c r="AF13" i="111"/>
  <c r="AG44" i="111"/>
  <c r="AG45" i="111" s="1"/>
  <c r="AG16" i="111"/>
  <c r="CZ1352" i="115"/>
  <c r="DB1350" i="115"/>
  <c r="DB1352" i="115" s="1"/>
  <c r="CX709" i="115"/>
  <c r="DB716" i="115" s="1"/>
  <c r="DB714" i="115"/>
  <c r="CW711" i="115"/>
  <c r="CW723" i="115" s="1"/>
  <c r="CW728" i="115" s="1"/>
  <c r="DA736" i="115" s="1"/>
  <c r="DA716" i="115"/>
  <c r="AG11" i="111"/>
  <c r="AF78" i="111"/>
  <c r="AF67" i="111"/>
  <c r="AF79" i="111"/>
  <c r="CW765" i="115"/>
  <c r="CW691" i="115"/>
  <c r="CC27" i="117"/>
  <c r="DJ1606" i="115"/>
  <c r="CX308" i="115"/>
  <c r="DC308" i="115" s="1"/>
  <c r="CX118" i="115"/>
  <c r="CX119" i="115" s="1"/>
  <c r="CW354" i="115"/>
  <c r="CX335" i="115"/>
  <c r="DC335" i="115" s="1"/>
  <c r="CX334" i="115"/>
  <c r="DC334" i="115" s="1"/>
  <c r="CX333" i="115"/>
  <c r="DC333" i="115" s="1"/>
  <c r="CW141" i="115"/>
  <c r="CX150" i="115"/>
  <c r="DC150" i="115" s="1"/>
  <c r="CW571" i="115"/>
  <c r="CW573" i="115" s="1"/>
  <c r="CC138" i="117"/>
  <c r="CB153" i="117"/>
  <c r="AJ127" i="123"/>
  <c r="AJ151" i="123" s="1"/>
  <c r="CC177" i="117"/>
  <c r="CC178" i="117" s="1"/>
  <c r="CC193" i="117" s="1"/>
  <c r="CC103" i="117" s="1"/>
  <c r="CW312" i="115"/>
  <c r="CB106" i="117"/>
  <c r="CW1476" i="115"/>
  <c r="CW451" i="115"/>
  <c r="CW1512" i="115"/>
  <c r="DJ545" i="115"/>
  <c r="CW372" i="115"/>
  <c r="CX372" i="115" s="1"/>
  <c r="CX388" i="115" s="1"/>
  <c r="CC192" i="117"/>
  <c r="CC102" i="117" s="1"/>
  <c r="CX352" i="115"/>
  <c r="CW353" i="115"/>
  <c r="DI1558" i="115"/>
  <c r="CW1005" i="115"/>
  <c r="CW1007" i="115" s="1"/>
  <c r="CW1008" i="115" s="1"/>
  <c r="CW1483" i="115"/>
  <c r="CC39" i="117"/>
  <c r="CW452" i="115"/>
  <c r="CW442" i="115"/>
  <c r="CB177" i="117"/>
  <c r="CB178" i="117" s="1"/>
  <c r="CB193" i="117" s="1"/>
  <c r="CB103" i="117" s="1"/>
  <c r="CD194" i="117"/>
  <c r="CD191" i="117"/>
  <c r="CB101" i="117"/>
  <c r="DJ581" i="115"/>
  <c r="DJ520" i="115" s="1"/>
  <c r="CW1134" i="115"/>
  <c r="CB138" i="117"/>
  <c r="CX141" i="115"/>
  <c r="DC141" i="115" s="1"/>
  <c r="CD137" i="117"/>
  <c r="DJ884" i="115"/>
  <c r="CW119" i="115"/>
  <c r="DI1609" i="115"/>
  <c r="CD134" i="117"/>
  <c r="CW749" i="115"/>
  <c r="CW750" i="115" s="1"/>
  <c r="CD105" i="117"/>
  <c r="DJ886" i="115"/>
  <c r="DJ410" i="115"/>
  <c r="CD174" i="117"/>
  <c r="CC153" i="117"/>
  <c r="CX1049" i="115"/>
  <c r="CW1281" i="115"/>
  <c r="DJ1036" i="115"/>
  <c r="DI38" i="115"/>
  <c r="CD152" i="117"/>
  <c r="CD106" i="117" s="1"/>
  <c r="CD150" i="117"/>
  <c r="DJ421" i="115"/>
  <c r="CD149" i="117"/>
  <c r="CD176" i="117" s="1"/>
  <c r="DJ40" i="115"/>
  <c r="CB27" i="117"/>
  <c r="CB25" i="117"/>
  <c r="DI547" i="115"/>
  <c r="DH1565" i="115"/>
  <c r="DH1558" i="115"/>
  <c r="DJ1599" i="115"/>
  <c r="DJ1558" i="115" s="1"/>
  <c r="CX309" i="115"/>
  <c r="DC309" i="115" s="1"/>
  <c r="CB39" i="117"/>
  <c r="CD175" i="117"/>
  <c r="CX973" i="115"/>
  <c r="CX491" i="115"/>
  <c r="CX364" i="115"/>
  <c r="DC364" i="115" s="1"/>
  <c r="CW430" i="115"/>
  <c r="CW1150" i="115"/>
  <c r="CW457" i="115"/>
  <c r="CW366" i="115"/>
  <c r="CW385" i="115"/>
  <c r="CX336" i="115"/>
  <c r="DC336" i="115" s="1"/>
  <c r="CX1114" i="115"/>
  <c r="CX1116" i="115" s="1"/>
  <c r="CX581" i="115"/>
  <c r="CX69" i="115"/>
  <c r="CX999" i="115"/>
  <c r="CX1000" i="115" s="1"/>
  <c r="CX255" i="115"/>
  <c r="CX101" i="115"/>
  <c r="DC101" i="115" s="1"/>
  <c r="CW502" i="115"/>
  <c r="CZ503" i="115" s="1"/>
  <c r="CW1478" i="115"/>
  <c r="CX275" i="115"/>
  <c r="CX310" i="115"/>
  <c r="DC310" i="115" s="1"/>
  <c r="AJ80" i="123"/>
  <c r="CW26" i="115"/>
  <c r="CX602" i="115"/>
  <c r="CX614" i="115" s="1"/>
  <c r="CW1558" i="115"/>
  <c r="CW1559" i="115" s="1"/>
  <c r="CW1565" i="115"/>
  <c r="CW1513" i="115"/>
  <c r="CW1407" i="115"/>
  <c r="CZ514" i="115" s="1"/>
  <c r="CX1302" i="115"/>
  <c r="CW1118" i="115"/>
  <c r="CW1116" i="115"/>
  <c r="CW1119" i="115" s="1"/>
  <c r="CW1147" i="115"/>
  <c r="CW597" i="115"/>
  <c r="CX675" i="115"/>
  <c r="CX639" i="115"/>
  <c r="CW589" i="115"/>
  <c r="CW547" i="115"/>
  <c r="CW338" i="115"/>
  <c r="CW100" i="115"/>
  <c r="CZ105" i="115" s="1"/>
  <c r="AJ97" i="123"/>
  <c r="CC101" i="117"/>
  <c r="DI422" i="115"/>
  <c r="DI425" i="115"/>
  <c r="DI427" i="115" s="1"/>
  <c r="DI897" i="115" s="1"/>
  <c r="DI867" i="115"/>
  <c r="DI868" i="115" s="1"/>
  <c r="DI869" i="115"/>
  <c r="DI529" i="115"/>
  <c r="DI531" i="115" s="1"/>
  <c r="DI521" i="115"/>
  <c r="DJ420" i="115"/>
  <c r="DJ950" i="115"/>
  <c r="DH867" i="115"/>
  <c r="DJ426" i="115"/>
  <c r="DH892" i="115"/>
  <c r="DH846" i="115" s="1"/>
  <c r="DH546" i="115"/>
  <c r="DH425" i="115"/>
  <c r="DH422" i="115"/>
  <c r="DA695" i="115" l="1"/>
  <c r="CZ1075" i="115"/>
  <c r="DB1075" i="115" s="1"/>
  <c r="CZ123" i="115"/>
  <c r="CW204" i="115"/>
  <c r="CX204" i="115" s="1"/>
  <c r="DC204" i="115" s="1"/>
  <c r="CZ145" i="115"/>
  <c r="CW196" i="115"/>
  <c r="CX196" i="115" s="1"/>
  <c r="DC196" i="115" s="1"/>
  <c r="CW698" i="115"/>
  <c r="CW754" i="115"/>
  <c r="CW770" i="115" s="1"/>
  <c r="CW901" i="115"/>
  <c r="DA54" i="115"/>
  <c r="CX453" i="115"/>
  <c r="DC352" i="115"/>
  <c r="DC118" i="115"/>
  <c r="AG71" i="111"/>
  <c r="AG98" i="111"/>
  <c r="DC119" i="115"/>
  <c r="CW725" i="115"/>
  <c r="DA735" i="115" s="1"/>
  <c r="DA734" i="115"/>
  <c r="CZ497" i="115"/>
  <c r="DA494" i="115"/>
  <c r="DB493" i="115"/>
  <c r="DB497" i="115" s="1"/>
  <c r="AF91" i="111"/>
  <c r="AG14" i="111"/>
  <c r="CZ1077" i="115"/>
  <c r="CX502" i="115"/>
  <c r="DB503" i="115" s="1"/>
  <c r="CW373" i="115"/>
  <c r="CW446" i="115" s="1"/>
  <c r="AV17" i="123"/>
  <c r="AV62" i="123" s="1"/>
  <c r="CZ1530" i="115"/>
  <c r="DJ1609" i="115"/>
  <c r="CX337" i="115"/>
  <c r="DC337" i="115" s="1"/>
  <c r="DJ1565" i="115"/>
  <c r="CW389" i="115"/>
  <c r="CC179" i="117"/>
  <c r="CB197" i="117"/>
  <c r="CX354" i="115"/>
  <c r="CX355" i="115" s="1"/>
  <c r="CD101" i="117"/>
  <c r="CB107" i="117"/>
  <c r="CB179" i="117"/>
  <c r="CC107" i="117"/>
  <c r="CC197" i="117"/>
  <c r="CX353" i="115"/>
  <c r="CD192" i="117"/>
  <c r="CD102" i="117" s="1"/>
  <c r="CX452" i="115"/>
  <c r="CD39" i="117"/>
  <c r="CX451" i="115"/>
  <c r="CW388" i="115"/>
  <c r="CW390" i="115"/>
  <c r="CX442" i="115"/>
  <c r="CX311" i="115"/>
  <c r="CD104" i="117"/>
  <c r="DI937" i="115"/>
  <c r="CB244" i="117"/>
  <c r="DI548" i="115"/>
  <c r="CD177" i="117"/>
  <c r="CD138" i="117"/>
  <c r="CX520" i="115"/>
  <c r="AJ17" i="123"/>
  <c r="AJ62" i="123" s="1"/>
  <c r="DH547" i="115"/>
  <c r="CD153" i="117"/>
  <c r="CD27" i="117"/>
  <c r="CW1288" i="115"/>
  <c r="CW1301" i="115" s="1"/>
  <c r="CW1409" i="115" s="1"/>
  <c r="CW1410" i="115" s="1"/>
  <c r="CX1281" i="115"/>
  <c r="CX1288" i="115" s="1"/>
  <c r="CX1301" i="115" s="1"/>
  <c r="DI522" i="115"/>
  <c r="DI524" i="115" s="1"/>
  <c r="CC40" i="117"/>
  <c r="DJ546" i="115"/>
  <c r="DJ423" i="115"/>
  <c r="DJ892" i="115"/>
  <c r="CC25" i="117"/>
  <c r="DJ38" i="115"/>
  <c r="CW435" i="115"/>
  <c r="CW433" i="115"/>
  <c r="CW431" i="115"/>
  <c r="CW434" i="115"/>
  <c r="CX430" i="115"/>
  <c r="CX1150" i="115"/>
  <c r="CX457" i="115"/>
  <c r="CX366" i="115"/>
  <c r="CX384" i="115" s="1"/>
  <c r="CX385" i="115"/>
  <c r="CX390" i="115"/>
  <c r="CX389" i="115"/>
  <c r="CW384" i="115"/>
  <c r="CW369" i="115"/>
  <c r="CX980" i="115"/>
  <c r="DB981" i="115" s="1"/>
  <c r="CW1445" i="115"/>
  <c r="CW1479" i="115"/>
  <c r="CW63" i="115"/>
  <c r="CW32" i="115"/>
  <c r="DA56" i="115" s="1"/>
  <c r="CW1490" i="115"/>
  <c r="CW896" i="115"/>
  <c r="CW596" i="115"/>
  <c r="CW595" i="115" s="1"/>
  <c r="CW521" i="115"/>
  <c r="CW529" i="115"/>
  <c r="CW531" i="115" s="1"/>
  <c r="CX597" i="115"/>
  <c r="CW549" i="115"/>
  <c r="CX100" i="115"/>
  <c r="DC100" i="115" s="1"/>
  <c r="DJ422" i="115"/>
  <c r="DJ425" i="115"/>
  <c r="DJ427" i="115" s="1"/>
  <c r="DI532" i="115"/>
  <c r="DH427" i="115"/>
  <c r="DH897" i="115" s="1"/>
  <c r="DH521" i="115"/>
  <c r="DH869" i="115"/>
  <c r="DJ846" i="115"/>
  <c r="DH529" i="115"/>
  <c r="DH531" i="115" s="1"/>
  <c r="DJ867" i="115"/>
  <c r="DJ868" i="115" s="1"/>
  <c r="DH868" i="115"/>
  <c r="DA1076" i="115" l="1"/>
  <c r="DA1077" i="115" s="1"/>
  <c r="DB1077" i="115" s="1"/>
  <c r="CW206" i="115"/>
  <c r="CZ208" i="115"/>
  <c r="CW615" i="115"/>
  <c r="CW616" i="115" s="1"/>
  <c r="CW198" i="115"/>
  <c r="CZ202" i="115" s="1"/>
  <c r="CZ200" i="115"/>
  <c r="CW432" i="115"/>
  <c r="CW377" i="115"/>
  <c r="CX377" i="115" s="1"/>
  <c r="CX436" i="115" s="1"/>
  <c r="CX373" i="115"/>
  <c r="CX446" i="115" s="1"/>
  <c r="AF39" i="111"/>
  <c r="CX312" i="115"/>
  <c r="DC311" i="115"/>
  <c r="DB1076" i="115"/>
  <c r="AG85" i="111" s="1"/>
  <c r="AV115" i="123"/>
  <c r="AJ115" i="123"/>
  <c r="DH548" i="115"/>
  <c r="DJ548" i="115" s="1"/>
  <c r="CD178" i="117" s="1"/>
  <c r="DI549" i="115"/>
  <c r="CC42" i="117"/>
  <c r="CC244" i="117"/>
  <c r="AV24" i="123"/>
  <c r="DI996" i="115"/>
  <c r="DJ547" i="115"/>
  <c r="CD25" i="117"/>
  <c r="DH522" i="115"/>
  <c r="CB40" i="117"/>
  <c r="DI525" i="115"/>
  <c r="CX369" i="115"/>
  <c r="CW386" i="115"/>
  <c r="CW387" i="115"/>
  <c r="CX431" i="115"/>
  <c r="CX434" i="115"/>
  <c r="CX433" i="115"/>
  <c r="CX435" i="115"/>
  <c r="CW1246" i="115"/>
  <c r="CW34" i="115"/>
  <c r="DA58" i="115" s="1"/>
  <c r="CX596" i="115"/>
  <c r="CW64" i="115"/>
  <c r="CW65" i="115" s="1"/>
  <c r="CW67" i="115" s="1"/>
  <c r="CW71" i="115" s="1"/>
  <c r="CW522" i="115"/>
  <c r="CW524" i="115" s="1"/>
  <c r="CW996" i="115" s="1"/>
  <c r="CW534" i="115"/>
  <c r="CW533" i="115"/>
  <c r="CW655" i="115"/>
  <c r="CW779" i="115"/>
  <c r="CW550" i="115"/>
  <c r="DH532" i="115"/>
  <c r="DI533" i="115"/>
  <c r="DJ869" i="115"/>
  <c r="DJ521" i="115"/>
  <c r="DJ529" i="115"/>
  <c r="DJ531" i="115" s="1"/>
  <c r="DJ897" i="115"/>
  <c r="DO897" i="115" s="1"/>
  <c r="DH937" i="115"/>
  <c r="CV1474" i="115"/>
  <c r="AG89" i="111" l="1"/>
  <c r="AG99" i="111" s="1"/>
  <c r="CZ210" i="115"/>
  <c r="CX206" i="115"/>
  <c r="DC206" i="115" s="1"/>
  <c r="CX432" i="115"/>
  <c r="CW436" i="115"/>
  <c r="AG137" i="111"/>
  <c r="AG95" i="111"/>
  <c r="DB1078" i="115"/>
  <c r="AF42" i="111"/>
  <c r="AF40" i="111"/>
  <c r="DH549" i="115"/>
  <c r="DI999" i="115"/>
  <c r="CD244" i="117"/>
  <c r="DI526" i="115"/>
  <c r="DH524" i="115"/>
  <c r="AV122" i="123"/>
  <c r="AV69" i="123"/>
  <c r="DJ550" i="115"/>
  <c r="DJ522" i="115"/>
  <c r="CD40" i="117"/>
  <c r="CD193" i="117"/>
  <c r="CD179" i="117"/>
  <c r="CX386" i="115"/>
  <c r="CX387" i="115"/>
  <c r="CW1553" i="115"/>
  <c r="CW991" i="115"/>
  <c r="CW992" i="115" s="1"/>
  <c r="CW995" i="115"/>
  <c r="CW997" i="115" s="1"/>
  <c r="CW1001" i="115" s="1"/>
  <c r="CW37" i="115"/>
  <c r="DA60" i="115" s="1"/>
  <c r="CW526" i="115"/>
  <c r="CW1140" i="115" s="1"/>
  <c r="DJ937" i="115"/>
  <c r="DH525" i="115"/>
  <c r="DJ532" i="115"/>
  <c r="DH533" i="115"/>
  <c r="CV1415" i="115"/>
  <c r="CV1461" i="115"/>
  <c r="CV1436" i="115"/>
  <c r="CV1437" i="115" s="1"/>
  <c r="DJ549" i="115" l="1"/>
  <c r="DI1140" i="115"/>
  <c r="DJ524" i="115"/>
  <c r="DJ996" i="115" s="1"/>
  <c r="CC43" i="117"/>
  <c r="CB42" i="117"/>
  <c r="DH996" i="115"/>
  <c r="CD103" i="117"/>
  <c r="CD107" i="117" s="1"/>
  <c r="CD197" i="117"/>
  <c r="DJ533" i="115"/>
  <c r="CW1561" i="115"/>
  <c r="CW1555" i="115"/>
  <c r="CW1562" i="115" s="1"/>
  <c r="CW993" i="115" s="1"/>
  <c r="CW1564" i="115"/>
  <c r="CW1566" i="115" s="1"/>
  <c r="CW536" i="115"/>
  <c r="CW43" i="115"/>
  <c r="CW45" i="115" s="1"/>
  <c r="CW39" i="115"/>
  <c r="CW538" i="115"/>
  <c r="DH999" i="115"/>
  <c r="DH526" i="115"/>
  <c r="DJ525" i="115"/>
  <c r="CV1467" i="115"/>
  <c r="CV1442" i="115"/>
  <c r="DA1567" i="115" l="1"/>
  <c r="CD42" i="117"/>
  <c r="DH1140" i="115"/>
  <c r="CB43" i="117"/>
  <c r="CW1523" i="115"/>
  <c r="CW1216" i="115"/>
  <c r="CW41" i="115"/>
  <c r="CW1135" i="115"/>
  <c r="CW1144" i="115" s="1"/>
  <c r="CW1227" i="115"/>
  <c r="CW1244" i="115" s="1"/>
  <c r="CW1568" i="115"/>
  <c r="DA1569" i="115" s="1"/>
  <c r="DJ999" i="115"/>
  <c r="DJ526" i="115"/>
  <c r="DH1442" i="115"/>
  <c r="BQ46" i="117" l="1"/>
  <c r="DJ1140" i="115"/>
  <c r="CD43" i="117"/>
  <c r="CW1223" i="115"/>
  <c r="CW1225" i="115" s="1"/>
  <c r="CW1242" i="115" s="1"/>
  <c r="CW1072" i="115"/>
  <c r="CW1143" i="115"/>
  <c r="CW1217" i="115"/>
  <c r="CW1238" i="115"/>
  <c r="CW1141" i="115"/>
  <c r="CW1142" i="115" s="1"/>
  <c r="CW1138" i="115"/>
  <c r="CW1136" i="115"/>
  <c r="DI1442" i="115"/>
  <c r="DL1442" i="115" s="1"/>
  <c r="DH1467" i="115"/>
  <c r="DI1467" i="115" s="1"/>
  <c r="DL1467" i="115" s="1"/>
  <c r="DM1467" i="115" s="1"/>
  <c r="DP1467" i="115" s="1"/>
  <c r="DQ1467" i="115" s="1"/>
  <c r="DM1442" i="115" l="1"/>
  <c r="DP1442" i="115" s="1"/>
  <c r="DQ1442" i="115" s="1"/>
  <c r="CV1418" i="115" l="1"/>
  <c r="CV1422" i="115" s="1"/>
  <c r="CV1509" i="115"/>
  <c r="CV1508" i="115"/>
  <c r="CV1507" i="115"/>
  <c r="A1509" i="115"/>
  <c r="A1508" i="115"/>
  <c r="A1507" i="115"/>
  <c r="CV1506" i="115"/>
  <c r="CV1271" i="115"/>
  <c r="CV1048" i="115"/>
  <c r="CV865" i="115"/>
  <c r="CV864" i="115"/>
  <c r="CV419" i="115"/>
  <c r="CV423" i="115" s="1"/>
  <c r="CV1500" i="115"/>
  <c r="CV1501" i="115" s="1"/>
  <c r="CV1498" i="115"/>
  <c r="CV1497" i="115"/>
  <c r="CS1416" i="115"/>
  <c r="CV1298" i="115"/>
  <c r="CT1083" i="115"/>
  <c r="CV1095" i="115"/>
  <c r="CW1093" i="115" s="1"/>
  <c r="CW1094" i="115" s="1"/>
  <c r="CV1090" i="115"/>
  <c r="CW1088" i="115" s="1"/>
  <c r="CW1089" i="115" s="1"/>
  <c r="CV1085" i="115"/>
  <c r="CW1081" i="115" s="1"/>
  <c r="CW1084" i="115" s="1"/>
  <c r="CV1078" i="115"/>
  <c r="CW1068" i="115" s="1"/>
  <c r="CW1073" i="115" s="1"/>
  <c r="CV1065" i="115"/>
  <c r="CW1058" i="115" s="1"/>
  <c r="CV1043" i="115"/>
  <c r="CV1046" i="115" s="1"/>
  <c r="CV381" i="115" s="1"/>
  <c r="CV910" i="115"/>
  <c r="CV580" i="115"/>
  <c r="CV584" i="115"/>
  <c r="CX584" i="115" s="1"/>
  <c r="CX589" i="115" s="1"/>
  <c r="CV400" i="115"/>
  <c r="CV405" i="115"/>
  <c r="CV403" i="115"/>
  <c r="CW403" i="115" s="1"/>
  <c r="CV392" i="115"/>
  <c r="CV380" i="115"/>
  <c r="CV382" i="115" s="1"/>
  <c r="CV365" i="115"/>
  <c r="CV256" i="115"/>
  <c r="CW243" i="115"/>
  <c r="CW235" i="115" s="1"/>
  <c r="CV1299" i="115" l="1"/>
  <c r="CW1372" i="115" s="1"/>
  <c r="CW234" i="115"/>
  <c r="CV420" i="115"/>
  <c r="CW420" i="115" s="1"/>
  <c r="CW419" i="115"/>
  <c r="CW423" i="115" s="1"/>
  <c r="CV1466" i="115"/>
  <c r="CV1416" i="115"/>
  <c r="CV1510" i="115"/>
  <c r="DI1501" i="115"/>
  <c r="DL1501" i="115" s="1"/>
  <c r="DM1501" i="115" s="1"/>
  <c r="DP1501" i="115" s="1"/>
  <c r="DQ1501" i="115" s="1"/>
  <c r="CV1049" i="115"/>
  <c r="CV1281" i="115" s="1"/>
  <c r="CX1503" i="115"/>
  <c r="CV1499" i="115"/>
  <c r="CV1504" i="115" s="1"/>
  <c r="CV1512" i="115" l="1"/>
  <c r="CV1406" i="115" s="1"/>
  <c r="CV422" i="115"/>
  <c r="CV425" i="115"/>
  <c r="CV427" i="115" s="1"/>
  <c r="CV897" i="115" s="1"/>
  <c r="CW421" i="115"/>
  <c r="CW422" i="115"/>
  <c r="CW425" i="115"/>
  <c r="CW427" i="115" s="1"/>
  <c r="CW897" i="115" s="1"/>
  <c r="DH1503" i="115"/>
  <c r="DI1503" i="115" s="1"/>
  <c r="CV1417" i="115"/>
  <c r="CV1430" i="115" s="1"/>
  <c r="CV1429" i="115" s="1"/>
  <c r="CV1468" i="115"/>
  <c r="CV13" i="115"/>
  <c r="CV12" i="115" s="1"/>
  <c r="CJ13" i="115"/>
  <c r="CN13" i="115"/>
  <c r="CR13" i="115"/>
  <c r="CV1024" i="115"/>
  <c r="CV40" i="115" s="1"/>
  <c r="CX40" i="115" s="1"/>
  <c r="CV1030" i="115"/>
  <c r="CX1030" i="115" s="1"/>
  <c r="CV30" i="115"/>
  <c r="CV1598" i="115"/>
  <c r="CX1598" i="115" s="1"/>
  <c r="CV1597" i="115"/>
  <c r="CX1597" i="115" s="1"/>
  <c r="CV1596" i="115"/>
  <c r="CX1596" i="115" s="1"/>
  <c r="CV1595" i="115"/>
  <c r="CX1595" i="115" s="1"/>
  <c r="CV1594" i="115"/>
  <c r="CX1594" i="115" s="1"/>
  <c r="CV1593" i="115"/>
  <c r="CX1593" i="115" s="1"/>
  <c r="CV1592" i="115"/>
  <c r="CX1592" i="115" s="1"/>
  <c r="CV1580" i="115"/>
  <c r="CV1554" i="115" s="1"/>
  <c r="CV1557" i="115"/>
  <c r="CV1529" i="115"/>
  <c r="CV1520" i="115"/>
  <c r="CX1520" i="115" s="1"/>
  <c r="CV1518" i="115"/>
  <c r="CX1518" i="115" s="1"/>
  <c r="CX1519" i="115" s="1"/>
  <c r="CV1493" i="115"/>
  <c r="CV1492" i="115"/>
  <c r="CV1488" i="115"/>
  <c r="CV1486" i="115" s="1"/>
  <c r="CV1452" i="115"/>
  <c r="CV1451" i="115" s="1"/>
  <c r="CV1473" i="115"/>
  <c r="CV1484" i="115"/>
  <c r="CV1371" i="115"/>
  <c r="CV1370" i="115"/>
  <c r="CV1369" i="115"/>
  <c r="CV1368" i="115"/>
  <c r="CV1367" i="115"/>
  <c r="CV1362" i="115"/>
  <c r="CV1363" i="115" s="1"/>
  <c r="CV1361" i="115"/>
  <c r="CV1351" i="115"/>
  <c r="CW1346" i="115" s="1"/>
  <c r="CW1350" i="115" s="1"/>
  <c r="CV1348" i="115"/>
  <c r="CX1348" i="115" s="1"/>
  <c r="CV1342" i="115"/>
  <c r="CV1340" i="115"/>
  <c r="CV1338" i="115"/>
  <c r="CV1339" i="115" s="1"/>
  <c r="CV1334" i="115"/>
  <c r="CW1331" i="115" s="1"/>
  <c r="CW1332" i="115" s="1"/>
  <c r="CV1327" i="115"/>
  <c r="CV1319" i="115"/>
  <c r="CV1317" i="115"/>
  <c r="CV1311" i="115"/>
  <c r="CV1310" i="115"/>
  <c r="CV1284" i="115"/>
  <c r="CV1272" i="115"/>
  <c r="CV1276" i="115" s="1"/>
  <c r="CV1234" i="115"/>
  <c r="CV1233" i="115"/>
  <c r="CV1240" i="115" s="1"/>
  <c r="CV1232" i="115"/>
  <c r="CV1224" i="115"/>
  <c r="CX1224" i="115" s="1"/>
  <c r="CV1221" i="115"/>
  <c r="CV1213" i="115"/>
  <c r="CV1209" i="115"/>
  <c r="CW1210" i="115" s="1"/>
  <c r="CW1211" i="115" s="1"/>
  <c r="CV1198" i="115"/>
  <c r="CV1197" i="115"/>
  <c r="CW1062" i="115" s="1"/>
  <c r="CV1163" i="115"/>
  <c r="CV1131" i="115"/>
  <c r="CV1133" i="115" s="1"/>
  <c r="CX1133" i="115" s="1"/>
  <c r="CV1128" i="115"/>
  <c r="CV1127" i="115"/>
  <c r="CV1115" i="115"/>
  <c r="CV1114" i="115"/>
  <c r="CV1118" i="115" s="1"/>
  <c r="CV1111" i="115"/>
  <c r="CV1112" i="115" s="1"/>
  <c r="CV1109" i="115"/>
  <c r="CV1103" i="115"/>
  <c r="CX1103" i="115" s="1"/>
  <c r="CV1101" i="115"/>
  <c r="CX1101" i="115" s="1"/>
  <c r="CV1004" i="115"/>
  <c r="CV998" i="115"/>
  <c r="CV990" i="115"/>
  <c r="CX990" i="115" s="1"/>
  <c r="CV966" i="115"/>
  <c r="CW963" i="115" s="1"/>
  <c r="CW965" i="115" s="1"/>
  <c r="CV961" i="115"/>
  <c r="CV949" i="115"/>
  <c r="CX949" i="115" s="1"/>
  <c r="CX891" i="115" s="1"/>
  <c r="CV948" i="115"/>
  <c r="CX948" i="115" s="1"/>
  <c r="CX890" i="115" s="1"/>
  <c r="CV947" i="115"/>
  <c r="CX947" i="115" s="1"/>
  <c r="CX889" i="115" s="1"/>
  <c r="CV946" i="115"/>
  <c r="CX946" i="115" s="1"/>
  <c r="CX888" i="115" s="1"/>
  <c r="CV945" i="115"/>
  <c r="CX945" i="115" s="1"/>
  <c r="CX887" i="115" s="1"/>
  <c r="CV943" i="115"/>
  <c r="CX943" i="115" s="1"/>
  <c r="CX885" i="115" s="1"/>
  <c r="CV929" i="115"/>
  <c r="CV909" i="115"/>
  <c r="CV880" i="115"/>
  <c r="CX880" i="115" s="1"/>
  <c r="CV883" i="115"/>
  <c r="CV876" i="115"/>
  <c r="CX876" i="115" s="1"/>
  <c r="CV842" i="115"/>
  <c r="CX842" i="115" s="1"/>
  <c r="DC842" i="115" s="1"/>
  <c r="CV841" i="115"/>
  <c r="CV840" i="115"/>
  <c r="CX840" i="115" s="1"/>
  <c r="DC840" i="115" s="1"/>
  <c r="CV792" i="115"/>
  <c r="CV790" i="115"/>
  <c r="CX790" i="115" s="1"/>
  <c r="CV788" i="115"/>
  <c r="CX788" i="115" s="1"/>
  <c r="CV772" i="115"/>
  <c r="CV715" i="115"/>
  <c r="CV710" i="115"/>
  <c r="CV707" i="115"/>
  <c r="CZ714" i="115" s="1"/>
  <c r="CV697" i="115"/>
  <c r="CV664" i="115"/>
  <c r="CW670" i="115" s="1"/>
  <c r="CV663" i="115"/>
  <c r="CW669" i="115" s="1"/>
  <c r="CV662" i="115"/>
  <c r="CW668" i="115" s="1"/>
  <c r="CV654" i="115"/>
  <c r="CV641" i="115"/>
  <c r="CV639" i="115"/>
  <c r="CV605" i="115"/>
  <c r="CV566" i="115"/>
  <c r="CV568" i="115" s="1"/>
  <c r="CV597" i="115"/>
  <c r="CV546" i="115"/>
  <c r="CX546" i="115" s="1"/>
  <c r="CV544" i="115"/>
  <c r="CX544" i="115" s="1"/>
  <c r="CV543" i="115"/>
  <c r="CX543" i="115" s="1"/>
  <c r="CV542" i="115"/>
  <c r="CX542" i="115" s="1"/>
  <c r="CV525" i="115"/>
  <c r="CV999" i="115" s="1"/>
  <c r="CV523" i="115"/>
  <c r="CV66" i="115" s="1"/>
  <c r="CV512" i="115"/>
  <c r="CV509" i="115"/>
  <c r="CW510" i="115" s="1"/>
  <c r="CW511" i="115" s="1"/>
  <c r="CV505" i="115"/>
  <c r="CW506" i="115" s="1"/>
  <c r="CW507" i="115" s="1"/>
  <c r="CV495" i="115"/>
  <c r="CW496" i="115" s="1"/>
  <c r="CZ499" i="115" s="1"/>
  <c r="CV487" i="115"/>
  <c r="CV486" i="115"/>
  <c r="CV483" i="115"/>
  <c r="CV481" i="115"/>
  <c r="CV479" i="115"/>
  <c r="CV476" i="115"/>
  <c r="CV473" i="115"/>
  <c r="CV472" i="115"/>
  <c r="CV1517" i="115" s="1"/>
  <c r="CV464" i="115"/>
  <c r="CV489" i="115" s="1"/>
  <c r="CV462" i="115"/>
  <c r="CV444" i="115"/>
  <c r="CV443" i="115"/>
  <c r="CV351" i="115"/>
  <c r="CW359" i="115" s="1"/>
  <c r="CV350" i="115"/>
  <c r="CW358" i="115" s="1"/>
  <c r="CV349" i="115"/>
  <c r="CW357" i="115" s="1"/>
  <c r="CV348" i="115"/>
  <c r="CV331" i="115"/>
  <c r="CV336" i="115" s="1"/>
  <c r="CW343" i="115" s="1"/>
  <c r="CV330" i="115"/>
  <c r="CV329" i="115"/>
  <c r="CV328" i="115"/>
  <c r="CV327" i="115"/>
  <c r="CV325" i="115"/>
  <c r="CW330" i="115" s="1"/>
  <c r="CV304" i="115"/>
  <c r="CV309" i="115" s="1"/>
  <c r="CW316" i="115" s="1"/>
  <c r="CV303" i="115"/>
  <c r="CV302" i="115"/>
  <c r="CV301" i="115"/>
  <c r="CV300" i="115"/>
  <c r="CV298" i="115"/>
  <c r="CW303" i="115" s="1"/>
  <c r="CV290" i="115"/>
  <c r="CV289" i="115"/>
  <c r="CV288" i="115"/>
  <c r="CV287" i="115"/>
  <c r="CV284" i="115"/>
  <c r="CV272" i="115"/>
  <c r="CV271" i="115"/>
  <c r="CV257" i="115"/>
  <c r="CV254" i="115"/>
  <c r="CV247" i="115"/>
  <c r="CV241" i="115"/>
  <c r="CV963" i="115" s="1"/>
  <c r="CX963" i="115" s="1"/>
  <c r="CV236" i="115"/>
  <c r="CV219" i="115"/>
  <c r="CV169" i="115"/>
  <c r="CV167" i="115"/>
  <c r="CV164" i="115"/>
  <c r="CV151" i="115"/>
  <c r="CV149" i="115"/>
  <c r="CW161" i="115" s="1"/>
  <c r="CV138" i="115"/>
  <c r="CV140" i="115" s="1"/>
  <c r="CW144" i="115" s="1"/>
  <c r="CV137" i="115"/>
  <c r="CV135" i="115"/>
  <c r="CV132" i="115"/>
  <c r="CW136" i="115" s="1"/>
  <c r="CV116" i="115"/>
  <c r="CV120" i="115" s="1"/>
  <c r="CW124" i="115" s="1"/>
  <c r="CV115" i="115"/>
  <c r="CV113" i="115"/>
  <c r="CV110" i="115"/>
  <c r="CW114" i="115" s="1"/>
  <c r="CV104" i="115"/>
  <c r="CV103" i="115"/>
  <c r="CV93" i="115"/>
  <c r="CV91" i="115"/>
  <c r="CV96" i="115" s="1"/>
  <c r="CV70" i="115"/>
  <c r="CV59" i="115"/>
  <c r="CV57" i="115"/>
  <c r="CV48" i="115"/>
  <c r="CV38" i="115"/>
  <c r="CV22" i="115"/>
  <c r="CV1407" i="115" l="1"/>
  <c r="CW1530" i="115" s="1"/>
  <c r="CW763" i="115"/>
  <c r="DJ1503" i="115"/>
  <c r="DL1503" i="115"/>
  <c r="DM1503" i="115" s="1"/>
  <c r="CV780" i="115"/>
  <c r="CZ781" i="115" s="1"/>
  <c r="CV69" i="115"/>
  <c r="CW356" i="115"/>
  <c r="CV709" i="115"/>
  <c r="CZ716" i="115" s="1"/>
  <c r="CX1521" i="115"/>
  <c r="CX710" i="115"/>
  <c r="CX711" i="115" s="1"/>
  <c r="CX723" i="115" s="1"/>
  <c r="DB734" i="115" s="1"/>
  <c r="CV937" i="115"/>
  <c r="CX897" i="115"/>
  <c r="CW1139" i="115"/>
  <c r="CW1064" i="115"/>
  <c r="CW1204" i="115" s="1"/>
  <c r="CW1205" i="115" s="1"/>
  <c r="CV843" i="115"/>
  <c r="CX843" i="115" s="1"/>
  <c r="DC843" i="115" s="1"/>
  <c r="CX30" i="115"/>
  <c r="CX31" i="115" s="1"/>
  <c r="CV25" i="115"/>
  <c r="CZ53" i="115" s="1"/>
  <c r="CX22" i="115"/>
  <c r="CX25" i="115" s="1"/>
  <c r="CV852" i="115"/>
  <c r="CV918" i="115" s="1"/>
  <c r="CZ920" i="115" s="1"/>
  <c r="CX841" i="115"/>
  <c r="DC841" i="115" s="1"/>
  <c r="CV1476" i="115"/>
  <c r="CW937" i="115"/>
  <c r="CW898" i="115"/>
  <c r="CW900" i="115" s="1"/>
  <c r="CX929" i="115"/>
  <c r="DC929" i="115" s="1"/>
  <c r="CW933" i="115"/>
  <c r="CV1166" i="115"/>
  <c r="CX1166" i="115" s="1"/>
  <c r="CX1164" i="115"/>
  <c r="CV665" i="115"/>
  <c r="CV740" i="115" s="1"/>
  <c r="CV748" i="115" s="1"/>
  <c r="CX18" i="115"/>
  <c r="CV485" i="115"/>
  <c r="CW480" i="115"/>
  <c r="CX892" i="115"/>
  <c r="CW1352" i="115"/>
  <c r="CW798" i="115"/>
  <c r="CX792" i="115"/>
  <c r="CV101" i="115"/>
  <c r="CW106" i="115" s="1"/>
  <c r="CW92" i="115"/>
  <c r="CV352" i="115"/>
  <c r="CW360" i="115" s="1"/>
  <c r="CW291" i="115"/>
  <c r="CW967" i="115"/>
  <c r="CX1599" i="115"/>
  <c r="CV154" i="115"/>
  <c r="CW163" i="115"/>
  <c r="CV692" i="115"/>
  <c r="CV674" i="115"/>
  <c r="CV687" i="115"/>
  <c r="CV1463" i="115"/>
  <c r="CV172" i="115"/>
  <c r="CV1513" i="115"/>
  <c r="CV907" i="115"/>
  <c r="CV851" i="115"/>
  <c r="CV906" i="115" s="1"/>
  <c r="CV1288" i="115"/>
  <c r="CV19" i="115"/>
  <c r="CV1312" i="115"/>
  <c r="CV646" i="115"/>
  <c r="CV789" i="115"/>
  <c r="CV970" i="115"/>
  <c r="CV484" i="115"/>
  <c r="CV892" i="115"/>
  <c r="CV868" i="115" s="1"/>
  <c r="CX868" i="115" s="1"/>
  <c r="CV965" i="115"/>
  <c r="CV967" i="115" s="1"/>
  <c r="CV1599" i="115"/>
  <c r="CV1558" i="115" s="1"/>
  <c r="CV1559" i="115" s="1"/>
  <c r="CV1519" i="115"/>
  <c r="CV1521" i="115" s="1"/>
  <c r="CV1604" i="115"/>
  <c r="CX1604" i="115" s="1"/>
  <c r="CV31" i="115"/>
  <c r="CV243" i="115"/>
  <c r="CV235" i="115" s="1"/>
  <c r="CX235" i="115" s="1"/>
  <c r="CV337" i="115"/>
  <c r="CW344" i="115" s="1"/>
  <c r="CV1132" i="115"/>
  <c r="CV1341" i="115"/>
  <c r="CV1343" i="115" s="1"/>
  <c r="CV1480" i="115"/>
  <c r="CV1475" i="115"/>
  <c r="CV1199" i="115"/>
  <c r="CW1105" i="115" s="1"/>
  <c r="CV1000" i="115"/>
  <c r="CV1487" i="115"/>
  <c r="CV1364" i="115"/>
  <c r="CV150" i="115"/>
  <c r="CW162" i="115" s="1"/>
  <c r="CV311" i="115"/>
  <c r="CW318" i="115" s="1"/>
  <c r="CV307" i="115"/>
  <c r="CW314" i="115" s="1"/>
  <c r="CV310" i="115"/>
  <c r="CW317" i="115" s="1"/>
  <c r="CV118" i="115"/>
  <c r="CV335" i="115"/>
  <c r="CW342" i="115" s="1"/>
  <c r="CV925" i="115"/>
  <c r="CZ927" i="115" s="1"/>
  <c r="CV916" i="115"/>
  <c r="CX916" i="115" s="1"/>
  <c r="DC916" i="115" s="1"/>
  <c r="CV905" i="115"/>
  <c r="CX905" i="115" s="1"/>
  <c r="DC905" i="115" s="1"/>
  <c r="CV1347" i="115"/>
  <c r="CX1347" i="115" s="1"/>
  <c r="CV1456" i="115"/>
  <c r="CV1457" i="115"/>
  <c r="CV1458" i="115"/>
  <c r="CV1423" i="115"/>
  <c r="CV1180" i="115"/>
  <c r="CV1485" i="115"/>
  <c r="CV1358" i="115"/>
  <c r="CW1356" i="115" s="1"/>
  <c r="CW1357" i="115" s="1"/>
  <c r="CW1359" i="115" s="1"/>
  <c r="CV1116" i="115"/>
  <c r="CV1119" i="115" s="1"/>
  <c r="CV596" i="115"/>
  <c r="CV595" i="115" s="1"/>
  <c r="CX595" i="115" s="1"/>
  <c r="CV969" i="115"/>
  <c r="CV879" i="115"/>
  <c r="CV944" i="115" s="1"/>
  <c r="CV545" i="115"/>
  <c r="CV581" i="115"/>
  <c r="CV757" i="115"/>
  <c r="CZ758" i="115" s="1"/>
  <c r="CV602" i="115"/>
  <c r="CV617" i="115"/>
  <c r="CV589" i="115"/>
  <c r="CV488" i="115"/>
  <c r="CV285" i="115"/>
  <c r="CV333" i="115"/>
  <c r="CW340" i="115" s="1"/>
  <c r="CV334" i="115"/>
  <c r="CW341" i="115" s="1"/>
  <c r="CV308" i="115"/>
  <c r="CW315" i="115" s="1"/>
  <c r="CV258" i="115"/>
  <c r="CV255" i="115"/>
  <c r="CV142" i="115"/>
  <c r="CW146" i="115" s="1"/>
  <c r="CZ696" i="115" l="1"/>
  <c r="CV1263" i="115"/>
  <c r="CV1490" i="115"/>
  <c r="CV1336" i="115"/>
  <c r="DN1503" i="115"/>
  <c r="DP1503" i="115"/>
  <c r="DQ1503" i="115" s="1"/>
  <c r="DR1503" i="115" s="1"/>
  <c r="CV952" i="115"/>
  <c r="CZ957" i="115" s="1"/>
  <c r="CV1264" i="115"/>
  <c r="CV844" i="115"/>
  <c r="CZ55" i="115"/>
  <c r="AF52" i="111"/>
  <c r="DC31" i="115"/>
  <c r="DB55" i="115"/>
  <c r="CZ49" i="115"/>
  <c r="AF50" i="111"/>
  <c r="DC25" i="115"/>
  <c r="DB53" i="115"/>
  <c r="CX937" i="115"/>
  <c r="DC897" i="115"/>
  <c r="CV765" i="115"/>
  <c r="CV711" i="115"/>
  <c r="CV723" i="115" s="1"/>
  <c r="CZ734" i="115" s="1"/>
  <c r="CV699" i="115"/>
  <c r="CV691" i="115"/>
  <c r="CV260" i="115"/>
  <c r="CV156" i="115"/>
  <c r="CV20" i="115"/>
  <c r="CZ50" i="115" s="1"/>
  <c r="CW166" i="115"/>
  <c r="BP53" i="117"/>
  <c r="CV275" i="115"/>
  <c r="CV273" i="115"/>
  <c r="CV973" i="115"/>
  <c r="CV980" i="115" s="1"/>
  <c r="CW981" i="115" s="1"/>
  <c r="CX965" i="115"/>
  <c r="CX967" i="115" s="1"/>
  <c r="CX968" i="115" s="1"/>
  <c r="CV225" i="115"/>
  <c r="CW229" i="115" s="1"/>
  <c r="CV364" i="115"/>
  <c r="CV385" i="115" s="1"/>
  <c r="CV274" i="115"/>
  <c r="CV224" i="115"/>
  <c r="CW228" i="115" s="1"/>
  <c r="CV1134" i="115"/>
  <c r="CX1132" i="115"/>
  <c r="CX1134" i="115" s="1"/>
  <c r="CV793" i="115"/>
  <c r="CW799" i="115" s="1"/>
  <c r="CX789" i="115"/>
  <c r="CX793" i="115" s="1"/>
  <c r="CX749" i="115" s="1"/>
  <c r="CV676" i="115"/>
  <c r="CX674" i="115"/>
  <c r="CV119" i="115"/>
  <c r="CW123" i="115" s="1"/>
  <c r="CW122" i="115"/>
  <c r="CW127" i="115" s="1"/>
  <c r="CV1481" i="115"/>
  <c r="CV1482" i="115" s="1"/>
  <c r="CV100" i="115"/>
  <c r="CW105" i="115" s="1"/>
  <c r="CX757" i="115"/>
  <c r="CW759" i="115"/>
  <c r="CW764" i="115" s="1"/>
  <c r="CV491" i="115"/>
  <c r="CV223" i="115"/>
  <c r="CW227" i="115" s="1"/>
  <c r="CX692" i="115"/>
  <c r="CW968" i="115"/>
  <c r="CX844" i="115"/>
  <c r="DC844" i="115" s="1"/>
  <c r="CX728" i="115"/>
  <c r="DB736" i="115" s="1"/>
  <c r="CX725" i="115"/>
  <c r="DB735" i="115" s="1"/>
  <c r="CX655" i="115"/>
  <c r="CW926" i="115"/>
  <c r="CX925" i="115"/>
  <c r="DC925" i="115" s="1"/>
  <c r="CW1263" i="115"/>
  <c r="CX665" i="115"/>
  <c r="CX19" i="115"/>
  <c r="CV547" i="115"/>
  <c r="CV549" i="115" s="1"/>
  <c r="CX549" i="115" s="1"/>
  <c r="CX550" i="115" s="1"/>
  <c r="CX545" i="115"/>
  <c r="CX1565" i="115"/>
  <c r="CX1558" i="115"/>
  <c r="CX1559" i="115" s="1"/>
  <c r="CW671" i="115"/>
  <c r="CW1106" i="115"/>
  <c r="CW1202" i="115" s="1"/>
  <c r="CW1203" i="115" s="1"/>
  <c r="CV234" i="115"/>
  <c r="CV251" i="115" s="1"/>
  <c r="CV250" i="115" s="1"/>
  <c r="CV1444" i="115"/>
  <c r="CV1462" i="115"/>
  <c r="CV1443" i="115" s="1"/>
  <c r="CV312" i="115"/>
  <c r="CV1469" i="115"/>
  <c r="CV666" i="115"/>
  <c r="CV1565" i="115"/>
  <c r="CV353" i="115"/>
  <c r="CV372" i="115"/>
  <c r="CV502" i="115"/>
  <c r="CW503" i="115" s="1"/>
  <c r="CV846" i="115"/>
  <c r="CV520" i="115"/>
  <c r="CV451" i="115"/>
  <c r="CV1005" i="115"/>
  <c r="CV1007" i="115" s="1"/>
  <c r="CV1008" i="115" s="1"/>
  <c r="CX1008" i="115" s="1"/>
  <c r="CV442" i="115"/>
  <c r="CV453" i="115"/>
  <c r="CV452" i="115"/>
  <c r="CV354" i="115"/>
  <c r="CV1478" i="115"/>
  <c r="CV1300" i="115"/>
  <c r="CV1301" i="115" s="1"/>
  <c r="CV655" i="115"/>
  <c r="CV971" i="115"/>
  <c r="CV968" i="115"/>
  <c r="CV614" i="115"/>
  <c r="CV744" i="115"/>
  <c r="CZ746" i="115" s="1"/>
  <c r="CV338" i="115"/>
  <c r="CV141" i="115"/>
  <c r="CW145" i="115" s="1"/>
  <c r="CZ695" i="115" l="1"/>
  <c r="CV1158" i="115"/>
  <c r="CW956" i="115"/>
  <c r="CX952" i="115"/>
  <c r="DC952" i="115" s="1"/>
  <c r="CV725" i="115"/>
  <c r="CZ735" i="115" s="1"/>
  <c r="CX691" i="115"/>
  <c r="CV754" i="115"/>
  <c r="CV615" i="115" s="1"/>
  <c r="CV616" i="115" s="1"/>
  <c r="CV728" i="115"/>
  <c r="CZ736" i="115" s="1"/>
  <c r="DC19" i="115"/>
  <c r="DB49" i="115"/>
  <c r="AN26" i="123"/>
  <c r="CX740" i="115"/>
  <c r="CX744" i="115" s="1"/>
  <c r="DB746" i="115" s="1"/>
  <c r="DC665" i="115"/>
  <c r="AF65" i="111"/>
  <c r="AG76" i="111"/>
  <c r="DB696" i="115"/>
  <c r="DC692" i="115"/>
  <c r="AF63" i="111"/>
  <c r="AG74" i="111"/>
  <c r="DI1193" i="115"/>
  <c r="CV698" i="115"/>
  <c r="CV26" i="115"/>
  <c r="CV32" i="115" s="1"/>
  <c r="CZ56" i="115" s="1"/>
  <c r="CV430" i="115"/>
  <c r="CV434" i="115" s="1"/>
  <c r="CV158" i="115"/>
  <c r="CW170" i="115" s="1"/>
  <c r="CW168" i="115"/>
  <c r="CV1483" i="115"/>
  <c r="CW745" i="115"/>
  <c r="CV457" i="115"/>
  <c r="CV1150" i="115"/>
  <c r="CV366" i="115"/>
  <c r="CV384" i="115" s="1"/>
  <c r="CV1159" i="115"/>
  <c r="CX234" i="115"/>
  <c r="CX699" i="115"/>
  <c r="CV677" i="115"/>
  <c r="CX676" i="115"/>
  <c r="DA677" i="115" s="1"/>
  <c r="CV571" i="115"/>
  <c r="CV573" i="115" s="1"/>
  <c r="CW672" i="115"/>
  <c r="CX666" i="115"/>
  <c r="DC666" i="115" s="1"/>
  <c r="CX20" i="115"/>
  <c r="AJ18" i="123"/>
  <c r="CV521" i="115"/>
  <c r="CV64" i="115" s="1"/>
  <c r="CX846" i="115"/>
  <c r="CV749" i="115"/>
  <c r="CV750" i="115" s="1"/>
  <c r="CV550" i="115"/>
  <c r="CX547" i="115"/>
  <c r="CW493" i="115"/>
  <c r="CZ494" i="115" s="1"/>
  <c r="CW492" i="115"/>
  <c r="DA500" i="115" s="1"/>
  <c r="CV1169" i="115"/>
  <c r="CV1170" i="115" s="1"/>
  <c r="CW1076" i="115"/>
  <c r="CV1479" i="115"/>
  <c r="CV1445" i="115"/>
  <c r="CV1409" i="115"/>
  <c r="CV1410" i="115" s="1"/>
  <c r="CV1252" i="115"/>
  <c r="CV1160" i="115" s="1"/>
  <c r="CV554" i="115"/>
  <c r="CZ562" i="115" s="1"/>
  <c r="CV529" i="115"/>
  <c r="CV531" i="115" s="1"/>
  <c r="CV534" i="115" s="1"/>
  <c r="CV389" i="115"/>
  <c r="CV373" i="115"/>
  <c r="CV377" i="115" s="1"/>
  <c r="CV388" i="115"/>
  <c r="CV390" i="115"/>
  <c r="CV847" i="115"/>
  <c r="CV1179" i="115"/>
  <c r="DC691" i="115" l="1"/>
  <c r="CX698" i="115"/>
  <c r="CV770" i="115"/>
  <c r="CV779" i="115" s="1"/>
  <c r="DB695" i="115"/>
  <c r="CX754" i="115"/>
  <c r="CX770" i="115" s="1"/>
  <c r="CX779" i="115" s="1"/>
  <c r="CX748" i="115"/>
  <c r="CX750" i="115" s="1"/>
  <c r="DC20" i="115"/>
  <c r="DB50" i="115"/>
  <c r="CV63" i="115"/>
  <c r="CV65" i="115" s="1"/>
  <c r="CV67" i="115" s="1"/>
  <c r="CV71" i="115" s="1"/>
  <c r="CZ54" i="115"/>
  <c r="CV435" i="115"/>
  <c r="CV901" i="115"/>
  <c r="CV436" i="115"/>
  <c r="CV431" i="115"/>
  <c r="CV433" i="115"/>
  <c r="CV369" i="115"/>
  <c r="CV386" i="115" s="1"/>
  <c r="CX573" i="115"/>
  <c r="CV557" i="115"/>
  <c r="CV555" i="115"/>
  <c r="CV902" i="115" s="1"/>
  <c r="CV34" i="115"/>
  <c r="CZ58" i="115" s="1"/>
  <c r="CV522" i="115"/>
  <c r="CV524" i="115" s="1"/>
  <c r="CV526" i="115" s="1"/>
  <c r="CV1140" i="115" s="1"/>
  <c r="CW497" i="115"/>
  <c r="CX571" i="115"/>
  <c r="AJ63" i="123"/>
  <c r="AJ116" i="123"/>
  <c r="AJ16" i="123"/>
  <c r="CX1076" i="115"/>
  <c r="AF85" i="111" s="1"/>
  <c r="CW1077" i="115"/>
  <c r="AJ24" i="123"/>
  <c r="CX529" i="115"/>
  <c r="CX531" i="115" s="1"/>
  <c r="CX521" i="115"/>
  <c r="CX847" i="115"/>
  <c r="CX26" i="115"/>
  <c r="CX251" i="115"/>
  <c r="CV1147" i="115"/>
  <c r="CV1246" i="115"/>
  <c r="CV533" i="115"/>
  <c r="CV856" i="115"/>
  <c r="CV896" i="115"/>
  <c r="CV898" i="115" s="1"/>
  <c r="CV900" i="115" s="1"/>
  <c r="CV432" i="115"/>
  <c r="CV446" i="115"/>
  <c r="CV1261" i="115"/>
  <c r="CV1265" i="115" s="1"/>
  <c r="CV1181" i="115"/>
  <c r="CV1183" i="115" s="1"/>
  <c r="CV1184" i="115" s="1"/>
  <c r="CV1259" i="115"/>
  <c r="CV1267" i="115"/>
  <c r="CV1273" i="115" s="1"/>
  <c r="CV1191" i="115"/>
  <c r="CV1161" i="115"/>
  <c r="CV1192" i="115" s="1"/>
  <c r="CS1449" i="115"/>
  <c r="CS1436" i="115"/>
  <c r="CX615" i="115" l="1"/>
  <c r="CX616" i="115" s="1"/>
  <c r="CV37" i="115"/>
  <c r="CZ60" i="115" s="1"/>
  <c r="AF51" i="111"/>
  <c r="DC26" i="115"/>
  <c r="DB54" i="115"/>
  <c r="DC847" i="115"/>
  <c r="AF137" i="111"/>
  <c r="CZ563" i="115"/>
  <c r="CV387" i="115"/>
  <c r="CV991" i="115"/>
  <c r="CV992" i="115" s="1"/>
  <c r="CV1553" i="115"/>
  <c r="CV1561" i="115" s="1"/>
  <c r="CV1146" i="115"/>
  <c r="CV1148" i="115" s="1"/>
  <c r="CV995" i="115"/>
  <c r="CV559" i="115"/>
  <c r="CZ564" i="115" s="1"/>
  <c r="CV996" i="115"/>
  <c r="AJ122" i="123"/>
  <c r="AJ69" i="123"/>
  <c r="CV590" i="115"/>
  <c r="CX572" i="115"/>
  <c r="CX1147" i="115"/>
  <c r="CX896" i="115"/>
  <c r="AJ114" i="123"/>
  <c r="AJ61" i="123"/>
  <c r="CW251" i="115"/>
  <c r="CX32" i="115"/>
  <c r="CX63" i="115"/>
  <c r="DC63" i="115" s="1"/>
  <c r="CX901" i="115"/>
  <c r="CX533" i="115"/>
  <c r="CX534" i="115"/>
  <c r="CX522" i="115"/>
  <c r="CX524" i="115" s="1"/>
  <c r="CX64" i="115"/>
  <c r="DH1387" i="115"/>
  <c r="DI1387" i="115" s="1"/>
  <c r="CV1277" i="115"/>
  <c r="DH639" i="115"/>
  <c r="DI639" i="115" s="1"/>
  <c r="DL639" i="115" s="1"/>
  <c r="DM639" i="115" s="1"/>
  <c r="CV43" i="115" l="1"/>
  <c r="CV45" i="115" s="1"/>
  <c r="CV1216" i="115" s="1"/>
  <c r="DM638" i="115"/>
  <c r="DP639" i="115"/>
  <c r="CV39" i="115"/>
  <c r="CV41" i="115" s="1"/>
  <c r="CV1072" i="115" s="1"/>
  <c r="CX1072" i="115" s="1"/>
  <c r="AF84" i="111" s="1"/>
  <c r="CV1564" i="115"/>
  <c r="CV1566" i="115" s="1"/>
  <c r="CV538" i="115"/>
  <c r="CV536" i="115"/>
  <c r="AF53" i="111"/>
  <c r="AF66" i="111" s="1"/>
  <c r="DC32" i="115"/>
  <c r="DB56" i="115"/>
  <c r="CX898" i="115"/>
  <c r="DC898" i="115" s="1"/>
  <c r="DC896" i="115"/>
  <c r="AF64" i="111"/>
  <c r="AF49" i="111"/>
  <c r="AG75" i="111"/>
  <c r="AF77" i="111"/>
  <c r="DJ1387" i="115"/>
  <c r="DL1387" i="115"/>
  <c r="DM1387" i="115" s="1"/>
  <c r="CV1555" i="115"/>
  <c r="CV1562" i="115" s="1"/>
  <c r="CV993" i="115" s="1"/>
  <c r="CV997" i="115"/>
  <c r="CV1001" i="115" s="1"/>
  <c r="CX65" i="115"/>
  <c r="DC65" i="115" s="1"/>
  <c r="CX996" i="115"/>
  <c r="CX526" i="115"/>
  <c r="CX1140" i="115" s="1"/>
  <c r="CX1246" i="115"/>
  <c r="CX34" i="115"/>
  <c r="DH1443" i="115"/>
  <c r="CV1523" i="115"/>
  <c r="CX538" i="115" l="1"/>
  <c r="DQ639" i="115"/>
  <c r="DQ638" i="115" s="1"/>
  <c r="DP638" i="115"/>
  <c r="DN1387" i="115"/>
  <c r="DP1387" i="115"/>
  <c r="DQ1387" i="115" s="1"/>
  <c r="DR1387" i="115" s="1"/>
  <c r="CV1135" i="115"/>
  <c r="CV1138" i="115" s="1"/>
  <c r="CV1227" i="115"/>
  <c r="CV1244" i="115" s="1"/>
  <c r="BP46" i="117" s="1"/>
  <c r="CV1568" i="115"/>
  <c r="CZ1569" i="115" s="1"/>
  <c r="CZ1567" i="115"/>
  <c r="CX900" i="115"/>
  <c r="AF62" i="111"/>
  <c r="AG73" i="111"/>
  <c r="AF55" i="111"/>
  <c r="AF80" i="111" s="1"/>
  <c r="DC34" i="115"/>
  <c r="DB58" i="115"/>
  <c r="CX67" i="115"/>
  <c r="CX71" i="115" s="1"/>
  <c r="CX995" i="115"/>
  <c r="CX997" i="115" s="1"/>
  <c r="CX1001" i="115" s="1"/>
  <c r="CX991" i="115"/>
  <c r="CX992" i="115" s="1"/>
  <c r="CX1553" i="115"/>
  <c r="CX37" i="115"/>
  <c r="DI1443" i="115"/>
  <c r="DL1443" i="115" s="1"/>
  <c r="DH637" i="115"/>
  <c r="CV1217" i="115"/>
  <c r="CV1238" i="115"/>
  <c r="CV1130" i="115" s="1"/>
  <c r="CV1137" i="115" s="1"/>
  <c r="CV1223" i="115"/>
  <c r="CV1225" i="115" s="1"/>
  <c r="CV1242" i="115" s="1"/>
  <c r="CV1143" i="115"/>
  <c r="DR638" i="115" l="1"/>
  <c r="CV1141" i="115"/>
  <c r="CV1142" i="115" s="1"/>
  <c r="CV1136" i="115"/>
  <c r="AF58" i="111"/>
  <c r="DB60" i="115"/>
  <c r="DC37" i="115"/>
  <c r="AN38" i="123" s="1"/>
  <c r="DJ636" i="115"/>
  <c r="DL637" i="115"/>
  <c r="DM1443" i="115"/>
  <c r="DP1443" i="115" s="1"/>
  <c r="DQ1443" i="115" s="1"/>
  <c r="CX1555" i="115"/>
  <c r="CX1562" i="115" s="1"/>
  <c r="CX993" i="115" s="1"/>
  <c r="CX1561" i="115"/>
  <c r="CX536" i="115"/>
  <c r="CX39" i="115"/>
  <c r="CX1564" i="115"/>
  <c r="CX1566" i="115" s="1"/>
  <c r="CX43" i="115"/>
  <c r="CX45" i="115" s="1"/>
  <c r="DH638" i="115"/>
  <c r="DI637" i="115"/>
  <c r="CH426" i="115"/>
  <c r="CL426" i="115"/>
  <c r="CP426" i="115"/>
  <c r="CT426" i="115"/>
  <c r="CS425" i="115"/>
  <c r="CS427" i="115" s="1"/>
  <c r="CS897" i="115" s="1"/>
  <c r="CR425" i="115"/>
  <c r="CR427" i="115" s="1"/>
  <c r="CR897" i="115" s="1"/>
  <c r="AN136" i="123" l="1"/>
  <c r="AN83" i="123"/>
  <c r="DB1567" i="115"/>
  <c r="AF68" i="111"/>
  <c r="AF70" i="111"/>
  <c r="AF95" i="111"/>
  <c r="DN637" i="115"/>
  <c r="DL638" i="115"/>
  <c r="DN638" i="115" s="1"/>
  <c r="CX1568" i="115"/>
  <c r="DB1569" i="115" s="1"/>
  <c r="CX41" i="115"/>
  <c r="AF60" i="111" s="1"/>
  <c r="AF114" i="111" s="1"/>
  <c r="CX1135" i="115"/>
  <c r="DC1135" i="115" s="1"/>
  <c r="CX1227" i="115"/>
  <c r="CX1244" i="115" s="1"/>
  <c r="CX1523" i="115"/>
  <c r="CX1216" i="115"/>
  <c r="DI638" i="115"/>
  <c r="DJ638" i="115" s="1"/>
  <c r="DJ637" i="115"/>
  <c r="CT1229" i="115"/>
  <c r="AF69" i="111" l="1"/>
  <c r="AF108" i="111"/>
  <c r="AF124" i="111" s="1"/>
  <c r="AF59" i="111"/>
  <c r="BR46" i="117"/>
  <c r="CX1141" i="115"/>
  <c r="CX1142" i="115" s="1"/>
  <c r="CX1136" i="115"/>
  <c r="CX1138" i="115"/>
  <c r="CX1217" i="115"/>
  <c r="CX1238" i="115"/>
  <c r="DC1238" i="115" s="1"/>
  <c r="CX1223" i="115"/>
  <c r="CX1225" i="115" s="1"/>
  <c r="CX1242" i="115" s="1"/>
  <c r="CX1143" i="115"/>
  <c r="CS884" i="115"/>
  <c r="CS422" i="115"/>
  <c r="CS91" i="115"/>
  <c r="CS96" i="115" s="1"/>
  <c r="CT683" i="115"/>
  <c r="CS1427" i="115"/>
  <c r="CS1418" i="115"/>
  <c r="CT1386" i="115"/>
  <c r="CS1298" i="115"/>
  <c r="CS1271" i="115"/>
  <c r="CS1299" i="115" l="1"/>
  <c r="CV1372" i="115" s="1"/>
  <c r="CR1186" i="115"/>
  <c r="CN1171" i="115"/>
  <c r="CT899" i="115"/>
  <c r="CR876" i="115"/>
  <c r="CO876" i="115"/>
  <c r="CS876" i="115"/>
  <c r="CS712" i="115"/>
  <c r="CS421" i="115"/>
  <c r="CS423" i="115"/>
  <c r="CS375" i="115"/>
  <c r="CS376" i="115"/>
  <c r="CS242" i="115"/>
  <c r="CR242" i="115"/>
  <c r="CS30" i="115"/>
  <c r="CS843" i="115" s="1"/>
  <c r="CS18" i="115"/>
  <c r="CS665" i="115" s="1"/>
  <c r="CR18" i="115"/>
  <c r="CT1608" i="115"/>
  <c r="CT1607" i="115"/>
  <c r="CT1605" i="115"/>
  <c r="CS1598" i="115"/>
  <c r="CS1597" i="115"/>
  <c r="CS1596" i="115"/>
  <c r="CS1595" i="115"/>
  <c r="CS1594" i="115"/>
  <c r="CS1593" i="115"/>
  <c r="CS1592" i="115"/>
  <c r="CS1580" i="115"/>
  <c r="CS1554" i="115" s="1"/>
  <c r="CT1579" i="115"/>
  <c r="CT1578" i="115"/>
  <c r="CT1577" i="115"/>
  <c r="CT1576" i="115"/>
  <c r="CT1575" i="115"/>
  <c r="CT1574" i="115"/>
  <c r="CT1573" i="115"/>
  <c r="CS1557" i="115"/>
  <c r="CT1529" i="115"/>
  <c r="CS1529" i="115"/>
  <c r="CS1520" i="115"/>
  <c r="CS1518" i="115"/>
  <c r="CS1493" i="115"/>
  <c r="CS1492" i="115"/>
  <c r="CS1488" i="115"/>
  <c r="CS1475" i="115"/>
  <c r="CS1474" i="115"/>
  <c r="CT1450" i="115"/>
  <c r="CT1438" i="115"/>
  <c r="CS1437" i="115"/>
  <c r="CT1436" i="115"/>
  <c r="CT1428" i="115"/>
  <c r="CT1427" i="115"/>
  <c r="CT1421" i="115"/>
  <c r="CT1420" i="115"/>
  <c r="CT1419" i="115"/>
  <c r="CS1422" i="115"/>
  <c r="CS1468" i="115"/>
  <c r="CS1407" i="115"/>
  <c r="CT1405" i="115"/>
  <c r="CW1493" i="115" s="1"/>
  <c r="CT1404" i="115"/>
  <c r="CT1403" i="115"/>
  <c r="CW1492" i="115" s="1"/>
  <c r="CT1402" i="115"/>
  <c r="CT1342" i="115" s="1"/>
  <c r="CS1396" i="115"/>
  <c r="CT1396" i="115" s="1"/>
  <c r="CS1389" i="115"/>
  <c r="CS1390" i="115" s="1"/>
  <c r="CS1302" i="115" s="1"/>
  <c r="CT1385" i="115"/>
  <c r="CT1384" i="115"/>
  <c r="CT1383" i="115"/>
  <c r="CT1382" i="115"/>
  <c r="CT1381" i="115"/>
  <c r="CT1380" i="115"/>
  <c r="CT1379" i="115"/>
  <c r="CT1378" i="115"/>
  <c r="CT1377" i="115"/>
  <c r="CT1376" i="115"/>
  <c r="CT1375" i="115"/>
  <c r="CS1371" i="115"/>
  <c r="CS1370" i="115"/>
  <c r="CS1369" i="115"/>
  <c r="CS1368" i="115"/>
  <c r="CS1362" i="115"/>
  <c r="CS1363" i="115" s="1"/>
  <c r="CS1361" i="115"/>
  <c r="CS1351" i="115"/>
  <c r="CV1346" i="115" s="1"/>
  <c r="CT1349" i="115"/>
  <c r="CS1348" i="115"/>
  <c r="CS1342" i="115"/>
  <c r="CS1340" i="115"/>
  <c r="CS1338" i="115"/>
  <c r="CS1339" i="115" s="1"/>
  <c r="CS1334" i="115"/>
  <c r="CT1333" i="115"/>
  <c r="CS1327" i="115"/>
  <c r="CS1319" i="115"/>
  <c r="CS1317" i="115"/>
  <c r="CS1310" i="115"/>
  <c r="CT1310" i="115" s="1"/>
  <c r="CT1308" i="115"/>
  <c r="CT1304" i="115"/>
  <c r="CT1303" i="115"/>
  <c r="CS1358" i="115"/>
  <c r="CV1356" i="115" s="1"/>
  <c r="CT1297" i="115"/>
  <c r="CT1338" i="115" s="1"/>
  <c r="CT1339" i="115" s="1"/>
  <c r="CT1296" i="115"/>
  <c r="CT1295" i="115"/>
  <c r="CT1294" i="115"/>
  <c r="CT1351" i="115" s="1"/>
  <c r="CT1293" i="115"/>
  <c r="CT1327" i="115" s="1"/>
  <c r="CT1292" i="115"/>
  <c r="CT1323" i="115" s="1"/>
  <c r="CT1290" i="115"/>
  <c r="CT1319" i="115" s="1"/>
  <c r="CT1289" i="115"/>
  <c r="CT1317" i="115" s="1"/>
  <c r="CT1287" i="115"/>
  <c r="CT1286" i="115"/>
  <c r="CT1285" i="115"/>
  <c r="CS1284" i="115"/>
  <c r="CT1284" i="115" s="1"/>
  <c r="CT1283" i="115"/>
  <c r="CT1282" i="115"/>
  <c r="CT1275" i="115"/>
  <c r="CT1274" i="115"/>
  <c r="CS1272" i="115"/>
  <c r="CS1276" i="115" s="1"/>
  <c r="CT1270" i="115"/>
  <c r="CT1269" i="115"/>
  <c r="CT1268" i="115"/>
  <c r="CS1234" i="115"/>
  <c r="CS1233" i="115"/>
  <c r="CS1240" i="115" s="1"/>
  <c r="CS1232" i="115"/>
  <c r="CT1233" i="115"/>
  <c r="CT1240" i="115" s="1"/>
  <c r="CS1224" i="115"/>
  <c r="CT1221" i="115"/>
  <c r="CS1221" i="115"/>
  <c r="CT1213" i="115"/>
  <c r="CS1213" i="115"/>
  <c r="CS1209" i="115"/>
  <c r="CV1210" i="115" s="1"/>
  <c r="CV1211" i="115" s="1"/>
  <c r="CS1176" i="115"/>
  <c r="CV1104" i="115" s="1"/>
  <c r="CX1104" i="115" s="1"/>
  <c r="CS1171" i="115"/>
  <c r="CS1163" i="115"/>
  <c r="CS1166" i="115" s="1"/>
  <c r="CS1131" i="115"/>
  <c r="CT1131" i="115" s="1"/>
  <c r="CS1128" i="115"/>
  <c r="CS1127" i="115"/>
  <c r="CT1126" i="115"/>
  <c r="CT1125" i="115"/>
  <c r="CX1128" i="115" s="1"/>
  <c r="CS1115" i="115"/>
  <c r="CS1111" i="115"/>
  <c r="CS1112" i="115" s="1"/>
  <c r="CS1109" i="115"/>
  <c r="CT1108" i="115"/>
  <c r="CS1101" i="115"/>
  <c r="CT1102" i="115"/>
  <c r="CS1095" i="115"/>
  <c r="CV1093" i="115" s="1"/>
  <c r="CS1090" i="115"/>
  <c r="CV1088" i="115" s="1"/>
  <c r="CS1085" i="115"/>
  <c r="CV1081" i="115" s="1"/>
  <c r="CT1082" i="115"/>
  <c r="CO1083" i="115"/>
  <c r="CS1078" i="115"/>
  <c r="CV1068" i="115" s="1"/>
  <c r="CT1075" i="115"/>
  <c r="CT1074" i="115"/>
  <c r="CT1071" i="115"/>
  <c r="CT1070" i="115"/>
  <c r="CT1069" i="115"/>
  <c r="CS1065" i="115"/>
  <c r="CT1063" i="115"/>
  <c r="CT1059" i="115"/>
  <c r="CT1045" i="115"/>
  <c r="CT1095" i="115" s="1"/>
  <c r="CT1044" i="115"/>
  <c r="CT1090" i="115" s="1"/>
  <c r="CS1043" i="115"/>
  <c r="CS1046" i="115" s="1"/>
  <c r="CS1281" i="115" s="1"/>
  <c r="CT1042" i="115"/>
  <c r="CT1041" i="115"/>
  <c r="CT1085" i="115" s="1"/>
  <c r="CT1040" i="115"/>
  <c r="CT1036" i="115"/>
  <c r="CT1035" i="115"/>
  <c r="CT1034" i="115"/>
  <c r="CT1033" i="115"/>
  <c r="CT1032" i="115"/>
  <c r="CS1031" i="115"/>
  <c r="CS1030" i="115" s="1"/>
  <c r="CT1027" i="115"/>
  <c r="CS1024" i="115"/>
  <c r="CT1023" i="115"/>
  <c r="CT1022" i="115"/>
  <c r="CT1021" i="115"/>
  <c r="CT1020" i="115"/>
  <c r="CT1019" i="115"/>
  <c r="CT1018" i="115"/>
  <c r="CT1017" i="115"/>
  <c r="CT1016" i="115"/>
  <c r="CS1004" i="115"/>
  <c r="CT1003" i="115"/>
  <c r="CS998" i="115"/>
  <c r="CS990" i="115"/>
  <c r="CS966" i="115"/>
  <c r="CT964" i="115"/>
  <c r="CS961" i="115"/>
  <c r="CS969" i="115" s="1"/>
  <c r="CS951" i="115"/>
  <c r="CS949" i="115"/>
  <c r="CS948" i="115"/>
  <c r="CS947" i="115"/>
  <c r="CS946" i="115"/>
  <c r="CS945" i="115"/>
  <c r="CS943" i="115"/>
  <c r="CS929" i="115"/>
  <c r="CV933" i="115" s="1"/>
  <c r="CT923" i="115"/>
  <c r="CT883" i="115" s="1"/>
  <c r="CS922" i="115"/>
  <c r="CS931" i="115" s="1"/>
  <c r="CS918" i="115"/>
  <c r="CT911" i="115"/>
  <c r="CS910" i="115"/>
  <c r="CS909" i="115"/>
  <c r="CT908" i="115"/>
  <c r="CS906" i="115"/>
  <c r="CT872" i="115"/>
  <c r="CS880" i="115"/>
  <c r="CS883" i="115"/>
  <c r="CS1604" i="115" s="1"/>
  <c r="CS855" i="115"/>
  <c r="CT854" i="115"/>
  <c r="CT853" i="115"/>
  <c r="CT852" i="115"/>
  <c r="CT851" i="115"/>
  <c r="CS842" i="115"/>
  <c r="CS841" i="115"/>
  <c r="CS840" i="115"/>
  <c r="CS792" i="115"/>
  <c r="CV798" i="115" s="1"/>
  <c r="CT791" i="115"/>
  <c r="CS790" i="115"/>
  <c r="CS789" i="115"/>
  <c r="CS788" i="115"/>
  <c r="CS741" i="115"/>
  <c r="CT741" i="115" s="1"/>
  <c r="CP680" i="115"/>
  <c r="CT727" i="115"/>
  <c r="CT724" i="115"/>
  <c r="CS772" i="115"/>
  <c r="CT771" i="115"/>
  <c r="CT743" i="115"/>
  <c r="CT742" i="115"/>
  <c r="CS715" i="115"/>
  <c r="CS710" i="115"/>
  <c r="CT708" i="115"/>
  <c r="CX715" i="115" s="1"/>
  <c r="CS707" i="115"/>
  <c r="CW714" i="115" s="1"/>
  <c r="CT706" i="115"/>
  <c r="CT705" i="115"/>
  <c r="CT704" i="115"/>
  <c r="CT703" i="115"/>
  <c r="CS697" i="115"/>
  <c r="CT693" i="115"/>
  <c r="CT685" i="115"/>
  <c r="CT684" i="115"/>
  <c r="CT682" i="115"/>
  <c r="CT681" i="115"/>
  <c r="CT680" i="115"/>
  <c r="CS677" i="115"/>
  <c r="CT676" i="115"/>
  <c r="CW677" i="115" s="1"/>
  <c r="CS664" i="115"/>
  <c r="CS663" i="115"/>
  <c r="CS662" i="115"/>
  <c r="CT654" i="115"/>
  <c r="CS654" i="115"/>
  <c r="CT647" i="115"/>
  <c r="CS642" i="115"/>
  <c r="CT641" i="115"/>
  <c r="CS641" i="115"/>
  <c r="BN48" i="117" l="1"/>
  <c r="CR700" i="115"/>
  <c r="CS700" i="115" s="1"/>
  <c r="CX697" i="115"/>
  <c r="CV1084" i="115"/>
  <c r="CX1084" i="115" s="1"/>
  <c r="CX1081" i="115"/>
  <c r="CV1089" i="115"/>
  <c r="CX1089" i="115" s="1"/>
  <c r="CX1088" i="115"/>
  <c r="CV1094" i="115"/>
  <c r="CX1094" i="115" s="1"/>
  <c r="CX1093" i="115"/>
  <c r="CV1350" i="115"/>
  <c r="CX1346" i="115"/>
  <c r="CV1073" i="115"/>
  <c r="CV1077" i="115" s="1"/>
  <c r="CX1077" i="115" s="1"/>
  <c r="CX1068" i="115"/>
  <c r="CX1073" i="115" s="1"/>
  <c r="CV1357" i="115"/>
  <c r="CX1356" i="115"/>
  <c r="CV668" i="115"/>
  <c r="CV671" i="115"/>
  <c r="CV669" i="115"/>
  <c r="CV670" i="115"/>
  <c r="CS1336" i="115"/>
  <c r="CV1331" i="115"/>
  <c r="CV1530" i="115"/>
  <c r="CV514" i="115"/>
  <c r="CS1311" i="115"/>
  <c r="CS1312" i="115" s="1"/>
  <c r="CV1058" i="115"/>
  <c r="CX1058" i="115" s="1"/>
  <c r="CS1175" i="115"/>
  <c r="CV1061" i="115" s="1"/>
  <c r="CX1061" i="115" s="1"/>
  <c r="CV1060" i="115"/>
  <c r="CS1487" i="115"/>
  <c r="CV1489" i="115"/>
  <c r="CS740" i="115"/>
  <c r="CS748" i="115" s="1"/>
  <c r="CS1364" i="115"/>
  <c r="CS674" i="115"/>
  <c r="CS675" i="115" s="1"/>
  <c r="CS585" i="115"/>
  <c r="CS916" i="115"/>
  <c r="CV919" i="115" s="1"/>
  <c r="CS865" i="115"/>
  <c r="CS873" i="115" s="1"/>
  <c r="CS1288" i="115"/>
  <c r="CS687" i="115"/>
  <c r="CS686" i="115" s="1"/>
  <c r="CT686" i="115" s="1"/>
  <c r="CS587" i="115"/>
  <c r="CS692" i="115"/>
  <c r="CS586" i="115"/>
  <c r="CT1474" i="115"/>
  <c r="CS709" i="115"/>
  <c r="CT1407" i="115"/>
  <c r="CT1353" i="115" s="1"/>
  <c r="CT1580" i="115"/>
  <c r="CT1554" i="115" s="1"/>
  <c r="CT1024" i="115"/>
  <c r="CS1599" i="115"/>
  <c r="CS1558" i="115" s="1"/>
  <c r="CS1559" i="115" s="1"/>
  <c r="CT1127" i="115"/>
  <c r="CS1129" i="115" s="1"/>
  <c r="CS1132" i="115"/>
  <c r="CT1043" i="115"/>
  <c r="CT1046" i="115" s="1"/>
  <c r="CS1114" i="115"/>
  <c r="CT707" i="115"/>
  <c r="CS1490" i="115"/>
  <c r="CS1485" i="115"/>
  <c r="CS1486" i="115"/>
  <c r="CS1341" i="115"/>
  <c r="CS1343" i="115" s="1"/>
  <c r="CS866" i="115"/>
  <c r="CS844" i="115"/>
  <c r="CS905" i="115"/>
  <c r="CS1347" i="115"/>
  <c r="CS864" i="115"/>
  <c r="CS878" i="115" s="1"/>
  <c r="CS925" i="115"/>
  <c r="CS952" i="115"/>
  <c r="CS867" i="115"/>
  <c r="CS793" i="115"/>
  <c r="CS1423" i="115"/>
  <c r="CT1422" i="115"/>
  <c r="CT1437" i="115"/>
  <c r="CT1449" i="115"/>
  <c r="CT1473" i="115" s="1"/>
  <c r="CS1473" i="115"/>
  <c r="CS1452" i="115"/>
  <c r="CT1418" i="115"/>
  <c r="CT1416" i="115"/>
  <c r="CS1417" i="115"/>
  <c r="CT1302" i="115"/>
  <c r="CT1389" i="115"/>
  <c r="CT1390" i="115" s="1"/>
  <c r="CT1358" i="115"/>
  <c r="CT1281" i="115"/>
  <c r="CT1288" i="115" s="1"/>
  <c r="CT1298" i="115"/>
  <c r="CT1271" i="115"/>
  <c r="CT1272" i="115" s="1"/>
  <c r="CT1234" i="115"/>
  <c r="CT1232" i="115"/>
  <c r="CS1133" i="115"/>
  <c r="CT1163" i="115"/>
  <c r="CS930" i="115"/>
  <c r="CW696" i="115" l="1"/>
  <c r="CV1144" i="115"/>
  <c r="CX1060" i="115"/>
  <c r="CX1144" i="115" s="1"/>
  <c r="AF83" i="111"/>
  <c r="AF71" i="111" s="1"/>
  <c r="AF89" i="111"/>
  <c r="CV956" i="115"/>
  <c r="CW957" i="115"/>
  <c r="CX1078" i="115"/>
  <c r="CT709" i="115"/>
  <c r="CX716" i="115" s="1"/>
  <c r="CX714" i="115"/>
  <c r="CV1332" i="115"/>
  <c r="CX1332" i="115" s="1"/>
  <c r="CX1331" i="115"/>
  <c r="CS711" i="115"/>
  <c r="CS723" i="115" s="1"/>
  <c r="CW734" i="115" s="1"/>
  <c r="CW716" i="115"/>
  <c r="CV1352" i="115"/>
  <c r="CX1350" i="115"/>
  <c r="CX1352" i="115" s="1"/>
  <c r="CV1359" i="115"/>
  <c r="CX1357" i="115"/>
  <c r="CX1359" i="115" s="1"/>
  <c r="CS1456" i="115"/>
  <c r="CS699" i="115"/>
  <c r="CS744" i="115"/>
  <c r="CS749" i="115"/>
  <c r="CS750" i="115" s="1"/>
  <c r="CV799" i="115"/>
  <c r="CS924" i="115"/>
  <c r="CS874" i="115" s="1"/>
  <c r="CV926" i="115"/>
  <c r="CS691" i="115"/>
  <c r="CS588" i="115"/>
  <c r="CS1565" i="115"/>
  <c r="CT1475" i="115"/>
  <c r="CT1114" i="115"/>
  <c r="CS1118" i="115"/>
  <c r="CS1116" i="115"/>
  <c r="CS1119" i="115" s="1"/>
  <c r="AE157" i="123" s="1"/>
  <c r="CS917" i="115"/>
  <c r="CS907" i="115"/>
  <c r="CS868" i="115"/>
  <c r="CT1484" i="115"/>
  <c r="CT1423" i="115"/>
  <c r="CT1468" i="115"/>
  <c r="CS1457" i="115"/>
  <c r="CS1451" i="115"/>
  <c r="CT1452" i="115"/>
  <c r="CT1457" i="115" s="1"/>
  <c r="CT1417" i="115"/>
  <c r="CS1480" i="115"/>
  <c r="CS1430" i="115"/>
  <c r="CS1300" i="115"/>
  <c r="CT1299" i="115"/>
  <c r="CT1300" i="115" s="1"/>
  <c r="CT1301" i="115" s="1"/>
  <c r="CT1409" i="115" s="1"/>
  <c r="CT1410" i="115" s="1"/>
  <c r="CT1276" i="115"/>
  <c r="CS1134" i="115"/>
  <c r="CS938" i="115"/>
  <c r="AF86" i="111" l="1"/>
  <c r="AF96" i="111" s="1"/>
  <c r="CS1169" i="115"/>
  <c r="CS1170" i="115" s="1"/>
  <c r="AF99" i="111"/>
  <c r="CS728" i="115"/>
  <c r="CW736" i="115" s="1"/>
  <c r="CS754" i="115"/>
  <c r="CW695" i="115"/>
  <c r="CS725" i="115"/>
  <c r="CW735" i="115" s="1"/>
  <c r="CV745" i="115"/>
  <c r="CW746" i="115"/>
  <c r="CX1334" i="115"/>
  <c r="CS1301" i="115"/>
  <c r="CS1409" i="115" s="1"/>
  <c r="CS698" i="115"/>
  <c r="CS879" i="115"/>
  <c r="CT1430" i="115"/>
  <c r="CS1429" i="115"/>
  <c r="CT1480" i="115"/>
  <c r="CT1456" i="115"/>
  <c r="CT1451" i="115"/>
  <c r="CT1458" i="115" s="1"/>
  <c r="CS1458" i="115"/>
  <c r="CT1252" i="115"/>
  <c r="CT1267" i="115" s="1"/>
  <c r="CT1273" i="115" s="1"/>
  <c r="CS1158" i="115"/>
  <c r="CS1252" i="115" l="1"/>
  <c r="CS1261" i="115" s="1"/>
  <c r="CS1410" i="115"/>
  <c r="CT1277" i="115"/>
  <c r="CS944" i="115"/>
  <c r="CT1429" i="115"/>
  <c r="CT1476" i="115" s="1"/>
  <c r="CS1476" i="115"/>
  <c r="CS1160" i="115" l="1"/>
  <c r="CS1191" i="115" s="1"/>
  <c r="CS1259" i="115"/>
  <c r="CS1267" i="115"/>
  <c r="CS1273" i="115" s="1"/>
  <c r="CS1277" i="115" l="1"/>
  <c r="CS637" i="115"/>
  <c r="CS639" i="115" s="1"/>
  <c r="CT638" i="115"/>
  <c r="CT636" i="115"/>
  <c r="CT605" i="115"/>
  <c r="CS605" i="115"/>
  <c r="CT601" i="115"/>
  <c r="CT600" i="115"/>
  <c r="CT599" i="115"/>
  <c r="CS598" i="115"/>
  <c r="CS770" i="115" s="1"/>
  <c r="CS779" i="115" s="1"/>
  <c r="CT597" i="115"/>
  <c r="CS597" i="115"/>
  <c r="CT594" i="115"/>
  <c r="CS584" i="115"/>
  <c r="CS580" i="115"/>
  <c r="CT579" i="115"/>
  <c r="CT578" i="115"/>
  <c r="CT577" i="115"/>
  <c r="CT576" i="115"/>
  <c r="CS576" i="115"/>
  <c r="CT573" i="115"/>
  <c r="CT568" i="115"/>
  <c r="CS557" i="115"/>
  <c r="CT548" i="115"/>
  <c r="CS544" i="115"/>
  <c r="CS543" i="115"/>
  <c r="CS542" i="115"/>
  <c r="CT532" i="115"/>
  <c r="CT530" i="115"/>
  <c r="CT523" i="115" s="1"/>
  <c r="CS525" i="115"/>
  <c r="CS523" i="115"/>
  <c r="CT512" i="115"/>
  <c r="CS512" i="115"/>
  <c r="CS509" i="115"/>
  <c r="CV510" i="115" s="1"/>
  <c r="CV511" i="115" s="1"/>
  <c r="CS505" i="115"/>
  <c r="CV506" i="115" s="1"/>
  <c r="CV507" i="115" s="1"/>
  <c r="CT495" i="115"/>
  <c r="CS495" i="115"/>
  <c r="CV496" i="115" s="1"/>
  <c r="CW499" i="115" s="1"/>
  <c r="CT487" i="115"/>
  <c r="CS487" i="115"/>
  <c r="CT486" i="115"/>
  <c r="CS486" i="115"/>
  <c r="CT483" i="115"/>
  <c r="CS483" i="115"/>
  <c r="CS481" i="115"/>
  <c r="CS479" i="115"/>
  <c r="CT476" i="115"/>
  <c r="CS476" i="115"/>
  <c r="CT473" i="115"/>
  <c r="CS473" i="115"/>
  <c r="CS472" i="115"/>
  <c r="CS1517" i="115" s="1"/>
  <c r="CS1519" i="115" s="1"/>
  <c r="CS1521" i="115" s="1"/>
  <c r="CT471" i="115"/>
  <c r="CT472" i="115" s="1"/>
  <c r="CT1517" i="115" s="1"/>
  <c r="CT464" i="115"/>
  <c r="CT489" i="115" s="1"/>
  <c r="CS464" i="115"/>
  <c r="CS488" i="115" s="1"/>
  <c r="CT462" i="115"/>
  <c r="CS462" i="115"/>
  <c r="CV480" i="115" s="1"/>
  <c r="CS448" i="115"/>
  <c r="CS444" i="115"/>
  <c r="CS443" i="115"/>
  <c r="CS440" i="115"/>
  <c r="CT418" i="115"/>
  <c r="CT412" i="115"/>
  <c r="CT411" i="115"/>
  <c r="CT410" i="115"/>
  <c r="CT403" i="115"/>
  <c r="CS400" i="115"/>
  <c r="CS392" i="115"/>
  <c r="CS380" i="115"/>
  <c r="CS382" i="115" s="1"/>
  <c r="CT378" i="115"/>
  <c r="CT376" i="115"/>
  <c r="CT444" i="115" s="1"/>
  <c r="CT375" i="115"/>
  <c r="CT443" i="115" s="1"/>
  <c r="CT374" i="115"/>
  <c r="CT370" i="115"/>
  <c r="CT368" i="115"/>
  <c r="CT367" i="115"/>
  <c r="CT392" i="115" s="1"/>
  <c r="CS365" i="115"/>
  <c r="CT365" i="115" s="1"/>
  <c r="CS351" i="115"/>
  <c r="CV359" i="115" s="1"/>
  <c r="CS350" i="115"/>
  <c r="CV358" i="115" s="1"/>
  <c r="CS349" i="115"/>
  <c r="CV357" i="115" s="1"/>
  <c r="CS348" i="115"/>
  <c r="CS331" i="115"/>
  <c r="CS329" i="115"/>
  <c r="CS328" i="115"/>
  <c r="CS327" i="115"/>
  <c r="CS325" i="115"/>
  <c r="CT324" i="115"/>
  <c r="CT323" i="115"/>
  <c r="CT322" i="115"/>
  <c r="CT321" i="115"/>
  <c r="CS304" i="115"/>
  <c r="CS309" i="115" s="1"/>
  <c r="CV316" i="115" s="1"/>
  <c r="CS302" i="115"/>
  <c r="CS301" i="115"/>
  <c r="CS300" i="115"/>
  <c r="CS298" i="115"/>
  <c r="CT297" i="115"/>
  <c r="CT296" i="115"/>
  <c r="CT295" i="115"/>
  <c r="CT294" i="115"/>
  <c r="CS290" i="115"/>
  <c r="CS289" i="115"/>
  <c r="CS288" i="115"/>
  <c r="CS287" i="115"/>
  <c r="CS284" i="115"/>
  <c r="CT283" i="115"/>
  <c r="CT282" i="115"/>
  <c r="CT281" i="115"/>
  <c r="CT280" i="115"/>
  <c r="CS272" i="115"/>
  <c r="CS271" i="115"/>
  <c r="CS257" i="115"/>
  <c r="CT257" i="115" s="1"/>
  <c r="CS256" i="115"/>
  <c r="CS254" i="115"/>
  <c r="CT252" i="115"/>
  <c r="CX247" i="115" s="1"/>
  <c r="CT249" i="115"/>
  <c r="CT248" i="115"/>
  <c r="CS247" i="115"/>
  <c r="CT244" i="115"/>
  <c r="CX241" i="115" s="1"/>
  <c r="CX243" i="115" s="1"/>
  <c r="CT242" i="115"/>
  <c r="CS241" i="115"/>
  <c r="CS243" i="115" s="1"/>
  <c r="CS236" i="115"/>
  <c r="CS219" i="115"/>
  <c r="CT218" i="115"/>
  <c r="CX271" i="115" s="1"/>
  <c r="CT217" i="115"/>
  <c r="CT215" i="115"/>
  <c r="CS169" i="115"/>
  <c r="CS167" i="115"/>
  <c r="CS164" i="115"/>
  <c r="CT157" i="115"/>
  <c r="CT254" i="115" s="1"/>
  <c r="CT155" i="115"/>
  <c r="CT153" i="115"/>
  <c r="CT152" i="115"/>
  <c r="CT1322" i="115" s="1"/>
  <c r="CT1324" i="115" s="1"/>
  <c r="CS151" i="115"/>
  <c r="CS149" i="115"/>
  <c r="CS172" i="115" s="1"/>
  <c r="CS138" i="115"/>
  <c r="CS142" i="115" s="1"/>
  <c r="CS137" i="115"/>
  <c r="CS135" i="115"/>
  <c r="CT133" i="115"/>
  <c r="CS132" i="115"/>
  <c r="CV136" i="115" s="1"/>
  <c r="CT131" i="115"/>
  <c r="CS116" i="115"/>
  <c r="CS120" i="115" s="1"/>
  <c r="CS115" i="115"/>
  <c r="CS113" i="115"/>
  <c r="CT111" i="115"/>
  <c r="CS110" i="115"/>
  <c r="CV114" i="115" s="1"/>
  <c r="CT109" i="115"/>
  <c r="CS104" i="115"/>
  <c r="CS103" i="115"/>
  <c r="CT99" i="115"/>
  <c r="CT98" i="115"/>
  <c r="CS93" i="115"/>
  <c r="CT89" i="115"/>
  <c r="CS88" i="115"/>
  <c r="CT87" i="115"/>
  <c r="CT79" i="115"/>
  <c r="CT77" i="115"/>
  <c r="CS70" i="115"/>
  <c r="CS59" i="115"/>
  <c r="CS57" i="115"/>
  <c r="CS48" i="115"/>
  <c r="CT44" i="115"/>
  <c r="CS40" i="115"/>
  <c r="CT38" i="115"/>
  <c r="CS38" i="115"/>
  <c r="CT36" i="115"/>
  <c r="CT35" i="115"/>
  <c r="CX59" i="115" s="1"/>
  <c r="CT33" i="115"/>
  <c r="CX57" i="115" s="1"/>
  <c r="CS31" i="115"/>
  <c r="CW55" i="115" s="1"/>
  <c r="CT29" i="115"/>
  <c r="CT28" i="115"/>
  <c r="CT27" i="115"/>
  <c r="CS25" i="115"/>
  <c r="CW53" i="115" s="1"/>
  <c r="CT24" i="115"/>
  <c r="CT23" i="115"/>
  <c r="CT21" i="115"/>
  <c r="CS19" i="115"/>
  <c r="CW49" i="115" s="1"/>
  <c r="CT17" i="115"/>
  <c r="CT664" i="115" s="1"/>
  <c r="CT687" i="115" s="1"/>
  <c r="CT16" i="115"/>
  <c r="CT663" i="115" s="1"/>
  <c r="CT15" i="115"/>
  <c r="CT662" i="115" s="1"/>
  <c r="CT14" i="115"/>
  <c r="AE1" i="111"/>
  <c r="CV763" i="115" l="1"/>
  <c r="CV356" i="115"/>
  <c r="CT598" i="115"/>
  <c r="CT596" i="115" s="1"/>
  <c r="CX48" i="115"/>
  <c r="CS352" i="115"/>
  <c r="CX970" i="115"/>
  <c r="CX971" i="115" s="1"/>
  <c r="CX250" i="115"/>
  <c r="CW250" i="115" s="1"/>
  <c r="CS617" i="115"/>
  <c r="CS780" i="115"/>
  <c r="CW781" i="115" s="1"/>
  <c r="CT617" i="115"/>
  <c r="CT780" i="115"/>
  <c r="CT116" i="115"/>
  <c r="CT138" i="115"/>
  <c r="CT140" i="115" s="1"/>
  <c r="CV161" i="115"/>
  <c r="CS285" i="115"/>
  <c r="CV291" i="115"/>
  <c r="CV92" i="115"/>
  <c r="CV163" i="115"/>
  <c r="CV124" i="115"/>
  <c r="CV146" i="115"/>
  <c r="CT325" i="115"/>
  <c r="CS566" i="115"/>
  <c r="CS567" i="115" s="1"/>
  <c r="CT88" i="115"/>
  <c r="CT351" i="115"/>
  <c r="CT484" i="115"/>
  <c r="CT646" i="115"/>
  <c r="CT580" i="115"/>
  <c r="CT581" i="115" s="1"/>
  <c r="CS970" i="115"/>
  <c r="CS971" i="115" s="1"/>
  <c r="CS596" i="115"/>
  <c r="CS595" i="115" s="1"/>
  <c r="CS655" i="115" s="1"/>
  <c r="CS66" i="115"/>
  <c r="CS602" i="115"/>
  <c r="CT488" i="115"/>
  <c r="CS69" i="115"/>
  <c r="CS999" i="115"/>
  <c r="CS1000" i="115" s="1"/>
  <c r="CT557" i="115"/>
  <c r="CS757" i="115"/>
  <c r="CS485" i="115"/>
  <c r="CS646" i="115"/>
  <c r="CT380" i="115"/>
  <c r="CT382" i="115" s="1"/>
  <c r="CT1488" i="115"/>
  <c r="CW1489" i="115" s="1"/>
  <c r="CT400" i="115"/>
  <c r="CT1115" i="115"/>
  <c r="CS337" i="115"/>
  <c r="CV344" i="115" s="1"/>
  <c r="CT350" i="115"/>
  <c r="CT298" i="115"/>
  <c r="CT348" i="115"/>
  <c r="CT284" i="115"/>
  <c r="CT966" i="115"/>
  <c r="CT1340" i="115"/>
  <c r="CT1341" i="115" s="1"/>
  <c r="CT1343" i="115" s="1"/>
  <c r="CT272" i="115"/>
  <c r="CT151" i="115"/>
  <c r="CT132" i="115"/>
  <c r="CT149" i="115"/>
  <c r="CT110" i="115"/>
  <c r="CS150" i="115"/>
  <c r="CV162" i="115" s="1"/>
  <c r="CS154" i="115"/>
  <c r="CS156" i="115" s="1"/>
  <c r="CS1463" i="115"/>
  <c r="CS310" i="115"/>
  <c r="CV317" i="115" s="1"/>
  <c r="CS140" i="115"/>
  <c r="CV144" i="115" s="1"/>
  <c r="CS311" i="115"/>
  <c r="CV318" i="115" s="1"/>
  <c r="CT309" i="115"/>
  <c r="CS307" i="115"/>
  <c r="CS308" i="115"/>
  <c r="CS118" i="115"/>
  <c r="CS333" i="115"/>
  <c r="CV340" i="115" s="1"/>
  <c r="CS334" i="115"/>
  <c r="CV341" i="115" s="1"/>
  <c r="CS335" i="115"/>
  <c r="CS336" i="115"/>
  <c r="CT70" i="115"/>
  <c r="CT1557" i="115"/>
  <c r="CT998" i="115"/>
  <c r="CT961" i="115"/>
  <c r="CT236" i="115"/>
  <c r="CS666" i="115"/>
  <c r="CV672" i="115" s="1"/>
  <c r="CT637" i="115"/>
  <c r="CT639" i="115" s="1"/>
  <c r="CS581" i="115"/>
  <c r="CS520" i="115" s="1"/>
  <c r="CS589" i="115"/>
  <c r="CS545" i="115"/>
  <c r="CT525" i="115"/>
  <c r="CT66" i="115"/>
  <c r="CT485" i="115"/>
  <c r="CS489" i="115"/>
  <c r="CS484" i="115"/>
  <c r="CT419" i="115"/>
  <c r="CT349" i="115"/>
  <c r="CT256" i="115"/>
  <c r="CS235" i="115"/>
  <c r="CS255" i="115"/>
  <c r="CS258" i="115"/>
  <c r="CT219" i="115"/>
  <c r="CT120" i="115"/>
  <c r="CS101" i="115"/>
  <c r="CV106" i="115" s="1"/>
  <c r="CS20" i="115"/>
  <c r="CW50" i="115" s="1"/>
  <c r="CT18" i="115"/>
  <c r="AD10" i="123"/>
  <c r="AD108" i="123" s="1"/>
  <c r="AD12" i="123"/>
  <c r="AC13" i="123"/>
  <c r="AC111" i="123" s="1"/>
  <c r="AC148" i="123" s="1"/>
  <c r="AC14" i="123"/>
  <c r="AC112" i="123" s="1"/>
  <c r="AD15" i="123"/>
  <c r="AD60" i="123" s="1"/>
  <c r="AC17" i="123"/>
  <c r="AC115" i="123" s="1"/>
  <c r="AE18" i="123"/>
  <c r="AC19" i="123"/>
  <c r="AC24" i="123"/>
  <c r="AC122" i="123" s="1"/>
  <c r="AD26" i="123"/>
  <c r="AD29" i="123"/>
  <c r="AD74" i="123" s="1"/>
  <c r="AD97" i="123" s="1"/>
  <c r="AE29" i="123"/>
  <c r="AE74" i="123" s="1"/>
  <c r="AF29" i="123"/>
  <c r="AC33" i="123"/>
  <c r="AC78" i="123" s="1"/>
  <c r="AD33" i="123"/>
  <c r="AD78" i="123" s="1"/>
  <c r="AC35" i="123"/>
  <c r="AC80" i="123" s="1"/>
  <c r="AD35" i="123"/>
  <c r="AD80" i="123" s="1"/>
  <c r="AE35" i="123"/>
  <c r="AE80" i="123" s="1"/>
  <c r="AF35" i="123"/>
  <c r="AF133" i="123" s="1"/>
  <c r="AC37" i="123"/>
  <c r="AC39" i="123"/>
  <c r="AC137" i="123" s="1"/>
  <c r="AD39" i="123"/>
  <c r="AD137" i="123" s="1"/>
  <c r="AE39" i="123"/>
  <c r="AE84" i="123" s="1"/>
  <c r="AF39" i="123"/>
  <c r="AF137" i="123" s="1"/>
  <c r="AC41" i="123"/>
  <c r="AC86" i="123" s="1"/>
  <c r="AD41" i="123"/>
  <c r="AD86" i="123" s="1"/>
  <c r="AC46" i="123"/>
  <c r="AC91" i="123"/>
  <c r="AD91" i="123"/>
  <c r="AE91" i="123"/>
  <c r="AC145" i="123"/>
  <c r="AD145" i="123"/>
  <c r="AE145" i="123"/>
  <c r="AC156" i="123"/>
  <c r="FK6" i="117"/>
  <c r="EV42" i="117"/>
  <c r="EV5" i="117"/>
  <c r="FH8" i="117" l="1"/>
  <c r="CT1116" i="115"/>
  <c r="AE92" i="111"/>
  <c r="CS765" i="115"/>
  <c r="FD8" i="117"/>
  <c r="AC59" i="123"/>
  <c r="CT602" i="115"/>
  <c r="CT614" i="115" s="1"/>
  <c r="CS158" i="115"/>
  <c r="CV170" i="115" s="1"/>
  <c r="CV168" i="115"/>
  <c r="EV8" i="117"/>
  <c r="ER8" i="117"/>
  <c r="EZ8" i="117"/>
  <c r="CT142" i="115"/>
  <c r="CV759" i="115"/>
  <c r="CV764" i="115" s="1"/>
  <c r="CW758" i="115"/>
  <c r="CV166" i="115"/>
  <c r="CV315" i="115"/>
  <c r="CS312" i="115"/>
  <c r="CT336" i="115"/>
  <c r="CV343" i="115"/>
  <c r="CT335" i="115"/>
  <c r="CV342" i="115"/>
  <c r="CS119" i="115"/>
  <c r="CV122" i="115"/>
  <c r="CV127" i="115" s="1"/>
  <c r="CS354" i="115"/>
  <c r="CV360" i="115"/>
  <c r="CT307" i="115"/>
  <c r="CV314" i="115"/>
  <c r="AD127" i="123"/>
  <c r="AD151" i="123" s="1"/>
  <c r="AC139" i="123"/>
  <c r="AD84" i="123"/>
  <c r="AC133" i="123"/>
  <c r="AC69" i="123"/>
  <c r="AC84" i="123"/>
  <c r="CT154" i="115"/>
  <c r="CT156" i="115" s="1"/>
  <c r="CS502" i="115"/>
  <c r="CV503" i="115" s="1"/>
  <c r="CS141" i="115"/>
  <c r="CT101" i="115"/>
  <c r="CT118" i="115"/>
  <c r="CT1463" i="115"/>
  <c r="CT1444" i="115" s="1"/>
  <c r="AD55" i="123"/>
  <c r="AC42" i="123"/>
  <c r="AC140" i="123" s="1"/>
  <c r="CT150" i="115"/>
  <c r="AD113" i="123"/>
  <c r="AE133" i="123"/>
  <c r="AD133" i="123"/>
  <c r="CT352" i="115"/>
  <c r="CT354" i="115" s="1"/>
  <c r="CT355" i="115" s="1"/>
  <c r="AC58" i="123"/>
  <c r="AC94" i="123" s="1"/>
  <c r="CS614" i="115"/>
  <c r="AC62" i="123"/>
  <c r="CT69" i="115"/>
  <c r="CT999" i="115"/>
  <c r="CT1000" i="115" s="1"/>
  <c r="AD139" i="123"/>
  <c r="CT897" i="115"/>
  <c r="CS937" i="115"/>
  <c r="CS939" i="115" s="1"/>
  <c r="CT1485" i="115"/>
  <c r="CT1486" i="115"/>
  <c r="CT1490" i="115"/>
  <c r="CT1487" i="115"/>
  <c r="CS353" i="115"/>
  <c r="CS1005" i="115"/>
  <c r="CS1007" i="115" s="1"/>
  <c r="CS1008" i="115" s="1"/>
  <c r="CS452" i="115"/>
  <c r="CS372" i="115"/>
  <c r="CS373" i="115" s="1"/>
  <c r="CS446" i="115" s="1"/>
  <c r="CS453" i="115"/>
  <c r="CS442" i="115"/>
  <c r="CS451" i="115"/>
  <c r="CS1478" i="115"/>
  <c r="CS1479" i="115" s="1"/>
  <c r="CS1481" i="115"/>
  <c r="CS973" i="115"/>
  <c r="CS364" i="115"/>
  <c r="CS225" i="115"/>
  <c r="CV229" i="115" s="1"/>
  <c r="CS224" i="115"/>
  <c r="CV228" i="115" s="1"/>
  <c r="CS491" i="115"/>
  <c r="CS260" i="115"/>
  <c r="CS223" i="115"/>
  <c r="CV227" i="115" s="1"/>
  <c r="CS274" i="115"/>
  <c r="CS273" i="115"/>
  <c r="CS275" i="115"/>
  <c r="CS1469" i="115"/>
  <c r="CS1444" i="115"/>
  <c r="CT308" i="115"/>
  <c r="CT310" i="115"/>
  <c r="CT333" i="115"/>
  <c r="CT334" i="115"/>
  <c r="CS338" i="115"/>
  <c r="CT969" i="115"/>
  <c r="CT19" i="115"/>
  <c r="CX49" i="115" s="1"/>
  <c r="CT665" i="115"/>
  <c r="CT740" i="115" s="1"/>
  <c r="CS571" i="115"/>
  <c r="CS554" i="115"/>
  <c r="AE17" i="123"/>
  <c r="AE16" i="123" s="1"/>
  <c r="CT520" i="115"/>
  <c r="AF17" i="123"/>
  <c r="AF115" i="123" s="1"/>
  <c r="CT423" i="115"/>
  <c r="CT421" i="115"/>
  <c r="CT420" i="115"/>
  <c r="CS234" i="115"/>
  <c r="CT258" i="115"/>
  <c r="CT255" i="115"/>
  <c r="CS100" i="115"/>
  <c r="CV105" i="115" s="1"/>
  <c r="AE63" i="123"/>
  <c r="CS26" i="115"/>
  <c r="AE137" i="123"/>
  <c r="AF80" i="123"/>
  <c r="AF127" i="123"/>
  <c r="AE97" i="123"/>
  <c r="AE127" i="123"/>
  <c r="AE151" i="123" s="1"/>
  <c r="AF74" i="123"/>
  <c r="AF84" i="123"/>
  <c r="AD131" i="123"/>
  <c r="AC131" i="123"/>
  <c r="AE116" i="123"/>
  <c r="CT158" i="115" l="1"/>
  <c r="CT141" i="115"/>
  <c r="CT224" i="115"/>
  <c r="BN53" i="117"/>
  <c r="CS63" i="115"/>
  <c r="CW54" i="115"/>
  <c r="CT364" i="115"/>
  <c r="CT366" i="115" s="1"/>
  <c r="CT384" i="115" s="1"/>
  <c r="CT223" i="115"/>
  <c r="CT973" i="115"/>
  <c r="CT980" i="115" s="1"/>
  <c r="CX981" i="115" s="1"/>
  <c r="CT274" i="115"/>
  <c r="CT1478" i="115"/>
  <c r="CT1445" i="115" s="1"/>
  <c r="CT275" i="115"/>
  <c r="CT260" i="115"/>
  <c r="CT1481" i="115"/>
  <c r="CT1483" i="115" s="1"/>
  <c r="CT273" i="115"/>
  <c r="CV123" i="115"/>
  <c r="CV493" i="115"/>
  <c r="CV492" i="115"/>
  <c r="CZ500" i="115" s="1"/>
  <c r="CV145" i="115"/>
  <c r="CT502" i="115"/>
  <c r="CX503" i="115" s="1"/>
  <c r="CT353" i="115"/>
  <c r="CT119" i="115"/>
  <c r="CT225" i="115"/>
  <c r="CT491" i="115"/>
  <c r="CT1469" i="115"/>
  <c r="CT451" i="115"/>
  <c r="CT442" i="115"/>
  <c r="CT422" i="115"/>
  <c r="CT425" i="115"/>
  <c r="CT427" i="115" s="1"/>
  <c r="CT453" i="115"/>
  <c r="CT452" i="115"/>
  <c r="CS1445" i="115"/>
  <c r="CT311" i="115"/>
  <c r="CT312" i="115" s="1"/>
  <c r="CT937" i="115"/>
  <c r="CT337" i="115"/>
  <c r="CT372" i="115"/>
  <c r="CS388" i="115"/>
  <c r="CS980" i="115"/>
  <c r="CV981" i="115" s="1"/>
  <c r="CS1483" i="115"/>
  <c r="CS1482" i="115"/>
  <c r="CS385" i="115"/>
  <c r="CS1150" i="115"/>
  <c r="CS457" i="115"/>
  <c r="CS389" i="115"/>
  <c r="CS366" i="115"/>
  <c r="CS430" i="115"/>
  <c r="CS390" i="115"/>
  <c r="CT20" i="115"/>
  <c r="CX50" i="115" s="1"/>
  <c r="CT666" i="115"/>
  <c r="CT744" i="115"/>
  <c r="CX746" i="115" s="1"/>
  <c r="CT748" i="115"/>
  <c r="CS555" i="115"/>
  <c r="CS572" i="115"/>
  <c r="CS901" i="115"/>
  <c r="AE61" i="123"/>
  <c r="AE114" i="123"/>
  <c r="AE62" i="123"/>
  <c r="AE115" i="123"/>
  <c r="AF62" i="123"/>
  <c r="CS251" i="115"/>
  <c r="CT100" i="115"/>
  <c r="CS32" i="115"/>
  <c r="CW56" i="115" s="1"/>
  <c r="AF151" i="123"/>
  <c r="AF97" i="123"/>
  <c r="CT430" i="115" l="1"/>
  <c r="CT434" i="115" s="1"/>
  <c r="CX493" i="115"/>
  <c r="CX497" i="115" s="1"/>
  <c r="CW494" i="115"/>
  <c r="CT385" i="115"/>
  <c r="CT457" i="115"/>
  <c r="CT1150" i="115"/>
  <c r="CT1479" i="115"/>
  <c r="CT1482" i="115"/>
  <c r="CV497" i="115"/>
  <c r="CT373" i="115"/>
  <c r="CS377" i="115"/>
  <c r="CT377" i="115" s="1"/>
  <c r="CT389" i="115"/>
  <c r="CT388" i="115"/>
  <c r="CT390" i="115"/>
  <c r="CS434" i="115"/>
  <c r="CS431" i="115"/>
  <c r="CS432" i="115"/>
  <c r="CS435" i="115"/>
  <c r="CS433" i="115"/>
  <c r="CS369" i="115"/>
  <c r="CS384" i="115"/>
  <c r="CS590" i="115"/>
  <c r="CS1146" i="115"/>
  <c r="CS1246" i="115"/>
  <c r="CS250" i="115"/>
  <c r="CS34" i="115"/>
  <c r="CW58" i="115" s="1"/>
  <c r="CT435" i="115" l="1"/>
  <c r="CT436" i="115"/>
  <c r="CT431" i="115"/>
  <c r="CT433" i="115"/>
  <c r="CS436" i="115"/>
  <c r="CT446" i="115"/>
  <c r="CT432" i="115"/>
  <c r="CS387" i="115"/>
  <c r="CS386" i="115"/>
  <c r="CT369" i="115"/>
  <c r="CS995" i="115"/>
  <c r="CS1553" i="115"/>
  <c r="CS991" i="115"/>
  <c r="CS992" i="115" s="1"/>
  <c r="CS37" i="115"/>
  <c r="CW60" i="115" s="1"/>
  <c r="CT387" i="115" l="1"/>
  <c r="CT386" i="115"/>
  <c r="CS1564" i="115"/>
  <c r="CS1566" i="115" s="1"/>
  <c r="CW1567" i="115" s="1"/>
  <c r="CS536" i="115"/>
  <c r="CS1555" i="115"/>
  <c r="CS1562" i="115" s="1"/>
  <c r="CS993" i="115" s="1"/>
  <c r="CS1561" i="115"/>
  <c r="CS43" i="115"/>
  <c r="CS45" i="115" s="1"/>
  <c r="CS39" i="115"/>
  <c r="CS41" i="115" l="1"/>
  <c r="CS1227" i="115"/>
  <c r="CS1244" i="115" s="1"/>
  <c r="CS1135" i="115"/>
  <c r="CS1216" i="115"/>
  <c r="CS1523" i="115"/>
  <c r="CS1568" i="115"/>
  <c r="CW1569" i="115" s="1"/>
  <c r="M143" i="123"/>
  <c r="N143" i="123"/>
  <c r="O143" i="123"/>
  <c r="Q143" i="123"/>
  <c r="R143" i="123"/>
  <c r="S143" i="123"/>
  <c r="U143" i="123"/>
  <c r="V143" i="123"/>
  <c r="W143" i="123"/>
  <c r="Y143" i="123"/>
  <c r="Z143" i="123"/>
  <c r="AA143" i="123"/>
  <c r="AG89" i="123"/>
  <c r="AH89" i="123"/>
  <c r="AI89" i="123"/>
  <c r="M89" i="123"/>
  <c r="N89" i="123"/>
  <c r="O89" i="123"/>
  <c r="Q89" i="123"/>
  <c r="R89" i="123"/>
  <c r="S89" i="123"/>
  <c r="U89" i="123"/>
  <c r="V89" i="123"/>
  <c r="W89" i="123"/>
  <c r="Y89" i="123"/>
  <c r="Z89" i="123"/>
  <c r="AA89" i="123"/>
  <c r="AG46" i="123"/>
  <c r="M46" i="123"/>
  <c r="Q46" i="123"/>
  <c r="U46" i="123"/>
  <c r="Y46" i="123"/>
  <c r="BY224" i="117"/>
  <c r="BX224" i="117"/>
  <c r="BY205" i="117"/>
  <c r="BX205" i="117"/>
  <c r="BY183" i="117"/>
  <c r="BX183" i="117"/>
  <c r="BZ165" i="117"/>
  <c r="BY151" i="117"/>
  <c r="BY195" i="117" s="1"/>
  <c r="BY105" i="117" s="1"/>
  <c r="BX151" i="117"/>
  <c r="BX195" i="117" s="1"/>
  <c r="BY135" i="117"/>
  <c r="BX135" i="117"/>
  <c r="BY129" i="117"/>
  <c r="BX129" i="117"/>
  <c r="BX122" i="117"/>
  <c r="BW24" i="117"/>
  <c r="BM46" i="117" l="1"/>
  <c r="CS1217" i="115"/>
  <c r="CS1238" i="115"/>
  <c r="CS1130" i="115" s="1"/>
  <c r="CS1137" i="115" s="1"/>
  <c r="CS1138" i="115"/>
  <c r="CS1136" i="115"/>
  <c r="CS1072" i="115"/>
  <c r="CS1223" i="115"/>
  <c r="CS1225" i="115" s="1"/>
  <c r="CS1242" i="115" s="1"/>
  <c r="CS1143" i="115"/>
  <c r="BZ195" i="117"/>
  <c r="BX105" i="117"/>
  <c r="BI1234" i="115" l="1"/>
  <c r="BH1234" i="115"/>
  <c r="BI1233" i="115"/>
  <c r="BH1233" i="115"/>
  <c r="BI1232" i="115"/>
  <c r="BH1232" i="115"/>
  <c r="BM1234" i="115"/>
  <c r="BL1234" i="115"/>
  <c r="BM1233" i="115"/>
  <c r="BL1233" i="115"/>
  <c r="BM1232" i="115"/>
  <c r="BL1232" i="115"/>
  <c r="BQ1234" i="115"/>
  <c r="BP1234" i="115"/>
  <c r="BQ1233" i="115"/>
  <c r="BP1233" i="115"/>
  <c r="BQ1232" i="115"/>
  <c r="BP1232" i="115"/>
  <c r="BU1234" i="115"/>
  <c r="BT1234" i="115"/>
  <c r="BU1233" i="115"/>
  <c r="BT1233" i="115"/>
  <c r="BU1232" i="115"/>
  <c r="BT1232" i="115"/>
  <c r="BY1234" i="115"/>
  <c r="BX1234" i="115"/>
  <c r="BY1233" i="115"/>
  <c r="BX1233" i="115"/>
  <c r="BY1232" i="115"/>
  <c r="BX1232" i="115"/>
  <c r="CC1234" i="115"/>
  <c r="CB1234" i="115"/>
  <c r="CC1233" i="115"/>
  <c r="CB1233" i="115"/>
  <c r="CC1232" i="115"/>
  <c r="CB1232" i="115"/>
  <c r="CR1234" i="115"/>
  <c r="CR1233" i="115"/>
  <c r="CR1232" i="115"/>
  <c r="CL1229" i="115"/>
  <c r="CL1233" i="115" s="1"/>
  <c r="CO1234" i="115"/>
  <c r="CN1234" i="115"/>
  <c r="CO1233" i="115"/>
  <c r="CN1233" i="115"/>
  <c r="CO1232" i="115"/>
  <c r="CN1232" i="115"/>
  <c r="CK1234" i="115"/>
  <c r="CJ1234" i="115"/>
  <c r="CK1233" i="115"/>
  <c r="CJ1233" i="115"/>
  <c r="CJ1240" i="115" s="1"/>
  <c r="CK1232" i="115"/>
  <c r="CJ1232" i="115"/>
  <c r="CF1234" i="115"/>
  <c r="CF1233" i="115"/>
  <c r="CF1232" i="115"/>
  <c r="CG1234" i="115"/>
  <c r="A1234" i="115"/>
  <c r="CG1233" i="115"/>
  <c r="A1233" i="115"/>
  <c r="CG1232" i="115"/>
  <c r="A1232" i="115"/>
  <c r="CP1229" i="115"/>
  <c r="CP1233" i="115" s="1"/>
  <c r="CH1229" i="115"/>
  <c r="CH1233" i="115" s="1"/>
  <c r="CD1229" i="115"/>
  <c r="CD1233" i="115" s="1"/>
  <c r="BZ1229" i="115"/>
  <c r="BV1229" i="115"/>
  <c r="BV1233" i="115" s="1"/>
  <c r="BR1229" i="115"/>
  <c r="BR1234" i="115" s="1"/>
  <c r="BN1229" i="115"/>
  <c r="BJ1229" i="115"/>
  <c r="BJ1234" i="115" s="1"/>
  <c r="CR1221" i="115"/>
  <c r="CH1234" i="115" l="1"/>
  <c r="CL1234" i="115"/>
  <c r="BY1240" i="115"/>
  <c r="BU1240" i="115"/>
  <c r="BQ1240" i="115"/>
  <c r="BM1240" i="115"/>
  <c r="CH1232" i="115"/>
  <c r="CP1234" i="115"/>
  <c r="CL1240" i="115"/>
  <c r="BI1240" i="115"/>
  <c r="CP1232" i="115"/>
  <c r="CC1240" i="115"/>
  <c r="CP1240" i="115"/>
  <c r="CK1240" i="115"/>
  <c r="BZ1234" i="115"/>
  <c r="BZ1232" i="115"/>
  <c r="BZ1233" i="115"/>
  <c r="CB1240" i="115"/>
  <c r="BX1240" i="115"/>
  <c r="BT1240" i="115"/>
  <c r="BP1240" i="115"/>
  <c r="BL1240" i="115"/>
  <c r="BH1240" i="115"/>
  <c r="CR1240" i="115"/>
  <c r="BN1233" i="115"/>
  <c r="BN1234" i="115"/>
  <c r="BN1232" i="115"/>
  <c r="CN1240" i="115"/>
  <c r="CD1232" i="115"/>
  <c r="CD1234" i="115"/>
  <c r="BV1232" i="115"/>
  <c r="BV1234" i="115"/>
  <c r="BR1233" i="115"/>
  <c r="BJ1233" i="115"/>
  <c r="CF1240" i="115"/>
  <c r="CO1240" i="115"/>
  <c r="CL1232" i="115"/>
  <c r="CG1240" i="115"/>
  <c r="BR1232" i="115"/>
  <c r="BJ1232" i="115"/>
  <c r="BJ1240" i="115" l="1"/>
  <c r="CP676" i="115" l="1"/>
  <c r="C15" i="111" l="1"/>
  <c r="AJ115" i="111" l="1"/>
  <c r="AJ109" i="111"/>
  <c r="AK109" i="111"/>
  <c r="AK115" i="111"/>
  <c r="AI109" i="111"/>
  <c r="AI115" i="111"/>
  <c r="AG115" i="111"/>
  <c r="CA115" i="111"/>
  <c r="BS115" i="111"/>
  <c r="BK115" i="111"/>
  <c r="BC115" i="111"/>
  <c r="AU115" i="111"/>
  <c r="AM115" i="111"/>
  <c r="BZ115" i="111"/>
  <c r="BR115" i="111"/>
  <c r="BJ115" i="111"/>
  <c r="BB115" i="111"/>
  <c r="AT115" i="111"/>
  <c r="AL115" i="111"/>
  <c r="CG115" i="111"/>
  <c r="BY115" i="111"/>
  <c r="BQ115" i="111"/>
  <c r="BI115" i="111"/>
  <c r="BA115" i="111"/>
  <c r="AS115" i="111"/>
  <c r="CF115" i="111"/>
  <c r="BX115" i="111"/>
  <c r="BP115" i="111"/>
  <c r="BH115" i="111"/>
  <c r="AZ115" i="111"/>
  <c r="AR115" i="111"/>
  <c r="BN115" i="111"/>
  <c r="BV115" i="111"/>
  <c r="CD115" i="111"/>
  <c r="CC115" i="111"/>
  <c r="BU115" i="111"/>
  <c r="BM115" i="111"/>
  <c r="BE115" i="111"/>
  <c r="AW115" i="111"/>
  <c r="AO115" i="111"/>
  <c r="AF115" i="111"/>
  <c r="CB115" i="111"/>
  <c r="BT115" i="111"/>
  <c r="BL115" i="111"/>
  <c r="BD115" i="111"/>
  <c r="AV115" i="111"/>
  <c r="AN115" i="111"/>
  <c r="CE115" i="111"/>
  <c r="BW115" i="111"/>
  <c r="BO115" i="111"/>
  <c r="BG115" i="111"/>
  <c r="AY115" i="111"/>
  <c r="AQ115" i="111"/>
  <c r="AH115" i="111"/>
  <c r="BF115" i="111"/>
  <c r="AX115" i="111"/>
  <c r="AP115" i="111"/>
  <c r="AR109" i="111"/>
  <c r="AD115" i="111"/>
  <c r="AE115" i="111"/>
  <c r="AC115" i="111"/>
  <c r="AB115" i="111"/>
  <c r="AG109" i="111"/>
  <c r="AF109" i="111"/>
  <c r="CG109" i="111"/>
  <c r="AI42" i="123" l="1"/>
  <c r="AH42" i="123"/>
  <c r="AG42" i="123"/>
  <c r="AA42" i="123"/>
  <c r="AA140" i="123" s="1"/>
  <c r="Z42" i="123"/>
  <c r="Z140" i="123" s="1"/>
  <c r="Y42" i="123"/>
  <c r="Y140" i="123" s="1"/>
  <c r="W42" i="123"/>
  <c r="W140" i="123" s="1"/>
  <c r="V42" i="123"/>
  <c r="V140" i="123" s="1"/>
  <c r="U42" i="123"/>
  <c r="U140" i="123" s="1"/>
  <c r="S42" i="123"/>
  <c r="S140" i="123" s="1"/>
  <c r="R42" i="123"/>
  <c r="R140" i="123" s="1"/>
  <c r="Q42" i="123"/>
  <c r="Q140" i="123" s="1"/>
  <c r="O42" i="123"/>
  <c r="O140" i="123" s="1"/>
  <c r="N42" i="123"/>
  <c r="N140" i="123" s="1"/>
  <c r="M42" i="123"/>
  <c r="M140" i="123" s="1"/>
  <c r="L37" i="123"/>
  <c r="H37" i="123"/>
  <c r="D37" i="123"/>
  <c r="AG19" i="123"/>
  <c r="Y19" i="123"/>
  <c r="U19" i="123"/>
  <c r="Q19" i="123"/>
  <c r="M19" i="123"/>
  <c r="X34" i="117" l="1"/>
  <c r="Y34" i="117"/>
  <c r="Z34" i="117"/>
  <c r="AB34" i="117"/>
  <c r="AC34" i="117"/>
  <c r="AD34" i="117"/>
  <c r="AE34" i="117"/>
  <c r="AF34" i="117"/>
  <c r="AG34" i="117"/>
  <c r="AH34" i="117"/>
  <c r="AJ34" i="117"/>
  <c r="AK34" i="117"/>
  <c r="AL34" i="117"/>
  <c r="AN34" i="117"/>
  <c r="AO34" i="117"/>
  <c r="AP34" i="117"/>
  <c r="AR34" i="117"/>
  <c r="AS34" i="117"/>
  <c r="AT34" i="117"/>
  <c r="AT43" i="117"/>
  <c r="AS43" i="117"/>
  <c r="AR43" i="117"/>
  <c r="AP43" i="117"/>
  <c r="AO43" i="117"/>
  <c r="AN43" i="117"/>
  <c r="AL43" i="117"/>
  <c r="AK43" i="117"/>
  <c r="AJ43" i="117"/>
  <c r="AH43" i="117"/>
  <c r="AG43" i="117"/>
  <c r="AF43" i="117"/>
  <c r="AE43" i="117"/>
  <c r="AD43" i="117"/>
  <c r="AC43" i="117"/>
  <c r="AB43" i="117"/>
  <c r="Z43" i="117"/>
  <c r="Y43" i="117"/>
  <c r="X43" i="117"/>
  <c r="AT42" i="117"/>
  <c r="AS42" i="117"/>
  <c r="AR42" i="117"/>
  <c r="AP42" i="117"/>
  <c r="AO42" i="117"/>
  <c r="AN42" i="117"/>
  <c r="AL42" i="117"/>
  <c r="AK42" i="117"/>
  <c r="AJ42" i="117"/>
  <c r="AH42" i="117"/>
  <c r="AG42" i="117"/>
  <c r="AF42" i="117"/>
  <c r="AE42" i="117"/>
  <c r="AD42" i="117"/>
  <c r="AC42" i="117"/>
  <c r="AB42" i="117"/>
  <c r="Z42" i="117"/>
  <c r="Y42" i="117"/>
  <c r="X42" i="117"/>
  <c r="AT41" i="117"/>
  <c r="AS41" i="117"/>
  <c r="AR41" i="117"/>
  <c r="AP41" i="117"/>
  <c r="AO41" i="117"/>
  <c r="AN41" i="117"/>
  <c r="AL41" i="117"/>
  <c r="AK41" i="117"/>
  <c r="AJ41" i="117"/>
  <c r="AH41" i="117"/>
  <c r="AG41" i="117"/>
  <c r="AF41" i="117"/>
  <c r="AE41" i="117"/>
  <c r="AD41" i="117"/>
  <c r="AC41" i="117"/>
  <c r="AB41" i="117"/>
  <c r="Z41" i="117"/>
  <c r="Y41" i="117"/>
  <c r="X41" i="117"/>
  <c r="X40" i="117"/>
  <c r="Y40" i="117"/>
  <c r="Z40" i="117"/>
  <c r="AB40" i="117"/>
  <c r="AC40" i="117"/>
  <c r="AD40" i="117"/>
  <c r="AE40" i="117"/>
  <c r="AF40" i="117"/>
  <c r="AG40" i="117"/>
  <c r="AH40" i="117"/>
  <c r="AJ40" i="117"/>
  <c r="AK40" i="117"/>
  <c r="AL40" i="117"/>
  <c r="AN40" i="117"/>
  <c r="AO40" i="117"/>
  <c r="AP40" i="117"/>
  <c r="AR40" i="117"/>
  <c r="AS40" i="117"/>
  <c r="AT40" i="117"/>
  <c r="AT39" i="117"/>
  <c r="AS39" i="117"/>
  <c r="AR39" i="117"/>
  <c r="AP39" i="117"/>
  <c r="AO39" i="117"/>
  <c r="AN39" i="117"/>
  <c r="AL39" i="117"/>
  <c r="AK39" i="117"/>
  <c r="AJ39" i="117"/>
  <c r="AH39" i="117"/>
  <c r="AG39" i="117"/>
  <c r="AF39" i="117"/>
  <c r="AE39" i="117"/>
  <c r="AD39" i="117"/>
  <c r="AC39" i="117"/>
  <c r="AB39" i="117"/>
  <c r="Z39" i="117"/>
  <c r="Y39" i="117"/>
  <c r="X39" i="117"/>
  <c r="AT35" i="117"/>
  <c r="AS35" i="117"/>
  <c r="AR35" i="117"/>
  <c r="AP35" i="117"/>
  <c r="AO35" i="117"/>
  <c r="AN35" i="117"/>
  <c r="AL35" i="117"/>
  <c r="AK35" i="117"/>
  <c r="AJ35" i="117"/>
  <c r="AH35" i="117"/>
  <c r="AG35" i="117"/>
  <c r="AF35" i="117"/>
  <c r="AE35" i="117"/>
  <c r="AD35" i="117"/>
  <c r="AC35" i="117"/>
  <c r="AB35" i="117"/>
  <c r="Z35" i="117"/>
  <c r="Y35" i="117"/>
  <c r="X35" i="117"/>
  <c r="AT33" i="117"/>
  <c r="AS33" i="117"/>
  <c r="AR33" i="117"/>
  <c r="AP33" i="117"/>
  <c r="AO33" i="117"/>
  <c r="AN33" i="117"/>
  <c r="AL33" i="117"/>
  <c r="AK33" i="117"/>
  <c r="AJ33" i="117"/>
  <c r="AH33" i="117"/>
  <c r="AG33" i="117"/>
  <c r="AF33" i="117"/>
  <c r="AE33" i="117"/>
  <c r="AD33" i="117"/>
  <c r="AC33" i="117"/>
  <c r="AB33" i="117"/>
  <c r="Z33" i="117"/>
  <c r="Y33" i="117"/>
  <c r="X33" i="117"/>
  <c r="BL36" i="117"/>
  <c r="BI36" i="117"/>
  <c r="BH36" i="117"/>
  <c r="BE36" i="117"/>
  <c r="BD36" i="117"/>
  <c r="BA36" i="117"/>
  <c r="AZ36" i="117"/>
  <c r="AW36" i="117"/>
  <c r="AV36" i="117"/>
  <c r="AS36" i="117"/>
  <c r="AR36" i="117"/>
  <c r="AO36" i="117"/>
  <c r="AN36" i="117"/>
  <c r="AK36" i="117"/>
  <c r="AJ36" i="117"/>
  <c r="AG36" i="117"/>
  <c r="AF36" i="117"/>
  <c r="AE36" i="117"/>
  <c r="AC36" i="117"/>
  <c r="AB36" i="117"/>
  <c r="Y36" i="117"/>
  <c r="X36" i="117"/>
  <c r="BO24" i="117"/>
  <c r="BO26" i="117" s="1"/>
  <c r="BK24" i="117"/>
  <c r="BK26" i="117" s="1"/>
  <c r="AY24" i="117"/>
  <c r="AU19" i="117"/>
  <c r="AU21" i="117" s="1"/>
  <c r="AU24" i="117" s="1"/>
  <c r="AQ19" i="117"/>
  <c r="AQ21" i="117" s="1"/>
  <c r="AQ24" i="117" s="1"/>
  <c r="AI19" i="117"/>
  <c r="AI21" i="117" s="1"/>
  <c r="AI24" i="117" s="1"/>
  <c r="AI26" i="117" s="1"/>
  <c r="AA19" i="117"/>
  <c r="AA21" i="117" s="1"/>
  <c r="AA24" i="117" s="1"/>
  <c r="AA26" i="117" s="1"/>
  <c r="BS24" i="117"/>
  <c r="CR677" i="115" l="1"/>
  <c r="CO677" i="115"/>
  <c r="CR1298" i="115" l="1"/>
  <c r="CR1299" i="115" l="1"/>
  <c r="CS1372" i="115" s="1"/>
  <c r="CR421" i="115"/>
  <c r="CR1198" i="115"/>
  <c r="CR1197" i="115" l="1"/>
  <c r="CR1199" i="115" l="1"/>
  <c r="CS1105" i="115" s="1"/>
  <c r="CT1105" i="115" s="1"/>
  <c r="CS1062" i="115"/>
  <c r="CR1436" i="115"/>
  <c r="CR1418" i="115"/>
  <c r="CR1427" i="115"/>
  <c r="CR1416" i="115"/>
  <c r="CR1271" i="115"/>
  <c r="CR886" i="115"/>
  <c r="CT886" i="115" s="1"/>
  <c r="CR580" i="115"/>
  <c r="CP719" i="115"/>
  <c r="CP722" i="115"/>
  <c r="CP721" i="115"/>
  <c r="CP720" i="115"/>
  <c r="CR403" i="115"/>
  <c r="CS403" i="115" s="1"/>
  <c r="CR376" i="115"/>
  <c r="CR375" i="115"/>
  <c r="CR30" i="115" l="1"/>
  <c r="CT30" i="115" s="1"/>
  <c r="CT31" i="115" s="1"/>
  <c r="CX55" i="115" l="1"/>
  <c r="AE26" i="123"/>
  <c r="CR546" i="115"/>
  <c r="CR544" i="115"/>
  <c r="CT544" i="115" s="1"/>
  <c r="CR543" i="115"/>
  <c r="CT543" i="115" s="1"/>
  <c r="CR542" i="115"/>
  <c r="CT542" i="115" s="1"/>
  <c r="CR59" i="115"/>
  <c r="CR57" i="115"/>
  <c r="CR70" i="115"/>
  <c r="CR1598" i="115"/>
  <c r="CT1598" i="115" s="1"/>
  <c r="CR1597" i="115"/>
  <c r="CT1597" i="115" s="1"/>
  <c r="CR1596" i="115"/>
  <c r="CT1596" i="115" s="1"/>
  <c r="CR1595" i="115"/>
  <c r="CT1595" i="115" s="1"/>
  <c r="CR1594" i="115"/>
  <c r="CT1594" i="115" s="1"/>
  <c r="CR1593" i="115"/>
  <c r="CT1593" i="115" s="1"/>
  <c r="CR1592" i="115"/>
  <c r="CT1592" i="115" s="1"/>
  <c r="CR1580" i="115"/>
  <c r="CR1554" i="115" s="1"/>
  <c r="CR1557" i="115"/>
  <c r="CR1529" i="115"/>
  <c r="CR1520" i="115"/>
  <c r="CT1520" i="115" s="1"/>
  <c r="CR1518" i="115"/>
  <c r="CT1518" i="115" s="1"/>
  <c r="CT1519" i="115" s="1"/>
  <c r="CR1493" i="115"/>
  <c r="CR1492" i="115"/>
  <c r="CR1488" i="115"/>
  <c r="CS1489" i="115" s="1"/>
  <c r="CR1474" i="115"/>
  <c r="CR1473" i="115"/>
  <c r="CR1437" i="115"/>
  <c r="CR1475" i="115"/>
  <c r="CR1422" i="115"/>
  <c r="CR1468" i="115"/>
  <c r="CR1407" i="115"/>
  <c r="CR1390" i="115"/>
  <c r="CR1302" i="115" s="1"/>
  <c r="CR1371" i="115"/>
  <c r="CR1370" i="115"/>
  <c r="CR1369" i="115"/>
  <c r="CR1368" i="115"/>
  <c r="CR1367" i="115"/>
  <c r="CR1362" i="115"/>
  <c r="CR1363" i="115" s="1"/>
  <c r="CR1361" i="115"/>
  <c r="CR1358" i="115"/>
  <c r="CS1356" i="115" s="1"/>
  <c r="CS1357" i="115" s="1"/>
  <c r="CS1359" i="115" s="1"/>
  <c r="CR1351" i="115"/>
  <c r="CS1346" i="115" s="1"/>
  <c r="CS1350" i="115" s="1"/>
  <c r="CR1348" i="115"/>
  <c r="CT1348" i="115" s="1"/>
  <c r="CR1342" i="115"/>
  <c r="CR1340" i="115"/>
  <c r="CR1338" i="115"/>
  <c r="CR1339" i="115" s="1"/>
  <c r="CR1334" i="115"/>
  <c r="CS1331" i="115" s="1"/>
  <c r="CS1332" i="115" s="1"/>
  <c r="CR1327" i="115"/>
  <c r="CR1319" i="115"/>
  <c r="CR1317" i="115"/>
  <c r="CR1310" i="115"/>
  <c r="CR1284" i="115"/>
  <c r="CR1272" i="115"/>
  <c r="CR1276" i="115" s="1"/>
  <c r="CR1224" i="115"/>
  <c r="CT1224" i="115" s="1"/>
  <c r="CR1213" i="115"/>
  <c r="CR1209" i="115"/>
  <c r="CS1210" i="115" s="1"/>
  <c r="CS1211" i="115" s="1"/>
  <c r="CR1163" i="115"/>
  <c r="CR1131" i="115"/>
  <c r="CR1132" i="115" s="1"/>
  <c r="CT1132" i="115" s="1"/>
  <c r="CR1128" i="115"/>
  <c r="CR1127" i="115"/>
  <c r="CR1115" i="115"/>
  <c r="CR1111" i="115"/>
  <c r="CR1112" i="115" s="1"/>
  <c r="CR1109" i="115"/>
  <c r="CR1101" i="115"/>
  <c r="CT1101" i="115" s="1"/>
  <c r="CR1095" i="115"/>
  <c r="CS1093" i="115" s="1"/>
  <c r="CS1094" i="115" s="1"/>
  <c r="CR1090" i="115"/>
  <c r="CS1088" i="115" s="1"/>
  <c r="CS1089" i="115" s="1"/>
  <c r="CR1085" i="115"/>
  <c r="CS1081" i="115" s="1"/>
  <c r="CS1084" i="115" s="1"/>
  <c r="CR1078" i="115"/>
  <c r="CS1068" i="115" s="1"/>
  <c r="CS1073" i="115" s="1"/>
  <c r="CR1065" i="115"/>
  <c r="CR1043" i="115"/>
  <c r="CR1031" i="115"/>
  <c r="CR1024" i="115"/>
  <c r="CR1004" i="115"/>
  <c r="CR998" i="115"/>
  <c r="CR990" i="115"/>
  <c r="CT990" i="115" s="1"/>
  <c r="CR966" i="115"/>
  <c r="CS963" i="115" s="1"/>
  <c r="CS965" i="115" s="1"/>
  <c r="CR961" i="115"/>
  <c r="CR951" i="115"/>
  <c r="CR949" i="115"/>
  <c r="CT949" i="115" s="1"/>
  <c r="CT891" i="115" s="1"/>
  <c r="CR948" i="115"/>
  <c r="CT948" i="115" s="1"/>
  <c r="CT890" i="115" s="1"/>
  <c r="CR947" i="115"/>
  <c r="CT947" i="115" s="1"/>
  <c r="CT889" i="115" s="1"/>
  <c r="CR946" i="115"/>
  <c r="CT946" i="115" s="1"/>
  <c r="CT888" i="115" s="1"/>
  <c r="CR945" i="115"/>
  <c r="CT945" i="115" s="1"/>
  <c r="CT887" i="115" s="1"/>
  <c r="CR943" i="115"/>
  <c r="CT943" i="115" s="1"/>
  <c r="CT885" i="115" s="1"/>
  <c r="CR929" i="115"/>
  <c r="CR922" i="115"/>
  <c r="CR918" i="115"/>
  <c r="CV920" i="115" s="1"/>
  <c r="CR910" i="115"/>
  <c r="CR909" i="115"/>
  <c r="CR906" i="115"/>
  <c r="CR883" i="115"/>
  <c r="CR1604" i="115" s="1"/>
  <c r="CT1604" i="115" s="1"/>
  <c r="CR855" i="115"/>
  <c r="CT855" i="115" s="1"/>
  <c r="CR843" i="115"/>
  <c r="CR842" i="115"/>
  <c r="CR841" i="115"/>
  <c r="CR840" i="115"/>
  <c r="CR792" i="115"/>
  <c r="CR790" i="115"/>
  <c r="CT790" i="115" s="1"/>
  <c r="CR788" i="115"/>
  <c r="CT788" i="115" s="1"/>
  <c r="CR772" i="115"/>
  <c r="CR733" i="115"/>
  <c r="CR732" i="115"/>
  <c r="CR731" i="115"/>
  <c r="CR715" i="115"/>
  <c r="CR710" i="115"/>
  <c r="CR707" i="115"/>
  <c r="CR697" i="115"/>
  <c r="CR665" i="115"/>
  <c r="CR664" i="115"/>
  <c r="CR663" i="115"/>
  <c r="CR662" i="115"/>
  <c r="CR654" i="115"/>
  <c r="CR642" i="115"/>
  <c r="CR641" i="115"/>
  <c r="CR639" i="115"/>
  <c r="CR605" i="115"/>
  <c r="CR598" i="115"/>
  <c r="CR597" i="115"/>
  <c r="CR584" i="115"/>
  <c r="CT584" i="115" s="1"/>
  <c r="CR557" i="115"/>
  <c r="CR525" i="115"/>
  <c r="CR523" i="115"/>
  <c r="CR512" i="115"/>
  <c r="CR509" i="115"/>
  <c r="CS510" i="115" s="1"/>
  <c r="CS511" i="115" s="1"/>
  <c r="CR505" i="115"/>
  <c r="CS506" i="115" s="1"/>
  <c r="CS507" i="115" s="1"/>
  <c r="CR495" i="115"/>
  <c r="CS496" i="115" s="1"/>
  <c r="CV499" i="115" s="1"/>
  <c r="CR487" i="115"/>
  <c r="CR486" i="115"/>
  <c r="CR483" i="115"/>
  <c r="CR481" i="115"/>
  <c r="CR479" i="115"/>
  <c r="CR476" i="115"/>
  <c r="CR473" i="115"/>
  <c r="CR472" i="115"/>
  <c r="CR1517" i="115" s="1"/>
  <c r="CR464" i="115"/>
  <c r="CR488" i="115" s="1"/>
  <c r="CR462" i="115"/>
  <c r="CR444" i="115"/>
  <c r="CR443" i="115"/>
  <c r="CR423" i="115"/>
  <c r="CR392" i="115"/>
  <c r="CR380" i="115"/>
  <c r="CR382" i="115" s="1"/>
  <c r="CR365" i="115"/>
  <c r="CS763" i="115" l="1"/>
  <c r="CS669" i="115"/>
  <c r="CR780" i="115"/>
  <c r="CT710" i="115"/>
  <c r="CR1519" i="115"/>
  <c r="CR1521" i="115" s="1"/>
  <c r="CR709" i="115"/>
  <c r="CV716" i="115" s="1"/>
  <c r="CV714" i="115"/>
  <c r="CT642" i="115"/>
  <c r="CT1521" i="115"/>
  <c r="CT1599" i="115"/>
  <c r="CT1558" i="115" s="1"/>
  <c r="CT1559" i="115" s="1"/>
  <c r="CS668" i="115"/>
  <c r="CR585" i="115"/>
  <c r="CT585" i="115" s="1"/>
  <c r="CR905" i="115"/>
  <c r="CT905" i="115" s="1"/>
  <c r="CT840" i="115"/>
  <c r="CY840" i="115" s="1"/>
  <c r="CS1352" i="115"/>
  <c r="CR865" i="115"/>
  <c r="CR873" i="115" s="1"/>
  <c r="CT873" i="115" s="1"/>
  <c r="CT841" i="115"/>
  <c r="CR1030" i="115"/>
  <c r="CT1030" i="115" s="1"/>
  <c r="CT1031" i="115"/>
  <c r="AD11" i="123"/>
  <c r="CS480" i="115"/>
  <c r="CR866" i="115"/>
  <c r="CT842" i="115"/>
  <c r="CT866" i="115" s="1"/>
  <c r="CS967" i="115"/>
  <c r="CR867" i="115"/>
  <c r="CT867" i="115" s="1"/>
  <c r="CT843" i="115"/>
  <c r="CS919" i="115"/>
  <c r="CT918" i="115"/>
  <c r="CR1311" i="115"/>
  <c r="CR1312" i="115" s="1"/>
  <c r="CS1058" i="115"/>
  <c r="CR1166" i="115"/>
  <c r="CT1166" i="115" s="1"/>
  <c r="CT1164" i="115"/>
  <c r="BL41" i="117"/>
  <c r="CR931" i="115"/>
  <c r="CS935" i="115" s="1"/>
  <c r="CT922" i="115"/>
  <c r="CT931" i="115" s="1"/>
  <c r="CS1530" i="115"/>
  <c r="CS514" i="115"/>
  <c r="CR999" i="115"/>
  <c r="CR1000" i="115" s="1"/>
  <c r="CR587" i="115"/>
  <c r="CT587" i="115" s="1"/>
  <c r="CS670" i="115"/>
  <c r="CT792" i="115"/>
  <c r="CS798" i="115"/>
  <c r="CT929" i="115"/>
  <c r="CS933" i="115"/>
  <c r="CS955" i="115"/>
  <c r="CT951" i="115"/>
  <c r="CT906" i="115"/>
  <c r="CR740" i="115"/>
  <c r="CR748" i="115" s="1"/>
  <c r="CS671" i="115"/>
  <c r="CR1046" i="115"/>
  <c r="CR66" i="115"/>
  <c r="BL33" i="117" s="1"/>
  <c r="CR687" i="115"/>
  <c r="CR674" i="115"/>
  <c r="CR925" i="115"/>
  <c r="CV927" i="115" s="1"/>
  <c r="CR864" i="115"/>
  <c r="CR69" i="115"/>
  <c r="CR916" i="115"/>
  <c r="CT916" i="115" s="1"/>
  <c r="CR692" i="115"/>
  <c r="CR586" i="115"/>
  <c r="CT586" i="115" s="1"/>
  <c r="CR757" i="115"/>
  <c r="CR1341" i="115"/>
  <c r="CR1343" i="115" s="1"/>
  <c r="CR596" i="115"/>
  <c r="CR595" i="115" s="1"/>
  <c r="CR1180" i="115"/>
  <c r="CR1133" i="115"/>
  <c r="CR1114" i="115"/>
  <c r="CR1118" i="115" s="1"/>
  <c r="AD156" i="123" s="1"/>
  <c r="CR545" i="115"/>
  <c r="CR489" i="115"/>
  <c r="CR484" i="115"/>
  <c r="CR646" i="115"/>
  <c r="CR1485" i="115"/>
  <c r="CR1490" i="115"/>
  <c r="CR1486" i="115"/>
  <c r="CR1487" i="115"/>
  <c r="CR1364" i="115"/>
  <c r="CR952" i="115"/>
  <c r="CV957" i="115" s="1"/>
  <c r="CR844" i="115"/>
  <c r="CR1347" i="115"/>
  <c r="CT1347" i="115" s="1"/>
  <c r="CR1599" i="115"/>
  <c r="CR1565" i="115" s="1"/>
  <c r="CR1452" i="115"/>
  <c r="CR1484" i="115"/>
  <c r="CR1423" i="115"/>
  <c r="CR1336" i="115"/>
  <c r="CR1417" i="115"/>
  <c r="CR969" i="115"/>
  <c r="CR617" i="115"/>
  <c r="CR602" i="115"/>
  <c r="CR566" i="115"/>
  <c r="CR485" i="115"/>
  <c r="CR351" i="115"/>
  <c r="CS359" i="115" s="1"/>
  <c r="CR350" i="115"/>
  <c r="CS358" i="115" s="1"/>
  <c r="CR349" i="115"/>
  <c r="CS357" i="115" s="1"/>
  <c r="CR348" i="115"/>
  <c r="CR331" i="115"/>
  <c r="CR333" i="115" s="1"/>
  <c r="CS340" i="115" s="1"/>
  <c r="CR330" i="115"/>
  <c r="CR329" i="115"/>
  <c r="CR328" i="115"/>
  <c r="CR327" i="115"/>
  <c r="CR325" i="115"/>
  <c r="CS330" i="115" s="1"/>
  <c r="CR304" i="115"/>
  <c r="CR307" i="115" s="1"/>
  <c r="CS314" i="115" s="1"/>
  <c r="CR303" i="115"/>
  <c r="CR302" i="115"/>
  <c r="CR301" i="115"/>
  <c r="CR300" i="115"/>
  <c r="CR298" i="115"/>
  <c r="CS303" i="115" s="1"/>
  <c r="CR290" i="115"/>
  <c r="CR289" i="115"/>
  <c r="CR288" i="115"/>
  <c r="CR287" i="115"/>
  <c r="CR284" i="115"/>
  <c r="CR272" i="115"/>
  <c r="CR271" i="115"/>
  <c r="CR257" i="115"/>
  <c r="CR256" i="115"/>
  <c r="CR254" i="115"/>
  <c r="CR247" i="115"/>
  <c r="CR241" i="115"/>
  <c r="CR963" i="115" s="1"/>
  <c r="CR236" i="115"/>
  <c r="CR219" i="115"/>
  <c r="CR169" i="115"/>
  <c r="CR167" i="115"/>
  <c r="CR164" i="115"/>
  <c r="CR151" i="115"/>
  <c r="CR149" i="115"/>
  <c r="CR138" i="115"/>
  <c r="CR142" i="115" s="1"/>
  <c r="CR137" i="115"/>
  <c r="CR135" i="115"/>
  <c r="CR132" i="115"/>
  <c r="CS136" i="115" s="1"/>
  <c r="CR116" i="115"/>
  <c r="CR118" i="115" s="1"/>
  <c r="CR115" i="115"/>
  <c r="CR113" i="115"/>
  <c r="CR110" i="115"/>
  <c r="CS114" i="115" s="1"/>
  <c r="CR104" i="115"/>
  <c r="CR103" i="115"/>
  <c r="CR93" i="115"/>
  <c r="CR91" i="115"/>
  <c r="CR96" i="115" s="1"/>
  <c r="CR88" i="115"/>
  <c r="CR48" i="115"/>
  <c r="CR40" i="115"/>
  <c r="CT40" i="115" s="1"/>
  <c r="CR38" i="115"/>
  <c r="CR31" i="115"/>
  <c r="CR22" i="115"/>
  <c r="CR19" i="115"/>
  <c r="CV49" i="115" s="1"/>
  <c r="CR12" i="115"/>
  <c r="CV758" i="115" l="1"/>
  <c r="CR765" i="115"/>
  <c r="CS356" i="115"/>
  <c r="BL35" i="117"/>
  <c r="CT865" i="115"/>
  <c r="CY841" i="115"/>
  <c r="CV781" i="115"/>
  <c r="CV696" i="115"/>
  <c r="CT711" i="115"/>
  <c r="CT723" i="115" s="1"/>
  <c r="CX734" i="115" s="1"/>
  <c r="CR172" i="115"/>
  <c r="CR711" i="115"/>
  <c r="CR723" i="115" s="1"/>
  <c r="CV734" i="115" s="1"/>
  <c r="AC26" i="123"/>
  <c r="CV55" i="115"/>
  <c r="CR917" i="115"/>
  <c r="CT917" i="115" s="1"/>
  <c r="CR930" i="115"/>
  <c r="CT1565" i="115"/>
  <c r="CS122" i="115"/>
  <c r="CS127" i="115" s="1"/>
  <c r="CS92" i="115"/>
  <c r="CS146" i="115"/>
  <c r="CT930" i="115"/>
  <c r="CT938" i="115" s="1"/>
  <c r="CT939" i="115" s="1"/>
  <c r="AD4" i="123"/>
  <c r="CS161" i="115"/>
  <c r="AC5" i="123"/>
  <c r="CR567" i="115"/>
  <c r="CT567" i="115" s="1"/>
  <c r="CT566" i="115"/>
  <c r="CR655" i="115"/>
  <c r="CT595" i="115"/>
  <c r="CR965" i="115"/>
  <c r="CT963" i="115"/>
  <c r="CR614" i="115"/>
  <c r="CR547" i="115"/>
  <c r="CR549" i="115" s="1"/>
  <c r="CT545" i="115"/>
  <c r="CR675" i="115"/>
  <c r="CT675" i="115" s="1"/>
  <c r="CT674" i="115"/>
  <c r="AD109" i="123"/>
  <c r="AD110" i="123" s="1"/>
  <c r="AD56" i="123"/>
  <c r="AD57" i="123" s="1"/>
  <c r="CR285" i="115"/>
  <c r="CS291" i="115"/>
  <c r="CT757" i="115"/>
  <c r="CS759" i="115"/>
  <c r="CS764" i="115" s="1"/>
  <c r="CS968" i="115"/>
  <c r="CT844" i="115"/>
  <c r="CR789" i="115"/>
  <c r="CT22" i="115"/>
  <c r="CT25" i="115" s="1"/>
  <c r="CX53" i="115" s="1"/>
  <c r="CR154" i="115"/>
  <c r="CR156" i="115" s="1"/>
  <c r="CS163" i="115"/>
  <c r="CS956" i="115"/>
  <c r="CT952" i="115"/>
  <c r="CR1134" i="115"/>
  <c r="CT1133" i="115"/>
  <c r="CT1134" i="115" s="1"/>
  <c r="CR699" i="115"/>
  <c r="CT692" i="115"/>
  <c r="CR924" i="115"/>
  <c r="CS926" i="115"/>
  <c r="CT925" i="115"/>
  <c r="CR1116" i="115"/>
  <c r="CR1119" i="115" s="1"/>
  <c r="AD157" i="123" s="1"/>
  <c r="CR907" i="115"/>
  <c r="CT907" i="115" s="1"/>
  <c r="CT864" i="115"/>
  <c r="CR868" i="115"/>
  <c r="CT868" i="115" s="1"/>
  <c r="CR666" i="115"/>
  <c r="CS672" i="115" s="1"/>
  <c r="CR878" i="115"/>
  <c r="CT878" i="115" s="1"/>
  <c r="CR970" i="115"/>
  <c r="CR971" i="115" s="1"/>
  <c r="CR1281" i="115"/>
  <c r="CR1288" i="115" s="1"/>
  <c r="CR691" i="115"/>
  <c r="CR25" i="115"/>
  <c r="CR337" i="115"/>
  <c r="CS344" i="115" s="1"/>
  <c r="CR336" i="115"/>
  <c r="CS343" i="115" s="1"/>
  <c r="CR1558" i="115"/>
  <c r="CR1559" i="115" s="1"/>
  <c r="CR243" i="115"/>
  <c r="CR235" i="115" s="1"/>
  <c r="CR1300" i="115"/>
  <c r="CR422" i="115"/>
  <c r="CR352" i="115"/>
  <c r="CR101" i="115"/>
  <c r="CS106" i="115" s="1"/>
  <c r="CR1463" i="115"/>
  <c r="CR150" i="115"/>
  <c r="CR311" i="115"/>
  <c r="CS318" i="115" s="1"/>
  <c r="CR140" i="115"/>
  <c r="CR334" i="115"/>
  <c r="CS341" i="115" s="1"/>
  <c r="CR335" i="115"/>
  <c r="CS342" i="115" s="1"/>
  <c r="CR1480" i="115"/>
  <c r="CR1430" i="115"/>
  <c r="CR1429" i="115" s="1"/>
  <c r="CR1456" i="115"/>
  <c r="CR1451" i="115"/>
  <c r="CR1458" i="115" s="1"/>
  <c r="CR1457" i="115"/>
  <c r="CR308" i="115"/>
  <c r="CR310" i="115"/>
  <c r="CS317" i="115" s="1"/>
  <c r="CR309" i="115"/>
  <c r="CS316" i="115" s="1"/>
  <c r="CR258" i="115"/>
  <c r="CR255" i="115"/>
  <c r="CR120" i="115"/>
  <c r="CR20" i="115"/>
  <c r="CV50" i="115" s="1"/>
  <c r="CV695" i="115" l="1"/>
  <c r="CS1076" i="115"/>
  <c r="CT1076" i="115" s="1"/>
  <c r="CR158" i="115"/>
  <c r="CS170" i="115" s="1"/>
  <c r="CS168" i="115"/>
  <c r="CX696" i="115"/>
  <c r="CT235" i="115"/>
  <c r="CT728" i="115"/>
  <c r="CX736" i="115" s="1"/>
  <c r="CT725" i="115"/>
  <c r="CX735" i="115" s="1"/>
  <c r="CR225" i="115"/>
  <c r="CS229" i="115" s="1"/>
  <c r="CS315" i="115"/>
  <c r="CR312" i="115"/>
  <c r="CR275" i="115"/>
  <c r="CR728" i="115"/>
  <c r="CV736" i="115" s="1"/>
  <c r="CR725" i="115"/>
  <c r="CV735" i="115" s="1"/>
  <c r="AD18" i="123"/>
  <c r="AD116" i="123" s="1"/>
  <c r="CV53" i="115"/>
  <c r="CR274" i="115"/>
  <c r="CR491" i="115"/>
  <c r="CS492" i="115" s="1"/>
  <c r="CW500" i="115" s="1"/>
  <c r="CR273" i="115"/>
  <c r="CS934" i="115"/>
  <c r="CR938" i="115"/>
  <c r="CR223" i="115"/>
  <c r="CS227" i="115" s="1"/>
  <c r="CR1481" i="115"/>
  <c r="CR1482" i="115" s="1"/>
  <c r="CR224" i="115"/>
  <c r="CS228" i="115" s="1"/>
  <c r="CR364" i="115"/>
  <c r="CR385" i="115" s="1"/>
  <c r="CR260" i="115"/>
  <c r="CR973" i="115"/>
  <c r="CR980" i="115" s="1"/>
  <c r="CS981" i="115" s="1"/>
  <c r="CS124" i="115"/>
  <c r="CS144" i="115"/>
  <c r="CS162" i="115"/>
  <c r="CR1158" i="115"/>
  <c r="CR1169" i="115"/>
  <c r="CR550" i="115"/>
  <c r="AD8" i="123"/>
  <c r="AC9" i="123"/>
  <c r="CS166" i="115"/>
  <c r="CT26" i="115"/>
  <c r="AF18" i="123"/>
  <c r="CR1005" i="115"/>
  <c r="CR1007" i="115" s="1"/>
  <c r="CR1008" i="115" s="1"/>
  <c r="CT1008" i="115" s="1"/>
  <c r="CS360" i="115"/>
  <c r="CR793" i="115"/>
  <c r="CT789" i="115"/>
  <c r="CT793" i="115" s="1"/>
  <c r="CR967" i="115"/>
  <c r="CR968" i="115" s="1"/>
  <c r="CT965" i="115"/>
  <c r="CT967" i="115" s="1"/>
  <c r="CR874" i="115"/>
  <c r="CT874" i="115" s="1"/>
  <c r="CT924" i="115"/>
  <c r="CR754" i="115"/>
  <c r="CR770" i="115" s="1"/>
  <c r="CR779" i="115" s="1"/>
  <c r="CT691" i="115"/>
  <c r="CT699" i="115"/>
  <c r="CT655" i="115"/>
  <c r="AD49" i="123"/>
  <c r="AD50" i="123" s="1"/>
  <c r="AD102" i="123"/>
  <c r="AD103" i="123" s="1"/>
  <c r="CR234" i="115"/>
  <c r="CR1301" i="115"/>
  <c r="CR1409" i="115" s="1"/>
  <c r="CR1410" i="115" s="1"/>
  <c r="CR698" i="115"/>
  <c r="CR338" i="115"/>
  <c r="CR453" i="115"/>
  <c r="CR451" i="115"/>
  <c r="CR353" i="115"/>
  <c r="CR442" i="115"/>
  <c r="CR354" i="115"/>
  <c r="CR372" i="115"/>
  <c r="CR452" i="115"/>
  <c r="CR141" i="115"/>
  <c r="CR100" i="115"/>
  <c r="CS105" i="115" s="1"/>
  <c r="CR502" i="115"/>
  <c r="CS503" i="115" s="1"/>
  <c r="CR1478" i="115"/>
  <c r="CR1469" i="115"/>
  <c r="CR1444" i="115"/>
  <c r="CR1476" i="115"/>
  <c r="CR119" i="115"/>
  <c r="CR26" i="115"/>
  <c r="CV54" i="115" s="1"/>
  <c r="CS1077" i="115" l="1"/>
  <c r="CX695" i="115"/>
  <c r="CY691" i="115"/>
  <c r="CT901" i="115"/>
  <c r="CX54" i="115"/>
  <c r="AD20" i="123"/>
  <c r="AD65" i="123" s="1"/>
  <c r="CR457" i="115"/>
  <c r="AD63" i="123"/>
  <c r="CS493" i="115"/>
  <c r="CV494" i="115" s="1"/>
  <c r="CR1150" i="115"/>
  <c r="CR1483" i="115"/>
  <c r="CR366" i="115"/>
  <c r="CS123" i="115"/>
  <c r="CS145" i="115"/>
  <c r="CR1179" i="115"/>
  <c r="CR1252" i="115"/>
  <c r="CR1261" i="115" s="1"/>
  <c r="AF63" i="123"/>
  <c r="AF116" i="123"/>
  <c r="AF16" i="123"/>
  <c r="CT63" i="115"/>
  <c r="CT32" i="115"/>
  <c r="CT968" i="115"/>
  <c r="CT749" i="115"/>
  <c r="CT750" i="115" s="1"/>
  <c r="CT554" i="115"/>
  <c r="AC107" i="123"/>
  <c r="AC54" i="123"/>
  <c r="CT754" i="115"/>
  <c r="CT698" i="115"/>
  <c r="CR749" i="115"/>
  <c r="CR750" i="115" s="1"/>
  <c r="CS799" i="115"/>
  <c r="CR554" i="115"/>
  <c r="CV562" i="115" s="1"/>
  <c r="CR588" i="115"/>
  <c r="CR571" i="115"/>
  <c r="AD30" i="123"/>
  <c r="AD6" i="123"/>
  <c r="AD106" i="123"/>
  <c r="AD53" i="123"/>
  <c r="AD75" i="123" s="1"/>
  <c r="CR251" i="115"/>
  <c r="CT234" i="115"/>
  <c r="CR388" i="115"/>
  <c r="CR373" i="115"/>
  <c r="CR390" i="115"/>
  <c r="CR389" i="115"/>
  <c r="CR1445" i="115"/>
  <c r="CR1479" i="115"/>
  <c r="CR901" i="115"/>
  <c r="CR32" i="115"/>
  <c r="CV56" i="115" s="1"/>
  <c r="CX56" i="115" l="1"/>
  <c r="CS497" i="115"/>
  <c r="CR1259" i="115"/>
  <c r="AD118" i="123"/>
  <c r="AD147" i="123" s="1"/>
  <c r="AD21" i="123"/>
  <c r="CR369" i="115"/>
  <c r="CR384" i="115"/>
  <c r="AD98" i="123"/>
  <c r="CR1160" i="115"/>
  <c r="CR1191" i="115" s="1"/>
  <c r="CR1267" i="115"/>
  <c r="CR1277" i="115" s="1"/>
  <c r="CR1181" i="115"/>
  <c r="CR1183" i="115" s="1"/>
  <c r="CR1184" i="115" s="1"/>
  <c r="AD104" i="123"/>
  <c r="AD128" i="123"/>
  <c r="AD152" i="123" s="1"/>
  <c r="AD51" i="123"/>
  <c r="AD31" i="123"/>
  <c r="AD7" i="123"/>
  <c r="AF114" i="123"/>
  <c r="AF61" i="123"/>
  <c r="CT571" i="115"/>
  <c r="CR572" i="115"/>
  <c r="CT555" i="115"/>
  <c r="CR589" i="115"/>
  <c r="CT588" i="115"/>
  <c r="CT589" i="115" s="1"/>
  <c r="CT770" i="115"/>
  <c r="CT779" i="115" s="1"/>
  <c r="CT1246" i="115"/>
  <c r="CT34" i="115"/>
  <c r="CX58" i="115" s="1"/>
  <c r="CR250" i="115"/>
  <c r="CT250" i="115" s="1"/>
  <c r="CT251" i="115"/>
  <c r="AD66" i="123"/>
  <c r="AD93" i="123"/>
  <c r="CR1246" i="115"/>
  <c r="CR446" i="115"/>
  <c r="CR377" i="115"/>
  <c r="CR34" i="115"/>
  <c r="AD119" i="123" l="1"/>
  <c r="CR386" i="115"/>
  <c r="CR387" i="115"/>
  <c r="CR1273" i="115"/>
  <c r="AD32" i="123"/>
  <c r="AD130" i="123" s="1"/>
  <c r="CV58" i="115"/>
  <c r="CT995" i="115"/>
  <c r="CT1553" i="115"/>
  <c r="CT991" i="115"/>
  <c r="CT992" i="115" s="1"/>
  <c r="CT37" i="115"/>
  <c r="CX60" i="115" s="1"/>
  <c r="AD52" i="123"/>
  <c r="AD76" i="123"/>
  <c r="CT1146" i="115"/>
  <c r="CT572" i="115"/>
  <c r="CT590" i="115" s="1"/>
  <c r="CR590" i="115"/>
  <c r="AD105" i="123"/>
  <c r="AD129" i="123"/>
  <c r="CR1553" i="115"/>
  <c r="CR995" i="115"/>
  <c r="CR991" i="115"/>
  <c r="CR992" i="115" s="1"/>
  <c r="CR37" i="115"/>
  <c r="CV60" i="115" s="1"/>
  <c r="AD34" i="123" l="1"/>
  <c r="AD132" i="123" s="1"/>
  <c r="AD77" i="123"/>
  <c r="CT1564" i="115"/>
  <c r="CT1566" i="115" s="1"/>
  <c r="CX1567" i="115" s="1"/>
  <c r="CT43" i="115"/>
  <c r="CT45" i="115" s="1"/>
  <c r="CT39" i="115"/>
  <c r="CT536" i="115"/>
  <c r="CT1561" i="115"/>
  <c r="CT1555" i="115"/>
  <c r="CT1562" i="115" s="1"/>
  <c r="CT993" i="115" s="1"/>
  <c r="AC38" i="123"/>
  <c r="AD36" i="123"/>
  <c r="CR536" i="115"/>
  <c r="CR1564" i="115"/>
  <c r="CR1566" i="115" s="1"/>
  <c r="CV1567" i="115" s="1"/>
  <c r="CR1561" i="115"/>
  <c r="CR1555" i="115"/>
  <c r="CR1562" i="115" s="1"/>
  <c r="CR993" i="115" s="1"/>
  <c r="CR43" i="115"/>
  <c r="CR45" i="115" s="1"/>
  <c r="CR39" i="115"/>
  <c r="CR41" i="115" s="1"/>
  <c r="AD79" i="123" l="1"/>
  <c r="CT41" i="115"/>
  <c r="CT1227" i="115"/>
  <c r="CT1244" i="115" s="1"/>
  <c r="CT1135" i="115"/>
  <c r="CT1523" i="115"/>
  <c r="CT1216" i="115"/>
  <c r="CT1238" i="115" s="1"/>
  <c r="CT1568" i="115"/>
  <c r="CX1569" i="115" s="1"/>
  <c r="AD135" i="123"/>
  <c r="AD153" i="123" s="1"/>
  <c r="AD82" i="123"/>
  <c r="AD99" i="123" s="1"/>
  <c r="AD40" i="123"/>
  <c r="AC136" i="123"/>
  <c r="AC83" i="123"/>
  <c r="CR1227" i="115"/>
  <c r="CR1244" i="115" s="1"/>
  <c r="CR1135" i="115"/>
  <c r="CR1568" i="115"/>
  <c r="CV1569" i="115" s="1"/>
  <c r="CR1523" i="115"/>
  <c r="CR1216" i="115"/>
  <c r="CR1238" i="115" s="1"/>
  <c r="AD45" i="123" s="1"/>
  <c r="BN46" i="117" l="1"/>
  <c r="BL46" i="117"/>
  <c r="CT1138" i="115"/>
  <c r="CT1136" i="115"/>
  <c r="CT1217" i="115"/>
  <c r="CT1130" i="115"/>
  <c r="CT1137" i="115" s="1"/>
  <c r="CT1223" i="115"/>
  <c r="CT1225" i="115" s="1"/>
  <c r="CT1242" i="115" s="1"/>
  <c r="CT1143" i="115"/>
  <c r="AD138" i="123"/>
  <c r="AD43" i="123"/>
  <c r="AD85" i="123"/>
  <c r="CR1138" i="115"/>
  <c r="CR1136" i="115"/>
  <c r="CR1217" i="115"/>
  <c r="CR1130" i="115"/>
  <c r="CR1137" i="115" s="1"/>
  <c r="CR1072" i="115"/>
  <c r="CT1072" i="115" s="1"/>
  <c r="CR1223" i="115"/>
  <c r="CR1225" i="115" s="1"/>
  <c r="CR1242" i="115" s="1"/>
  <c r="CR1143" i="115"/>
  <c r="AD87" i="123" l="1"/>
  <c r="AD90" i="123" s="1"/>
  <c r="AD44" i="123"/>
  <c r="AD141" i="123"/>
  <c r="CR576" i="115"/>
  <c r="CR581" i="115" s="1"/>
  <c r="CR744" i="115"/>
  <c r="CV746" i="115" s="1"/>
  <c r="EH39" i="117"/>
  <c r="EG39" i="117"/>
  <c r="EH70" i="117"/>
  <c r="EG70" i="117"/>
  <c r="AD143" i="123" l="1"/>
  <c r="AD144" i="123"/>
  <c r="CS745" i="115"/>
  <c r="AD17" i="123"/>
  <c r="AD88" i="123"/>
  <c r="AD142" i="123"/>
  <c r="AD89" i="123"/>
  <c r="AD100" i="123"/>
  <c r="EG72" i="117"/>
  <c r="CR520" i="115"/>
  <c r="CR555" i="115"/>
  <c r="CV563" i="115" s="1"/>
  <c r="EH72" i="117"/>
  <c r="AD115" i="123" l="1"/>
  <c r="AD62" i="123"/>
  <c r="AD16" i="123"/>
  <c r="AD19" i="123"/>
  <c r="CR1146" i="115"/>
  <c r="CR63" i="115"/>
  <c r="BL39" i="117"/>
  <c r="AD114" i="123" l="1"/>
  <c r="AD117" i="123" s="1"/>
  <c r="AD61" i="123"/>
  <c r="AD64" i="123" s="1"/>
  <c r="BY99" i="115"/>
  <c r="BZ99" i="115" s="1"/>
  <c r="CB99" i="115"/>
  <c r="CC104" i="115" s="1"/>
  <c r="BY98" i="115"/>
  <c r="BZ98" i="115" s="1"/>
  <c r="CB98" i="115"/>
  <c r="CG104" i="115"/>
  <c r="CF104" i="115"/>
  <c r="CC98" i="115"/>
  <c r="CD98" i="115" s="1"/>
  <c r="CD99" i="115"/>
  <c r="CF98" i="115"/>
  <c r="CK104" i="115"/>
  <c r="CJ104" i="115"/>
  <c r="CG98" i="115"/>
  <c r="CH98" i="115" s="1"/>
  <c r="CJ98" i="115"/>
  <c r="CK103" i="115" s="1"/>
  <c r="CH99" i="115"/>
  <c r="CB103" i="115" l="1"/>
  <c r="CF103" i="115"/>
  <c r="CG103" i="115"/>
  <c r="CB104" i="115"/>
  <c r="CJ103" i="115"/>
  <c r="CC103" i="115"/>
  <c r="BK38" i="117" l="1"/>
  <c r="DH1386" i="115" l="1"/>
  <c r="DI1386" i="115" s="1"/>
  <c r="CP886" i="115"/>
  <c r="A103" i="115"/>
  <c r="DJ1386" i="115" l="1"/>
  <c r="DL1386" i="115"/>
  <c r="DM1386" i="115" s="1"/>
  <c r="CN663" i="115"/>
  <c r="DN1386" i="115" l="1"/>
  <c r="DP1386" i="115"/>
  <c r="DQ1386" i="115" s="1"/>
  <c r="DR1386" i="115" s="1"/>
  <c r="CO1449" i="115" l="1"/>
  <c r="CO1436" i="115"/>
  <c r="CO1416" i="115"/>
  <c r="CP403" i="115"/>
  <c r="CL403" i="115"/>
  <c r="DH1258" i="115" l="1"/>
  <c r="DI1258" i="115" s="1"/>
  <c r="DL1258" i="115" s="1"/>
  <c r="DM1258" i="115" s="1"/>
  <c r="DP1258" i="115" s="1"/>
  <c r="DQ1258" i="115" s="1"/>
  <c r="DH1260" i="115"/>
  <c r="DI1260" i="115" s="1"/>
  <c r="DL1260" i="115" s="1"/>
  <c r="DM1260" i="115" s="1"/>
  <c r="DP1260" i="115" s="1"/>
  <c r="DQ1260" i="115" s="1"/>
  <c r="DH681" i="115" l="1"/>
  <c r="DH680" i="115"/>
  <c r="CQ463" i="115"/>
  <c r="AC12" i="123" s="1"/>
  <c r="CQ461" i="115"/>
  <c r="AC10" i="123" s="1"/>
  <c r="CM463" i="115"/>
  <c r="CM461" i="115"/>
  <c r="CI461" i="115"/>
  <c r="CI463" i="115"/>
  <c r="CO405" i="115"/>
  <c r="CG405" i="115"/>
  <c r="CF405" i="115"/>
  <c r="CK405" i="115"/>
  <c r="CJ405" i="115"/>
  <c r="CN405" i="115"/>
  <c r="CO104" i="115"/>
  <c r="CO103" i="115"/>
  <c r="CN104" i="115"/>
  <c r="CN103" i="115"/>
  <c r="A105" i="115"/>
  <c r="A104" i="115"/>
  <c r="A106" i="115"/>
  <c r="CL99" i="115"/>
  <c r="CL98" i="115"/>
  <c r="CP99" i="115"/>
  <c r="CP98" i="115"/>
  <c r="CO1271" i="115"/>
  <c r="CC546" i="115"/>
  <c r="CB546" i="115"/>
  <c r="CK546" i="115"/>
  <c r="CJ546" i="115"/>
  <c r="CO546" i="115"/>
  <c r="CN546" i="115"/>
  <c r="DH687" i="115" l="1"/>
  <c r="DH664" i="115" s="1"/>
  <c r="DI680" i="115"/>
  <c r="DL680" i="115" s="1"/>
  <c r="DI681" i="115"/>
  <c r="AC55" i="123"/>
  <c r="AC108" i="123"/>
  <c r="CQ99" i="115"/>
  <c r="CQ98" i="115"/>
  <c r="CU98" i="115"/>
  <c r="CD546" i="115"/>
  <c r="CP578" i="115"/>
  <c r="CP577" i="115"/>
  <c r="CO1557" i="115"/>
  <c r="CP1529" i="115"/>
  <c r="CO1529" i="115"/>
  <c r="CO1520" i="115"/>
  <c r="CO1518" i="115"/>
  <c r="CO1437" i="115"/>
  <c r="CO1452" i="115" s="1"/>
  <c r="CP1438" i="115"/>
  <c r="CO1427" i="115"/>
  <c r="CO1473" i="115" s="1"/>
  <c r="CO1418" i="115"/>
  <c r="CO1417" i="115" s="1"/>
  <c r="CO1493" i="115"/>
  <c r="CO1492" i="115"/>
  <c r="CO1488" i="115"/>
  <c r="CR1489" i="115" s="1"/>
  <c r="CO1474" i="115"/>
  <c r="CP1450" i="115"/>
  <c r="CP1449" i="115"/>
  <c r="CP1428" i="115"/>
  <c r="CP1421" i="115"/>
  <c r="CP1420" i="115"/>
  <c r="CP1419" i="115"/>
  <c r="CP1416" i="115"/>
  <c r="CO1407" i="115"/>
  <c r="CP1405" i="115"/>
  <c r="CP1404" i="115"/>
  <c r="CP1403" i="115"/>
  <c r="CP1402" i="115"/>
  <c r="CM1296" i="115"/>
  <c r="CK1298" i="115"/>
  <c r="CJ1298" i="115"/>
  <c r="CO1298" i="115"/>
  <c r="CN1298" i="115"/>
  <c r="CO1371" i="115"/>
  <c r="CO1370" i="115"/>
  <c r="CO1369" i="115"/>
  <c r="CO1368" i="115"/>
  <c r="CO1362" i="115"/>
  <c r="CO1363" i="115" s="1"/>
  <c r="CO1361" i="115"/>
  <c r="CO1351" i="115"/>
  <c r="CR1346" i="115" s="1"/>
  <c r="CP1349" i="115"/>
  <c r="CO1348" i="115"/>
  <c r="CO1340" i="115"/>
  <c r="CO1338" i="115"/>
  <c r="CO1339" i="115" s="1"/>
  <c r="CO1334" i="115"/>
  <c r="CR1331" i="115" s="1"/>
  <c r="CP1333" i="115"/>
  <c r="CO1327" i="115"/>
  <c r="CO1319" i="115"/>
  <c r="CO1317" i="115"/>
  <c r="CO1310" i="115"/>
  <c r="CP1310" i="115" s="1"/>
  <c r="CP1308" i="115"/>
  <c r="CP1304" i="115"/>
  <c r="CP1303" i="115"/>
  <c r="CP1297" i="115"/>
  <c r="CP1338" i="115" s="1"/>
  <c r="CP1339" i="115" s="1"/>
  <c r="CQ1296" i="115"/>
  <c r="CP1296" i="115"/>
  <c r="CQ1295" i="115"/>
  <c r="CP1295" i="115"/>
  <c r="CQ1294" i="115"/>
  <c r="CP1294" i="115"/>
  <c r="CP1351" i="115" s="1"/>
  <c r="CQ1293" i="115"/>
  <c r="CP1293" i="115"/>
  <c r="CP1327" i="115" s="1"/>
  <c r="CQ1292" i="115"/>
  <c r="CP1292" i="115"/>
  <c r="CP1323" i="115" s="1"/>
  <c r="CQ1290" i="115"/>
  <c r="CP1290" i="115"/>
  <c r="CP1319" i="115" s="1"/>
  <c r="CQ1289" i="115"/>
  <c r="CP1289" i="115"/>
  <c r="CP1317" i="115" s="1"/>
  <c r="CP1287" i="115"/>
  <c r="CP1286" i="115"/>
  <c r="CP1285" i="115"/>
  <c r="CO1284" i="115"/>
  <c r="CP1284" i="115" s="1"/>
  <c r="CP1283" i="115"/>
  <c r="CP1282" i="115"/>
  <c r="CP1275" i="115"/>
  <c r="CP1274" i="115"/>
  <c r="CO1272" i="115"/>
  <c r="CO1276" i="115" s="1"/>
  <c r="CP1270" i="115"/>
  <c r="CP1269" i="115"/>
  <c r="CP1268" i="115"/>
  <c r="CO1224" i="115"/>
  <c r="CP1221" i="115"/>
  <c r="CO1221" i="115"/>
  <c r="CP1213" i="115"/>
  <c r="CO1213" i="115"/>
  <c r="CO1209" i="115"/>
  <c r="CR1210" i="115" s="1"/>
  <c r="CR1211" i="115" s="1"/>
  <c r="CO1105" i="115"/>
  <c r="CP1105" i="115" s="1"/>
  <c r="CO1197" i="115"/>
  <c r="CR1062" i="115" s="1"/>
  <c r="CT1062" i="115" s="1"/>
  <c r="CO1163" i="115"/>
  <c r="CO1166" i="115" s="1"/>
  <c r="CO1131" i="115"/>
  <c r="CO1133" i="115" s="1"/>
  <c r="CO1128" i="115"/>
  <c r="CO1127" i="115"/>
  <c r="CP1126" i="115"/>
  <c r="CP1125" i="115"/>
  <c r="CT1128" i="115" s="1"/>
  <c r="CN1127" i="115"/>
  <c r="CN1128" i="115"/>
  <c r="CN1131" i="115"/>
  <c r="CN1133" i="115" s="1"/>
  <c r="CN1163" i="115"/>
  <c r="CO1103" i="115"/>
  <c r="CP1103" i="115" s="1"/>
  <c r="CO1115" i="115"/>
  <c r="CO1111" i="115"/>
  <c r="CO1112" i="115" s="1"/>
  <c r="CO1109" i="115"/>
  <c r="CP1108" i="115"/>
  <c r="CP1102" i="115"/>
  <c r="CO1101" i="115"/>
  <c r="CP1083" i="115"/>
  <c r="CO1076" i="115"/>
  <c r="CP1076" i="115" s="1"/>
  <c r="CO1061" i="115"/>
  <c r="CO1062" i="115"/>
  <c r="CP1062" i="115" s="1"/>
  <c r="CO1060" i="115"/>
  <c r="CP1060" i="115" s="1"/>
  <c r="CO1095" i="115"/>
  <c r="CR1093" i="115" s="1"/>
  <c r="CO1090" i="115"/>
  <c r="CR1088" i="115" s="1"/>
  <c r="CO1085" i="115"/>
  <c r="CR1081" i="115" s="1"/>
  <c r="CP1082" i="115"/>
  <c r="CO1078" i="115"/>
  <c r="CR1068" i="115" s="1"/>
  <c r="CP1075" i="115"/>
  <c r="CP1074" i="115"/>
  <c r="CP1071" i="115"/>
  <c r="CP1070" i="115"/>
  <c r="CP1069" i="115"/>
  <c r="CO1065" i="115"/>
  <c r="CR1058" i="115" s="1"/>
  <c r="CT1058" i="115" s="1"/>
  <c r="CP1063" i="115"/>
  <c r="CP1059" i="115"/>
  <c r="CP1045" i="115"/>
  <c r="CP1044" i="115"/>
  <c r="CO1043" i="115"/>
  <c r="CP1042" i="115"/>
  <c r="CP1041" i="115"/>
  <c r="CP1040" i="115"/>
  <c r="CO1004" i="115"/>
  <c r="CP1003" i="115"/>
  <c r="CO998" i="115"/>
  <c r="CO990" i="115"/>
  <c r="CO966" i="115"/>
  <c r="CP964" i="115"/>
  <c r="CO961" i="115"/>
  <c r="CO969" i="115" s="1"/>
  <c r="CO951" i="115"/>
  <c r="CR955" i="115" s="1"/>
  <c r="CO949" i="115"/>
  <c r="CO948" i="115"/>
  <c r="CO947" i="115"/>
  <c r="CO946" i="115"/>
  <c r="CO945" i="115"/>
  <c r="CO943" i="115"/>
  <c r="CO929" i="115"/>
  <c r="CR933" i="115" s="1"/>
  <c r="CP923" i="115"/>
  <c r="CP883" i="115" s="1"/>
  <c r="CO922" i="115"/>
  <c r="CO931" i="115" s="1"/>
  <c r="CR935" i="115" s="1"/>
  <c r="CO918" i="115"/>
  <c r="CP911" i="115"/>
  <c r="CO910" i="115"/>
  <c r="CO909" i="115"/>
  <c r="CP908" i="115"/>
  <c r="CO906" i="115"/>
  <c r="CO880" i="115"/>
  <c r="CP872" i="115"/>
  <c r="CO883" i="115"/>
  <c r="CO892" i="115" s="1"/>
  <c r="CO846" i="115" s="1"/>
  <c r="CO855" i="115"/>
  <c r="CP854" i="115"/>
  <c r="CP853" i="115"/>
  <c r="CP852" i="115"/>
  <c r="CP851" i="115"/>
  <c r="CO842" i="115"/>
  <c r="CO925" i="115" s="1"/>
  <c r="CR926" i="115" s="1"/>
  <c r="CO841" i="115"/>
  <c r="CO865" i="115" s="1"/>
  <c r="CO917" i="115" s="1"/>
  <c r="CO840" i="115"/>
  <c r="CO792" i="115"/>
  <c r="CR798" i="115" s="1"/>
  <c r="CP791" i="115"/>
  <c r="CO790" i="115"/>
  <c r="CO788" i="115"/>
  <c r="DJ681" i="115" l="1"/>
  <c r="DL681" i="115"/>
  <c r="DL687" i="115" s="1"/>
  <c r="DL664" i="115" s="1"/>
  <c r="DM680" i="115"/>
  <c r="CN1358" i="115"/>
  <c r="CO1356" i="115" s="1"/>
  <c r="CL1298" i="115"/>
  <c r="CO1299" i="115"/>
  <c r="CR1372" i="115" s="1"/>
  <c r="CJ1358" i="115"/>
  <c r="BJ48" i="117"/>
  <c r="DI687" i="115"/>
  <c r="DI664" i="115" s="1"/>
  <c r="DH1347" i="115"/>
  <c r="DH17" i="115"/>
  <c r="DJ680" i="115"/>
  <c r="CO1485" i="115"/>
  <c r="CR1089" i="115"/>
  <c r="CT1089" i="115" s="1"/>
  <c r="CT1088" i="115"/>
  <c r="CR1094" i="115"/>
  <c r="CT1094" i="115" s="1"/>
  <c r="CT1093" i="115"/>
  <c r="CR1332" i="115"/>
  <c r="CT1332" i="115" s="1"/>
  <c r="CT1331" i="115"/>
  <c r="CO1487" i="115"/>
  <c r="CR1084" i="115"/>
  <c r="CT1084" i="115" s="1"/>
  <c r="CT1081" i="115"/>
  <c r="CR1073" i="115"/>
  <c r="CR1077" i="115" s="1"/>
  <c r="CT1077" i="115" s="1"/>
  <c r="CT1068" i="115"/>
  <c r="CT1073" i="115" s="1"/>
  <c r="CR1350" i="115"/>
  <c r="CT1346" i="115"/>
  <c r="CP1085" i="115"/>
  <c r="CP1095" i="115"/>
  <c r="CO1046" i="115"/>
  <c r="CP1090" i="115"/>
  <c r="CP1418" i="115"/>
  <c r="CO1490" i="115"/>
  <c r="CR1530" i="115"/>
  <c r="CR514" i="115"/>
  <c r="CU99" i="115"/>
  <c r="CN1132" i="115"/>
  <c r="CN1134" i="115" s="1"/>
  <c r="CP1474" i="115"/>
  <c r="CN1299" i="115"/>
  <c r="CO1341" i="115"/>
  <c r="CK1358" i="115"/>
  <c r="CN1356" i="115" s="1"/>
  <c r="CP1356" i="115" s="1"/>
  <c r="CJ1299" i="115"/>
  <c r="CO1104" i="115"/>
  <c r="CP1104" i="115" s="1"/>
  <c r="CO866" i="115"/>
  <c r="CP1043" i="115"/>
  <c r="CP1436" i="115"/>
  <c r="CO1468" i="115"/>
  <c r="CO1480" i="115"/>
  <c r="CP1407" i="115"/>
  <c r="CO1456" i="115"/>
  <c r="CO1457" i="115"/>
  <c r="CP1452" i="115"/>
  <c r="CO1451" i="115"/>
  <c r="CO1422" i="115"/>
  <c r="CP1427" i="115"/>
  <c r="CP1417" i="115"/>
  <c r="CO1430" i="115"/>
  <c r="CO1475" i="115"/>
  <c r="CO1486" i="115"/>
  <c r="CO924" i="115"/>
  <c r="CO874" i="115" s="1"/>
  <c r="CO873" i="115"/>
  <c r="CP1133" i="115"/>
  <c r="CM1298" i="115"/>
  <c r="CQ1298" i="115"/>
  <c r="CO905" i="115"/>
  <c r="CP1298" i="115"/>
  <c r="CK1299" i="115"/>
  <c r="CO864" i="115"/>
  <c r="CO1114" i="115"/>
  <c r="CO916" i="115"/>
  <c r="CR919" i="115" s="1"/>
  <c r="CO1311" i="115"/>
  <c r="CO1312" i="115" s="1"/>
  <c r="CO1358" i="115"/>
  <c r="CR1356" i="115" s="1"/>
  <c r="CO1364" i="115"/>
  <c r="CP1271" i="115"/>
  <c r="CP1272" i="115" s="1"/>
  <c r="CP1276" i="115" s="1"/>
  <c r="CP1127" i="115"/>
  <c r="CO1132" i="115"/>
  <c r="CP1163" i="115"/>
  <c r="CP1164" i="115" s="1"/>
  <c r="CP1131" i="115"/>
  <c r="CN1166" i="115"/>
  <c r="CP1166" i="115" s="1"/>
  <c r="CO930" i="115"/>
  <c r="CR934" i="115" s="1"/>
  <c r="CO869" i="115"/>
  <c r="DN680" i="115" l="1"/>
  <c r="DO680" i="115" s="1"/>
  <c r="DP680" i="115"/>
  <c r="CQ1299" i="115"/>
  <c r="CP1299" i="115"/>
  <c r="CP1300" i="115" s="1"/>
  <c r="CO1300" i="115"/>
  <c r="DM681" i="115"/>
  <c r="DL1347" i="115"/>
  <c r="DL670" i="115"/>
  <c r="DL17" i="115"/>
  <c r="CB12" i="117"/>
  <c r="DI1347" i="115"/>
  <c r="DJ1347" i="115" s="1"/>
  <c r="DI670" i="115"/>
  <c r="DJ664" i="115"/>
  <c r="DI17" i="115"/>
  <c r="DJ17" i="115" s="1"/>
  <c r="CT1334" i="115"/>
  <c r="CT1336" i="115" s="1"/>
  <c r="CR1352" i="115"/>
  <c r="CT1350" i="115"/>
  <c r="CT1352" i="115" s="1"/>
  <c r="CT1078" i="115"/>
  <c r="CR1357" i="115"/>
  <c r="CT1356" i="115"/>
  <c r="CT1530" i="115"/>
  <c r="CT514" i="115"/>
  <c r="CO1281" i="115"/>
  <c r="CP1114" i="115"/>
  <c r="CO1106" i="115"/>
  <c r="CO1202" i="115" s="1"/>
  <c r="CN1129" i="115"/>
  <c r="CM1299" i="115"/>
  <c r="CP1046" i="115"/>
  <c r="CY98" i="115"/>
  <c r="CN1357" i="115"/>
  <c r="CN1359" i="115" s="1"/>
  <c r="CL1358" i="115"/>
  <c r="CO1129" i="115"/>
  <c r="CO1357" i="115"/>
  <c r="CP1437" i="115"/>
  <c r="CP1480" i="115" s="1"/>
  <c r="CP1468" i="115"/>
  <c r="CP1473" i="115"/>
  <c r="CP1475" i="115"/>
  <c r="CO1458" i="115"/>
  <c r="CP1451" i="115"/>
  <c r="CP1458" i="115" s="1"/>
  <c r="CP1456" i="115"/>
  <c r="CP1457" i="115"/>
  <c r="CO1423" i="115"/>
  <c r="CP1422" i="115"/>
  <c r="CO1429" i="115"/>
  <c r="CP1430" i="115"/>
  <c r="CO1118" i="115"/>
  <c r="CO1116" i="115"/>
  <c r="CO1119" i="115" s="1"/>
  <c r="CO875" i="115"/>
  <c r="CP1358" i="115"/>
  <c r="CO907" i="115"/>
  <c r="CO878" i="115"/>
  <c r="CO879" i="115" s="1"/>
  <c r="CP1132" i="115"/>
  <c r="CP1134" i="115" s="1"/>
  <c r="CO1134" i="115"/>
  <c r="CO938" i="115"/>
  <c r="CO1169" i="115" l="1"/>
  <c r="DM687" i="115"/>
  <c r="DM664" i="115" s="1"/>
  <c r="DP681" i="115"/>
  <c r="DQ681" i="115" s="1"/>
  <c r="DR681" i="115" s="1"/>
  <c r="DQ680" i="115"/>
  <c r="DR680" i="115" s="1"/>
  <c r="DS680" i="115" s="1"/>
  <c r="CF12" i="117"/>
  <c r="DN681" i="115"/>
  <c r="CC12" i="117"/>
  <c r="CD12" i="117"/>
  <c r="CD221" i="117" s="1"/>
  <c r="DJ687" i="115"/>
  <c r="CR1359" i="115"/>
  <c r="CT1357" i="115"/>
  <c r="CT1359" i="115" s="1"/>
  <c r="CO1288" i="115"/>
  <c r="CP1281" i="115"/>
  <c r="CP1288" i="115" s="1"/>
  <c r="CY99" i="115"/>
  <c r="CO1359" i="115"/>
  <c r="CP1357" i="115"/>
  <c r="CP1359" i="115" s="1"/>
  <c r="CO1476" i="115"/>
  <c r="CP1429" i="115"/>
  <c r="CP1476" i="115" s="1"/>
  <c r="CP1484" i="115"/>
  <c r="CP1423" i="115"/>
  <c r="CO942" i="115"/>
  <c r="CO944" i="115"/>
  <c r="DN664" i="115" l="1"/>
  <c r="DM670" i="115"/>
  <c r="DM17" i="115"/>
  <c r="CG12" i="117" s="1"/>
  <c r="DP687" i="115"/>
  <c r="DP664" i="115" s="1"/>
  <c r="DM1347" i="115"/>
  <c r="DN1347" i="115" s="1"/>
  <c r="DQ687" i="115"/>
  <c r="DQ664" i="115" s="1"/>
  <c r="DN687" i="115"/>
  <c r="DO687" i="115" s="1"/>
  <c r="DO664" i="115"/>
  <c r="CO1301" i="115"/>
  <c r="CP1301" i="115"/>
  <c r="CP1409" i="115" s="1"/>
  <c r="CP1410" i="115" s="1"/>
  <c r="CO950" i="115"/>
  <c r="CO953" i="115" s="1"/>
  <c r="DP670" i="115" l="1"/>
  <c r="DP17" i="115"/>
  <c r="DR664" i="115"/>
  <c r="DQ17" i="115"/>
  <c r="DQ1347" i="115"/>
  <c r="DN17" i="115"/>
  <c r="DQ670" i="115"/>
  <c r="DP1347" i="115"/>
  <c r="DH186" i="115"/>
  <c r="CO1409" i="115"/>
  <c r="CO1410" i="115" s="1"/>
  <c r="CO1179" i="115"/>
  <c r="DG99" i="115"/>
  <c r="CO772" i="115"/>
  <c r="CP771" i="115"/>
  <c r="CP743" i="115"/>
  <c r="CP742" i="115"/>
  <c r="CP741" i="115"/>
  <c r="CP727" i="115"/>
  <c r="CP724" i="115"/>
  <c r="CO715" i="115"/>
  <c r="CO710" i="115"/>
  <c r="CP708" i="115"/>
  <c r="CO707" i="115"/>
  <c r="CS714" i="115" s="1"/>
  <c r="CP706" i="115"/>
  <c r="CP705" i="115"/>
  <c r="CP704" i="115"/>
  <c r="CP703" i="115"/>
  <c r="CO697" i="115"/>
  <c r="CP693" i="115"/>
  <c r="CP685" i="115"/>
  <c r="CP684" i="115"/>
  <c r="CP682" i="115"/>
  <c r="CP681" i="115"/>
  <c r="CO557" i="115"/>
  <c r="CO664" i="115"/>
  <c r="CO663" i="115"/>
  <c r="CO662" i="115"/>
  <c r="CP654" i="115"/>
  <c r="CO654" i="115"/>
  <c r="CP647" i="115"/>
  <c r="CO642" i="115"/>
  <c r="CP641" i="115"/>
  <c r="CO641" i="115"/>
  <c r="CP638" i="115"/>
  <c r="CO637" i="115"/>
  <c r="CP637" i="115" s="1"/>
  <c r="CP636" i="115"/>
  <c r="CP605" i="115"/>
  <c r="CP780" i="115" s="1"/>
  <c r="CO605" i="115"/>
  <c r="CP601" i="115"/>
  <c r="CP600" i="115"/>
  <c r="CP599" i="115"/>
  <c r="CO598" i="115"/>
  <c r="CP597" i="115"/>
  <c r="CO597" i="115"/>
  <c r="CP594" i="115"/>
  <c r="CO584" i="115"/>
  <c r="CO580" i="115"/>
  <c r="CO576" i="115"/>
  <c r="CP573" i="115"/>
  <c r="CP568" i="115"/>
  <c r="CP548" i="115"/>
  <c r="CO544" i="115"/>
  <c r="CO543" i="115"/>
  <c r="CO542" i="115"/>
  <c r="CP532" i="115"/>
  <c r="CP530" i="115"/>
  <c r="CP523" i="115" s="1"/>
  <c r="CO525" i="115"/>
  <c r="CO523" i="115"/>
  <c r="CO521" i="115"/>
  <c r="CP512" i="115"/>
  <c r="CO512" i="115"/>
  <c r="CO509" i="115"/>
  <c r="CR510" i="115" s="1"/>
  <c r="CR511" i="115" s="1"/>
  <c r="CO505" i="115"/>
  <c r="CR506" i="115" s="1"/>
  <c r="CR507" i="115" s="1"/>
  <c r="CP495" i="115"/>
  <c r="CO495" i="115"/>
  <c r="CR496" i="115" s="1"/>
  <c r="CS499" i="115" s="1"/>
  <c r="CP487" i="115"/>
  <c r="CO487" i="115"/>
  <c r="CP486" i="115"/>
  <c r="CO486" i="115"/>
  <c r="CP483" i="115"/>
  <c r="CO483" i="115"/>
  <c r="CO481" i="115"/>
  <c r="CO479" i="115"/>
  <c r="CP476" i="115"/>
  <c r="CO476" i="115"/>
  <c r="CP473" i="115"/>
  <c r="CO473" i="115"/>
  <c r="CO472" i="115"/>
  <c r="CO1517" i="115" s="1"/>
  <c r="CO1519" i="115" s="1"/>
  <c r="CO1521" i="115" s="1"/>
  <c r="CP471" i="115"/>
  <c r="CP472" i="115" s="1"/>
  <c r="CP1517" i="115" s="1"/>
  <c r="CP464" i="115"/>
  <c r="CP489" i="115" s="1"/>
  <c r="CO464" i="115"/>
  <c r="CO488" i="115" s="1"/>
  <c r="CP462" i="115"/>
  <c r="CO462" i="115"/>
  <c r="CO448" i="115"/>
  <c r="CO445" i="115"/>
  <c r="CO440" i="115"/>
  <c r="CJ418" i="115"/>
  <c r="CK418" i="115"/>
  <c r="CN418" i="115"/>
  <c r="CO419" i="115"/>
  <c r="CP412" i="115"/>
  <c r="CP411" i="115"/>
  <c r="CP410" i="115"/>
  <c r="CO400" i="115"/>
  <c r="CO376" i="115"/>
  <c r="CO375" i="115"/>
  <c r="CP375" i="115" s="1"/>
  <c r="CO392" i="115"/>
  <c r="CP381" i="115"/>
  <c r="CO381" i="115"/>
  <c r="CO380" i="115"/>
  <c r="CO382" i="115" s="1"/>
  <c r="CP378" i="115"/>
  <c r="CP374" i="115"/>
  <c r="CP370" i="115"/>
  <c r="CP368" i="115"/>
  <c r="CP367" i="115"/>
  <c r="CO365" i="115"/>
  <c r="CO351" i="115"/>
  <c r="CR359" i="115" s="1"/>
  <c r="CO350" i="115"/>
  <c r="CR358" i="115" s="1"/>
  <c r="CO349" i="115"/>
  <c r="CR357" i="115" s="1"/>
  <c r="CO348" i="115"/>
  <c r="CO331" i="115"/>
  <c r="CO335" i="115" s="1"/>
  <c r="CR342" i="115" s="1"/>
  <c r="CO329" i="115"/>
  <c r="CO328" i="115"/>
  <c r="CO327" i="115"/>
  <c r="CO325" i="115"/>
  <c r="CP324" i="115"/>
  <c r="CP323" i="115"/>
  <c r="CP322" i="115"/>
  <c r="CP321" i="115"/>
  <c r="CO304" i="115"/>
  <c r="CO310" i="115" s="1"/>
  <c r="CR317" i="115" s="1"/>
  <c r="CO302" i="115"/>
  <c r="CO301" i="115"/>
  <c r="CO300" i="115"/>
  <c r="CO298" i="115"/>
  <c r="CP297" i="115"/>
  <c r="CP296" i="115"/>
  <c r="CP295" i="115"/>
  <c r="CP294" i="115"/>
  <c r="CO290" i="115"/>
  <c r="CO289" i="115"/>
  <c r="CO288" i="115"/>
  <c r="CO287" i="115"/>
  <c r="CO284" i="115"/>
  <c r="CP283" i="115"/>
  <c r="CP282" i="115"/>
  <c r="CP281" i="115"/>
  <c r="CP280" i="115"/>
  <c r="CO242" i="115"/>
  <c r="CO272" i="115"/>
  <c r="CO271" i="115"/>
  <c r="CO257" i="115"/>
  <c r="CP257" i="115" s="1"/>
  <c r="CO256" i="115"/>
  <c r="CO254" i="115"/>
  <c r="CP252" i="115"/>
  <c r="CP249" i="115"/>
  <c r="CP248" i="115"/>
  <c r="CO247" i="115"/>
  <c r="CP244" i="115"/>
  <c r="CO241" i="115"/>
  <c r="CO236" i="115"/>
  <c r="CO219" i="115"/>
  <c r="CP218" i="115"/>
  <c r="CP217" i="115"/>
  <c r="CP215" i="115"/>
  <c r="CO169" i="115"/>
  <c r="CO167" i="115"/>
  <c r="CO164" i="115"/>
  <c r="CP157" i="115"/>
  <c r="CP254" i="115" s="1"/>
  <c r="CP155" i="115"/>
  <c r="CP153" i="115"/>
  <c r="CP152" i="115"/>
  <c r="CP1322" i="115" s="1"/>
  <c r="CP1324" i="115" s="1"/>
  <c r="CO151" i="115"/>
  <c r="CO149" i="115"/>
  <c r="CO138" i="115"/>
  <c r="CO142" i="115" s="1"/>
  <c r="CO137" i="115"/>
  <c r="CO135" i="115"/>
  <c r="CP133" i="115"/>
  <c r="CO132" i="115"/>
  <c r="CR136" i="115" s="1"/>
  <c r="CP131" i="115"/>
  <c r="CO116" i="115"/>
  <c r="CO120" i="115" s="1"/>
  <c r="CO115" i="115"/>
  <c r="CO113" i="115"/>
  <c r="CP111" i="115"/>
  <c r="CO110" i="115"/>
  <c r="CR114" i="115" s="1"/>
  <c r="CP109" i="115"/>
  <c r="CO93" i="115"/>
  <c r="CO91" i="115"/>
  <c r="CO96" i="115" s="1"/>
  <c r="CP89" i="115"/>
  <c r="CO88" i="115"/>
  <c r="CP87" i="115"/>
  <c r="CP79" i="115"/>
  <c r="CP77" i="115"/>
  <c r="CP1036" i="115"/>
  <c r="CP1035" i="115"/>
  <c r="CP1034" i="115"/>
  <c r="CP1033" i="115"/>
  <c r="CP1032" i="115"/>
  <c r="CO1031" i="115"/>
  <c r="CO1030" i="115" s="1"/>
  <c r="CP1027" i="115"/>
  <c r="CO1024" i="115"/>
  <c r="CP1023" i="115"/>
  <c r="CP1022" i="115"/>
  <c r="CP1021" i="115"/>
  <c r="CP1020" i="115"/>
  <c r="CP1019" i="115"/>
  <c r="CP1018" i="115"/>
  <c r="CP1017" i="115"/>
  <c r="CP1016" i="115"/>
  <c r="CO30" i="115"/>
  <c r="CO843" i="115" s="1"/>
  <c r="CO18" i="115"/>
  <c r="CO19" i="115" s="1"/>
  <c r="CS49" i="115" s="1"/>
  <c r="CO70" i="115"/>
  <c r="CO59" i="115"/>
  <c r="CO57" i="115"/>
  <c r="CO48" i="115"/>
  <c r="CP44" i="115"/>
  <c r="CO38" i="115"/>
  <c r="CP36" i="115"/>
  <c r="CP35" i="115"/>
  <c r="CP33" i="115"/>
  <c r="CT57" i="115" s="1"/>
  <c r="CP29" i="115"/>
  <c r="CP28" i="115"/>
  <c r="CP27" i="115"/>
  <c r="CP24" i="115"/>
  <c r="CP23" i="115"/>
  <c r="CO22" i="115"/>
  <c r="CO789" i="115" s="1"/>
  <c r="CP21" i="115"/>
  <c r="CP17" i="115"/>
  <c r="CP664" i="115" s="1"/>
  <c r="CP16" i="115"/>
  <c r="CP663" i="115" s="1"/>
  <c r="CP15" i="115"/>
  <c r="CP662" i="115" s="1"/>
  <c r="CP14" i="115"/>
  <c r="DR687" i="115" l="1"/>
  <c r="DS687" i="115" s="1"/>
  <c r="DS664" i="115"/>
  <c r="DR17" i="115"/>
  <c r="CJ12" i="117"/>
  <c r="DR1347" i="115"/>
  <c r="CK12" i="117"/>
  <c r="CH12" i="117"/>
  <c r="CH221" i="117" s="1"/>
  <c r="CR763" i="115"/>
  <c r="CR356" i="115"/>
  <c r="DJ99" i="115"/>
  <c r="DH98" i="115"/>
  <c r="CR669" i="115"/>
  <c r="CO780" i="115"/>
  <c r="CP138" i="115"/>
  <c r="CP142" i="115" s="1"/>
  <c r="CP116" i="115"/>
  <c r="CT697" i="115"/>
  <c r="CN700" i="115"/>
  <c r="CO700" i="115" s="1"/>
  <c r="CO172" i="115"/>
  <c r="CU131" i="115"/>
  <c r="CR124" i="115"/>
  <c r="CR146" i="115"/>
  <c r="CT715" i="115"/>
  <c r="CP617" i="115"/>
  <c r="CT48" i="115"/>
  <c r="CT59" i="115"/>
  <c r="CT241" i="115"/>
  <c r="CT243" i="115" s="1"/>
  <c r="BI40" i="117"/>
  <c r="BI41" i="117"/>
  <c r="CT247" i="115"/>
  <c r="CT271" i="115"/>
  <c r="CO999" i="115"/>
  <c r="CO1000" i="115" s="1"/>
  <c r="BJ36" i="117"/>
  <c r="CP445" i="115"/>
  <c r="CP392" i="115"/>
  <c r="CP1115" i="115"/>
  <c r="CP1116" i="115" s="1"/>
  <c r="CP1488" i="115"/>
  <c r="CP1487" i="115" s="1"/>
  <c r="CP365" i="115"/>
  <c r="CP443" i="115"/>
  <c r="CO443" i="115"/>
  <c r="CR668" i="115"/>
  <c r="CO674" i="115"/>
  <c r="CR291" i="115"/>
  <c r="CO285" i="115"/>
  <c r="BJ41" i="117"/>
  <c r="CO757" i="115"/>
  <c r="CO617" i="115"/>
  <c r="CO154" i="115"/>
  <c r="CO156" i="115" s="1"/>
  <c r="CR163" i="115"/>
  <c r="CP525" i="115"/>
  <c r="CP236" i="115"/>
  <c r="CO101" i="115"/>
  <c r="CR106" i="115" s="1"/>
  <c r="CR92" i="115"/>
  <c r="CO420" i="115"/>
  <c r="CO602" i="115"/>
  <c r="CO614" i="115" s="1"/>
  <c r="CO1463" i="115"/>
  <c r="CO1469" i="115" s="1"/>
  <c r="CR161" i="115"/>
  <c r="CO40" i="115"/>
  <c r="CP418" i="115"/>
  <c r="CN419" i="115"/>
  <c r="CO485" i="115"/>
  <c r="CR480" i="115"/>
  <c r="CP38" i="115"/>
  <c r="CP646" i="115"/>
  <c r="CO66" i="115"/>
  <c r="BI33" i="117" s="1"/>
  <c r="CO687" i="115"/>
  <c r="CO686" i="115" s="1"/>
  <c r="CP686" i="115" s="1"/>
  <c r="CR670" i="115"/>
  <c r="CO585" i="115"/>
  <c r="CP557" i="115"/>
  <c r="CO140" i="115"/>
  <c r="CP580" i="115"/>
  <c r="CO25" i="115"/>
  <c r="CS53" i="115" s="1"/>
  <c r="CP488" i="115"/>
  <c r="CP485" i="115"/>
  <c r="CP998" i="115"/>
  <c r="CP1557" i="115"/>
  <c r="CP70" i="115"/>
  <c r="CO20" i="115"/>
  <c r="CS50" i="115" s="1"/>
  <c r="CO970" i="115"/>
  <c r="CO971" i="115" s="1"/>
  <c r="CO587" i="115"/>
  <c r="CO31" i="115"/>
  <c r="CP961" i="115"/>
  <c r="CP969" i="115" s="1"/>
  <c r="CP351" i="115"/>
  <c r="CP298" i="115"/>
  <c r="CO334" i="115"/>
  <c r="CO639" i="115"/>
  <c r="CP576" i="115"/>
  <c r="CO952" i="115"/>
  <c r="CO867" i="115"/>
  <c r="CO844" i="115"/>
  <c r="CP272" i="115"/>
  <c r="CP376" i="115"/>
  <c r="CP400" i="115"/>
  <c r="CO665" i="115"/>
  <c r="CO118" i="115"/>
  <c r="CP1340" i="115"/>
  <c r="CP1341" i="115" s="1"/>
  <c r="CP966" i="115"/>
  <c r="CO666" i="115"/>
  <c r="CR672" i="115" s="1"/>
  <c r="CO444" i="115"/>
  <c r="CO793" i="115"/>
  <c r="CP110" i="115"/>
  <c r="CO308" i="115"/>
  <c r="CO692" i="115"/>
  <c r="CO586" i="115"/>
  <c r="CO1347" i="115"/>
  <c r="CO69" i="115"/>
  <c r="CO255" i="115"/>
  <c r="CP349" i="115"/>
  <c r="CO309" i="115"/>
  <c r="CO566" i="115"/>
  <c r="CO596" i="115"/>
  <c r="CO595" i="115" s="1"/>
  <c r="CO655" i="115" s="1"/>
  <c r="CO646" i="115"/>
  <c r="CP687" i="115"/>
  <c r="CP598" i="115"/>
  <c r="CO581" i="115"/>
  <c r="CP707" i="115"/>
  <c r="CT714" i="115" s="1"/>
  <c r="CO545" i="115"/>
  <c r="CO709" i="115"/>
  <c r="CP639" i="115"/>
  <c r="CP66" i="115"/>
  <c r="BJ33" i="117" s="1"/>
  <c r="CO484" i="115"/>
  <c r="CO489" i="115"/>
  <c r="CP484" i="115"/>
  <c r="CO423" i="115"/>
  <c r="CP380" i="115"/>
  <c r="CP382" i="115" s="1"/>
  <c r="CP350" i="115"/>
  <c r="CP325" i="115"/>
  <c r="CO337" i="115"/>
  <c r="CR344" i="115" s="1"/>
  <c r="CO311" i="115"/>
  <c r="CR318" i="115" s="1"/>
  <c r="CP348" i="115"/>
  <c r="CP335" i="115"/>
  <c r="CP310" i="115"/>
  <c r="CP284" i="115"/>
  <c r="CO333" i="115"/>
  <c r="CR340" i="115" s="1"/>
  <c r="CO336" i="115"/>
  <c r="CR343" i="115" s="1"/>
  <c r="CO352" i="115"/>
  <c r="CO307" i="115"/>
  <c r="CR314" i="115" s="1"/>
  <c r="CO258" i="115"/>
  <c r="CP256" i="115"/>
  <c r="CO243" i="115"/>
  <c r="CO235" i="115" s="1"/>
  <c r="CP219" i="115"/>
  <c r="CO150" i="115"/>
  <c r="CP132" i="115"/>
  <c r="CP151" i="115"/>
  <c r="CP149" i="115"/>
  <c r="CP88" i="115"/>
  <c r="CP120" i="115"/>
  <c r="CP1024" i="115"/>
  <c r="AD1" i="111"/>
  <c r="CL12" i="117" l="1"/>
  <c r="CL221" i="117" s="1"/>
  <c r="CH230" i="117"/>
  <c r="CL230" i="117"/>
  <c r="DM186" i="115"/>
  <c r="DI186" i="115"/>
  <c r="DL186" i="115"/>
  <c r="DN99" i="115"/>
  <c r="CO765" i="115"/>
  <c r="CO158" i="115"/>
  <c r="CR170" i="115" s="1"/>
  <c r="CR168" i="115"/>
  <c r="BI35" i="117"/>
  <c r="DK99" i="115"/>
  <c r="DI98" i="115"/>
  <c r="CR671" i="115"/>
  <c r="CS781" i="115"/>
  <c r="CP140" i="115"/>
  <c r="CP141" i="115" s="1"/>
  <c r="CS696" i="115"/>
  <c r="CT970" i="115"/>
  <c r="CT971" i="115" s="1"/>
  <c r="CO260" i="115"/>
  <c r="CR315" i="115"/>
  <c r="CO312" i="115"/>
  <c r="CO973" i="115"/>
  <c r="CO980" i="115" s="1"/>
  <c r="CR981" i="115" s="1"/>
  <c r="CP1486" i="115"/>
  <c r="CO364" i="115"/>
  <c r="CO366" i="115" s="1"/>
  <c r="CR144" i="115"/>
  <c r="CR122" i="115"/>
  <c r="CR127" i="115" s="1"/>
  <c r="CP154" i="115"/>
  <c r="CP156" i="115" s="1"/>
  <c r="CP158" i="115" s="1"/>
  <c r="CU142" i="115"/>
  <c r="CO425" i="115"/>
  <c r="CO427" i="115" s="1"/>
  <c r="CO422" i="115"/>
  <c r="CO1444" i="115"/>
  <c r="CP1490" i="115"/>
  <c r="CP308" i="115"/>
  <c r="CP1485" i="115"/>
  <c r="CO223" i="115"/>
  <c r="CR227" i="115" s="1"/>
  <c r="CO100" i="115"/>
  <c r="CR105" i="115" s="1"/>
  <c r="CO225" i="115"/>
  <c r="CR229" i="115" s="1"/>
  <c r="CS716" i="115"/>
  <c r="CR759" i="115"/>
  <c r="CR764" i="115" s="1"/>
  <c r="CS758" i="115"/>
  <c r="CO275" i="115"/>
  <c r="CO273" i="115"/>
  <c r="CR956" i="115"/>
  <c r="CS957" i="115"/>
  <c r="CO64" i="115"/>
  <c r="CS55" i="115"/>
  <c r="CP999" i="115"/>
  <c r="CP1000" i="115" s="1"/>
  <c r="CO224" i="115"/>
  <c r="CR228" i="115" s="1"/>
  <c r="CO1481" i="115"/>
  <c r="CO1482" i="115" s="1"/>
  <c r="CO274" i="115"/>
  <c r="CP258" i="115"/>
  <c r="CO529" i="115"/>
  <c r="CO531" i="115" s="1"/>
  <c r="CO533" i="115" s="1"/>
  <c r="CP444" i="115"/>
  <c r="CO675" i="115"/>
  <c r="CO338" i="115"/>
  <c r="CO26" i="115"/>
  <c r="CO1478" i="115"/>
  <c r="CO1445" i="115" s="1"/>
  <c r="CR162" i="115"/>
  <c r="CO141" i="115"/>
  <c r="CP69" i="115"/>
  <c r="CO567" i="115"/>
  <c r="CO491" i="115"/>
  <c r="CR166" i="115"/>
  <c r="CP1463" i="115"/>
  <c r="CP1469" i="115" s="1"/>
  <c r="CR799" i="115"/>
  <c r="CO749" i="115"/>
  <c r="CP101" i="115"/>
  <c r="CP709" i="115"/>
  <c r="CP118" i="115"/>
  <c r="CP334" i="115"/>
  <c r="CR341" i="115"/>
  <c r="CO897" i="115"/>
  <c r="CP309" i="115"/>
  <c r="CR316" i="115"/>
  <c r="CO453" i="115"/>
  <c r="CR360" i="115"/>
  <c r="DG98" i="115"/>
  <c r="CO691" i="115"/>
  <c r="CS695" i="115" s="1"/>
  <c r="CO699" i="115"/>
  <c r="CO451" i="115"/>
  <c r="CO847" i="115"/>
  <c r="CO868" i="115"/>
  <c r="CO502" i="115"/>
  <c r="CR503" i="115" s="1"/>
  <c r="CO1005" i="115"/>
  <c r="CO1007" i="115" s="1"/>
  <c r="CO1008" i="115" s="1"/>
  <c r="CO372" i="115"/>
  <c r="CO442" i="115"/>
  <c r="CO452" i="115"/>
  <c r="CO740" i="115"/>
  <c r="CO588" i="115"/>
  <c r="CO554" i="115"/>
  <c r="CS562" i="115" s="1"/>
  <c r="CO571" i="115"/>
  <c r="CO119" i="115"/>
  <c r="CP602" i="115"/>
  <c r="CP614" i="115" s="1"/>
  <c r="CP596" i="115"/>
  <c r="CO520" i="115"/>
  <c r="CO711" i="115"/>
  <c r="CP352" i="115"/>
  <c r="CP451" i="115" s="1"/>
  <c r="CO354" i="115"/>
  <c r="CO353" i="115"/>
  <c r="CP307" i="115"/>
  <c r="CP336" i="115"/>
  <c r="CP333" i="115"/>
  <c r="CP255" i="115"/>
  <c r="CO234" i="115"/>
  <c r="CP150" i="115"/>
  <c r="BX148" i="117"/>
  <c r="BY149" i="117"/>
  <c r="BY176" i="117" s="1"/>
  <c r="BY150" i="117"/>
  <c r="BY194" i="117" s="1"/>
  <c r="BY104" i="117" s="1"/>
  <c r="BX150" i="117"/>
  <c r="BY152" i="117"/>
  <c r="BY196" i="117" s="1"/>
  <c r="BY106" i="117" s="1"/>
  <c r="BX152" i="117"/>
  <c r="DH670" i="115"/>
  <c r="DK680" i="115"/>
  <c r="BY134" i="117"/>
  <c r="BX134" i="117"/>
  <c r="BY174" i="117"/>
  <c r="BX174" i="117"/>
  <c r="DL98" i="115" l="1"/>
  <c r="DS99" i="115"/>
  <c r="DO99" i="115"/>
  <c r="DM98" i="115"/>
  <c r="DP98" i="115" s="1"/>
  <c r="BJ35" i="117"/>
  <c r="DJ98" i="115"/>
  <c r="CU140" i="115"/>
  <c r="CO856" i="115"/>
  <c r="CP491" i="115"/>
  <c r="CO457" i="115"/>
  <c r="CO1150" i="115"/>
  <c r="CO430" i="115"/>
  <c r="CO431" i="115" s="1"/>
  <c r="CO385" i="115"/>
  <c r="CP224" i="115"/>
  <c r="CP275" i="115"/>
  <c r="CP273" i="115"/>
  <c r="CP364" i="115"/>
  <c r="CP366" i="115" s="1"/>
  <c r="CP260" i="115"/>
  <c r="CP973" i="115"/>
  <c r="CP980" i="115" s="1"/>
  <c r="CT981" i="115" s="1"/>
  <c r="CP223" i="115"/>
  <c r="CP1481" i="115"/>
  <c r="CP225" i="115"/>
  <c r="CP274" i="115"/>
  <c r="CR145" i="115"/>
  <c r="CR123" i="115"/>
  <c r="CU141" i="115"/>
  <c r="CP119" i="115"/>
  <c r="CO534" i="115"/>
  <c r="CP311" i="115"/>
  <c r="CP312" i="115" s="1"/>
  <c r="CP100" i="115"/>
  <c r="CO1483" i="115"/>
  <c r="CO901" i="115"/>
  <c r="CS54" i="115"/>
  <c r="CT716" i="115"/>
  <c r="BI39" i="117"/>
  <c r="BZ41" i="117"/>
  <c r="BX137" i="117"/>
  <c r="BX138" i="117" s="1"/>
  <c r="BX194" i="117"/>
  <c r="BZ194" i="117" s="1"/>
  <c r="BZ183" i="117"/>
  <c r="BX191" i="117"/>
  <c r="BY137" i="117"/>
  <c r="BY138" i="117" s="1"/>
  <c r="BX12" i="117"/>
  <c r="BY191" i="117"/>
  <c r="BY12" i="117"/>
  <c r="BZ151" i="117"/>
  <c r="BZ105" i="117" s="1"/>
  <c r="BX149" i="117"/>
  <c r="BX176" i="117" s="1"/>
  <c r="BX192" i="117"/>
  <c r="BX102" i="117" s="1"/>
  <c r="BX175" i="117"/>
  <c r="BZ135" i="117"/>
  <c r="BY148" i="117"/>
  <c r="BX41" i="117"/>
  <c r="BY175" i="117"/>
  <c r="BY177" i="117" s="1"/>
  <c r="BX196" i="117"/>
  <c r="BZ196" i="117" s="1"/>
  <c r="CO1147" i="115"/>
  <c r="BY41" i="117"/>
  <c r="BZ134" i="117"/>
  <c r="BZ129" i="117"/>
  <c r="CO389" i="115"/>
  <c r="CO698" i="115"/>
  <c r="CO32" i="115"/>
  <c r="CS56" i="115" s="1"/>
  <c r="CO1479" i="115"/>
  <c r="DF890" i="115"/>
  <c r="CP1444" i="115"/>
  <c r="CO937" i="115"/>
  <c r="CO939" i="115" s="1"/>
  <c r="CR493" i="115"/>
  <c r="CR492" i="115"/>
  <c r="CV500" i="115" s="1"/>
  <c r="CO723" i="115"/>
  <c r="CS734" i="115" s="1"/>
  <c r="CO522" i="115"/>
  <c r="CO744" i="115"/>
  <c r="CO748" i="115"/>
  <c r="CO750" i="115" s="1"/>
  <c r="CO555" i="115"/>
  <c r="CO902" i="115" s="1"/>
  <c r="CO754" i="115"/>
  <c r="DH708" i="115"/>
  <c r="DL708" i="115" s="1"/>
  <c r="DP708" i="115" s="1"/>
  <c r="CP337" i="115"/>
  <c r="CP502" i="115"/>
  <c r="CT503" i="115" s="1"/>
  <c r="CP1478" i="115"/>
  <c r="CO369" i="115"/>
  <c r="CO384" i="115"/>
  <c r="CO388" i="115"/>
  <c r="CO373" i="115"/>
  <c r="CO390" i="115"/>
  <c r="CP372" i="115"/>
  <c r="CO896" i="115"/>
  <c r="CO898" i="115" s="1"/>
  <c r="CP452" i="115"/>
  <c r="CO572" i="115"/>
  <c r="CP453" i="115"/>
  <c r="CP354" i="115"/>
  <c r="CP355" i="115" s="1"/>
  <c r="CP442" i="115"/>
  <c r="CO589" i="115"/>
  <c r="CO63" i="115"/>
  <c r="CO65" i="115" s="1"/>
  <c r="CP353" i="115"/>
  <c r="CO251" i="115"/>
  <c r="BZ152" i="117"/>
  <c r="DF888" i="115" l="1"/>
  <c r="DF889" i="115"/>
  <c r="BZ150" i="117"/>
  <c r="BZ104" i="117" s="1"/>
  <c r="DF885" i="115"/>
  <c r="DF891" i="115"/>
  <c r="DF887" i="115"/>
  <c r="DQ98" i="115"/>
  <c r="DN98" i="115"/>
  <c r="DK664" i="115"/>
  <c r="DI708" i="115"/>
  <c r="DK98" i="115"/>
  <c r="CO433" i="115"/>
  <c r="CO434" i="115"/>
  <c r="CO435" i="115"/>
  <c r="CP457" i="115"/>
  <c r="CP385" i="115"/>
  <c r="CP1150" i="115"/>
  <c r="CP430" i="115"/>
  <c r="CP435" i="115" s="1"/>
  <c r="CP1483" i="115"/>
  <c r="CP1482" i="115"/>
  <c r="CO34" i="115"/>
  <c r="CS58" i="115" s="1"/>
  <c r="CO728" i="115"/>
  <c r="CS736" i="115" s="1"/>
  <c r="CT493" i="115"/>
  <c r="CT497" i="115" s="1"/>
  <c r="CS494" i="115"/>
  <c r="CO725" i="115"/>
  <c r="CS735" i="115" s="1"/>
  <c r="CS563" i="115"/>
  <c r="CS746" i="115"/>
  <c r="CR745" i="115"/>
  <c r="BZ12" i="117"/>
  <c r="BZ221" i="117" s="1"/>
  <c r="CD230" i="117" s="1"/>
  <c r="BX106" i="117"/>
  <c r="BX177" i="117"/>
  <c r="BX178" i="117" s="1"/>
  <c r="BX153" i="117"/>
  <c r="BY178" i="117"/>
  <c r="BY193" i="117" s="1"/>
  <c r="BY103" i="117" s="1"/>
  <c r="BZ191" i="117"/>
  <c r="BZ101" i="117" s="1"/>
  <c r="BZ174" i="117"/>
  <c r="BX39" i="117"/>
  <c r="BX27" i="117"/>
  <c r="BZ175" i="117"/>
  <c r="BY25" i="117"/>
  <c r="CO1246" i="115"/>
  <c r="BZ106" i="117"/>
  <c r="BY153" i="117"/>
  <c r="BY192" i="117"/>
  <c r="BY102" i="117" s="1"/>
  <c r="BZ148" i="117"/>
  <c r="BY39" i="117"/>
  <c r="BZ149" i="117"/>
  <c r="BZ176" i="117" s="1"/>
  <c r="BY27" i="117"/>
  <c r="CR937" i="115"/>
  <c r="CR939" i="115" s="1"/>
  <c r="BX101" i="117"/>
  <c r="BZ137" i="117"/>
  <c r="BZ138" i="117" s="1"/>
  <c r="BX25" i="117"/>
  <c r="BY101" i="117"/>
  <c r="BX104" i="117"/>
  <c r="CP384" i="115"/>
  <c r="AA19" i="123"/>
  <c r="CO1146" i="115"/>
  <c r="CO1148" i="115" s="1"/>
  <c r="CO67" i="115"/>
  <c r="CO524" i="115"/>
  <c r="CR497" i="115"/>
  <c r="CO615" i="115"/>
  <c r="CO770" i="115"/>
  <c r="CO779" i="115" s="1"/>
  <c r="CP1479" i="115"/>
  <c r="CP1445" i="115"/>
  <c r="CO432" i="115"/>
  <c r="CO446" i="115"/>
  <c r="CO377" i="115"/>
  <c r="CP373" i="115"/>
  <c r="CO590" i="115"/>
  <c r="DI707" i="115"/>
  <c r="DM707" i="115" s="1"/>
  <c r="DQ707" i="115" s="1"/>
  <c r="CP390" i="115"/>
  <c r="CP388" i="115"/>
  <c r="CP389" i="115"/>
  <c r="CP369" i="115"/>
  <c r="CO387" i="115"/>
  <c r="CO386" i="115"/>
  <c r="CO250" i="115"/>
  <c r="DK687" i="115"/>
  <c r="DF892" i="115" l="1"/>
  <c r="DR98" i="115"/>
  <c r="CP434" i="115"/>
  <c r="DM708" i="115"/>
  <c r="DO98" i="115"/>
  <c r="CO559" i="115"/>
  <c r="DJ708" i="115"/>
  <c r="DI709" i="115"/>
  <c r="CO995" i="115"/>
  <c r="CP431" i="115"/>
  <c r="CP433" i="115"/>
  <c r="CO37" i="115"/>
  <c r="CS60" i="115" s="1"/>
  <c r="CO991" i="115"/>
  <c r="CO992" i="115" s="1"/>
  <c r="CO1553" i="115"/>
  <c r="CO1561" i="115" s="1"/>
  <c r="BI42" i="117"/>
  <c r="BX193" i="117"/>
  <c r="BX179" i="117"/>
  <c r="BZ177" i="117"/>
  <c r="BY179" i="117"/>
  <c r="BY244" i="117"/>
  <c r="BZ25" i="117"/>
  <c r="BZ27" i="117"/>
  <c r="BX244" i="117"/>
  <c r="CO447" i="115"/>
  <c r="CO456" i="115" s="1"/>
  <c r="BZ39" i="117"/>
  <c r="BZ192" i="117"/>
  <c r="BZ102" i="117" s="1"/>
  <c r="BY107" i="117"/>
  <c r="BZ153" i="117"/>
  <c r="BY197" i="117"/>
  <c r="CO68" i="115"/>
  <c r="CO71" i="115"/>
  <c r="BI34" i="117"/>
  <c r="CO526" i="115"/>
  <c r="CO996" i="115"/>
  <c r="DK897" i="115"/>
  <c r="CO616" i="115"/>
  <c r="CP446" i="115"/>
  <c r="CP432" i="115"/>
  <c r="CP377" i="115"/>
  <c r="CO436" i="115"/>
  <c r="CP386" i="115"/>
  <c r="CP387" i="115"/>
  <c r="DE869" i="115"/>
  <c r="DQ708" i="115" l="1"/>
  <c r="DS98" i="115"/>
  <c r="DN708" i="115"/>
  <c r="DM709" i="115"/>
  <c r="DJ715" i="115"/>
  <c r="DI711" i="115"/>
  <c r="DI716" i="115"/>
  <c r="CO997" i="115"/>
  <c r="CO1001" i="115" s="1"/>
  <c r="CO39" i="115"/>
  <c r="CO41" i="115" s="1"/>
  <c r="CO536" i="115"/>
  <c r="CO43" i="115"/>
  <c r="CO45" i="115" s="1"/>
  <c r="CO1523" i="115" s="1"/>
  <c r="CO538" i="115"/>
  <c r="CO1564" i="115"/>
  <c r="CO455" i="115"/>
  <c r="BX103" i="117"/>
  <c r="BX107" i="117" s="1"/>
  <c r="BX197" i="117"/>
  <c r="CO449" i="115"/>
  <c r="BZ244" i="117"/>
  <c r="CP447" i="115"/>
  <c r="CP456" i="115" s="1"/>
  <c r="BX40" i="117"/>
  <c r="BY40" i="117"/>
  <c r="CP436" i="115"/>
  <c r="CO1140" i="115"/>
  <c r="BI43" i="117"/>
  <c r="DF869" i="115"/>
  <c r="DR708" i="115" l="1"/>
  <c r="DQ709" i="115"/>
  <c r="DN715" i="115"/>
  <c r="DM711" i="115"/>
  <c r="DM716" i="115"/>
  <c r="DI723" i="115"/>
  <c r="CO1227" i="115"/>
  <c r="CO1244" i="115" s="1"/>
  <c r="CO1135" i="115"/>
  <c r="CO1216" i="115"/>
  <c r="CO1238" i="115" s="1"/>
  <c r="CO1130" i="115" s="1"/>
  <c r="CO1137" i="115" s="1"/>
  <c r="CP455" i="115"/>
  <c r="BY42" i="117"/>
  <c r="CP449" i="115"/>
  <c r="BZ40" i="117"/>
  <c r="BZ178" i="117"/>
  <c r="CO1223" i="115"/>
  <c r="CO1225" i="115" s="1"/>
  <c r="CO1242" i="115" s="1"/>
  <c r="CO1072" i="115"/>
  <c r="CO1143" i="115"/>
  <c r="CO1138" i="115" l="1"/>
  <c r="CO1144" i="115"/>
  <c r="DR715" i="115"/>
  <c r="DQ711" i="115"/>
  <c r="DQ723" i="115" s="1"/>
  <c r="DQ716" i="115"/>
  <c r="DM723" i="115"/>
  <c r="BI46" i="117"/>
  <c r="DI734" i="115"/>
  <c r="DI728" i="115"/>
  <c r="DI725" i="115"/>
  <c r="CO1139" i="115"/>
  <c r="CO1141" i="115"/>
  <c r="CO1142" i="115" s="1"/>
  <c r="CO1217" i="115"/>
  <c r="CO1136" i="115"/>
  <c r="BX42" i="117"/>
  <c r="BZ193" i="117"/>
  <c r="BZ179" i="117"/>
  <c r="CN557" i="115"/>
  <c r="CK557" i="115"/>
  <c r="CJ557" i="115"/>
  <c r="CN584" i="115"/>
  <c r="CP584" i="115" s="1"/>
  <c r="CJ584" i="115"/>
  <c r="CK584" i="115"/>
  <c r="CL573" i="115"/>
  <c r="CL568" i="115"/>
  <c r="DQ725" i="115" l="1"/>
  <c r="DQ728" i="115"/>
  <c r="DQ734" i="115"/>
  <c r="DM725" i="115"/>
  <c r="DM728" i="115"/>
  <c r="DM736" i="115" s="1"/>
  <c r="DM734" i="115"/>
  <c r="DI693" i="115"/>
  <c r="BX43" i="117"/>
  <c r="BZ42" i="117"/>
  <c r="CL584" i="115"/>
  <c r="BY43" i="117"/>
  <c r="BZ103" i="117"/>
  <c r="BZ107" i="117" s="1"/>
  <c r="BZ197" i="117"/>
  <c r="CL557" i="115"/>
  <c r="CN1198" i="115"/>
  <c r="DQ736" i="115" l="1"/>
  <c r="DQ693" i="115"/>
  <c r="DQ735" i="115"/>
  <c r="DM693" i="115"/>
  <c r="DM735" i="115"/>
  <c r="BZ43" i="117"/>
  <c r="CN70" i="115"/>
  <c r="CK70" i="115"/>
  <c r="CJ70" i="115"/>
  <c r="CG70" i="115"/>
  <c r="CF70" i="115"/>
  <c r="CC70" i="115"/>
  <c r="CB70" i="115"/>
  <c r="DQ697" i="115" l="1"/>
  <c r="DM697" i="115"/>
  <c r="CP1385" i="115" l="1"/>
  <c r="BV1140" i="115" l="1"/>
  <c r="BU1140" i="115"/>
  <c r="BT1140" i="115"/>
  <c r="BZ1140" i="115"/>
  <c r="BY1140" i="115"/>
  <c r="BX1140" i="115"/>
  <c r="DH1385" i="115" l="1"/>
  <c r="DI1385" i="115" s="1"/>
  <c r="DJ1385" i="115" l="1"/>
  <c r="DL1385" i="115"/>
  <c r="DM1385" i="115" s="1"/>
  <c r="AG17" i="123"/>
  <c r="AG16" i="123" s="1"/>
  <c r="AG61" i="123" s="1"/>
  <c r="AG64" i="123" s="1"/>
  <c r="Y17" i="123"/>
  <c r="Y16" i="123" s="1"/>
  <c r="Y61" i="123" s="1"/>
  <c r="Y64" i="123" s="1"/>
  <c r="U17" i="123"/>
  <c r="U16" i="123" s="1"/>
  <c r="U61" i="123" s="1"/>
  <c r="U64" i="123" s="1"/>
  <c r="U81" i="123" s="1"/>
  <c r="Q17" i="123"/>
  <c r="Q16" i="123" s="1"/>
  <c r="Q61" i="123" s="1"/>
  <c r="Q64" i="123" s="1"/>
  <c r="M17" i="123"/>
  <c r="M16" i="123" s="1"/>
  <c r="M61" i="123" s="1"/>
  <c r="M64" i="123" s="1"/>
  <c r="L17" i="123"/>
  <c r="L62" i="123" s="1"/>
  <c r="DN1385" i="115" l="1"/>
  <c r="DP1385" i="115"/>
  <c r="DQ1385" i="115" s="1"/>
  <c r="DR1385" i="115" s="1"/>
  <c r="AG114" i="123"/>
  <c r="AG117" i="123" s="1"/>
  <c r="AG134" i="123" s="1"/>
  <c r="AG138" i="123" s="1"/>
  <c r="Q114" i="123"/>
  <c r="Q117" i="123" s="1"/>
  <c r="U114" i="123"/>
  <c r="U117" i="123" s="1"/>
  <c r="U134" i="123" s="1"/>
  <c r="Q115" i="123"/>
  <c r="L115" i="123"/>
  <c r="Y115" i="123"/>
  <c r="M114" i="123"/>
  <c r="M117" i="123" s="1"/>
  <c r="Y114" i="123"/>
  <c r="Y117" i="123" s="1"/>
  <c r="Y134" i="123" s="1"/>
  <c r="M115" i="123"/>
  <c r="U115" i="123"/>
  <c r="AG115" i="123"/>
  <c r="Y62" i="123"/>
  <c r="M62" i="123"/>
  <c r="U62" i="123"/>
  <c r="AG62" i="123"/>
  <c r="Q62" i="123"/>
  <c r="CG949" i="115" l="1"/>
  <c r="CF949" i="115"/>
  <c r="CG948" i="115"/>
  <c r="CF948" i="115"/>
  <c r="CF947" i="115"/>
  <c r="CG946" i="115"/>
  <c r="CF946" i="115"/>
  <c r="CG945" i="115"/>
  <c r="CF945" i="115"/>
  <c r="CG943" i="115"/>
  <c r="CF943" i="115"/>
  <c r="CG880" i="115"/>
  <c r="CF880" i="115"/>
  <c r="CG876" i="115"/>
  <c r="CF876" i="115"/>
  <c r="CH872" i="115"/>
  <c r="CF951" i="115"/>
  <c r="CG951" i="115"/>
  <c r="CK880" i="115"/>
  <c r="CJ880" i="115"/>
  <c r="CK876" i="115"/>
  <c r="CJ876" i="115"/>
  <c r="CJ951" i="115"/>
  <c r="CJ949" i="115"/>
  <c r="CJ948" i="115"/>
  <c r="CJ947" i="115"/>
  <c r="CJ946" i="115"/>
  <c r="CJ945" i="115"/>
  <c r="CJ943" i="115"/>
  <c r="CK951" i="115"/>
  <c r="CK949" i="115"/>
  <c r="CK948" i="115"/>
  <c r="CK947" i="115"/>
  <c r="CK946" i="115"/>
  <c r="CK945" i="115"/>
  <c r="CK943" i="115"/>
  <c r="CN949" i="115"/>
  <c r="CP949" i="115" s="1"/>
  <c r="CN948" i="115"/>
  <c r="CP948" i="115" s="1"/>
  <c r="CN947" i="115"/>
  <c r="CP947" i="115" s="1"/>
  <c r="CN946" i="115"/>
  <c r="CP946" i="115" s="1"/>
  <c r="CN945" i="115"/>
  <c r="CP945" i="115" s="1"/>
  <c r="CN943" i="115"/>
  <c r="CP943" i="115" s="1"/>
  <c r="CN951" i="115"/>
  <c r="CN922" i="115"/>
  <c r="CP922" i="115" s="1"/>
  <c r="CH923" i="115"/>
  <c r="CL923" i="115"/>
  <c r="CG922" i="115"/>
  <c r="CF922" i="115"/>
  <c r="CJ922" i="115"/>
  <c r="CG918" i="115"/>
  <c r="CF918" i="115"/>
  <c r="CG855" i="115"/>
  <c r="CF855" i="115"/>
  <c r="CH854" i="115"/>
  <c r="CH853" i="115"/>
  <c r="CH852" i="115"/>
  <c r="CH851" i="115"/>
  <c r="CL854" i="115"/>
  <c r="CL853" i="115"/>
  <c r="CL852" i="115"/>
  <c r="CL851" i="115"/>
  <c r="CG906" i="115"/>
  <c r="CF906" i="115"/>
  <c r="CK918" i="115"/>
  <c r="CJ918" i="115"/>
  <c r="CK906" i="115"/>
  <c r="CJ906" i="115"/>
  <c r="CH880" i="115" l="1"/>
  <c r="CH855" i="115"/>
  <c r="CP931" i="115"/>
  <c r="CP951" i="115"/>
  <c r="CO955" i="115"/>
  <c r="CH951" i="115"/>
  <c r="CH922" i="115"/>
  <c r="CH876" i="115"/>
  <c r="CH948" i="115"/>
  <c r="CH945" i="115"/>
  <c r="CH946" i="115"/>
  <c r="CH949" i="115"/>
  <c r="CH943" i="115"/>
  <c r="CL872" i="115"/>
  <c r="CJ855" i="115"/>
  <c r="CK922" i="115"/>
  <c r="CL922" i="115" s="1"/>
  <c r="CQ922" i="115" s="1"/>
  <c r="CK855" i="115"/>
  <c r="CN918" i="115"/>
  <c r="CR920" i="115" s="1"/>
  <c r="CN906" i="115"/>
  <c r="CN855" i="115"/>
  <c r="CP855" i="115" s="1"/>
  <c r="CL943" i="115"/>
  <c r="CL945" i="115"/>
  <c r="CL946" i="115"/>
  <c r="CL947" i="115"/>
  <c r="CL948" i="115"/>
  <c r="CL949" i="115"/>
  <c r="CN884" i="115"/>
  <c r="CN880" i="115"/>
  <c r="CP880" i="115" s="1"/>
  <c r="CG889" i="115"/>
  <c r="CG947" i="115" s="1"/>
  <c r="CH947" i="115" s="1"/>
  <c r="A918" i="115"/>
  <c r="CJ919" i="115"/>
  <c r="CP906" i="115" l="1"/>
  <c r="CN876" i="115"/>
  <c r="CP876" i="115" s="1"/>
  <c r="CP884" i="115"/>
  <c r="CO919" i="115"/>
  <c r="CP918" i="115"/>
  <c r="CL855" i="115"/>
  <c r="CL876" i="115"/>
  <c r="CL880" i="115"/>
  <c r="CN883" i="115"/>
  <c r="CK883" i="115"/>
  <c r="CJ883" i="115"/>
  <c r="CH891" i="115"/>
  <c r="CG883" i="115"/>
  <c r="CF883" i="115"/>
  <c r="CD891" i="115"/>
  <c r="CC891" i="115"/>
  <c r="CB891" i="115"/>
  <c r="CC890" i="115"/>
  <c r="CB890" i="115"/>
  <c r="CC889" i="115"/>
  <c r="CB889" i="115"/>
  <c r="CC888" i="115"/>
  <c r="CB888" i="115"/>
  <c r="CN920" i="115"/>
  <c r="CJ920" i="115"/>
  <c r="CK919" i="115"/>
  <c r="CL918" i="115"/>
  <c r="CH918" i="115"/>
  <c r="A906" i="115"/>
  <c r="CH906" i="115"/>
  <c r="CL906" i="115"/>
  <c r="CQ906" i="115" l="1"/>
  <c r="CQ918" i="115"/>
  <c r="CM906" i="115"/>
  <c r="CF892" i="115"/>
  <c r="CK892" i="115"/>
  <c r="CJ892" i="115"/>
  <c r="CM918" i="115"/>
  <c r="A938" i="115"/>
  <c r="CP419" i="115" l="1"/>
  <c r="CK419" i="115"/>
  <c r="CJ419" i="115"/>
  <c r="CG419" i="115"/>
  <c r="CF419" i="115"/>
  <c r="CL418" i="115"/>
  <c r="CH418" i="115"/>
  <c r="CP421" i="115" l="1"/>
  <c r="CP423" i="115"/>
  <c r="CP420" i="115"/>
  <c r="CK423" i="115"/>
  <c r="CN423" i="115"/>
  <c r="CH419" i="115"/>
  <c r="CL419" i="115"/>
  <c r="CF420" i="115"/>
  <c r="CF423" i="115"/>
  <c r="CN420" i="115"/>
  <c r="CJ420" i="115"/>
  <c r="CK420" i="115"/>
  <c r="CJ423" i="115"/>
  <c r="CG420" i="115"/>
  <c r="CG423" i="115"/>
  <c r="CK425" i="115" l="1"/>
  <c r="CK427" i="115" s="1"/>
  <c r="CG425" i="115"/>
  <c r="CG427" i="115" s="1"/>
  <c r="CN425" i="115"/>
  <c r="CN427" i="115" s="1"/>
  <c r="CF425" i="115"/>
  <c r="CF427" i="115" s="1"/>
  <c r="CJ425" i="115"/>
  <c r="CJ427" i="115" s="1"/>
  <c r="CP425" i="115"/>
  <c r="CP427" i="115" s="1"/>
  <c r="CJ897" i="115"/>
  <c r="CJ937" i="115" s="1"/>
  <c r="CN897" i="115"/>
  <c r="CK897" i="115"/>
  <c r="CP422" i="115"/>
  <c r="CH420" i="115"/>
  <c r="CH421" i="115"/>
  <c r="CL421" i="115"/>
  <c r="CL420" i="115"/>
  <c r="CJ422" i="115"/>
  <c r="CK422" i="115"/>
  <c r="CG422" i="115"/>
  <c r="CG897" i="115"/>
  <c r="CG937" i="115" s="1"/>
  <c r="CF422" i="115"/>
  <c r="CF897" i="115"/>
  <c r="CF937" i="115" s="1"/>
  <c r="CN422" i="115"/>
  <c r="CL425" i="115" l="1"/>
  <c r="CL427" i="115" s="1"/>
  <c r="CH425" i="115"/>
  <c r="CH427" i="115" s="1"/>
  <c r="CP897" i="115"/>
  <c r="CP937" i="115" s="1"/>
  <c r="CK937" i="115"/>
  <c r="CN937" i="115"/>
  <c r="CL897" i="115"/>
  <c r="CH897" i="115"/>
  <c r="CL422" i="115"/>
  <c r="CH422" i="115"/>
  <c r="CF710" i="115"/>
  <c r="CK710" i="115"/>
  <c r="CJ710" i="115"/>
  <c r="CN710" i="115"/>
  <c r="DG897" i="115" l="1"/>
  <c r="CH937" i="115"/>
  <c r="CP710" i="115"/>
  <c r="CL937" i="115"/>
  <c r="CQ897" i="115"/>
  <c r="CM897" i="115"/>
  <c r="CK577" i="115"/>
  <c r="CL556" i="115"/>
  <c r="CN892" i="115"/>
  <c r="CN579" i="115"/>
  <c r="CP579" i="115" s="1"/>
  <c r="CP581" i="115" s="1"/>
  <c r="CN403" i="115"/>
  <c r="CO403" i="115" s="1"/>
  <c r="CN1449" i="115"/>
  <c r="CK1449" i="115"/>
  <c r="CJ1449" i="115"/>
  <c r="CN1436" i="115"/>
  <c r="CK1436" i="115"/>
  <c r="CN1427" i="115"/>
  <c r="CJ1427" i="115"/>
  <c r="CK1427" i="115"/>
  <c r="CN1418" i="115"/>
  <c r="CJ1416" i="115"/>
  <c r="CK1416" i="115"/>
  <c r="CN1416" i="115"/>
  <c r="CN1271" i="115"/>
  <c r="CL911" i="115"/>
  <c r="CP711" i="115" l="1"/>
  <c r="CP723" i="115" s="1"/>
  <c r="CT734" i="115" s="1"/>
  <c r="CP520" i="115"/>
  <c r="CO1372" i="115"/>
  <c r="CN376" i="115"/>
  <c r="CN375" i="115"/>
  <c r="CN242" i="115"/>
  <c r="CP242" i="115" s="1"/>
  <c r="CK242" i="115"/>
  <c r="CN30" i="115"/>
  <c r="CP30" i="115" s="1"/>
  <c r="CP31" i="115" s="1"/>
  <c r="CN18" i="115"/>
  <c r="CP18" i="115" s="1"/>
  <c r="CT55" i="115" l="1"/>
  <c r="CP728" i="115"/>
  <c r="CT736" i="115" s="1"/>
  <c r="CP725" i="115"/>
  <c r="CT735" i="115" s="1"/>
  <c r="BJ39" i="117"/>
  <c r="CP665" i="115"/>
  <c r="CP740" i="115" s="1"/>
  <c r="CP19" i="115"/>
  <c r="CT49" i="115" s="1"/>
  <c r="CN1598" i="115"/>
  <c r="CN1597" i="115"/>
  <c r="CN1596" i="115"/>
  <c r="CN1595" i="115"/>
  <c r="CN1594" i="115"/>
  <c r="CN1593" i="115"/>
  <c r="CN1592" i="115"/>
  <c r="CN1580" i="115"/>
  <c r="CN1554" i="115" s="1"/>
  <c r="CN1557" i="115"/>
  <c r="CN1529" i="115"/>
  <c r="CN1520" i="115"/>
  <c r="CP1520" i="115" s="1"/>
  <c r="CN1518" i="115"/>
  <c r="CP1518" i="115" s="1"/>
  <c r="CP1519" i="115" s="1"/>
  <c r="CN1493" i="115"/>
  <c r="CN1492" i="115"/>
  <c r="CN1488" i="115"/>
  <c r="CN1475" i="115"/>
  <c r="CN1474" i="115"/>
  <c r="CN1473" i="115"/>
  <c r="CN1468" i="115"/>
  <c r="CN1437" i="115"/>
  <c r="CN1417" i="115"/>
  <c r="CN1407" i="115"/>
  <c r="CN1394" i="115"/>
  <c r="CN1393" i="115"/>
  <c r="CN1390" i="115"/>
  <c r="CN1302" i="115" s="1"/>
  <c r="CN1372" i="115"/>
  <c r="CN1371" i="115"/>
  <c r="CN1370" i="115"/>
  <c r="CN1369" i="115"/>
  <c r="CN1368" i="115"/>
  <c r="CN1367" i="115"/>
  <c r="CN1362" i="115"/>
  <c r="CN1363" i="115" s="1"/>
  <c r="CN1361" i="115"/>
  <c r="CN1351" i="115"/>
  <c r="CO1346" i="115" s="1"/>
  <c r="CO1350" i="115" s="1"/>
  <c r="CN1348" i="115"/>
  <c r="CP1348" i="115" s="1"/>
  <c r="CN1342" i="115"/>
  <c r="CN1340" i="115"/>
  <c r="CN1338" i="115"/>
  <c r="CN1339" i="115" s="1"/>
  <c r="CN1334" i="115"/>
  <c r="CO1331" i="115" s="1"/>
  <c r="CO1332" i="115" s="1"/>
  <c r="CN1327" i="115"/>
  <c r="CN1319" i="115"/>
  <c r="CN1317" i="115"/>
  <c r="CN1310" i="115"/>
  <c r="CN1300" i="115"/>
  <c r="CQ1300" i="115" s="1"/>
  <c r="CN1284" i="115"/>
  <c r="CN1272" i="115"/>
  <c r="CN1276" i="115" s="1"/>
  <c r="CN1224" i="115"/>
  <c r="CP1224" i="115" s="1"/>
  <c r="CN1221" i="115"/>
  <c r="CN1213" i="115"/>
  <c r="CN1209" i="115"/>
  <c r="CO1210" i="115" s="1"/>
  <c r="CO1211" i="115" s="1"/>
  <c r="CN1115" i="115"/>
  <c r="CN1111" i="115"/>
  <c r="CN1112" i="115" s="1"/>
  <c r="CN1109" i="115"/>
  <c r="CN1101" i="115"/>
  <c r="CN1095" i="115"/>
  <c r="CO1093" i="115" s="1"/>
  <c r="CO1094" i="115" s="1"/>
  <c r="CN1090" i="115"/>
  <c r="CO1088" i="115" s="1"/>
  <c r="CO1089" i="115" s="1"/>
  <c r="CN1085" i="115"/>
  <c r="CO1081" i="115" s="1"/>
  <c r="CO1084" i="115" s="1"/>
  <c r="CN1078" i="115"/>
  <c r="CN1065" i="115"/>
  <c r="CN1061" i="115"/>
  <c r="CN1043" i="115"/>
  <c r="CN1031" i="115"/>
  <c r="CN1024" i="115"/>
  <c r="CN1004" i="115"/>
  <c r="CN998" i="115"/>
  <c r="CN990" i="115"/>
  <c r="CP990" i="115" s="1"/>
  <c r="CN966" i="115"/>
  <c r="CO963" i="115" s="1"/>
  <c r="CO965" i="115" s="1"/>
  <c r="CN961" i="115"/>
  <c r="CN969" i="115" s="1"/>
  <c r="CN929" i="115"/>
  <c r="CN910" i="115"/>
  <c r="CN909" i="115"/>
  <c r="CN1604" i="115"/>
  <c r="CN843" i="115"/>
  <c r="CP843" i="115" s="1"/>
  <c r="CN842" i="115"/>
  <c r="CN841" i="115"/>
  <c r="CP841" i="115" s="1"/>
  <c r="CP865" i="115" s="1"/>
  <c r="CN840" i="115"/>
  <c r="CN792" i="115"/>
  <c r="CN790" i="115"/>
  <c r="CP790" i="115" s="1"/>
  <c r="CN788" i="115"/>
  <c r="CP788" i="115" s="1"/>
  <c r="CN772" i="115"/>
  <c r="CN580" i="115"/>
  <c r="CN733" i="115"/>
  <c r="CN732" i="115"/>
  <c r="CN731" i="115"/>
  <c r="CN723" i="115"/>
  <c r="CN715" i="115"/>
  <c r="CN707" i="115"/>
  <c r="CN697" i="115"/>
  <c r="CN665" i="115"/>
  <c r="CN664" i="115"/>
  <c r="CO669" i="115"/>
  <c r="CN662" i="115"/>
  <c r="CN654" i="115"/>
  <c r="CN642" i="115"/>
  <c r="CN641" i="115"/>
  <c r="CN639" i="115"/>
  <c r="CN605" i="115"/>
  <c r="CN598" i="115"/>
  <c r="CN597" i="115"/>
  <c r="CN576" i="115"/>
  <c r="CN544" i="115"/>
  <c r="CP544" i="115" s="1"/>
  <c r="CN542" i="115"/>
  <c r="CP542" i="115" s="1"/>
  <c r="CN525" i="115"/>
  <c r="CN523" i="115"/>
  <c r="CN512" i="115"/>
  <c r="CN509" i="115"/>
  <c r="CO510" i="115" s="1"/>
  <c r="CO511" i="115" s="1"/>
  <c r="CN505" i="115"/>
  <c r="CO506" i="115" s="1"/>
  <c r="CO507" i="115" s="1"/>
  <c r="CN495" i="115"/>
  <c r="CO496" i="115" s="1"/>
  <c r="CR499" i="115" s="1"/>
  <c r="CN487" i="115"/>
  <c r="CN486" i="115"/>
  <c r="CN483" i="115"/>
  <c r="CN481" i="115"/>
  <c r="CN479" i="115"/>
  <c r="CN476" i="115"/>
  <c r="CN473" i="115"/>
  <c r="CN472" i="115"/>
  <c r="CN1517" i="115" s="1"/>
  <c r="CN464" i="115"/>
  <c r="CN489" i="115" s="1"/>
  <c r="CN462" i="115"/>
  <c r="CN444" i="115"/>
  <c r="CN443" i="115"/>
  <c r="CN392" i="115"/>
  <c r="CN380" i="115"/>
  <c r="CN382" i="115" s="1"/>
  <c r="CN365" i="115"/>
  <c r="CN351" i="115"/>
  <c r="CO359" i="115" s="1"/>
  <c r="CN350" i="115"/>
  <c r="CO358" i="115" s="1"/>
  <c r="CN349" i="115"/>
  <c r="CO357" i="115" s="1"/>
  <c r="CN348" i="115"/>
  <c r="CN331" i="115"/>
  <c r="CN336" i="115" s="1"/>
  <c r="CO343" i="115" s="1"/>
  <c r="CN330" i="115"/>
  <c r="CN329" i="115"/>
  <c r="CN328" i="115"/>
  <c r="CN327" i="115"/>
  <c r="CN325" i="115"/>
  <c r="CO330" i="115" s="1"/>
  <c r="CN304" i="115"/>
  <c r="CN309" i="115" s="1"/>
  <c r="CO316" i="115" s="1"/>
  <c r="CN303" i="115"/>
  <c r="CN302" i="115"/>
  <c r="CN301" i="115"/>
  <c r="CN300" i="115"/>
  <c r="CN298" i="115"/>
  <c r="CO303" i="115" s="1"/>
  <c r="CN290" i="115"/>
  <c r="CN289" i="115"/>
  <c r="CN288" i="115"/>
  <c r="CN287" i="115"/>
  <c r="CN284" i="115"/>
  <c r="CN272" i="115"/>
  <c r="CN271" i="115"/>
  <c r="CN257" i="115"/>
  <c r="CN256" i="115"/>
  <c r="CN254" i="115"/>
  <c r="CN247" i="115"/>
  <c r="CN241" i="115"/>
  <c r="CN243" i="115" s="1"/>
  <c r="CN235" i="115" s="1"/>
  <c r="CN236" i="115"/>
  <c r="CN219" i="115"/>
  <c r="CN169" i="115"/>
  <c r="CN167" i="115"/>
  <c r="CN164" i="115"/>
  <c r="CN151" i="115"/>
  <c r="CN149" i="115"/>
  <c r="CN138" i="115"/>
  <c r="CN142" i="115" s="1"/>
  <c r="CN137" i="115"/>
  <c r="CN135" i="115"/>
  <c r="CN132" i="115"/>
  <c r="CO136" i="115" s="1"/>
  <c r="CN116" i="115"/>
  <c r="CN120" i="115" s="1"/>
  <c r="CN115" i="115"/>
  <c r="CN113" i="115"/>
  <c r="CN110" i="115"/>
  <c r="CO114" i="115" s="1"/>
  <c r="CN93" i="115"/>
  <c r="CN91" i="115"/>
  <c r="CN96" i="115" s="1"/>
  <c r="CN88" i="115"/>
  <c r="CN59" i="115"/>
  <c r="CN57" i="115"/>
  <c r="CN48" i="115"/>
  <c r="CN38" i="115"/>
  <c r="CN31" i="115"/>
  <c r="CR55" i="115" s="1"/>
  <c r="CN22" i="115"/>
  <c r="CN19" i="115"/>
  <c r="CN12" i="115"/>
  <c r="CO763" i="115" l="1"/>
  <c r="CO356" i="115"/>
  <c r="CO670" i="115"/>
  <c r="CN780" i="115"/>
  <c r="CN172" i="115"/>
  <c r="CO163" i="115"/>
  <c r="CO146" i="115"/>
  <c r="CO124" i="115"/>
  <c r="CN69" i="115"/>
  <c r="CO1530" i="115"/>
  <c r="CN1114" i="115"/>
  <c r="CN1116" i="115" s="1"/>
  <c r="CN1119" i="115" s="1"/>
  <c r="BH41" i="117"/>
  <c r="CO668" i="115"/>
  <c r="CN674" i="115"/>
  <c r="CO291" i="115"/>
  <c r="CN285" i="115"/>
  <c r="CR714" i="115"/>
  <c r="CN40" i="115"/>
  <c r="CN20" i="115"/>
  <c r="CR50" i="115" s="1"/>
  <c r="CR49" i="115"/>
  <c r="CO161" i="115"/>
  <c r="CP235" i="115"/>
  <c r="CN617" i="115"/>
  <c r="CP642" i="115"/>
  <c r="CP744" i="115"/>
  <c r="CP748" i="115"/>
  <c r="CR734" i="115"/>
  <c r="CN1487" i="115"/>
  <c r="CO1489" i="115"/>
  <c r="CO92" i="115"/>
  <c r="CN101" i="115"/>
  <c r="CP1521" i="115"/>
  <c r="CN1106" i="115"/>
  <c r="CP1106" i="115" s="1"/>
  <c r="CP1101" i="115"/>
  <c r="CO798" i="115"/>
  <c r="CP792" i="115"/>
  <c r="CN484" i="115"/>
  <c r="CO480" i="115"/>
  <c r="CP840" i="115"/>
  <c r="CO1068" i="115"/>
  <c r="CO1073" i="115" s="1"/>
  <c r="CO1077" i="115" s="1"/>
  <c r="CN709" i="115"/>
  <c r="CO933" i="115"/>
  <c r="CP929" i="115"/>
  <c r="CP20" i="115"/>
  <c r="CT50" i="115" s="1"/>
  <c r="CP666" i="115"/>
  <c r="CP1061" i="115"/>
  <c r="CO671" i="115"/>
  <c r="CN1311" i="115"/>
  <c r="CN1312" i="115" s="1"/>
  <c r="CO1058" i="115"/>
  <c r="CO1064" i="115" s="1"/>
  <c r="CO1204" i="115" s="1"/>
  <c r="CP842" i="115"/>
  <c r="CP866" i="115" s="1"/>
  <c r="CN1030" i="115"/>
  <c r="CP1030" i="115" s="1"/>
  <c r="CP1031" i="115"/>
  <c r="CO1352" i="115"/>
  <c r="CN1180" i="115"/>
  <c r="CN1159" i="115"/>
  <c r="CN1158" i="115"/>
  <c r="CN25" i="115"/>
  <c r="CP22" i="115"/>
  <c r="CP25" i="115" s="1"/>
  <c r="CO967" i="115"/>
  <c r="CN1347" i="115"/>
  <c r="CP1347" i="115" s="1"/>
  <c r="CN587" i="115"/>
  <c r="CP587" i="115" s="1"/>
  <c r="CN865" i="115"/>
  <c r="CN917" i="115" s="1"/>
  <c r="CP917" i="115" s="1"/>
  <c r="CN66" i="115"/>
  <c r="BH33" i="117" s="1"/>
  <c r="CN602" i="115"/>
  <c r="CN566" i="115"/>
  <c r="CN585" i="115"/>
  <c r="CN586" i="115"/>
  <c r="CP586" i="115" s="1"/>
  <c r="CN728" i="115"/>
  <c r="CR736" i="115" s="1"/>
  <c r="CN867" i="115"/>
  <c r="CP867" i="115" s="1"/>
  <c r="CN999" i="115"/>
  <c r="CN1000" i="115" s="1"/>
  <c r="CN255" i="115"/>
  <c r="CN866" i="115"/>
  <c r="CN925" i="115"/>
  <c r="CR927" i="115" s="1"/>
  <c r="CN905" i="115"/>
  <c r="CP905" i="115" s="1"/>
  <c r="CN864" i="115"/>
  <c r="CP864" i="115" s="1"/>
  <c r="CN916" i="115"/>
  <c r="CP916" i="115" s="1"/>
  <c r="CN952" i="115"/>
  <c r="CR957" i="115" s="1"/>
  <c r="CN1341" i="115"/>
  <c r="CN1343" i="115" s="1"/>
  <c r="CN1395" i="115"/>
  <c r="CN1305" i="115" s="1"/>
  <c r="CN1306" i="115" s="1"/>
  <c r="CN963" i="115"/>
  <c r="CN789" i="115"/>
  <c r="CN1169" i="115"/>
  <c r="CN1170" i="115" s="1"/>
  <c r="CN1599" i="115"/>
  <c r="CN1565" i="115" s="1"/>
  <c r="CN258" i="115"/>
  <c r="CN1364" i="115"/>
  <c r="CN687" i="115"/>
  <c r="CN1519" i="115"/>
  <c r="CN757" i="115"/>
  <c r="CN485" i="115"/>
  <c r="CN646" i="115"/>
  <c r="CN352" i="115"/>
  <c r="CN970" i="115"/>
  <c r="CN971" i="115" s="1"/>
  <c r="CN154" i="115"/>
  <c r="CN156" i="115" s="1"/>
  <c r="CN1463" i="115"/>
  <c r="CN150" i="115"/>
  <c r="CN310" i="115"/>
  <c r="CO317" i="115" s="1"/>
  <c r="CN140" i="115"/>
  <c r="CN311" i="115"/>
  <c r="CO318" i="115" s="1"/>
  <c r="CN307" i="115"/>
  <c r="CO314" i="115" s="1"/>
  <c r="CN308" i="115"/>
  <c r="CN335" i="115"/>
  <c r="CO342" i="115" s="1"/>
  <c r="CN337" i="115"/>
  <c r="CO344" i="115" s="1"/>
  <c r="CN844" i="115"/>
  <c r="CN740" i="115"/>
  <c r="CN692" i="115"/>
  <c r="CN666" i="115"/>
  <c r="CN1480" i="115"/>
  <c r="CN1430" i="115"/>
  <c r="CN1429" i="115" s="1"/>
  <c r="CN1452" i="115"/>
  <c r="CN1422" i="115"/>
  <c r="CN1423" i="115" s="1"/>
  <c r="CN1490" i="115"/>
  <c r="CN1485" i="115"/>
  <c r="CN1336" i="115"/>
  <c r="CN1486" i="115"/>
  <c r="CN1046" i="115"/>
  <c r="CN931" i="115"/>
  <c r="CO935" i="115" s="1"/>
  <c r="CN543" i="115"/>
  <c r="CN725" i="115"/>
  <c r="CN581" i="115"/>
  <c r="CN596" i="115"/>
  <c r="CN595" i="115" s="1"/>
  <c r="CP595" i="115" s="1"/>
  <c r="CN488" i="115"/>
  <c r="CN333" i="115"/>
  <c r="CO340" i="115" s="1"/>
  <c r="CN334" i="115"/>
  <c r="CN234" i="115"/>
  <c r="CN118" i="115"/>
  <c r="CR758" i="115" l="1"/>
  <c r="CN765" i="115"/>
  <c r="CN158" i="115"/>
  <c r="CO170" i="115" s="1"/>
  <c r="CO168" i="115"/>
  <c r="BH35" i="117"/>
  <c r="CR781" i="115"/>
  <c r="CO315" i="115"/>
  <c r="CN312" i="115"/>
  <c r="CO144" i="115"/>
  <c r="CT53" i="115"/>
  <c r="CN1118" i="115"/>
  <c r="Z17" i="123"/>
  <c r="Z16" i="123" s="1"/>
  <c r="CN675" i="115"/>
  <c r="CP675" i="115" s="1"/>
  <c r="CP674" i="115"/>
  <c r="CN1281" i="115"/>
  <c r="CN1288" i="115" s="1"/>
  <c r="CO341" i="115"/>
  <c r="CN338" i="115"/>
  <c r="CP40" i="115"/>
  <c r="CO122" i="115"/>
  <c r="CO127" i="115" s="1"/>
  <c r="CN26" i="115"/>
  <c r="CR54" i="115" s="1"/>
  <c r="CR53" i="115"/>
  <c r="CP930" i="115"/>
  <c r="CN711" i="115"/>
  <c r="CR716" i="115"/>
  <c r="CO162" i="115"/>
  <c r="CN744" i="115"/>
  <c r="CO745" i="115" s="1"/>
  <c r="CN748" i="115"/>
  <c r="CR696" i="115"/>
  <c r="CR735" i="115"/>
  <c r="CN614" i="115"/>
  <c r="CN1202" i="115"/>
  <c r="CN100" i="115"/>
  <c r="CO106" i="115"/>
  <c r="CP1107" i="115"/>
  <c r="CP1109" i="115" s="1"/>
  <c r="CO672" i="115"/>
  <c r="CP952" i="115"/>
  <c r="CO956" i="115"/>
  <c r="CN225" i="115"/>
  <c r="CO229" i="115" s="1"/>
  <c r="CO166" i="115"/>
  <c r="CN965" i="115"/>
  <c r="CP965" i="115" s="1"/>
  <c r="CP967" i="115" s="1"/>
  <c r="CP963" i="115"/>
  <c r="CN873" i="115"/>
  <c r="CP873" i="115" s="1"/>
  <c r="CN567" i="115"/>
  <c r="CP566" i="115"/>
  <c r="CP757" i="115"/>
  <c r="CO759" i="115"/>
  <c r="CO764" i="115" s="1"/>
  <c r="CN793" i="115"/>
  <c r="CP789" i="115"/>
  <c r="CP793" i="115" s="1"/>
  <c r="CN251" i="115"/>
  <c r="CP234" i="115"/>
  <c r="CO1205" i="115"/>
  <c r="CO1203" i="115"/>
  <c r="CP844" i="115"/>
  <c r="CP692" i="115"/>
  <c r="CN453" i="115"/>
  <c r="CO360" i="115"/>
  <c r="CP26" i="115"/>
  <c r="CT54" i="115" s="1"/>
  <c r="CP655" i="115"/>
  <c r="CN545" i="115"/>
  <c r="CP545" i="115" s="1"/>
  <c r="CP543" i="115"/>
  <c r="CN924" i="115"/>
  <c r="CP924" i="115" s="1"/>
  <c r="CP925" i="115"/>
  <c r="CO926" i="115"/>
  <c r="CP585" i="115"/>
  <c r="CO968" i="115"/>
  <c r="CN1521" i="115"/>
  <c r="CN691" i="115"/>
  <c r="CN878" i="115"/>
  <c r="CP878" i="115" s="1"/>
  <c r="CN907" i="115"/>
  <c r="CP907" i="115" s="1"/>
  <c r="CN1398" i="115"/>
  <c r="CN699" i="115"/>
  <c r="CN1558" i="115"/>
  <c r="CN1559" i="115" s="1"/>
  <c r="CN1005" i="115"/>
  <c r="CN1007" i="115" s="1"/>
  <c r="CN1008" i="115" s="1"/>
  <c r="CP1008" i="115" s="1"/>
  <c r="CN1175" i="115"/>
  <c r="CN1176" i="115"/>
  <c r="CN372" i="115"/>
  <c r="CN353" i="115"/>
  <c r="CN354" i="115"/>
  <c r="CN442" i="115"/>
  <c r="CN223" i="115"/>
  <c r="CO227" i="115" s="1"/>
  <c r="CN452" i="115"/>
  <c r="CN451" i="115"/>
  <c r="CN141" i="115"/>
  <c r="CN224" i="115"/>
  <c r="CO228" i="115" s="1"/>
  <c r="CN274" i="115"/>
  <c r="CN364" i="115"/>
  <c r="CN1481" i="115"/>
  <c r="CN1482" i="115" s="1"/>
  <c r="CN491" i="115"/>
  <c r="CN273" i="115"/>
  <c r="CN973" i="115"/>
  <c r="CN260" i="115"/>
  <c r="CN275" i="115"/>
  <c r="CN502" i="115"/>
  <c r="CO503" i="115" s="1"/>
  <c r="CN1478" i="115"/>
  <c r="CN1469" i="115"/>
  <c r="CN1444" i="115"/>
  <c r="CN1484" i="115"/>
  <c r="CN1457" i="115"/>
  <c r="CN1456" i="115"/>
  <c r="CN1451" i="115"/>
  <c r="CN1458" i="115" s="1"/>
  <c r="CN930" i="115"/>
  <c r="CO934" i="115" s="1"/>
  <c r="CN520" i="115"/>
  <c r="CN655" i="115"/>
  <c r="CN119" i="115"/>
  <c r="CT696" i="115" l="1"/>
  <c r="Z115" i="123"/>
  <c r="Z62" i="123"/>
  <c r="CO123" i="115"/>
  <c r="CO145" i="115"/>
  <c r="BH39" i="117"/>
  <c r="CN1301" i="115"/>
  <c r="CN1150" i="115"/>
  <c r="CN373" i="115"/>
  <c r="CP1119" i="115"/>
  <c r="AB157" i="123" s="1"/>
  <c r="CP1118" i="115"/>
  <c r="CN901" i="115"/>
  <c r="CN32" i="115"/>
  <c r="CN967" i="115"/>
  <c r="CN968" i="115" s="1"/>
  <c r="CP567" i="115"/>
  <c r="CP554" i="115"/>
  <c r="CP749" i="115"/>
  <c r="CP750" i="115" s="1"/>
  <c r="CR746" i="115"/>
  <c r="CN554" i="115"/>
  <c r="CR562" i="115" s="1"/>
  <c r="CN749" i="115"/>
  <c r="CN750" i="115" s="1"/>
  <c r="CP938" i="115"/>
  <c r="CP939" i="115" s="1"/>
  <c r="CN698" i="115"/>
  <c r="CR695" i="115"/>
  <c r="CP699" i="115"/>
  <c r="CP1209" i="115"/>
  <c r="CO105" i="115"/>
  <c r="CN874" i="115"/>
  <c r="CP874" i="115" s="1"/>
  <c r="CP901" i="115"/>
  <c r="CO493" i="115"/>
  <c r="CO492" i="115"/>
  <c r="CS500" i="115" s="1"/>
  <c r="CO799" i="115"/>
  <c r="CN588" i="115"/>
  <c r="CN250" i="115"/>
  <c r="CP250" i="115" s="1"/>
  <c r="CP251" i="115"/>
  <c r="CN571" i="115"/>
  <c r="CP32" i="115"/>
  <c r="CP63" i="115"/>
  <c r="CP691" i="115"/>
  <c r="CP968" i="115"/>
  <c r="CN754" i="115"/>
  <c r="CN63" i="115"/>
  <c r="CN938" i="115"/>
  <c r="CN939" i="115" s="1"/>
  <c r="Z61" i="123"/>
  <c r="Z64" i="123" s="1"/>
  <c r="Z114" i="123"/>
  <c r="Z117" i="123" s="1"/>
  <c r="Z134" i="123" s="1"/>
  <c r="CN879" i="115"/>
  <c r="CN388" i="115"/>
  <c r="CN389" i="115"/>
  <c r="CN390" i="115"/>
  <c r="CN1483" i="115"/>
  <c r="CN430" i="115"/>
  <c r="CN457" i="115"/>
  <c r="CN385" i="115"/>
  <c r="CN366" i="115"/>
  <c r="CN980" i="115"/>
  <c r="CO981" i="115" s="1"/>
  <c r="CN1445" i="115"/>
  <c r="CN1479" i="115"/>
  <c r="CN1476" i="115"/>
  <c r="CT695" i="115" l="1"/>
  <c r="CT56" i="115"/>
  <c r="CN446" i="115"/>
  <c r="CN377" i="115"/>
  <c r="CP555" i="115"/>
  <c r="CP559" i="115" s="1"/>
  <c r="CT562" i="115"/>
  <c r="CN875" i="115"/>
  <c r="CP875" i="115" s="1"/>
  <c r="CN1246" i="115"/>
  <c r="CP1246" i="115"/>
  <c r="CN555" i="115"/>
  <c r="CN1146" i="115" s="1"/>
  <c r="CN1179" i="115"/>
  <c r="CN1409" i="115"/>
  <c r="CN1410" i="115" s="1"/>
  <c r="CN1252" i="115"/>
  <c r="CN1307" i="115"/>
  <c r="CO497" i="115"/>
  <c r="CR494" i="115"/>
  <c r="CN34" i="115"/>
  <c r="CR56" i="115"/>
  <c r="CP879" i="115"/>
  <c r="CN944" i="115"/>
  <c r="CN770" i="115"/>
  <c r="CN779" i="115" s="1"/>
  <c r="CN615" i="115"/>
  <c r="CP698" i="115"/>
  <c r="CP754" i="115"/>
  <c r="CP615" i="115" s="1"/>
  <c r="CP616" i="115" s="1"/>
  <c r="DH707" i="115"/>
  <c r="DL707" i="115" s="1"/>
  <c r="DP707" i="115" s="1"/>
  <c r="CP34" i="115"/>
  <c r="CP571" i="115"/>
  <c r="CN572" i="115"/>
  <c r="CP588" i="115"/>
  <c r="CP589" i="115" s="1"/>
  <c r="CN589" i="115"/>
  <c r="CN384" i="115"/>
  <c r="CN369" i="115"/>
  <c r="CN435" i="115"/>
  <c r="CN434" i="115"/>
  <c r="CN433" i="115"/>
  <c r="CN431" i="115"/>
  <c r="CN432" i="115"/>
  <c r="DP709" i="115" l="1"/>
  <c r="DR707" i="115"/>
  <c r="DL709" i="115"/>
  <c r="DN707" i="115"/>
  <c r="DH709" i="115"/>
  <c r="DJ707" i="115"/>
  <c r="AB19" i="123"/>
  <c r="CN559" i="115"/>
  <c r="CR563" i="115"/>
  <c r="CN436" i="115"/>
  <c r="CP1146" i="115"/>
  <c r="Z19" i="123"/>
  <c r="CN942" i="115"/>
  <c r="CP942" i="115" s="1"/>
  <c r="CT58" i="115"/>
  <c r="CT563" i="115"/>
  <c r="CN1254" i="115"/>
  <c r="CN1253" i="115" s="1"/>
  <c r="CN1391" i="115" s="1"/>
  <c r="CN1259" i="115"/>
  <c r="CN1267" i="115"/>
  <c r="CN1261" i="115"/>
  <c r="CN1160" i="115"/>
  <c r="CN1161" i="115" s="1"/>
  <c r="CN1181" i="115"/>
  <c r="CN1183" i="115" s="1"/>
  <c r="CN1184" i="115" s="1"/>
  <c r="CN991" i="115"/>
  <c r="CN992" i="115" s="1"/>
  <c r="CR58" i="115"/>
  <c r="CN37" i="115"/>
  <c r="CN995" i="115"/>
  <c r="CN1553" i="115"/>
  <c r="CN616" i="115"/>
  <c r="CP1553" i="115"/>
  <c r="CP995" i="115"/>
  <c r="CP991" i="115"/>
  <c r="CP992" i="115" s="1"/>
  <c r="CP37" i="115"/>
  <c r="CN547" i="115"/>
  <c r="CN549" i="115" s="1"/>
  <c r="CP944" i="115"/>
  <c r="CN590" i="115"/>
  <c r="CP572" i="115"/>
  <c r="CP770" i="115"/>
  <c r="CP779" i="115" s="1"/>
  <c r="CN868" i="115"/>
  <c r="CP868" i="115" s="1"/>
  <c r="CN387" i="115"/>
  <c r="CN386" i="115"/>
  <c r="ER42" i="117"/>
  <c r="ER5" i="117"/>
  <c r="BU224" i="117"/>
  <c r="BT224" i="117"/>
  <c r="BU205" i="117"/>
  <c r="BT205" i="117"/>
  <c r="BU183" i="117"/>
  <c r="BT183" i="117"/>
  <c r="BV165" i="117"/>
  <c r="BU151" i="117"/>
  <c r="BU195" i="117" s="1"/>
  <c r="BU105" i="117" s="1"/>
  <c r="BT151" i="117"/>
  <c r="BT195" i="117" s="1"/>
  <c r="BU150" i="117"/>
  <c r="BU194" i="117" s="1"/>
  <c r="BU104" i="117" s="1"/>
  <c r="BT150" i="117"/>
  <c r="BT194" i="117" s="1"/>
  <c r="BU148" i="117"/>
  <c r="BT148" i="117"/>
  <c r="BU135" i="117"/>
  <c r="BT135" i="117"/>
  <c r="BU129" i="117"/>
  <c r="BT129" i="117"/>
  <c r="BT122" i="117"/>
  <c r="DP711" i="115" l="1"/>
  <c r="DP723" i="115" s="1"/>
  <c r="DP716" i="115"/>
  <c r="DR714" i="115"/>
  <c r="DR709" i="115"/>
  <c r="DN709" i="115"/>
  <c r="DN714" i="115"/>
  <c r="DL716" i="115"/>
  <c r="DL711" i="115"/>
  <c r="DJ709" i="115"/>
  <c r="DJ714" i="115"/>
  <c r="DH711" i="115"/>
  <c r="DH716" i="115"/>
  <c r="CN950" i="115"/>
  <c r="CP950" i="115" s="1"/>
  <c r="CP953" i="115" s="1"/>
  <c r="CN1606" i="115"/>
  <c r="CN1609" i="115" s="1"/>
  <c r="CT60" i="115"/>
  <c r="CN1273" i="115"/>
  <c r="CN1277" i="115"/>
  <c r="CR60" i="115"/>
  <c r="CN43" i="115"/>
  <c r="CN45" i="115" s="1"/>
  <c r="CN1564" i="115"/>
  <c r="CN1566" i="115" s="1"/>
  <c r="CN39" i="115"/>
  <c r="CN536" i="115"/>
  <c r="CN1561" i="115"/>
  <c r="CN1555" i="115"/>
  <c r="CN1562" i="115" s="1"/>
  <c r="CN993" i="115" s="1"/>
  <c r="CP590" i="115"/>
  <c r="CP1564" i="115"/>
  <c r="CP1561" i="115"/>
  <c r="CN550" i="115"/>
  <c r="CP536" i="115"/>
  <c r="CP39" i="115"/>
  <c r="CP43" i="115"/>
  <c r="CP45" i="115" s="1"/>
  <c r="BT192" i="117"/>
  <c r="BT102" i="117" s="1"/>
  <c r="BV195" i="117"/>
  <c r="BV194" i="117"/>
  <c r="BV148" i="117"/>
  <c r="BT104" i="117"/>
  <c r="BU192" i="117"/>
  <c r="BU102" i="117" s="1"/>
  <c r="BT105" i="117"/>
  <c r="DP725" i="115" l="1"/>
  <c r="DP728" i="115"/>
  <c r="DR711" i="115"/>
  <c r="DR723" i="115" s="1"/>
  <c r="DR716" i="115"/>
  <c r="DP693" i="115"/>
  <c r="DL723" i="115"/>
  <c r="DN716" i="115"/>
  <c r="DN711" i="115"/>
  <c r="DN723" i="115" s="1"/>
  <c r="DH723" i="115"/>
  <c r="DH725" i="115" s="1"/>
  <c r="DJ711" i="115"/>
  <c r="DJ723" i="115" s="1"/>
  <c r="DJ716" i="115"/>
  <c r="CN953" i="115"/>
  <c r="CN1135" i="115"/>
  <c r="CN1144" i="115" s="1"/>
  <c r="CN1227" i="115"/>
  <c r="CN1244" i="115" s="1"/>
  <c r="CN41" i="115"/>
  <c r="CN1568" i="115"/>
  <c r="CR1569" i="115" s="1"/>
  <c r="CR1567" i="115"/>
  <c r="CN1216" i="115"/>
  <c r="CN1238" i="115" s="1"/>
  <c r="CN1523" i="115"/>
  <c r="CP1216" i="115"/>
  <c r="CP1238" i="115" s="1"/>
  <c r="CP1523" i="115"/>
  <c r="CP41" i="115"/>
  <c r="CP1135" i="115"/>
  <c r="CP1144" i="115" s="1"/>
  <c r="CP1227" i="115"/>
  <c r="CP1244" i="115" s="1"/>
  <c r="BV192" i="117"/>
  <c r="DL728" i="115" l="1"/>
  <c r="DP736" i="115" s="1"/>
  <c r="DP734" i="115"/>
  <c r="DR725" i="115"/>
  <c r="DR734" i="115"/>
  <c r="DR728" i="115"/>
  <c r="DR693" i="115"/>
  <c r="DL725" i="115"/>
  <c r="BH46" i="117"/>
  <c r="DL734" i="115"/>
  <c r="BJ46" i="117"/>
  <c r="DN734" i="115"/>
  <c r="DN728" i="115"/>
  <c r="DN725" i="115"/>
  <c r="DH728" i="115"/>
  <c r="DH736" i="115" s="1"/>
  <c r="DJ725" i="115"/>
  <c r="DJ728" i="115"/>
  <c r="DJ734" i="115"/>
  <c r="DH693" i="115"/>
  <c r="DH734" i="115"/>
  <c r="CP1130" i="115"/>
  <c r="CP1137" i="115" s="1"/>
  <c r="CN1143" i="115"/>
  <c r="CN1072" i="115"/>
  <c r="CP1072" i="115" s="1"/>
  <c r="CN1223" i="115"/>
  <c r="CN1225" i="115" s="1"/>
  <c r="CN1242" i="115" s="1"/>
  <c r="CN1217" i="115"/>
  <c r="CN1136" i="115"/>
  <c r="CN1138" i="115"/>
  <c r="CN1139" i="115"/>
  <c r="CP1217" i="115"/>
  <c r="CP1138" i="115"/>
  <c r="CP1136" i="115"/>
  <c r="CP1139" i="115"/>
  <c r="CP1223" i="115"/>
  <c r="CP1225" i="115" s="1"/>
  <c r="CP1242" i="115" s="1"/>
  <c r="CP1143" i="115"/>
  <c r="DP700" i="115" l="1"/>
  <c r="DQ700" i="115" s="1"/>
  <c r="DR736" i="115"/>
  <c r="DR735" i="115"/>
  <c r="DP735" i="115"/>
  <c r="DL735" i="115"/>
  <c r="DL693" i="115"/>
  <c r="DL736" i="115"/>
  <c r="DN735" i="115"/>
  <c r="DN736" i="115"/>
  <c r="DH735" i="115"/>
  <c r="DH697" i="115"/>
  <c r="DJ693" i="115"/>
  <c r="CN1130" i="115"/>
  <c r="CN1137" i="115" s="1"/>
  <c r="DG681" i="115"/>
  <c r="DG680" i="115"/>
  <c r="DP697" i="115" l="1"/>
  <c r="DL697" i="115"/>
  <c r="DN693" i="115"/>
  <c r="DH700" i="115"/>
  <c r="DI700" i="115" s="1"/>
  <c r="BU41" i="117"/>
  <c r="BT41" i="117"/>
  <c r="BV134" i="117"/>
  <c r="BV129" i="117"/>
  <c r="BV151" i="117"/>
  <c r="BV105" i="117" s="1"/>
  <c r="BV150" i="117"/>
  <c r="BV104" i="117" s="1"/>
  <c r="BT174" i="117"/>
  <c r="BT134" i="117"/>
  <c r="BT137" i="117"/>
  <c r="BU174" i="117"/>
  <c r="BU134" i="117"/>
  <c r="BU137" i="117"/>
  <c r="BV183" i="117"/>
  <c r="BT175" i="117"/>
  <c r="BV135" i="117"/>
  <c r="BV102" i="117" s="1"/>
  <c r="BU175" i="117"/>
  <c r="CC710" i="115"/>
  <c r="CB710" i="115"/>
  <c r="CK715" i="115"/>
  <c r="CJ715" i="115"/>
  <c r="CC708" i="115"/>
  <c r="CB708" i="115"/>
  <c r="CC707" i="115"/>
  <c r="CB707" i="115"/>
  <c r="CF707" i="115"/>
  <c r="CL710" i="115"/>
  <c r="CL708" i="115"/>
  <c r="CK707" i="115"/>
  <c r="CJ707" i="115"/>
  <c r="CL706" i="115"/>
  <c r="CL705" i="115"/>
  <c r="CL704" i="115"/>
  <c r="CL703" i="115"/>
  <c r="CH708" i="115"/>
  <c r="CG707" i="115"/>
  <c r="CH706" i="115"/>
  <c r="CH705" i="115"/>
  <c r="CH704" i="115"/>
  <c r="CH703" i="115"/>
  <c r="DS693" i="115" l="1"/>
  <c r="DR697" i="115"/>
  <c r="DN697" i="115"/>
  <c r="DO693" i="115"/>
  <c r="DL700" i="115"/>
  <c r="DM700" i="115" s="1"/>
  <c r="CG715" i="115"/>
  <c r="CF715" i="115"/>
  <c r="BT27" i="117"/>
  <c r="BT12" i="117"/>
  <c r="DG664" i="115"/>
  <c r="BT25" i="117"/>
  <c r="BV174" i="117"/>
  <c r="BV41" i="117"/>
  <c r="CG709" i="115"/>
  <c r="CF709" i="115"/>
  <c r="CP715" i="115"/>
  <c r="CK709" i="115"/>
  <c r="CO714" i="115"/>
  <c r="BU27" i="117"/>
  <c r="BV175" i="117"/>
  <c r="CB709" i="115"/>
  <c r="CL715" i="115"/>
  <c r="CJ709" i="115"/>
  <c r="CN714" i="115"/>
  <c r="BV137" i="117"/>
  <c r="BV138" i="117" s="1"/>
  <c r="CC709" i="115"/>
  <c r="CK714" i="115"/>
  <c r="CF714" i="115"/>
  <c r="CG714" i="115"/>
  <c r="BT191" i="117"/>
  <c r="BT101" i="117" s="1"/>
  <c r="BT138" i="117"/>
  <c r="BU25" i="117"/>
  <c r="BU12" i="117"/>
  <c r="CJ714" i="115"/>
  <c r="BU191" i="117"/>
  <c r="BU138" i="117"/>
  <c r="DG687" i="115"/>
  <c r="CH707" i="115"/>
  <c r="CL707" i="115"/>
  <c r="CK1171" i="115"/>
  <c r="CJ1436" i="115"/>
  <c r="CJ1437" i="115" s="1"/>
  <c r="CK1468" i="115"/>
  <c r="CC532" i="115"/>
  <c r="BQ495" i="115"/>
  <c r="BP495" i="115"/>
  <c r="BU495" i="115"/>
  <c r="BT495" i="115"/>
  <c r="CL495" i="115"/>
  <c r="CD495" i="115"/>
  <c r="CH495" i="115"/>
  <c r="CK495" i="115"/>
  <c r="CN496" i="115" s="1"/>
  <c r="CO499" i="115" s="1"/>
  <c r="CJ495" i="115"/>
  <c r="CG495" i="115"/>
  <c r="CF495" i="115"/>
  <c r="CC495" i="115"/>
  <c r="CB495" i="115"/>
  <c r="BY495" i="115"/>
  <c r="BX495" i="115"/>
  <c r="CK680" i="115"/>
  <c r="CP887" i="115"/>
  <c r="CC998" i="115"/>
  <c r="CB998" i="115"/>
  <c r="CG998" i="115"/>
  <c r="CF998" i="115"/>
  <c r="CK998" i="115"/>
  <c r="CK990" i="115"/>
  <c r="CJ990" i="115"/>
  <c r="CG990" i="115"/>
  <c r="CF990" i="115"/>
  <c r="CC990" i="115"/>
  <c r="CB990" i="115"/>
  <c r="BU990" i="115"/>
  <c r="BM41" i="117"/>
  <c r="CD525" i="115"/>
  <c r="CD999" i="115" s="1"/>
  <c r="CB525" i="115"/>
  <c r="CD523" i="115"/>
  <c r="CC523" i="115"/>
  <c r="AW41" i="117" s="1"/>
  <c r="CB523" i="115"/>
  <c r="AV41" i="117" s="1"/>
  <c r="CG525" i="115"/>
  <c r="CF525" i="115"/>
  <c r="CG523" i="115"/>
  <c r="BA41" i="117" s="1"/>
  <c r="CF523" i="115"/>
  <c r="AZ41" i="117" s="1"/>
  <c r="CJ525" i="115"/>
  <c r="CJ523" i="115"/>
  <c r="CK525" i="115"/>
  <c r="CK523" i="115"/>
  <c r="CK412" i="115"/>
  <c r="CK1418" i="115"/>
  <c r="CK1271" i="115"/>
  <c r="CK1083" i="115"/>
  <c r="CL1083" i="115" s="1"/>
  <c r="CK1076" i="115"/>
  <c r="CK1071" i="115"/>
  <c r="CL1071" i="115" s="1"/>
  <c r="CP891" i="115"/>
  <c r="CG727" i="115"/>
  <c r="CK30" i="115"/>
  <c r="CK18" i="115"/>
  <c r="CK597" i="115"/>
  <c r="CJ577" i="115"/>
  <c r="CK580" i="115"/>
  <c r="CL601" i="115"/>
  <c r="CL600" i="115"/>
  <c r="CL448" i="115"/>
  <c r="CK376" i="115"/>
  <c r="CK375" i="115"/>
  <c r="AC1" i="111"/>
  <c r="EN42" i="117"/>
  <c r="EN5" i="117"/>
  <c r="BQ224" i="117"/>
  <c r="BP224" i="117"/>
  <c r="BQ205" i="117"/>
  <c r="BP205" i="117"/>
  <c r="BQ183" i="117"/>
  <c r="BP183" i="117"/>
  <c r="BR165" i="117"/>
  <c r="BQ151" i="117"/>
  <c r="BQ195" i="117" s="1"/>
  <c r="BQ105" i="117" s="1"/>
  <c r="BP151" i="117"/>
  <c r="BP195" i="117" s="1"/>
  <c r="BQ150" i="117"/>
  <c r="BQ194" i="117" s="1"/>
  <c r="BQ104" i="117" s="1"/>
  <c r="BP150" i="117"/>
  <c r="BP194" i="117" s="1"/>
  <c r="BP104" i="117" s="1"/>
  <c r="BQ148" i="117"/>
  <c r="BP148" i="117"/>
  <c r="BQ135" i="117"/>
  <c r="BP135" i="117"/>
  <c r="BQ129" i="117"/>
  <c r="BP129" i="117"/>
  <c r="BP122" i="117"/>
  <c r="AI139" i="123"/>
  <c r="AI141" i="123" s="1"/>
  <c r="AH139" i="123"/>
  <c r="AH141" i="123" s="1"/>
  <c r="AG139" i="123"/>
  <c r="AG141" i="123" s="1"/>
  <c r="AG24" i="123"/>
  <c r="AG69" i="123" s="1"/>
  <c r="CL1608" i="115"/>
  <c r="CL1607" i="115"/>
  <c r="CL1605" i="115"/>
  <c r="CK1598" i="115"/>
  <c r="CK1597" i="115"/>
  <c r="CK1596" i="115"/>
  <c r="CK1595" i="115"/>
  <c r="CK1594" i="115"/>
  <c r="CK1593" i="115"/>
  <c r="CK1592" i="115"/>
  <c r="CK1580" i="115"/>
  <c r="CK1554" i="115" s="1"/>
  <c r="CL1579" i="115"/>
  <c r="CL1578" i="115"/>
  <c r="CL1577" i="115"/>
  <c r="CL1576" i="115"/>
  <c r="CL1575" i="115"/>
  <c r="CL1574" i="115"/>
  <c r="CL1573" i="115"/>
  <c r="CK1557" i="115"/>
  <c r="CL1529" i="115"/>
  <c r="CK1529" i="115"/>
  <c r="CK1520" i="115"/>
  <c r="CK1518" i="115"/>
  <c r="CK1493" i="115"/>
  <c r="CK1492" i="115"/>
  <c r="CK1488" i="115"/>
  <c r="CK1475" i="115"/>
  <c r="CK1474" i="115"/>
  <c r="CK1473" i="115"/>
  <c r="CL1450" i="115"/>
  <c r="CL1449" i="115"/>
  <c r="CL1438" i="115"/>
  <c r="CQ1438" i="115" s="1"/>
  <c r="CL1428" i="115"/>
  <c r="CL1427" i="115"/>
  <c r="CL1421" i="115"/>
  <c r="CL1420" i="115"/>
  <c r="CL1419" i="115"/>
  <c r="CL1416" i="115"/>
  <c r="CQ1416" i="115" s="1"/>
  <c r="CK1407" i="115"/>
  <c r="CL1405" i="115"/>
  <c r="CL1404" i="115"/>
  <c r="CL1403" i="115"/>
  <c r="CL1402" i="115"/>
  <c r="CQ1402" i="115" s="1"/>
  <c r="CK1396" i="115"/>
  <c r="CL1396" i="115" s="1"/>
  <c r="CK1395" i="115"/>
  <c r="CL1394" i="115"/>
  <c r="CL1393" i="115"/>
  <c r="CK1390" i="115"/>
  <c r="CK1302" i="115" s="1"/>
  <c r="CL1302" i="115" s="1"/>
  <c r="CL1389" i="115"/>
  <c r="CL1384" i="115"/>
  <c r="CL1383" i="115"/>
  <c r="CL1382" i="115"/>
  <c r="CL1381" i="115"/>
  <c r="CL1380" i="115"/>
  <c r="CL1379" i="115"/>
  <c r="CL1378" i="115"/>
  <c r="CL1377" i="115"/>
  <c r="CL1376" i="115"/>
  <c r="CL1375" i="115"/>
  <c r="CK1372" i="115"/>
  <c r="CK1370" i="115"/>
  <c r="CK1369" i="115"/>
  <c r="CK1368" i="115"/>
  <c r="CK1362" i="115"/>
  <c r="CK1363" i="115" s="1"/>
  <c r="CK1361" i="115"/>
  <c r="CK1351" i="115"/>
  <c r="CN1346" i="115" s="1"/>
  <c r="CL1349" i="115"/>
  <c r="CK1348" i="115"/>
  <c r="CK1342" i="115"/>
  <c r="CK1340" i="115"/>
  <c r="CK1338" i="115"/>
  <c r="CK1339" i="115" s="1"/>
  <c r="CL1333" i="115"/>
  <c r="CK1327" i="115"/>
  <c r="CK1319" i="115"/>
  <c r="CK1317" i="115"/>
  <c r="CK1310" i="115"/>
  <c r="CL1310" i="115" s="1"/>
  <c r="CL1308" i="115"/>
  <c r="CL1304" i="115"/>
  <c r="CL1303" i="115"/>
  <c r="CL1299" i="115"/>
  <c r="CL1297" i="115"/>
  <c r="CM1295" i="115"/>
  <c r="CL1295" i="115"/>
  <c r="CM1294" i="115"/>
  <c r="CL1294" i="115"/>
  <c r="CM1293" i="115"/>
  <c r="CL1293" i="115"/>
  <c r="CM1292" i="115"/>
  <c r="CL1292" i="115"/>
  <c r="CM1290" i="115"/>
  <c r="CL1290" i="115"/>
  <c r="CM1289" i="115"/>
  <c r="CL1289" i="115"/>
  <c r="CL1287" i="115"/>
  <c r="CL1286" i="115"/>
  <c r="CL1285" i="115"/>
  <c r="CK1284" i="115"/>
  <c r="CL1284" i="115" s="1"/>
  <c r="CL1283" i="115"/>
  <c r="CL1282" i="115"/>
  <c r="CL1275" i="115"/>
  <c r="CL1274" i="115"/>
  <c r="CL1270" i="115"/>
  <c r="CL1269" i="115"/>
  <c r="CL1268" i="115"/>
  <c r="CK1224" i="115"/>
  <c r="CL1221" i="115"/>
  <c r="CK1221" i="115"/>
  <c r="DH1221" i="115" s="1"/>
  <c r="CL1213" i="115"/>
  <c r="CK1213" i="115"/>
  <c r="CK1209" i="115"/>
  <c r="CK1163" i="115"/>
  <c r="CK1166" i="115" s="1"/>
  <c r="CK1131" i="115"/>
  <c r="CL1131" i="115" s="1"/>
  <c r="CK1128" i="115"/>
  <c r="CK1127" i="115"/>
  <c r="CL1126" i="115"/>
  <c r="CL1125" i="115"/>
  <c r="CK1115" i="115"/>
  <c r="CK1109" i="115"/>
  <c r="CL1105" i="115"/>
  <c r="CL1104" i="115"/>
  <c r="CL1103" i="115"/>
  <c r="CL1102" i="115"/>
  <c r="CK1101" i="115"/>
  <c r="CK1106" i="115" s="1"/>
  <c r="CK1095" i="115"/>
  <c r="CN1093" i="115" s="1"/>
  <c r="CK1090" i="115"/>
  <c r="CN1088" i="115" s="1"/>
  <c r="CK1085" i="115"/>
  <c r="CN1081" i="115" s="1"/>
  <c r="CP1081" i="115" s="1"/>
  <c r="CL1082" i="115"/>
  <c r="CK1078" i="115"/>
  <c r="CL1075" i="115"/>
  <c r="CL1070" i="115"/>
  <c r="CL1069" i="115"/>
  <c r="CK1065" i="115"/>
  <c r="CL1063" i="115"/>
  <c r="CL1062" i="115"/>
  <c r="CL1060" i="115"/>
  <c r="CL1059" i="115"/>
  <c r="CL1045" i="115"/>
  <c r="CL1044" i="115"/>
  <c r="CK1043" i="115"/>
  <c r="CL1042" i="115"/>
  <c r="CL1041" i="115"/>
  <c r="CL1040" i="115"/>
  <c r="CL532" i="115"/>
  <c r="CL530" i="115"/>
  <c r="CL523" i="115" s="1"/>
  <c r="CL548" i="115"/>
  <c r="BF178" i="117" s="1"/>
  <c r="BF193" i="117" s="1"/>
  <c r="CK544" i="115"/>
  <c r="CK543" i="115"/>
  <c r="CK542" i="115"/>
  <c r="CL1036" i="115"/>
  <c r="CL1035" i="115"/>
  <c r="CL1034" i="115"/>
  <c r="CL1033" i="115"/>
  <c r="CL1032" i="115"/>
  <c r="CK1031" i="115"/>
  <c r="CK1030" i="115" s="1"/>
  <c r="CL1027" i="115"/>
  <c r="CK1024" i="115"/>
  <c r="CL1023" i="115"/>
  <c r="CL1022" i="115"/>
  <c r="CL1021" i="115"/>
  <c r="CL1020" i="115"/>
  <c r="CL1019" i="115"/>
  <c r="CL1018" i="115"/>
  <c r="CL1017" i="115"/>
  <c r="CL1016" i="115"/>
  <c r="CK1004" i="115"/>
  <c r="CL1003" i="115"/>
  <c r="CL597" i="115" s="1"/>
  <c r="CK966" i="115"/>
  <c r="CL964" i="115"/>
  <c r="CK961" i="115"/>
  <c r="CK969" i="115" s="1"/>
  <c r="CL885" i="115"/>
  <c r="CK929" i="115"/>
  <c r="BF151" i="117"/>
  <c r="CK910" i="115"/>
  <c r="CK909" i="115"/>
  <c r="CL908" i="115"/>
  <c r="CL890" i="115"/>
  <c r="CK1604" i="115"/>
  <c r="CK842" i="115"/>
  <c r="CK841" i="115"/>
  <c r="CK840" i="115"/>
  <c r="CK792" i="115"/>
  <c r="CL791" i="115"/>
  <c r="CK790" i="115"/>
  <c r="CK788" i="115"/>
  <c r="CK772" i="115"/>
  <c r="CL771" i="115"/>
  <c r="CL742" i="115"/>
  <c r="CL741" i="115"/>
  <c r="CK733" i="115"/>
  <c r="CK732" i="115"/>
  <c r="CK731" i="115"/>
  <c r="CL727" i="115"/>
  <c r="CL724" i="115"/>
  <c r="CK723" i="115"/>
  <c r="CL722" i="115"/>
  <c r="CL721" i="115"/>
  <c r="CL720" i="115"/>
  <c r="CL719" i="115"/>
  <c r="CK697" i="115"/>
  <c r="CL693" i="115"/>
  <c r="CL685" i="115"/>
  <c r="CQ685" i="115" s="1"/>
  <c r="CL684" i="115"/>
  <c r="CL682" i="115"/>
  <c r="CL681" i="115"/>
  <c r="CQ681" i="115" s="1"/>
  <c r="CK664" i="115"/>
  <c r="CK587" i="115" s="1"/>
  <c r="CK663" i="115"/>
  <c r="CK586" i="115" s="1"/>
  <c r="CK662" i="115"/>
  <c r="CK585" i="115" s="1"/>
  <c r="CL654" i="115"/>
  <c r="CK654" i="115"/>
  <c r="CL647" i="115"/>
  <c r="CK642" i="115"/>
  <c r="CL641" i="115"/>
  <c r="CK641" i="115"/>
  <c r="CL638" i="115"/>
  <c r="CK637" i="115"/>
  <c r="CL636" i="115"/>
  <c r="CL605" i="115"/>
  <c r="CK605" i="115"/>
  <c r="CN763" i="115" s="1"/>
  <c r="CL599" i="115"/>
  <c r="CK598" i="115"/>
  <c r="CL594" i="115"/>
  <c r="CQ594" i="115" s="1"/>
  <c r="CL512" i="115"/>
  <c r="CK512" i="115"/>
  <c r="DH512" i="115" s="1"/>
  <c r="DI512" i="115" s="1"/>
  <c r="DL512" i="115" s="1"/>
  <c r="DM512" i="115" s="1"/>
  <c r="DP512" i="115" s="1"/>
  <c r="DQ512" i="115" s="1"/>
  <c r="CK509" i="115"/>
  <c r="CN510" i="115" s="1"/>
  <c r="CN511" i="115" s="1"/>
  <c r="CK505" i="115"/>
  <c r="CL487" i="115"/>
  <c r="CK487" i="115"/>
  <c r="CL486" i="115"/>
  <c r="CK486" i="115"/>
  <c r="CL483" i="115"/>
  <c r="CK483" i="115"/>
  <c r="CK481" i="115"/>
  <c r="CK479" i="115"/>
  <c r="CL476" i="115"/>
  <c r="CK476" i="115"/>
  <c r="CL473" i="115"/>
  <c r="CK473" i="115"/>
  <c r="CK472" i="115"/>
  <c r="CL471" i="115"/>
  <c r="CL472" i="115" s="1"/>
  <c r="CL464" i="115"/>
  <c r="CK464" i="115"/>
  <c r="CL462" i="115"/>
  <c r="CK462" i="115"/>
  <c r="CK440" i="115"/>
  <c r="CL411" i="115"/>
  <c r="CL410" i="115"/>
  <c r="CK403" i="115"/>
  <c r="CK400" i="115"/>
  <c r="CK392" i="115"/>
  <c r="CK380" i="115"/>
  <c r="CK382" i="115" s="1"/>
  <c r="CL378" i="115"/>
  <c r="CL374" i="115"/>
  <c r="CL370" i="115"/>
  <c r="CL368" i="115"/>
  <c r="CL367" i="115"/>
  <c r="CK365" i="115"/>
  <c r="CK351" i="115"/>
  <c r="CN359" i="115" s="1"/>
  <c r="CK350" i="115"/>
  <c r="CK349" i="115"/>
  <c r="CK348" i="115"/>
  <c r="CN356" i="115" s="1"/>
  <c r="CK331" i="115"/>
  <c r="CK329" i="115"/>
  <c r="CK328" i="115"/>
  <c r="CK327" i="115"/>
  <c r="CK325" i="115"/>
  <c r="CL324" i="115"/>
  <c r="CL323" i="115"/>
  <c r="CL322" i="115"/>
  <c r="CL321" i="115"/>
  <c r="CK304" i="115"/>
  <c r="CK302" i="115"/>
  <c r="CK301" i="115"/>
  <c r="CK300" i="115"/>
  <c r="CK298" i="115"/>
  <c r="CL297" i="115"/>
  <c r="CL296" i="115"/>
  <c r="CL295" i="115"/>
  <c r="CL294" i="115"/>
  <c r="CK290" i="115"/>
  <c r="CK289" i="115"/>
  <c r="CK288" i="115"/>
  <c r="CK287" i="115"/>
  <c r="CK284" i="115"/>
  <c r="CK285" i="115" s="1"/>
  <c r="CL283" i="115"/>
  <c r="CL282" i="115"/>
  <c r="CL281" i="115"/>
  <c r="CL280" i="115"/>
  <c r="CK272" i="115"/>
  <c r="CK271" i="115"/>
  <c r="CK257" i="115"/>
  <c r="CL257" i="115" s="1"/>
  <c r="CK256" i="115"/>
  <c r="CK254" i="115"/>
  <c r="CL252" i="115"/>
  <c r="CL249" i="115"/>
  <c r="CL248" i="115"/>
  <c r="CK247" i="115"/>
  <c r="CL244" i="115"/>
  <c r="CK241" i="115"/>
  <c r="CK243" i="115" s="1"/>
  <c r="CK236" i="115"/>
  <c r="CK219" i="115"/>
  <c r="CL218" i="115"/>
  <c r="CL217" i="115"/>
  <c r="CL215" i="115"/>
  <c r="CK169" i="115"/>
  <c r="CK167" i="115"/>
  <c r="CK164" i="115"/>
  <c r="CL157" i="115"/>
  <c r="CL254" i="115" s="1"/>
  <c r="CL155" i="115"/>
  <c r="CL153" i="115"/>
  <c r="CL152" i="115"/>
  <c r="CK151" i="115"/>
  <c r="CK149" i="115"/>
  <c r="CK138" i="115"/>
  <c r="CK137" i="115"/>
  <c r="CK135" i="115"/>
  <c r="CL133" i="115"/>
  <c r="CQ133" i="115" s="1"/>
  <c r="CK132" i="115"/>
  <c r="CL131" i="115"/>
  <c r="CK116" i="115"/>
  <c r="CK115" i="115"/>
  <c r="CK113" i="115"/>
  <c r="CL111" i="115"/>
  <c r="CQ111" i="115" s="1"/>
  <c r="CK110" i="115"/>
  <c r="CL109" i="115"/>
  <c r="CK93" i="115"/>
  <c r="CK91" i="115"/>
  <c r="CL89" i="115"/>
  <c r="CK88" i="115"/>
  <c r="CL87" i="115"/>
  <c r="CL79" i="115"/>
  <c r="CL77" i="115"/>
  <c r="CK59" i="115"/>
  <c r="CK57" i="115"/>
  <c r="CK48" i="115"/>
  <c r="CL44" i="115"/>
  <c r="CK38" i="115"/>
  <c r="CL36" i="115"/>
  <c r="CL35" i="115"/>
  <c r="CL33" i="115"/>
  <c r="CL29" i="115"/>
  <c r="CL28" i="115"/>
  <c r="CL27" i="115"/>
  <c r="CL24" i="115"/>
  <c r="CL23" i="115"/>
  <c r="CK22" i="115"/>
  <c r="CL21" i="115"/>
  <c r="CL17" i="115"/>
  <c r="CL16" i="115"/>
  <c r="BF11" i="117" s="1"/>
  <c r="BF220" i="117" s="1"/>
  <c r="CL15" i="115"/>
  <c r="CL14" i="115"/>
  <c r="CJ1171" i="115"/>
  <c r="EJ42" i="117"/>
  <c r="EF42" i="117"/>
  <c r="EB42" i="117"/>
  <c r="AA67" i="123"/>
  <c r="Z67" i="123"/>
  <c r="Y67" i="123"/>
  <c r="Y24" i="123"/>
  <c r="U24" i="123"/>
  <c r="U122" i="123" s="1"/>
  <c r="U123" i="123" s="1"/>
  <c r="U126" i="123" s="1"/>
  <c r="Q24" i="123"/>
  <c r="M24" i="123"/>
  <c r="M22" i="123"/>
  <c r="M120" i="123" s="1"/>
  <c r="M134" i="123" s="1"/>
  <c r="CJ1362" i="115"/>
  <c r="CJ1363" i="115" s="1"/>
  <c r="CJ1361" i="115"/>
  <c r="CG1362" i="115"/>
  <c r="CG1363" i="115" s="1"/>
  <c r="CF1362" i="115"/>
  <c r="CF1363" i="115" s="1"/>
  <c r="CG1361" i="115"/>
  <c r="CF1361" i="115"/>
  <c r="CC1362" i="115"/>
  <c r="CC1363" i="115" s="1"/>
  <c r="CB1362" i="115"/>
  <c r="CB1363" i="115" s="1"/>
  <c r="CC1361" i="115"/>
  <c r="CB1361" i="115"/>
  <c r="BY1362" i="115"/>
  <c r="BY1363" i="115" s="1"/>
  <c r="BY1361" i="115"/>
  <c r="BH505" i="115"/>
  <c r="BI505" i="115"/>
  <c r="BL505" i="115"/>
  <c r="BM505" i="115"/>
  <c r="BP505" i="115"/>
  <c r="BQ505" i="115"/>
  <c r="BT505" i="115"/>
  <c r="BU505" i="115"/>
  <c r="BX505" i="115"/>
  <c r="BY505" i="115"/>
  <c r="CB505" i="115"/>
  <c r="CC505" i="115"/>
  <c r="CJ1475" i="115"/>
  <c r="CG1475" i="115"/>
  <c r="CF1475" i="115"/>
  <c r="CG1474" i="115"/>
  <c r="CF1474" i="115"/>
  <c r="CG1473" i="115"/>
  <c r="CF1473" i="115"/>
  <c r="CJ1474" i="115"/>
  <c r="CJ1473" i="115"/>
  <c r="CH1450" i="115"/>
  <c r="CH1449" i="115"/>
  <c r="A1458" i="115"/>
  <c r="A1457" i="115"/>
  <c r="A1456" i="115"/>
  <c r="CH1428" i="115"/>
  <c r="CH1427" i="115"/>
  <c r="CX6" i="115"/>
  <c r="CJ1367" i="115"/>
  <c r="BA20" i="117"/>
  <c r="AZ20" i="117"/>
  <c r="AZ238" i="117" s="1"/>
  <c r="BE1109" i="115"/>
  <c r="BD1109" i="115"/>
  <c r="BI1109" i="115"/>
  <c r="BH1109" i="115"/>
  <c r="BM1109" i="115"/>
  <c r="BL1109" i="115"/>
  <c r="BQ1109" i="115"/>
  <c r="BP1109" i="115"/>
  <c r="BU1109" i="115"/>
  <c r="BT1109" i="115"/>
  <c r="BY1109" i="115"/>
  <c r="BX1109" i="115"/>
  <c r="CC1109" i="115"/>
  <c r="CB1109" i="115"/>
  <c r="CJ1109" i="115"/>
  <c r="CL578" i="115"/>
  <c r="CJ1271" i="115"/>
  <c r="CJ1272" i="115" s="1"/>
  <c r="CG1108" i="115"/>
  <c r="CF1108" i="115"/>
  <c r="CJ743" i="115"/>
  <c r="CF743" i="115"/>
  <c r="CF580" i="115" s="1"/>
  <c r="CJ242" i="115"/>
  <c r="CG254" i="115"/>
  <c r="CF254" i="115"/>
  <c r="CJ254" i="115"/>
  <c r="CJ18" i="115"/>
  <c r="CJ1418" i="115"/>
  <c r="CJ1417" i="115" s="1"/>
  <c r="CJ1061" i="115"/>
  <c r="CD887" i="115"/>
  <c r="CC887" i="115"/>
  <c r="CB887" i="115"/>
  <c r="CJ376" i="115"/>
  <c r="CJ375" i="115"/>
  <c r="CJ30" i="115"/>
  <c r="CJ1598" i="115"/>
  <c r="CJ1597" i="115"/>
  <c r="CJ1596" i="115"/>
  <c r="CJ1595" i="115"/>
  <c r="CJ1594" i="115"/>
  <c r="CJ1593" i="115"/>
  <c r="CJ1592" i="115"/>
  <c r="CJ1580" i="115"/>
  <c r="CJ1554" i="115" s="1"/>
  <c r="CJ1557" i="115"/>
  <c r="CJ1529" i="115"/>
  <c r="CJ1520" i="115"/>
  <c r="CJ1518" i="115"/>
  <c r="CJ1493" i="115"/>
  <c r="CJ1492" i="115"/>
  <c r="CJ1488" i="115"/>
  <c r="CJ1487" i="115" s="1"/>
  <c r="CJ1407" i="115"/>
  <c r="CJ1394" i="115"/>
  <c r="CJ1393" i="115"/>
  <c r="CJ1390" i="115"/>
  <c r="CJ1302" i="115" s="1"/>
  <c r="CJ1372" i="115"/>
  <c r="CJ1370" i="115"/>
  <c r="CJ1369" i="115"/>
  <c r="CJ1368" i="115"/>
  <c r="CJ1351" i="115"/>
  <c r="CK1346" i="115" s="1"/>
  <c r="CJ1348" i="115"/>
  <c r="CJ1342" i="115"/>
  <c r="CJ1340" i="115"/>
  <c r="CJ1338" i="115"/>
  <c r="CJ1339" i="115" s="1"/>
  <c r="CJ1327" i="115"/>
  <c r="CJ1319" i="115"/>
  <c r="CJ1317" i="115"/>
  <c r="CJ1310" i="115"/>
  <c r="CJ1284" i="115"/>
  <c r="CJ1224" i="115"/>
  <c r="CJ1221" i="115"/>
  <c r="CJ1213" i="115"/>
  <c r="CJ1209" i="115"/>
  <c r="CJ1163" i="115"/>
  <c r="CJ1166" i="115" s="1"/>
  <c r="CJ1131" i="115"/>
  <c r="CJ1128" i="115"/>
  <c r="CJ1127" i="115"/>
  <c r="CJ1115" i="115"/>
  <c r="CJ1111" i="115"/>
  <c r="CJ1112" i="115" s="1"/>
  <c r="CJ1101" i="115"/>
  <c r="CJ1095" i="115"/>
  <c r="CK1093" i="115" s="1"/>
  <c r="CJ1090" i="115"/>
  <c r="CJ1085" i="115"/>
  <c r="CK1081" i="115" s="1"/>
  <c r="CJ1078" i="115"/>
  <c r="CK1068" i="115" s="1"/>
  <c r="CJ1074" i="115"/>
  <c r="CJ1065" i="115"/>
  <c r="CJ1043" i="115"/>
  <c r="CJ544" i="115"/>
  <c r="CJ542" i="115"/>
  <c r="CJ1031" i="115"/>
  <c r="CJ1030" i="115" s="1"/>
  <c r="CJ1024" i="115"/>
  <c r="CJ1004" i="115"/>
  <c r="CJ998" i="115"/>
  <c r="CJ966" i="115"/>
  <c r="CK963" i="115" s="1"/>
  <c r="CJ961" i="115"/>
  <c r="CJ969" i="115" s="1"/>
  <c r="CJ929" i="115"/>
  <c r="CJ910" i="115"/>
  <c r="CJ909" i="115"/>
  <c r="CJ1604" i="115"/>
  <c r="CJ842" i="115"/>
  <c r="CJ841" i="115"/>
  <c r="CJ840" i="115"/>
  <c r="CJ790" i="115"/>
  <c r="CJ788" i="115"/>
  <c r="CJ772" i="115"/>
  <c r="BD129" i="117"/>
  <c r="CJ733" i="115"/>
  <c r="CJ732" i="115"/>
  <c r="CJ731" i="115"/>
  <c r="CJ723" i="115"/>
  <c r="CJ697" i="115"/>
  <c r="CJ664" i="115"/>
  <c r="CJ587" i="115" s="1"/>
  <c r="CJ663" i="115"/>
  <c r="CJ662" i="115"/>
  <c r="CJ654" i="115"/>
  <c r="CJ642" i="115"/>
  <c r="CJ641" i="115"/>
  <c r="CJ639" i="115"/>
  <c r="CJ605" i="115"/>
  <c r="CJ598" i="115"/>
  <c r="CJ597" i="115"/>
  <c r="CJ512" i="115"/>
  <c r="CJ509" i="115"/>
  <c r="CJ505" i="115"/>
  <c r="CJ487" i="115"/>
  <c r="CJ486" i="115"/>
  <c r="CJ483" i="115"/>
  <c r="CJ481" i="115"/>
  <c r="CJ479" i="115"/>
  <c r="CJ476" i="115"/>
  <c r="CJ473" i="115"/>
  <c r="CJ472" i="115"/>
  <c r="CJ1517" i="115" s="1"/>
  <c r="CJ464" i="115"/>
  <c r="CJ462" i="115"/>
  <c r="CJ412" i="115"/>
  <c r="CJ392" i="115"/>
  <c r="CJ380" i="115"/>
  <c r="CJ382" i="115" s="1"/>
  <c r="CJ351" i="115"/>
  <c r="CJ350" i="115"/>
  <c r="CJ349" i="115"/>
  <c r="CJ348" i="115"/>
  <c r="CJ331" i="115"/>
  <c r="CJ335" i="115" s="1"/>
  <c r="CJ330" i="115"/>
  <c r="CJ329" i="115"/>
  <c r="CJ328" i="115"/>
  <c r="CJ327" i="115"/>
  <c r="CJ325" i="115"/>
  <c r="CJ304" i="115"/>
  <c r="CJ310" i="115" s="1"/>
  <c r="CJ303" i="115"/>
  <c r="CJ302" i="115"/>
  <c r="CJ301" i="115"/>
  <c r="CJ300" i="115"/>
  <c r="CJ298" i="115"/>
  <c r="CJ290" i="115"/>
  <c r="CJ289" i="115"/>
  <c r="CJ288" i="115"/>
  <c r="CJ287" i="115"/>
  <c r="CJ284" i="115"/>
  <c r="CJ285" i="115" s="1"/>
  <c r="CJ272" i="115"/>
  <c r="CJ271" i="115"/>
  <c r="CJ257" i="115"/>
  <c r="CJ256" i="115"/>
  <c r="CJ247" i="115"/>
  <c r="CJ241" i="115"/>
  <c r="CJ963" i="115" s="1"/>
  <c r="CJ236" i="115"/>
  <c r="CJ219" i="115"/>
  <c r="CJ167" i="115"/>
  <c r="CJ164" i="115"/>
  <c r="CJ151" i="115"/>
  <c r="CJ149" i="115"/>
  <c r="CJ138" i="115"/>
  <c r="CJ137" i="115"/>
  <c r="CJ135" i="115"/>
  <c r="CJ132" i="115"/>
  <c r="CJ116" i="115"/>
  <c r="CJ115" i="115"/>
  <c r="CJ113" i="115"/>
  <c r="CJ110" i="115"/>
  <c r="CJ93" i="115"/>
  <c r="CJ91" i="115"/>
  <c r="CJ88" i="115"/>
  <c r="CJ59" i="115"/>
  <c r="CJ57" i="115"/>
  <c r="CJ48" i="115"/>
  <c r="CJ38" i="115"/>
  <c r="CJ22" i="115"/>
  <c r="BG37" i="117"/>
  <c r="BG19" i="117"/>
  <c r="BG21" i="117" s="1"/>
  <c r="BG24" i="117" s="1"/>
  <c r="BG26" i="117" s="1"/>
  <c r="BC19" i="117"/>
  <c r="BC21" i="117" s="1"/>
  <c r="BC24" i="117" s="1"/>
  <c r="BG30" i="117"/>
  <c r="BC30" i="117"/>
  <c r="AE18" i="117"/>
  <c r="AH86" i="123"/>
  <c r="AL86" i="123" s="1"/>
  <c r="AG86" i="123"/>
  <c r="AK86" i="123" s="1"/>
  <c r="CH532" i="115"/>
  <c r="BN41" i="117"/>
  <c r="CH530" i="115"/>
  <c r="CH523" i="115" s="1"/>
  <c r="CD947" i="115"/>
  <c r="CD889" i="115" s="1"/>
  <c r="AV152" i="117"/>
  <c r="AV151" i="117"/>
  <c r="AV150" i="117"/>
  <c r="AV149" i="117"/>
  <c r="AX135" i="117"/>
  <c r="A563" i="115"/>
  <c r="A562" i="115"/>
  <c r="BM135" i="117"/>
  <c r="BL135" i="117"/>
  <c r="BI135" i="117"/>
  <c r="BH135" i="117"/>
  <c r="BA135" i="117"/>
  <c r="AZ135" i="117"/>
  <c r="AV135" i="117"/>
  <c r="AV102" i="117" s="1"/>
  <c r="CC577" i="115"/>
  <c r="BL134" i="117"/>
  <c r="BH137" i="117"/>
  <c r="CH577" i="115"/>
  <c r="BB109" i="117"/>
  <c r="CP889" i="115"/>
  <c r="CP888" i="115"/>
  <c r="CD946" i="115"/>
  <c r="CC886" i="115"/>
  <c r="CB886" i="115"/>
  <c r="CC885" i="115"/>
  <c r="CB885" i="115"/>
  <c r="BM148" i="117"/>
  <c r="BL148" i="117"/>
  <c r="BI148" i="117"/>
  <c r="BH148" i="117"/>
  <c r="BE148" i="117"/>
  <c r="BD148" i="117"/>
  <c r="AZ148" i="117"/>
  <c r="CG1024" i="115"/>
  <c r="BL25" i="117"/>
  <c r="CC1031" i="115"/>
  <c r="CB1031" i="115"/>
  <c r="CF1031" i="115"/>
  <c r="CG1031" i="115"/>
  <c r="CG1030" i="115" s="1"/>
  <c r="CD1032" i="115"/>
  <c r="CH1032" i="115"/>
  <c r="CG1418" i="115"/>
  <c r="CH1418" i="115" s="1"/>
  <c r="CG1296" i="115"/>
  <c r="CG1271" i="115"/>
  <c r="CC1083" i="115"/>
  <c r="CC1074" i="115" s="1"/>
  <c r="CG1083" i="115"/>
  <c r="CG1076" i="115"/>
  <c r="CG1061" i="115"/>
  <c r="CH1061" i="115" s="1"/>
  <c r="CG743" i="115"/>
  <c r="CG742" i="115"/>
  <c r="CG741" i="115"/>
  <c r="CH448" i="115"/>
  <c r="CG412" i="115"/>
  <c r="CC400" i="115"/>
  <c r="CB400" i="115"/>
  <c r="CG400" i="115"/>
  <c r="CF400" i="115"/>
  <c r="CG375" i="115"/>
  <c r="CG248" i="115"/>
  <c r="CH248" i="115" s="1"/>
  <c r="CG242" i="115"/>
  <c r="CG249" i="115"/>
  <c r="CF249" i="115"/>
  <c r="CF271" i="115" s="1"/>
  <c r="CG30" i="115"/>
  <c r="CG18" i="115"/>
  <c r="D2" i="123"/>
  <c r="D41" i="123"/>
  <c r="D88" i="123"/>
  <c r="D142" i="123"/>
  <c r="E93" i="123"/>
  <c r="E94" i="123"/>
  <c r="E95" i="123"/>
  <c r="E96" i="123"/>
  <c r="E97" i="123"/>
  <c r="E98" i="123"/>
  <c r="E99" i="123"/>
  <c r="E100" i="123"/>
  <c r="E147" i="123"/>
  <c r="E148" i="123"/>
  <c r="E149" i="123"/>
  <c r="E150" i="123"/>
  <c r="E151" i="123"/>
  <c r="E152" i="123"/>
  <c r="E153" i="123"/>
  <c r="E154" i="123"/>
  <c r="F93" i="123"/>
  <c r="F94" i="123"/>
  <c r="F95" i="123"/>
  <c r="F96" i="123"/>
  <c r="F97" i="123"/>
  <c r="F98" i="123"/>
  <c r="F99" i="123"/>
  <c r="F100" i="123"/>
  <c r="F147" i="123"/>
  <c r="F148" i="123"/>
  <c r="F149" i="123"/>
  <c r="F150" i="123"/>
  <c r="F151" i="123"/>
  <c r="F152" i="123"/>
  <c r="F153" i="123"/>
  <c r="F154" i="123"/>
  <c r="G93" i="123"/>
  <c r="G94" i="123"/>
  <c r="G95" i="123"/>
  <c r="G96" i="123"/>
  <c r="G97" i="123"/>
  <c r="G98" i="123"/>
  <c r="G99" i="123"/>
  <c r="G100" i="123"/>
  <c r="G147" i="123"/>
  <c r="G148" i="123"/>
  <c r="G149" i="123"/>
  <c r="G150" i="123"/>
  <c r="G151" i="123"/>
  <c r="G152" i="123"/>
  <c r="G153" i="123"/>
  <c r="G154" i="123"/>
  <c r="AF2" i="123"/>
  <c r="CH1608" i="115"/>
  <c r="CH1607" i="115"/>
  <c r="CH1605" i="115"/>
  <c r="CG1598" i="115"/>
  <c r="CG1597" i="115"/>
  <c r="CG1596" i="115"/>
  <c r="CG1595" i="115"/>
  <c r="CG1594" i="115"/>
  <c r="CG1593" i="115"/>
  <c r="CG1592" i="115"/>
  <c r="CG1580" i="115"/>
  <c r="CG1554" i="115" s="1"/>
  <c r="CH1579" i="115"/>
  <c r="CH1578" i="115"/>
  <c r="CH1577" i="115"/>
  <c r="CH1576" i="115"/>
  <c r="CH1575" i="115"/>
  <c r="CH1574" i="115"/>
  <c r="CH1573" i="115"/>
  <c r="CG1557" i="115"/>
  <c r="CH1529" i="115"/>
  <c r="CG1529" i="115"/>
  <c r="CG1520" i="115"/>
  <c r="CG1518" i="115"/>
  <c r="CG1493" i="115"/>
  <c r="CG1492" i="115"/>
  <c r="CG1488" i="115"/>
  <c r="CH1438" i="115"/>
  <c r="CG1437" i="115"/>
  <c r="CG1452" i="115" s="1"/>
  <c r="CG1457" i="115" s="1"/>
  <c r="CH1421" i="115"/>
  <c r="CH1420" i="115"/>
  <c r="CH1419" i="115"/>
  <c r="CG1407" i="115"/>
  <c r="CH1405" i="115"/>
  <c r="CH1404" i="115"/>
  <c r="CH1403" i="115"/>
  <c r="CH1402" i="115"/>
  <c r="EA39" i="117" s="1"/>
  <c r="CG1396" i="115"/>
  <c r="CH1396" i="115" s="1"/>
  <c r="CG1395" i="115"/>
  <c r="CH1394" i="115"/>
  <c r="CH1393" i="115"/>
  <c r="CG1390" i="115"/>
  <c r="CG1302" i="115" s="1"/>
  <c r="CH1302" i="115" s="1"/>
  <c r="CH1389" i="115"/>
  <c r="CH1384" i="115"/>
  <c r="CH1383" i="115"/>
  <c r="CH1382" i="115"/>
  <c r="CH1381" i="115"/>
  <c r="CH1380" i="115"/>
  <c r="CH1379" i="115"/>
  <c r="CH1378" i="115"/>
  <c r="CH1377" i="115"/>
  <c r="CH1376" i="115"/>
  <c r="CH1375" i="115"/>
  <c r="CG1372" i="115"/>
  <c r="CG1370" i="115"/>
  <c r="CG1369" i="115"/>
  <c r="CG1368" i="115"/>
  <c r="CG1367" i="115"/>
  <c r="CG1351" i="115"/>
  <c r="CJ1346" i="115" s="1"/>
  <c r="CL1346" i="115" s="1"/>
  <c r="CH1349" i="115"/>
  <c r="CG1342" i="115"/>
  <c r="CG1340" i="115"/>
  <c r="CG1338" i="115"/>
  <c r="CG1339" i="115" s="1"/>
  <c r="CH1333" i="115"/>
  <c r="CG1327" i="115"/>
  <c r="CG1319" i="115"/>
  <c r="CG1317" i="115"/>
  <c r="CG1310" i="115"/>
  <c r="CH1310" i="115" s="1"/>
  <c r="CH1308" i="115"/>
  <c r="CH1304" i="115"/>
  <c r="CH1303" i="115"/>
  <c r="CH1299" i="115"/>
  <c r="CH1297" i="115"/>
  <c r="CH1338" i="115" s="1"/>
  <c r="CH1339" i="115" s="1"/>
  <c r="CH1295" i="115"/>
  <c r="CH1294" i="115"/>
  <c r="CH1293" i="115"/>
  <c r="CH1292" i="115"/>
  <c r="CH1290" i="115"/>
  <c r="CH1289" i="115"/>
  <c r="CH1317" i="115" s="1"/>
  <c r="CH1287" i="115"/>
  <c r="CH1286" i="115"/>
  <c r="CH1285" i="115"/>
  <c r="CG1284" i="115"/>
  <c r="CH1284" i="115" s="1"/>
  <c r="CH1283" i="115"/>
  <c r="CH1282" i="115"/>
  <c r="CH1275" i="115"/>
  <c r="CH1274" i="115"/>
  <c r="CH1270" i="115"/>
  <c r="CH1269" i="115"/>
  <c r="CH1268" i="115"/>
  <c r="CG1224" i="115"/>
  <c r="CH1221" i="115"/>
  <c r="CG1221" i="115"/>
  <c r="CH1218" i="115"/>
  <c r="CH1213" i="115"/>
  <c r="CG1213" i="115"/>
  <c r="CG1209" i="115"/>
  <c r="CG1163" i="115"/>
  <c r="CG1166" i="115" s="1"/>
  <c r="CG1131" i="115"/>
  <c r="CG1128" i="115"/>
  <c r="CG1127" i="115"/>
  <c r="CH1126" i="115"/>
  <c r="CH1125" i="115"/>
  <c r="CH1416" i="115"/>
  <c r="CG1468" i="115"/>
  <c r="CH1436" i="115"/>
  <c r="AB19" i="111" s="1"/>
  <c r="CG1115" i="115"/>
  <c r="CH1105" i="115"/>
  <c r="CH1104" i="115"/>
  <c r="CH1103" i="115"/>
  <c r="CH1102" i="115"/>
  <c r="CG1101" i="115"/>
  <c r="CG1106" i="115" s="1"/>
  <c r="CG1202" i="115" s="1"/>
  <c r="CG1095" i="115"/>
  <c r="CG1090" i="115"/>
  <c r="CJ1088" i="115" s="1"/>
  <c r="CL1088" i="115" s="1"/>
  <c r="CG1085" i="115"/>
  <c r="CJ1081" i="115" s="1"/>
  <c r="CL1081" i="115" s="1"/>
  <c r="CH1082" i="115"/>
  <c r="CG1078" i="115"/>
  <c r="CJ1068" i="115" s="1"/>
  <c r="CH1075" i="115"/>
  <c r="CH1071" i="115"/>
  <c r="CH1070" i="115"/>
  <c r="CH1069" i="115"/>
  <c r="CG1065" i="115"/>
  <c r="CH1062" i="115"/>
  <c r="CH1060" i="115"/>
  <c r="CH1059" i="115"/>
  <c r="CH1045" i="115"/>
  <c r="CH1044" i="115"/>
  <c r="CG1043" i="115"/>
  <c r="CH1042" i="115"/>
  <c r="CH1041" i="115"/>
  <c r="CH1040" i="115"/>
  <c r="CH548" i="115"/>
  <c r="BB178" i="117" s="1"/>
  <c r="CG544" i="115"/>
  <c r="CG542" i="115"/>
  <c r="CH1035" i="115"/>
  <c r="CH1033" i="115"/>
  <c r="CH1027" i="115"/>
  <c r="CH1023" i="115"/>
  <c r="CH1022" i="115"/>
  <c r="CH1021" i="115"/>
  <c r="CH1020" i="115"/>
  <c r="CH1019" i="115"/>
  <c r="CH1018" i="115"/>
  <c r="CH1017" i="115"/>
  <c r="CH1016" i="115"/>
  <c r="CG1004" i="115"/>
  <c r="CH1003" i="115"/>
  <c r="CH597" i="115" s="1"/>
  <c r="CG966" i="115"/>
  <c r="CG961" i="115"/>
  <c r="CG969" i="115" s="1"/>
  <c r="CH883" i="115"/>
  <c r="CG910" i="115"/>
  <c r="CG909" i="115"/>
  <c r="CH908" i="115"/>
  <c r="CH890" i="115"/>
  <c r="CG1604" i="115"/>
  <c r="CG842" i="115"/>
  <c r="CG866" i="115" s="1"/>
  <c r="CG841" i="115"/>
  <c r="CG865" i="115" s="1"/>
  <c r="CG873" i="115" s="1"/>
  <c r="CG840" i="115"/>
  <c r="CG864" i="115" s="1"/>
  <c r="CH791" i="115"/>
  <c r="CG790" i="115"/>
  <c r="CG788" i="115"/>
  <c r="CG772" i="115"/>
  <c r="CH771" i="115"/>
  <c r="CG733" i="115"/>
  <c r="CG732" i="115"/>
  <c r="CG731" i="115"/>
  <c r="CH724" i="115"/>
  <c r="CG723" i="115"/>
  <c r="CG725" i="115" s="1"/>
  <c r="CH722" i="115"/>
  <c r="CH721" i="115"/>
  <c r="CH720" i="115"/>
  <c r="CH719" i="115"/>
  <c r="CG697" i="115"/>
  <c r="CH693" i="115"/>
  <c r="CH685" i="115"/>
  <c r="CH684" i="115"/>
  <c r="CH682" i="115"/>
  <c r="CH681" i="115"/>
  <c r="CH680" i="115"/>
  <c r="CG664" i="115"/>
  <c r="CG663" i="115"/>
  <c r="CG662" i="115"/>
  <c r="CG654" i="115"/>
  <c r="CH647" i="115"/>
  <c r="CG642" i="115"/>
  <c r="CH641" i="115"/>
  <c r="CG641" i="115"/>
  <c r="CH638" i="115"/>
  <c r="CG637" i="115"/>
  <c r="CG639" i="115" s="1"/>
  <c r="CH636" i="115"/>
  <c r="CH605" i="115"/>
  <c r="CG605" i="115"/>
  <c r="CG780" i="115" s="1"/>
  <c r="CH599" i="115"/>
  <c r="CG598" i="115"/>
  <c r="CG597" i="115"/>
  <c r="CH594" i="115"/>
  <c r="CG512" i="115"/>
  <c r="CG509" i="115"/>
  <c r="CG505" i="115"/>
  <c r="CH487" i="115"/>
  <c r="CG487" i="115"/>
  <c r="CH486" i="115"/>
  <c r="CG486" i="115"/>
  <c r="CH483" i="115"/>
  <c r="CG483" i="115"/>
  <c r="CG481" i="115"/>
  <c r="CG479" i="115"/>
  <c r="CG473" i="115"/>
  <c r="CG476" i="115"/>
  <c r="CH654" i="115"/>
  <c r="CH464" i="115"/>
  <c r="CG464" i="115"/>
  <c r="CH462" i="115"/>
  <c r="CG462" i="115"/>
  <c r="CG646" i="115" s="1"/>
  <c r="CG444" i="115"/>
  <c r="CG440" i="115"/>
  <c r="CH411" i="115"/>
  <c r="CG929" i="115"/>
  <c r="CH410" i="115"/>
  <c r="CG403" i="115"/>
  <c r="CG392" i="115"/>
  <c r="CG380" i="115"/>
  <c r="CG382" i="115" s="1"/>
  <c r="CH378" i="115"/>
  <c r="CH376" i="115"/>
  <c r="CH374" i="115"/>
  <c r="CH370" i="115"/>
  <c r="CH368" i="115"/>
  <c r="CH367" i="115"/>
  <c r="CG351" i="115"/>
  <c r="CG350" i="115"/>
  <c r="CG349" i="115"/>
  <c r="CG348" i="115"/>
  <c r="CG331" i="115"/>
  <c r="CG334" i="115" s="1"/>
  <c r="CG329" i="115"/>
  <c r="CG328" i="115"/>
  <c r="CG327" i="115"/>
  <c r="CG325" i="115"/>
  <c r="CH324" i="115"/>
  <c r="CH323" i="115"/>
  <c r="CH322" i="115"/>
  <c r="CH321" i="115"/>
  <c r="CG304" i="115"/>
  <c r="CG302" i="115"/>
  <c r="CG301" i="115"/>
  <c r="CG300" i="115"/>
  <c r="CG298" i="115"/>
  <c r="CH297" i="115"/>
  <c r="CH296" i="115"/>
  <c r="CH295" i="115"/>
  <c r="CH294" i="115"/>
  <c r="CG290" i="115"/>
  <c r="CG289" i="115"/>
  <c r="CG288" i="115"/>
  <c r="CG287" i="115"/>
  <c r="CG284" i="115"/>
  <c r="CH283" i="115"/>
  <c r="CH282" i="115"/>
  <c r="CH281" i="115"/>
  <c r="CH280" i="115"/>
  <c r="CG272" i="115"/>
  <c r="CG257" i="115"/>
  <c r="CG256" i="115"/>
  <c r="CH252" i="115"/>
  <c r="EA68" i="117" s="1"/>
  <c r="CG247" i="115"/>
  <c r="CH244" i="115"/>
  <c r="CG241" i="115"/>
  <c r="CG236" i="115"/>
  <c r="CG219" i="115"/>
  <c r="CH218" i="115"/>
  <c r="CH217" i="115"/>
  <c r="CH215" i="115"/>
  <c r="CG167" i="115"/>
  <c r="CG164" i="115"/>
  <c r="CH155" i="115"/>
  <c r="CH153" i="115"/>
  <c r="CH152" i="115"/>
  <c r="CG151" i="115"/>
  <c r="CG149" i="115"/>
  <c r="CG172" i="115" s="1"/>
  <c r="CG138" i="115"/>
  <c r="CG142" i="115" s="1"/>
  <c r="CG137" i="115"/>
  <c r="CG135" i="115"/>
  <c r="CH133" i="115"/>
  <c r="CG132" i="115"/>
  <c r="CH131" i="115"/>
  <c r="CG116" i="115"/>
  <c r="CG118" i="115" s="1"/>
  <c r="CG115" i="115"/>
  <c r="CG113" i="115"/>
  <c r="CH111" i="115"/>
  <c r="CG110" i="115"/>
  <c r="CH109" i="115"/>
  <c r="CG93" i="115"/>
  <c r="CG91" i="115"/>
  <c r="CH89" i="115"/>
  <c r="CG88" i="115"/>
  <c r="CH87" i="115"/>
  <c r="CH79" i="115"/>
  <c r="CH77" i="115"/>
  <c r="CG59" i="115"/>
  <c r="CG57" i="115"/>
  <c r="CG48" i="115"/>
  <c r="CH44" i="115"/>
  <c r="CG38" i="115"/>
  <c r="CH36" i="115"/>
  <c r="CH35" i="115"/>
  <c r="CH33" i="115"/>
  <c r="CH29" i="115"/>
  <c r="CH28" i="115"/>
  <c r="CH27" i="115"/>
  <c r="CH23" i="115"/>
  <c r="CG22" i="115"/>
  <c r="CG25" i="115" s="1"/>
  <c r="CH21" i="115"/>
  <c r="CH17" i="115"/>
  <c r="CH16" i="115"/>
  <c r="CH15" i="115"/>
  <c r="CH14" i="115"/>
  <c r="CG13" i="115"/>
  <c r="EJ5" i="117"/>
  <c r="BM224" i="117"/>
  <c r="BL224" i="117"/>
  <c r="BM205" i="117"/>
  <c r="BL205" i="117"/>
  <c r="BM183" i="117"/>
  <c r="BL183" i="117"/>
  <c r="BN165" i="117"/>
  <c r="BM151" i="117"/>
  <c r="BM195" i="117" s="1"/>
  <c r="BL151" i="117"/>
  <c r="BL195" i="117" s="1"/>
  <c r="BL105" i="117" s="1"/>
  <c r="BM150" i="117"/>
  <c r="BM194" i="117" s="1"/>
  <c r="BM104" i="117" s="1"/>
  <c r="BL150" i="117"/>
  <c r="BL194" i="117" s="1"/>
  <c r="BM129" i="117"/>
  <c r="BL129" i="117"/>
  <c r="BL122" i="117"/>
  <c r="BN5" i="117"/>
  <c r="BM5" i="117"/>
  <c r="BL5" i="117"/>
  <c r="BN150" i="117"/>
  <c r="BI205" i="117"/>
  <c r="BH205" i="117"/>
  <c r="BE205" i="117"/>
  <c r="BD205" i="117"/>
  <c r="AW205" i="117"/>
  <c r="AV205" i="117"/>
  <c r="BI152" i="117"/>
  <c r="BH152" i="117"/>
  <c r="BI151" i="117"/>
  <c r="BH151" i="117"/>
  <c r="BI150" i="117"/>
  <c r="BH150" i="117"/>
  <c r="BH149" i="117"/>
  <c r="BI129" i="117"/>
  <c r="BH129" i="117"/>
  <c r="BH122" i="117"/>
  <c r="BJ5" i="117"/>
  <c r="BI5" i="117"/>
  <c r="BH5" i="117"/>
  <c r="BE5" i="117"/>
  <c r="ED5" i="117" s="1"/>
  <c r="BD5" i="117"/>
  <c r="BD132" i="117" s="1"/>
  <c r="BE151" i="117"/>
  <c r="BD151" i="117"/>
  <c r="BE150" i="117"/>
  <c r="BD150" i="117"/>
  <c r="BE129" i="117"/>
  <c r="BD122" i="117"/>
  <c r="AZ122" i="117"/>
  <c r="AW122" i="117"/>
  <c r="AV122" i="117"/>
  <c r="BJ165" i="117"/>
  <c r="BF165" i="117"/>
  <c r="BB165" i="117"/>
  <c r="AX165" i="117"/>
  <c r="AY103" i="117"/>
  <c r="AY190" i="117"/>
  <c r="AY198" i="117" s="1"/>
  <c r="AV197" i="117"/>
  <c r="AW195" i="117"/>
  <c r="AW192" i="117"/>
  <c r="AW191" i="117"/>
  <c r="AW183" i="117"/>
  <c r="AV183" i="117"/>
  <c r="AY183" i="117"/>
  <c r="BA183" i="117"/>
  <c r="BH183" i="117"/>
  <c r="BI183" i="117"/>
  <c r="AK129" i="117"/>
  <c r="AK134" i="117" s="1"/>
  <c r="AJ129" i="117"/>
  <c r="AJ134" i="117" s="1"/>
  <c r="AL132" i="117"/>
  <c r="AP136" i="117"/>
  <c r="AA139" i="123"/>
  <c r="Z139" i="123"/>
  <c r="Y139" i="123"/>
  <c r="W139" i="123"/>
  <c r="V139" i="123"/>
  <c r="U139" i="123"/>
  <c r="AC152" i="117"/>
  <c r="AB152" i="117"/>
  <c r="AD150" i="117"/>
  <c r="AC150" i="117"/>
  <c r="AB150" i="117"/>
  <c r="AC149" i="117"/>
  <c r="AB149" i="117"/>
  <c r="AD148" i="117"/>
  <c r="AD147" i="117"/>
  <c r="AG152" i="117"/>
  <c r="AF152" i="117"/>
  <c r="AH150" i="117"/>
  <c r="AG150" i="117"/>
  <c r="AF150" i="117"/>
  <c r="AG149" i="117"/>
  <c r="AF149" i="117"/>
  <c r="AH148" i="117"/>
  <c r="AH147" i="117"/>
  <c r="AK152" i="117"/>
  <c r="AJ152" i="117"/>
  <c r="AL150" i="117"/>
  <c r="AK150" i="117"/>
  <c r="AJ150" i="117"/>
  <c r="AK149" i="117"/>
  <c r="AJ149" i="117"/>
  <c r="AL148" i="117"/>
  <c r="AL147" i="117"/>
  <c r="AO152" i="117"/>
  <c r="AN152" i="117"/>
  <c r="AO151" i="117"/>
  <c r="AN151" i="117"/>
  <c r="AP150" i="117"/>
  <c r="AO150" i="117"/>
  <c r="AN150" i="117"/>
  <c r="AO149" i="117"/>
  <c r="AN149" i="117"/>
  <c r="AP148" i="117"/>
  <c r="AP147" i="117"/>
  <c r="AB2" i="123"/>
  <c r="X2" i="123"/>
  <c r="T2" i="123"/>
  <c r="P2" i="123"/>
  <c r="L2" i="123"/>
  <c r="H2" i="123"/>
  <c r="CB473" i="115"/>
  <c r="CC473" i="115"/>
  <c r="BY473" i="115"/>
  <c r="CD464" i="115"/>
  <c r="CF464" i="115"/>
  <c r="CF488" i="115" s="1"/>
  <c r="CC464" i="115"/>
  <c r="CB464" i="115"/>
  <c r="CB489" i="115" s="1"/>
  <c r="BD183" i="117"/>
  <c r="CD1034" i="115"/>
  <c r="CF964" i="115"/>
  <c r="CF1063" i="115"/>
  <c r="CG1063" i="115" s="1"/>
  <c r="CH1063" i="115" s="1"/>
  <c r="CF1034" i="115"/>
  <c r="CF1418" i="115"/>
  <c r="CF1436" i="115"/>
  <c r="CB1436" i="115"/>
  <c r="CB1437" i="115" s="1"/>
  <c r="CF741" i="115"/>
  <c r="CF742" i="115"/>
  <c r="CF242" i="115"/>
  <c r="CF412" i="115"/>
  <c r="CB248" i="115"/>
  <c r="CF1416" i="115"/>
  <c r="BZ1382" i="115"/>
  <c r="CD1382" i="115"/>
  <c r="CF1296" i="115"/>
  <c r="CF1271" i="115"/>
  <c r="CF1272" i="115" s="1"/>
  <c r="CF30" i="115"/>
  <c r="CB30" i="115"/>
  <c r="CC30" i="115"/>
  <c r="CF1557" i="115"/>
  <c r="CF1529" i="115"/>
  <c r="CF1520" i="115"/>
  <c r="CF1518" i="115"/>
  <c r="CF1493" i="115"/>
  <c r="CF1492" i="115"/>
  <c r="CF1488" i="115"/>
  <c r="CF1407" i="115"/>
  <c r="CF1394" i="115"/>
  <c r="CF1393" i="115"/>
  <c r="CF1390" i="115"/>
  <c r="CF1302" i="115" s="1"/>
  <c r="CF1372" i="115"/>
  <c r="CF1370" i="115"/>
  <c r="CF1369" i="115"/>
  <c r="CF1368" i="115"/>
  <c r="CF1367" i="115"/>
  <c r="CF1351" i="115"/>
  <c r="CG1346" i="115" s="1"/>
  <c r="CF1342" i="115"/>
  <c r="CF1340" i="115"/>
  <c r="CF1338" i="115"/>
  <c r="CF1339" i="115" s="1"/>
  <c r="CF1327" i="115"/>
  <c r="CF1319" i="115"/>
  <c r="CF1317" i="115"/>
  <c r="CF1310" i="115"/>
  <c r="CF1284" i="115"/>
  <c r="CF1224" i="115"/>
  <c r="CF1221" i="115"/>
  <c r="CF1213" i="115"/>
  <c r="CF1209" i="115"/>
  <c r="CF1163" i="115"/>
  <c r="CF1166" i="115" s="1"/>
  <c r="CF1131" i="115"/>
  <c r="CF1133" i="115" s="1"/>
  <c r="CF1128" i="115"/>
  <c r="CF1127" i="115"/>
  <c r="CF1115" i="115"/>
  <c r="CF1101" i="115"/>
  <c r="CF1095" i="115"/>
  <c r="CF1090" i="115"/>
  <c r="CG1088" i="115" s="1"/>
  <c r="CF1085" i="115"/>
  <c r="CF1078" i="115"/>
  <c r="CG1068" i="115" s="1"/>
  <c r="CF1074" i="115"/>
  <c r="CF1065" i="115"/>
  <c r="CG1058" i="115" s="1"/>
  <c r="CF1043" i="115"/>
  <c r="CF544" i="115"/>
  <c r="CF542" i="115"/>
  <c r="CF1024" i="115"/>
  <c r="CF1004" i="115"/>
  <c r="CF966" i="115"/>
  <c r="CF961" i="115"/>
  <c r="CF969" i="115" s="1"/>
  <c r="CF929" i="115"/>
  <c r="CF910" i="115"/>
  <c r="CF909" i="115"/>
  <c r="CF1604" i="115"/>
  <c r="CF842" i="115"/>
  <c r="CF841" i="115"/>
  <c r="CF840" i="115"/>
  <c r="CF864" i="115" s="1"/>
  <c r="CF790" i="115"/>
  <c r="CF788" i="115"/>
  <c r="CF772" i="115"/>
  <c r="CF733" i="115"/>
  <c r="CF732" i="115"/>
  <c r="CF731" i="115"/>
  <c r="CF723" i="115"/>
  <c r="CF725" i="115" s="1"/>
  <c r="CF697" i="115"/>
  <c r="CF665" i="115"/>
  <c r="CF740" i="115" s="1"/>
  <c r="CF664" i="115"/>
  <c r="CF687" i="115" s="1"/>
  <c r="CF686" i="115" s="1"/>
  <c r="CF663" i="115"/>
  <c r="CF692" i="115" s="1"/>
  <c r="CF662" i="115"/>
  <c r="CF654" i="115"/>
  <c r="CF642" i="115"/>
  <c r="CF641" i="115"/>
  <c r="CF637" i="115"/>
  <c r="CF605" i="115"/>
  <c r="CF780" i="115" s="1"/>
  <c r="CF598" i="115"/>
  <c r="CF597" i="115"/>
  <c r="CF509" i="115"/>
  <c r="CF505" i="115"/>
  <c r="CF487" i="115"/>
  <c r="CF486" i="115"/>
  <c r="CF483" i="115"/>
  <c r="CF481" i="115"/>
  <c r="CF479" i="115"/>
  <c r="CF470" i="115"/>
  <c r="CF462" i="115"/>
  <c r="CF444" i="115"/>
  <c r="CF443" i="115"/>
  <c r="CF392" i="115"/>
  <c r="CF380" i="115"/>
  <c r="CF382" i="115" s="1"/>
  <c r="CF351" i="115"/>
  <c r="CF350" i="115"/>
  <c r="CF349" i="115"/>
  <c r="CF348" i="115"/>
  <c r="CF331" i="115"/>
  <c r="CF333" i="115" s="1"/>
  <c r="CF330" i="115"/>
  <c r="CF329" i="115"/>
  <c r="CF328" i="115"/>
  <c r="CF327" i="115"/>
  <c r="CF325" i="115"/>
  <c r="CF304" i="115"/>
  <c r="CF307" i="115" s="1"/>
  <c r="CF303" i="115"/>
  <c r="CF302" i="115"/>
  <c r="CF301" i="115"/>
  <c r="CF300" i="115"/>
  <c r="CF298" i="115"/>
  <c r="CF290" i="115"/>
  <c r="CF289" i="115"/>
  <c r="CF288" i="115"/>
  <c r="CF287" i="115"/>
  <c r="CF284" i="115"/>
  <c r="CF285" i="115" s="1"/>
  <c r="CF272" i="115"/>
  <c r="CF257" i="115"/>
  <c r="CF256" i="115"/>
  <c r="CF247" i="115"/>
  <c r="CF241" i="115"/>
  <c r="CF963" i="115" s="1"/>
  <c r="CH963" i="115" s="1"/>
  <c r="CF236" i="115"/>
  <c r="CF219" i="115"/>
  <c r="CF167" i="115"/>
  <c r="CF164" i="115"/>
  <c r="CF151" i="115"/>
  <c r="CF154" i="115" s="1"/>
  <c r="CF156" i="115" s="1"/>
  <c r="CF149" i="115"/>
  <c r="CF138" i="115"/>
  <c r="CF142" i="115" s="1"/>
  <c r="CF137" i="115"/>
  <c r="CF135" i="115"/>
  <c r="CF132" i="115"/>
  <c r="CF116" i="115"/>
  <c r="CF115" i="115"/>
  <c r="CF113" i="115"/>
  <c r="CF110" i="115"/>
  <c r="CF93" i="115"/>
  <c r="CF91" i="115"/>
  <c r="CF88" i="115"/>
  <c r="CF59" i="115"/>
  <c r="CF57" i="115"/>
  <c r="CF48" i="115"/>
  <c r="CF22" i="115"/>
  <c r="CF19" i="115"/>
  <c r="CC440" i="115"/>
  <c r="BY440" i="115"/>
  <c r="BY448" i="115"/>
  <c r="CC448" i="115"/>
  <c r="BU612" i="115"/>
  <c r="BT612" i="115"/>
  <c r="BQ612" i="115"/>
  <c r="BP612" i="115"/>
  <c r="BM612" i="115"/>
  <c r="BL612" i="115"/>
  <c r="BI612" i="115"/>
  <c r="BY743" i="115"/>
  <c r="BZ743" i="115" s="1"/>
  <c r="BZ543" i="115" s="1"/>
  <c r="CB743" i="115"/>
  <c r="CC743" i="115"/>
  <c r="BZ544" i="115"/>
  <c r="CC544" i="115"/>
  <c r="CB544" i="115"/>
  <c r="CC542" i="115"/>
  <c r="CB542" i="115"/>
  <c r="BZ599" i="115"/>
  <c r="BZ542" i="115" s="1"/>
  <c r="CD599" i="115"/>
  <c r="AT191" i="117"/>
  <c r="AT137" i="117"/>
  <c r="CC742" i="115"/>
  <c r="CC1348" i="115" s="1"/>
  <c r="AS148" i="117"/>
  <c r="AT148" i="117" s="1"/>
  <c r="AX148" i="117"/>
  <c r="AT150" i="117"/>
  <c r="AT194" i="117" s="1"/>
  <c r="AS150" i="117"/>
  <c r="AR150" i="117"/>
  <c r="BA150" i="117"/>
  <c r="AZ150" i="117"/>
  <c r="AW150" i="117"/>
  <c r="AS152" i="117"/>
  <c r="AR152" i="117"/>
  <c r="AS151" i="117"/>
  <c r="AR151" i="117"/>
  <c r="AS149" i="117"/>
  <c r="AR149" i="117"/>
  <c r="AT147" i="117"/>
  <c r="C156" i="117"/>
  <c r="C149" i="117"/>
  <c r="AW149" i="117"/>
  <c r="C157" i="117"/>
  <c r="BA151" i="117"/>
  <c r="AZ151" i="117"/>
  <c r="AW151" i="117"/>
  <c r="BB147" i="117"/>
  <c r="AX147" i="117"/>
  <c r="C142" i="117"/>
  <c r="C141" i="117"/>
  <c r="AY251" i="117"/>
  <c r="AY249" i="117"/>
  <c r="AX179" i="117"/>
  <c r="AX174" i="117"/>
  <c r="AX175" i="117"/>
  <c r="AY242" i="117"/>
  <c r="AY240" i="117"/>
  <c r="AY241" i="117" s="1"/>
  <c r="AY172" i="117"/>
  <c r="AY176" i="117"/>
  <c r="AY235" i="117" s="1"/>
  <c r="BI224" i="117"/>
  <c r="BH224" i="117"/>
  <c r="BE224" i="117"/>
  <c r="BD224" i="117"/>
  <c r="AY224" i="117"/>
  <c r="CC1436" i="115"/>
  <c r="CC412" i="115"/>
  <c r="CC411" i="115"/>
  <c r="AW152" i="117"/>
  <c r="C152" i="117"/>
  <c r="CD403" i="115"/>
  <c r="CB1104" i="115"/>
  <c r="CD1104" i="115" s="1"/>
  <c r="CB1105" i="115"/>
  <c r="CD1105" i="115" s="1"/>
  <c r="CD943" i="115"/>
  <c r="CD885" i="115" s="1"/>
  <c r="CD791" i="115"/>
  <c r="CC741" i="115"/>
  <c r="BV727" i="115"/>
  <c r="A736" i="115"/>
  <c r="BZ727" i="115"/>
  <c r="CD727" i="115"/>
  <c r="CD710" i="115" s="1"/>
  <c r="CD473" i="115"/>
  <c r="H41" i="123"/>
  <c r="L41" i="123"/>
  <c r="L42" i="123" s="1"/>
  <c r="L140" i="123" s="1"/>
  <c r="P41" i="123"/>
  <c r="C93" i="123"/>
  <c r="I93" i="123"/>
  <c r="J93" i="123"/>
  <c r="K93" i="123"/>
  <c r="M93" i="123"/>
  <c r="N93" i="123"/>
  <c r="O93" i="123"/>
  <c r="I94" i="123"/>
  <c r="J94" i="123"/>
  <c r="K94" i="123"/>
  <c r="M94" i="123"/>
  <c r="N94" i="123"/>
  <c r="O94" i="123"/>
  <c r="C95" i="123"/>
  <c r="I95" i="123"/>
  <c r="J95" i="123"/>
  <c r="K95" i="123"/>
  <c r="C96" i="123"/>
  <c r="I96" i="123"/>
  <c r="J96" i="123"/>
  <c r="K96" i="123"/>
  <c r="C97" i="123"/>
  <c r="I97" i="123"/>
  <c r="J97" i="123"/>
  <c r="K97" i="123"/>
  <c r="M97" i="123"/>
  <c r="N97" i="123"/>
  <c r="O97" i="123"/>
  <c r="I98" i="123"/>
  <c r="J98" i="123"/>
  <c r="K98" i="123"/>
  <c r="M98" i="123"/>
  <c r="N98" i="123"/>
  <c r="O98" i="123"/>
  <c r="C99" i="123"/>
  <c r="I99" i="123"/>
  <c r="J99" i="123"/>
  <c r="K99" i="123"/>
  <c r="M99" i="123"/>
  <c r="N99" i="123"/>
  <c r="O99" i="123"/>
  <c r="C100" i="123"/>
  <c r="I100" i="123"/>
  <c r="J100" i="123"/>
  <c r="K100" i="123"/>
  <c r="M100" i="123"/>
  <c r="N100" i="123"/>
  <c r="O100" i="123"/>
  <c r="C147" i="123"/>
  <c r="I147" i="123"/>
  <c r="J147" i="123"/>
  <c r="K147" i="123"/>
  <c r="M147" i="123"/>
  <c r="N147" i="123"/>
  <c r="O147" i="123"/>
  <c r="I148" i="123"/>
  <c r="J148" i="123"/>
  <c r="K148" i="123"/>
  <c r="M148" i="123"/>
  <c r="N148" i="123"/>
  <c r="O148" i="123"/>
  <c r="C149" i="123"/>
  <c r="I149" i="123"/>
  <c r="J149" i="123"/>
  <c r="K149" i="123"/>
  <c r="C150" i="123"/>
  <c r="I150" i="123"/>
  <c r="J150" i="123"/>
  <c r="K150" i="123"/>
  <c r="C151" i="123"/>
  <c r="I151" i="123"/>
  <c r="J151" i="123"/>
  <c r="K151" i="123"/>
  <c r="M151" i="123"/>
  <c r="N151" i="123"/>
  <c r="O151" i="123"/>
  <c r="I152" i="123"/>
  <c r="J152" i="123"/>
  <c r="K152" i="123"/>
  <c r="M152" i="123"/>
  <c r="N152" i="123"/>
  <c r="O152" i="123"/>
  <c r="C153" i="123"/>
  <c r="I153" i="123"/>
  <c r="J153" i="123"/>
  <c r="K153" i="123"/>
  <c r="M153" i="123"/>
  <c r="N153" i="123"/>
  <c r="O153" i="123"/>
  <c r="C154" i="123"/>
  <c r="I154" i="123"/>
  <c r="J154" i="123"/>
  <c r="K154" i="123"/>
  <c r="M154" i="123"/>
  <c r="N154" i="123"/>
  <c r="O154" i="123"/>
  <c r="I46" i="123"/>
  <c r="J46" i="123"/>
  <c r="I89" i="123"/>
  <c r="J89" i="123"/>
  <c r="I143" i="123"/>
  <c r="J143" i="123"/>
  <c r="K35" i="121"/>
  <c r="E6" i="121"/>
  <c r="K31" i="121"/>
  <c r="K33" i="121"/>
  <c r="AL1" i="111"/>
  <c r="AM1" i="111" s="1"/>
  <c r="AN1" i="111" s="1"/>
  <c r="AO1" i="111" s="1"/>
  <c r="AP1" i="111" s="1"/>
  <c r="AQ1" i="111" s="1"/>
  <c r="AR1" i="111" s="1"/>
  <c r="AS1" i="111" s="1"/>
  <c r="AT1" i="111" s="1"/>
  <c r="AU1" i="111" s="1"/>
  <c r="AV1" i="111" s="1"/>
  <c r="AW1" i="111" s="1"/>
  <c r="AX1" i="111" s="1"/>
  <c r="AY1" i="111" s="1"/>
  <c r="AZ1" i="111" s="1"/>
  <c r="BA1" i="111" s="1"/>
  <c r="BB1" i="111" s="1"/>
  <c r="BC1" i="111" s="1"/>
  <c r="BD1" i="111" s="1"/>
  <c r="BE1" i="111" s="1"/>
  <c r="BF1" i="111" s="1"/>
  <c r="BG1" i="111" s="1"/>
  <c r="BH1" i="111" s="1"/>
  <c r="BI1" i="111" s="1"/>
  <c r="BJ1" i="111" s="1"/>
  <c r="BK1" i="111" s="1"/>
  <c r="BL1" i="111" s="1"/>
  <c r="BM1" i="111" s="1"/>
  <c r="BN1" i="111" s="1"/>
  <c r="BO1" i="111" s="1"/>
  <c r="BP1" i="111" s="1"/>
  <c r="BQ1" i="111" s="1"/>
  <c r="BR1" i="111" s="1"/>
  <c r="BS1" i="111" s="1"/>
  <c r="BT1" i="111" s="1"/>
  <c r="BU1" i="111" s="1"/>
  <c r="BV1" i="111" s="1"/>
  <c r="BW1" i="111" s="1"/>
  <c r="BX1" i="111" s="1"/>
  <c r="BY1" i="111" s="1"/>
  <c r="BZ1" i="111" s="1"/>
  <c r="CA1" i="111" s="1"/>
  <c r="CB1" i="111" s="1"/>
  <c r="CC1" i="111" s="1"/>
  <c r="CD1" i="111" s="1"/>
  <c r="CE1" i="111" s="1"/>
  <c r="CF1" i="111" s="1"/>
  <c r="CG1" i="111" s="1"/>
  <c r="CH1" i="111" s="1"/>
  <c r="CI1" i="111" s="1"/>
  <c r="CJ1" i="111" s="1"/>
  <c r="CK1" i="111" s="1"/>
  <c r="CL1" i="111" s="1"/>
  <c r="CM1" i="111" s="1"/>
  <c r="CN1" i="111" s="1"/>
  <c r="CO1" i="111" s="1"/>
  <c r="CP1" i="111" s="1"/>
  <c r="CQ1" i="111" s="1"/>
  <c r="CR1" i="111" s="1"/>
  <c r="CS1" i="111" s="1"/>
  <c r="CT1" i="111" s="1"/>
  <c r="CU1" i="111" s="1"/>
  <c r="CV1" i="111" s="1"/>
  <c r="CW1" i="111" s="1"/>
  <c r="CX1" i="111" s="1"/>
  <c r="CY1" i="111" s="1"/>
  <c r="CZ1" i="111" s="1"/>
  <c r="DA1" i="111" s="1"/>
  <c r="DB1" i="111" s="1"/>
  <c r="DC1" i="111" s="1"/>
  <c r="DD1" i="111" s="1"/>
  <c r="DE1" i="111" s="1"/>
  <c r="DF1" i="111" s="1"/>
  <c r="DG1" i="111" s="1"/>
  <c r="DH1" i="111" s="1"/>
  <c r="DI1" i="111" s="1"/>
  <c r="DJ1" i="111" s="1"/>
  <c r="DK1" i="111" s="1"/>
  <c r="DL1" i="111" s="1"/>
  <c r="DM1" i="111" s="1"/>
  <c r="DN1" i="111" s="1"/>
  <c r="DO1" i="111" s="1"/>
  <c r="DP1" i="111" s="1"/>
  <c r="DQ1" i="111" s="1"/>
  <c r="DR1" i="111" s="1"/>
  <c r="DS1" i="111" s="1"/>
  <c r="DT1" i="111" s="1"/>
  <c r="DU1" i="111" s="1"/>
  <c r="DV1" i="111" s="1"/>
  <c r="DW1" i="111" s="1"/>
  <c r="DX1" i="111" s="1"/>
  <c r="DY1" i="111" s="1"/>
  <c r="DZ1" i="111" s="1"/>
  <c r="EA1" i="111" s="1"/>
  <c r="EB1" i="111" s="1"/>
  <c r="EC1" i="111" s="1"/>
  <c r="ED1" i="111" s="1"/>
  <c r="EE1" i="111" s="1"/>
  <c r="EF1" i="111" s="1"/>
  <c r="EG1" i="111" s="1"/>
  <c r="EH1" i="111" s="1"/>
  <c r="EI1" i="111" s="1"/>
  <c r="EJ1" i="111" s="1"/>
  <c r="EK1" i="111" s="1"/>
  <c r="EL1" i="111" s="1"/>
  <c r="EM1" i="111" s="1"/>
  <c r="EN1" i="111" s="1"/>
  <c r="EO1" i="111" s="1"/>
  <c r="EP1" i="111" s="1"/>
  <c r="EQ1" i="111" s="1"/>
  <c r="H2" i="111"/>
  <c r="H82" i="111" s="1"/>
  <c r="W2" i="111"/>
  <c r="X2" i="111" s="1"/>
  <c r="Y2" i="111" s="1"/>
  <c r="Z2" i="111" s="1"/>
  <c r="AA2" i="111" s="1"/>
  <c r="AB2" i="111" s="1"/>
  <c r="AC2" i="111" s="1"/>
  <c r="AD2" i="111" s="1"/>
  <c r="AE2" i="111" s="1"/>
  <c r="AL4" i="111"/>
  <c r="AM4" i="111" s="1"/>
  <c r="AN4" i="111" s="1"/>
  <c r="AO4" i="111" s="1"/>
  <c r="AP4" i="111" s="1"/>
  <c r="AQ4" i="111" s="1"/>
  <c r="AR4" i="111" s="1"/>
  <c r="AT4" i="111"/>
  <c r="AU4" i="111" s="1"/>
  <c r="AV4" i="111" s="1"/>
  <c r="AW4" i="111" s="1"/>
  <c r="AY4" i="111"/>
  <c r="AZ4" i="111" s="1"/>
  <c r="BA4" i="111" s="1"/>
  <c r="BB4" i="111" s="1"/>
  <c r="BC4" i="111" s="1"/>
  <c r="BD4" i="111" s="1"/>
  <c r="BE4" i="111" s="1"/>
  <c r="BF4" i="111" s="1"/>
  <c r="BG4" i="111" s="1"/>
  <c r="BH4" i="111" s="1"/>
  <c r="BI4" i="111" s="1"/>
  <c r="BJ4" i="111" s="1"/>
  <c r="BK4" i="111" s="1"/>
  <c r="BL4" i="111" s="1"/>
  <c r="BM4" i="111" s="1"/>
  <c r="BN4" i="111" s="1"/>
  <c r="BO4" i="111" s="1"/>
  <c r="BP4" i="111" s="1"/>
  <c r="BQ4" i="111" s="1"/>
  <c r="BR4" i="111" s="1"/>
  <c r="BS4" i="111" s="1"/>
  <c r="BT4" i="111" s="1"/>
  <c r="BU4" i="111" s="1"/>
  <c r="BV4" i="111" s="1"/>
  <c r="BW4" i="111" s="1"/>
  <c r="BX4" i="111" s="1"/>
  <c r="BY4" i="111" s="1"/>
  <c r="BZ4" i="111" s="1"/>
  <c r="CA4" i="111" s="1"/>
  <c r="CB4" i="111" s="1"/>
  <c r="CC4" i="111" s="1"/>
  <c r="CD4" i="111" s="1"/>
  <c r="CE4" i="111" s="1"/>
  <c r="CF4" i="111" s="1"/>
  <c r="CG4" i="111" s="1"/>
  <c r="CH4" i="111" s="1"/>
  <c r="CI4" i="111" s="1"/>
  <c r="CJ4" i="111" s="1"/>
  <c r="CK4" i="111" s="1"/>
  <c r="CL4" i="111" s="1"/>
  <c r="CM4" i="111" s="1"/>
  <c r="CN4" i="111" s="1"/>
  <c r="CO4" i="111" s="1"/>
  <c r="CP4" i="111" s="1"/>
  <c r="CQ4" i="111" s="1"/>
  <c r="CR4" i="111" s="1"/>
  <c r="CS4" i="111" s="1"/>
  <c r="CT4" i="111" s="1"/>
  <c r="CU4" i="111" s="1"/>
  <c r="CV4" i="111" s="1"/>
  <c r="CW4" i="111" s="1"/>
  <c r="CX4" i="111" s="1"/>
  <c r="CY4" i="111" s="1"/>
  <c r="CZ4" i="111" s="1"/>
  <c r="DA4" i="111" s="1"/>
  <c r="DB4" i="111" s="1"/>
  <c r="DC4" i="111" s="1"/>
  <c r="DD4" i="111" s="1"/>
  <c r="DE4" i="111" s="1"/>
  <c r="DF4" i="111" s="1"/>
  <c r="DG4" i="111" s="1"/>
  <c r="DH4" i="111" s="1"/>
  <c r="DI4" i="111" s="1"/>
  <c r="DJ4" i="111" s="1"/>
  <c r="DK4" i="111" s="1"/>
  <c r="DL4" i="111" s="1"/>
  <c r="DM4" i="111" s="1"/>
  <c r="DN4" i="111" s="1"/>
  <c r="DO4" i="111" s="1"/>
  <c r="DP4" i="111" s="1"/>
  <c r="DQ4" i="111" s="1"/>
  <c r="DR4" i="111" s="1"/>
  <c r="DS4" i="111" s="1"/>
  <c r="DT4" i="111" s="1"/>
  <c r="DU4" i="111" s="1"/>
  <c r="DV4" i="111" s="1"/>
  <c r="DW4" i="111" s="1"/>
  <c r="DX4" i="111" s="1"/>
  <c r="DY4" i="111" s="1"/>
  <c r="DZ4" i="111" s="1"/>
  <c r="EA4" i="111" s="1"/>
  <c r="EB4" i="111" s="1"/>
  <c r="EC4" i="111" s="1"/>
  <c r="ED4" i="111" s="1"/>
  <c r="EE4" i="111" s="1"/>
  <c r="EF4" i="111" s="1"/>
  <c r="EG4" i="111" s="1"/>
  <c r="EH4" i="111" s="1"/>
  <c r="EI4" i="111" s="1"/>
  <c r="EJ4" i="111" s="1"/>
  <c r="EK4" i="111" s="1"/>
  <c r="EL4" i="111" s="1"/>
  <c r="EM4" i="111" s="1"/>
  <c r="EN4" i="111" s="1"/>
  <c r="EO4" i="111" s="1"/>
  <c r="EP4" i="111" s="1"/>
  <c r="EQ4" i="111" s="1"/>
  <c r="C7" i="111"/>
  <c r="C21" i="111" s="1"/>
  <c r="G40" i="111"/>
  <c r="G42" i="111"/>
  <c r="S141" i="111" s="1"/>
  <c r="V46" i="111"/>
  <c r="W46" i="111"/>
  <c r="X46" i="111"/>
  <c r="AS59" i="111"/>
  <c r="AT59" i="111" s="1"/>
  <c r="AU59" i="111" s="1"/>
  <c r="AV59" i="111" s="1"/>
  <c r="AW59" i="111" s="1"/>
  <c r="AX59" i="111" s="1"/>
  <c r="AY59" i="111" s="1"/>
  <c r="AZ59" i="111" s="1"/>
  <c r="BA59" i="111" s="1"/>
  <c r="BB59" i="111" s="1"/>
  <c r="BC59" i="111" s="1"/>
  <c r="BD59" i="111" s="1"/>
  <c r="BE59" i="111" s="1"/>
  <c r="BF59" i="111" s="1"/>
  <c r="BG59" i="111" s="1"/>
  <c r="BH59" i="111" s="1"/>
  <c r="BI59" i="111" s="1"/>
  <c r="BJ59" i="111" s="1"/>
  <c r="BK59" i="111" s="1"/>
  <c r="BL59" i="111" s="1"/>
  <c r="BM59" i="111" s="1"/>
  <c r="BN59" i="111" s="1"/>
  <c r="BO59" i="111" s="1"/>
  <c r="BP59" i="111" s="1"/>
  <c r="BQ59" i="111" s="1"/>
  <c r="BR59" i="111" s="1"/>
  <c r="BS59" i="111" s="1"/>
  <c r="BT59" i="111" s="1"/>
  <c r="BU59" i="111" s="1"/>
  <c r="BV59" i="111" s="1"/>
  <c r="BW59" i="111" s="1"/>
  <c r="BX59" i="111" s="1"/>
  <c r="BY59" i="111" s="1"/>
  <c r="BZ59" i="111" s="1"/>
  <c r="CA59" i="111" s="1"/>
  <c r="CB59" i="111" s="1"/>
  <c r="CC59" i="111" s="1"/>
  <c r="CD59" i="111" s="1"/>
  <c r="CE59" i="111" s="1"/>
  <c r="CF59" i="111" s="1"/>
  <c r="CG59" i="111" s="1"/>
  <c r="AC147" i="111"/>
  <c r="AD147" i="111" s="1"/>
  <c r="AE147" i="111" s="1"/>
  <c r="AC150" i="111"/>
  <c r="AD150" i="111" s="1"/>
  <c r="AE150" i="111" s="1"/>
  <c r="BE2" i="115"/>
  <c r="BD3" i="115"/>
  <c r="BH12" i="115"/>
  <c r="BI12" i="115"/>
  <c r="BL12" i="115"/>
  <c r="BM12" i="115"/>
  <c r="BP12" i="115"/>
  <c r="BQ12" i="115"/>
  <c r="BT12" i="115"/>
  <c r="BU12" i="115"/>
  <c r="BJ13" i="115"/>
  <c r="BN13" i="115"/>
  <c r="BR13" i="115"/>
  <c r="BV13" i="115"/>
  <c r="BX13" i="115"/>
  <c r="BY13" i="115"/>
  <c r="BY12" i="115" s="1"/>
  <c r="CB13" i="115"/>
  <c r="CC13" i="115"/>
  <c r="BF14" i="115"/>
  <c r="BJ14" i="115"/>
  <c r="BN14" i="115"/>
  <c r="BR14" i="115"/>
  <c r="BV14" i="115"/>
  <c r="BZ14" i="115"/>
  <c r="CD14" i="115"/>
  <c r="BF15" i="115"/>
  <c r="BJ15" i="115"/>
  <c r="BN15" i="115"/>
  <c r="BP15" i="115"/>
  <c r="BQ15" i="115"/>
  <c r="BQ662" i="115" s="1"/>
  <c r="BV15" i="115"/>
  <c r="BZ15" i="115"/>
  <c r="CD15" i="115"/>
  <c r="CD662" i="115" s="1"/>
  <c r="BD16" i="115"/>
  <c r="BD19" i="115" s="1"/>
  <c r="BE16" i="115"/>
  <c r="BE19" i="115" s="1"/>
  <c r="BJ16" i="115"/>
  <c r="BN16" i="115"/>
  <c r="BN663" i="115" s="1"/>
  <c r="BV16" i="115"/>
  <c r="BZ16" i="115"/>
  <c r="AT11" i="117" s="1"/>
  <c r="CD16" i="115"/>
  <c r="BF17" i="115"/>
  <c r="Z12" i="117" s="1"/>
  <c r="BJ17" i="115"/>
  <c r="BN17" i="115"/>
  <c r="BR17" i="115"/>
  <c r="BV17" i="115"/>
  <c r="BZ17" i="115"/>
  <c r="CD17" i="115"/>
  <c r="BF18" i="115"/>
  <c r="BH18" i="115"/>
  <c r="BI18" i="115"/>
  <c r="BI19" i="115" s="1"/>
  <c r="BI20" i="115" s="1"/>
  <c r="BL18" i="115"/>
  <c r="BM18" i="115"/>
  <c r="BP18" i="115"/>
  <c r="BQ18" i="115"/>
  <c r="BT18" i="115"/>
  <c r="BT19" i="115" s="1"/>
  <c r="BT666" i="115" s="1"/>
  <c r="BU18" i="115"/>
  <c r="BZ18" i="115"/>
  <c r="CD18" i="115"/>
  <c r="CD665" i="115" s="1"/>
  <c r="BX19" i="115"/>
  <c r="BY19" i="115"/>
  <c r="BY20" i="115" s="1"/>
  <c r="CB19" i="115"/>
  <c r="CB666" i="115" s="1"/>
  <c r="CC19" i="115"/>
  <c r="BF21" i="115"/>
  <c r="BJ21" i="115"/>
  <c r="BN21" i="115"/>
  <c r="BR21" i="115"/>
  <c r="BV21" i="115"/>
  <c r="BZ21" i="115"/>
  <c r="CD21" i="115"/>
  <c r="BF22" i="115"/>
  <c r="BJ22" i="115"/>
  <c r="BN22" i="115"/>
  <c r="BR22" i="115"/>
  <c r="BV22" i="115"/>
  <c r="BX22" i="115"/>
  <c r="BY22" i="115"/>
  <c r="BY25" i="115" s="1"/>
  <c r="CB22" i="115"/>
  <c r="CC22" i="115"/>
  <c r="BD23" i="115"/>
  <c r="BD25" i="115" s="1"/>
  <c r="BE23" i="115"/>
  <c r="BE25" i="115" s="1"/>
  <c r="BH23" i="115"/>
  <c r="BI23" i="115"/>
  <c r="BL23" i="115"/>
  <c r="BM23" i="115"/>
  <c r="BP23" i="115"/>
  <c r="BP790" i="115" s="1"/>
  <c r="BQ23" i="115"/>
  <c r="BT23" i="115"/>
  <c r="BU23" i="115"/>
  <c r="BZ23" i="115"/>
  <c r="CD23" i="115"/>
  <c r="BZ24" i="115"/>
  <c r="BF27" i="115"/>
  <c r="BJ27" i="115"/>
  <c r="BN27" i="115"/>
  <c r="BR27" i="115"/>
  <c r="BV27" i="115"/>
  <c r="BZ27" i="115"/>
  <c r="CD27" i="115"/>
  <c r="BF28" i="115"/>
  <c r="BH28" i="115"/>
  <c r="BI28" i="115"/>
  <c r="BN28" i="115"/>
  <c r="BR28" i="115"/>
  <c r="BV28" i="115"/>
  <c r="BZ28" i="115"/>
  <c r="CD28" i="115"/>
  <c r="BF29" i="115"/>
  <c r="BJ29" i="115"/>
  <c r="BN29" i="115"/>
  <c r="BR29" i="115"/>
  <c r="BV29" i="115"/>
  <c r="BZ29" i="115"/>
  <c r="CD29" i="115"/>
  <c r="BD30" i="115"/>
  <c r="BD31" i="115" s="1"/>
  <c r="BE30" i="115"/>
  <c r="BH30" i="115"/>
  <c r="BH843" i="115" s="1"/>
  <c r="BH952" i="115" s="1"/>
  <c r="BH951" i="115" s="1"/>
  <c r="BI30" i="115"/>
  <c r="BL30" i="115"/>
  <c r="BM30" i="115"/>
  <c r="BP30" i="115"/>
  <c r="BP31" i="115" s="1"/>
  <c r="BQ30" i="115"/>
  <c r="BT30" i="115"/>
  <c r="BT843" i="115" s="1"/>
  <c r="BU30" i="115"/>
  <c r="BX30" i="115"/>
  <c r="BY30" i="115"/>
  <c r="BF33" i="115"/>
  <c r="BJ33" i="115"/>
  <c r="BN33" i="115"/>
  <c r="BR33" i="115"/>
  <c r="BV33" i="115"/>
  <c r="BZ33" i="115"/>
  <c r="CD33" i="115"/>
  <c r="BF35" i="115"/>
  <c r="BJ35" i="115"/>
  <c r="BN35" i="115"/>
  <c r="AH22" i="117" s="1"/>
  <c r="BR35" i="115"/>
  <c r="BV35" i="115"/>
  <c r="BX35" i="115"/>
  <c r="BY35" i="115"/>
  <c r="CD35" i="115"/>
  <c r="BF36" i="115"/>
  <c r="BJ36" i="115"/>
  <c r="BN36" i="115"/>
  <c r="BR36" i="115"/>
  <c r="BV36" i="115"/>
  <c r="BZ36" i="115"/>
  <c r="CD36" i="115"/>
  <c r="BF40" i="115"/>
  <c r="BJ44" i="115"/>
  <c r="BN44" i="115"/>
  <c r="BR44" i="115"/>
  <c r="BV44" i="115"/>
  <c r="BZ44" i="115"/>
  <c r="CD44" i="115"/>
  <c r="A48" i="115"/>
  <c r="BH48" i="115"/>
  <c r="BI48" i="115"/>
  <c r="BL48" i="115"/>
  <c r="BM48" i="115"/>
  <c r="BP48" i="115"/>
  <c r="BQ48" i="115"/>
  <c r="BT48" i="115"/>
  <c r="BU48" i="115"/>
  <c r="BX48" i="115"/>
  <c r="BY48" i="115"/>
  <c r="CB48" i="115"/>
  <c r="CC48" i="115"/>
  <c r="A49" i="115"/>
  <c r="A50" i="115"/>
  <c r="A51" i="115"/>
  <c r="BH51" i="115"/>
  <c r="BI51" i="115"/>
  <c r="BL51" i="115"/>
  <c r="BM51" i="115"/>
  <c r="BP51" i="115"/>
  <c r="BQ51" i="115"/>
  <c r="BT51" i="115"/>
  <c r="BU51" i="115"/>
  <c r="A52" i="115"/>
  <c r="BH52" i="115"/>
  <c r="BI52" i="115"/>
  <c r="BL52" i="115"/>
  <c r="BM52" i="115"/>
  <c r="BP52" i="115"/>
  <c r="BQ52" i="115"/>
  <c r="BT52" i="115"/>
  <c r="BU52" i="115"/>
  <c r="A53" i="115"/>
  <c r="A54" i="115"/>
  <c r="A55" i="115"/>
  <c r="A56" i="115"/>
  <c r="A57" i="115"/>
  <c r="BH57" i="115"/>
  <c r="BI57" i="115"/>
  <c r="BL57" i="115"/>
  <c r="BM57" i="115"/>
  <c r="BP57" i="115"/>
  <c r="BQ57" i="115"/>
  <c r="BT57" i="115"/>
  <c r="BU57" i="115"/>
  <c r="BX57" i="115"/>
  <c r="BY57" i="115"/>
  <c r="CB57" i="115"/>
  <c r="CC57" i="115"/>
  <c r="A58" i="115"/>
  <c r="A59" i="115"/>
  <c r="BH59" i="115"/>
  <c r="BI59" i="115"/>
  <c r="BL59" i="115"/>
  <c r="BM59" i="115"/>
  <c r="BP59" i="115"/>
  <c r="BQ59" i="115"/>
  <c r="BT59" i="115"/>
  <c r="BU59" i="115"/>
  <c r="A60" i="115"/>
  <c r="BF77" i="115"/>
  <c r="BF116" i="115" s="1"/>
  <c r="BN77" i="115"/>
  <c r="BR77" i="115"/>
  <c r="BV77" i="115"/>
  <c r="BZ77" i="115"/>
  <c r="CD77" i="115"/>
  <c r="BD78" i="115"/>
  <c r="BE78" i="115"/>
  <c r="BF79" i="115"/>
  <c r="BF138" i="115" s="1"/>
  <c r="BN79" i="115"/>
  <c r="BN138" i="115" s="1"/>
  <c r="BR79" i="115"/>
  <c r="BV79" i="115"/>
  <c r="BZ79" i="115"/>
  <c r="CD79" i="115"/>
  <c r="BD80" i="115"/>
  <c r="BE80" i="115"/>
  <c r="BF87" i="115"/>
  <c r="BJ87" i="115"/>
  <c r="BN87" i="115"/>
  <c r="BR87" i="115"/>
  <c r="BV87" i="115"/>
  <c r="BZ87" i="115"/>
  <c r="CD87" i="115"/>
  <c r="BD88" i="115"/>
  <c r="BE88" i="115"/>
  <c r="BH88" i="115"/>
  <c r="BI88" i="115"/>
  <c r="BL88" i="115"/>
  <c r="BM88" i="115"/>
  <c r="BP88" i="115"/>
  <c r="BQ88" i="115"/>
  <c r="BT88" i="115"/>
  <c r="BU88" i="115"/>
  <c r="BX88" i="115"/>
  <c r="BY88" i="115"/>
  <c r="CB88" i="115"/>
  <c r="CC88" i="115"/>
  <c r="BF89" i="115"/>
  <c r="BJ89" i="115"/>
  <c r="BN89" i="115"/>
  <c r="BR89" i="115"/>
  <c r="AL93" i="117" s="1"/>
  <c r="BV89" i="115"/>
  <c r="BZ89" i="115"/>
  <c r="CD89" i="115"/>
  <c r="A91" i="115"/>
  <c r="BE91" i="115"/>
  <c r="BH91" i="115"/>
  <c r="BI91" i="115"/>
  <c r="BL91" i="115"/>
  <c r="BM91" i="115"/>
  <c r="BP91" i="115"/>
  <c r="BQ91" i="115"/>
  <c r="BT91" i="115"/>
  <c r="BU91" i="115"/>
  <c r="BX91" i="115"/>
  <c r="BY91" i="115"/>
  <c r="CB91" i="115"/>
  <c r="CC91" i="115"/>
  <c r="A92" i="115"/>
  <c r="A93" i="115"/>
  <c r="BE93" i="115"/>
  <c r="BH93" i="115"/>
  <c r="BI93" i="115"/>
  <c r="BL93" i="115"/>
  <c r="BM93" i="115"/>
  <c r="BP93" i="115"/>
  <c r="BQ93" i="115"/>
  <c r="BT93" i="115"/>
  <c r="BU93" i="115"/>
  <c r="BX93" i="115"/>
  <c r="BY93" i="115"/>
  <c r="CB93" i="115"/>
  <c r="CC93" i="115"/>
  <c r="BF109" i="115"/>
  <c r="BJ109" i="115"/>
  <c r="BN109" i="115"/>
  <c r="BR109" i="115"/>
  <c r="BV109" i="115"/>
  <c r="BZ109" i="115"/>
  <c r="CD109" i="115"/>
  <c r="BD110" i="115"/>
  <c r="BE110" i="115"/>
  <c r="BH110" i="115"/>
  <c r="BI110" i="115"/>
  <c r="BL110" i="115"/>
  <c r="BM110" i="115"/>
  <c r="BP110" i="115"/>
  <c r="BQ110" i="115"/>
  <c r="BT110" i="115"/>
  <c r="BU110" i="115"/>
  <c r="BX110" i="115"/>
  <c r="BY110" i="115"/>
  <c r="CB110" i="115"/>
  <c r="CC110" i="115"/>
  <c r="BF111" i="115"/>
  <c r="BJ111" i="115"/>
  <c r="BN111" i="115"/>
  <c r="BR111" i="115"/>
  <c r="BV111" i="115"/>
  <c r="BZ111" i="115"/>
  <c r="CD111" i="115"/>
  <c r="A113" i="115"/>
  <c r="BE113" i="115"/>
  <c r="BH113" i="115"/>
  <c r="BI113" i="115"/>
  <c r="BL113" i="115"/>
  <c r="BM113" i="115"/>
  <c r="BP113" i="115"/>
  <c r="BQ113" i="115"/>
  <c r="BT113" i="115"/>
  <c r="BU113" i="115"/>
  <c r="BX113" i="115"/>
  <c r="BY113" i="115"/>
  <c r="CB113" i="115"/>
  <c r="CC113" i="115"/>
  <c r="A114" i="115"/>
  <c r="A115" i="115"/>
  <c r="BE115" i="115"/>
  <c r="BH115" i="115"/>
  <c r="BI115" i="115"/>
  <c r="BL115" i="115"/>
  <c r="BM115" i="115"/>
  <c r="BP115" i="115"/>
  <c r="BQ115" i="115"/>
  <c r="BT115" i="115"/>
  <c r="BU115" i="115"/>
  <c r="BX115" i="115"/>
  <c r="BY115" i="115"/>
  <c r="CB115" i="115"/>
  <c r="CC115" i="115"/>
  <c r="BD116" i="115"/>
  <c r="BE116" i="115"/>
  <c r="BE120" i="115" s="1"/>
  <c r="BH116" i="115"/>
  <c r="BH118" i="115" s="1"/>
  <c r="BI116" i="115"/>
  <c r="BI120" i="115" s="1"/>
  <c r="BJ116" i="115"/>
  <c r="BL116" i="115"/>
  <c r="BL120" i="115" s="1"/>
  <c r="BM116" i="115"/>
  <c r="BM120" i="115" s="1"/>
  <c r="BP116" i="115"/>
  <c r="BQ116" i="115"/>
  <c r="BT116" i="115"/>
  <c r="BU116" i="115"/>
  <c r="BU118" i="115" s="1"/>
  <c r="BX116" i="115"/>
  <c r="BY116" i="115"/>
  <c r="CB116" i="115"/>
  <c r="CC116" i="115"/>
  <c r="CC120" i="115" s="1"/>
  <c r="AW94" i="117" s="1"/>
  <c r="A122" i="115"/>
  <c r="A123" i="115"/>
  <c r="A124" i="115"/>
  <c r="BF131" i="115"/>
  <c r="BJ131" i="115"/>
  <c r="BN131" i="115"/>
  <c r="BR131" i="115"/>
  <c r="BV131" i="115"/>
  <c r="BZ131" i="115"/>
  <c r="CD131" i="115"/>
  <c r="BD132" i="115"/>
  <c r="BE132" i="115"/>
  <c r="BH132" i="115"/>
  <c r="BI132" i="115"/>
  <c r="BL132" i="115"/>
  <c r="BM132" i="115"/>
  <c r="BP132" i="115"/>
  <c r="BQ132" i="115"/>
  <c r="BT132" i="115"/>
  <c r="BU132" i="115"/>
  <c r="BX132" i="115"/>
  <c r="BY132" i="115"/>
  <c r="CB132" i="115"/>
  <c r="CC132" i="115"/>
  <c r="BF133" i="115"/>
  <c r="BJ133" i="115"/>
  <c r="BN133" i="115"/>
  <c r="BR133" i="115"/>
  <c r="BV133" i="115"/>
  <c r="BZ133" i="115"/>
  <c r="CD133" i="115"/>
  <c r="A135" i="115"/>
  <c r="BE135" i="115"/>
  <c r="BH135" i="115"/>
  <c r="BI135" i="115"/>
  <c r="BL135" i="115"/>
  <c r="BM135" i="115"/>
  <c r="BP135" i="115"/>
  <c r="BQ135" i="115"/>
  <c r="BT135" i="115"/>
  <c r="BU135" i="115"/>
  <c r="BX135" i="115"/>
  <c r="BY135" i="115"/>
  <c r="CB135" i="115"/>
  <c r="CC135" i="115"/>
  <c r="A136" i="115"/>
  <c r="A137" i="115"/>
  <c r="BE137" i="115"/>
  <c r="BH137" i="115"/>
  <c r="BI137" i="115"/>
  <c r="BL137" i="115"/>
  <c r="BM137" i="115"/>
  <c r="BP137" i="115"/>
  <c r="BQ137" i="115"/>
  <c r="BT137" i="115"/>
  <c r="BU137" i="115"/>
  <c r="BX137" i="115"/>
  <c r="BY137" i="115"/>
  <c r="CB137" i="115"/>
  <c r="CC137" i="115"/>
  <c r="BD138" i="115"/>
  <c r="BE138" i="115"/>
  <c r="BH138" i="115"/>
  <c r="BH140" i="115" s="1"/>
  <c r="BI138" i="115"/>
  <c r="BI140" i="115" s="1"/>
  <c r="BJ138" i="115"/>
  <c r="BL138" i="115"/>
  <c r="BM138" i="115"/>
  <c r="BP138" i="115"/>
  <c r="BQ138" i="115"/>
  <c r="BT138" i="115"/>
  <c r="BU138" i="115"/>
  <c r="BU140" i="115" s="1"/>
  <c r="BX138" i="115"/>
  <c r="BY138" i="115"/>
  <c r="CB138" i="115"/>
  <c r="CB142" i="115" s="1"/>
  <c r="CC138" i="115"/>
  <c r="A144" i="115"/>
  <c r="A145" i="115"/>
  <c r="A146" i="115"/>
  <c r="BD149" i="115"/>
  <c r="BE149" i="115"/>
  <c r="BH149" i="115"/>
  <c r="BI149" i="115"/>
  <c r="BI172" i="115" s="1"/>
  <c r="BL149" i="115"/>
  <c r="BM149" i="115"/>
  <c r="BP149" i="115"/>
  <c r="BP172" i="115" s="1"/>
  <c r="BQ149" i="115"/>
  <c r="BT149" i="115"/>
  <c r="BU149" i="115"/>
  <c r="BU172" i="115" s="1"/>
  <c r="BX149" i="115"/>
  <c r="BY149" i="115"/>
  <c r="CB149" i="115"/>
  <c r="CB172" i="115" s="1"/>
  <c r="CC149" i="115"/>
  <c r="BD151" i="115"/>
  <c r="BD154" i="115" s="1"/>
  <c r="BD156" i="115" s="1"/>
  <c r="BE151" i="115"/>
  <c r="BE154" i="115" s="1"/>
  <c r="BE156" i="115" s="1"/>
  <c r="BH151" i="115"/>
  <c r="BI151" i="115"/>
  <c r="BL151" i="115"/>
  <c r="BM151" i="115"/>
  <c r="BM154" i="115" s="1"/>
  <c r="BM156" i="115" s="1"/>
  <c r="BP151" i="115"/>
  <c r="BQ151" i="115"/>
  <c r="BT151" i="115"/>
  <c r="BT154" i="115" s="1"/>
  <c r="BT156" i="115" s="1"/>
  <c r="BU151" i="115"/>
  <c r="BX151" i="115"/>
  <c r="BY151" i="115"/>
  <c r="CB151" i="115"/>
  <c r="CC151" i="115"/>
  <c r="BF152" i="115"/>
  <c r="BJ152" i="115"/>
  <c r="BN152" i="115"/>
  <c r="BR152" i="115"/>
  <c r="BV152" i="115"/>
  <c r="BZ152" i="115"/>
  <c r="CD152" i="115"/>
  <c r="BF153" i="115"/>
  <c r="BJ153" i="115"/>
  <c r="BN153" i="115"/>
  <c r="BR153" i="115"/>
  <c r="BV153" i="115"/>
  <c r="BZ153" i="115"/>
  <c r="CD153" i="115"/>
  <c r="BF155" i="115"/>
  <c r="BJ155" i="115"/>
  <c r="BN155" i="115"/>
  <c r="BR155" i="115"/>
  <c r="BV155" i="115"/>
  <c r="BZ155" i="115"/>
  <c r="CD155" i="115"/>
  <c r="A161" i="115"/>
  <c r="A162" i="115"/>
  <c r="A163" i="115"/>
  <c r="A164" i="115"/>
  <c r="BH164" i="115"/>
  <c r="BI164" i="115"/>
  <c r="BL164" i="115"/>
  <c r="BM164" i="115"/>
  <c r="BP164" i="115"/>
  <c r="BQ164" i="115"/>
  <c r="BT164" i="115"/>
  <c r="BU164" i="115"/>
  <c r="BX164" i="115"/>
  <c r="BY164" i="115"/>
  <c r="CB164" i="115"/>
  <c r="CC164" i="115"/>
  <c r="A165" i="115"/>
  <c r="BH165" i="115"/>
  <c r="BI165" i="115"/>
  <c r="BL165" i="115"/>
  <c r="BM165" i="115"/>
  <c r="BP165" i="115"/>
  <c r="BQ165" i="115"/>
  <c r="BT165" i="115"/>
  <c r="BU165" i="115"/>
  <c r="BX165" i="115"/>
  <c r="BY165" i="115"/>
  <c r="A166" i="115"/>
  <c r="A167" i="115"/>
  <c r="BE167" i="115"/>
  <c r="BH167" i="115"/>
  <c r="BI167" i="115"/>
  <c r="BL167" i="115"/>
  <c r="BM167" i="115"/>
  <c r="BP167" i="115"/>
  <c r="BQ167" i="115"/>
  <c r="BT167" i="115"/>
  <c r="BU167" i="115"/>
  <c r="BX167" i="115"/>
  <c r="BY167" i="115"/>
  <c r="CB167" i="115"/>
  <c r="CC167" i="115"/>
  <c r="A169" i="115"/>
  <c r="A170" i="115"/>
  <c r="BF215" i="115"/>
  <c r="BJ215" i="115"/>
  <c r="DC65" i="117" s="1"/>
  <c r="BN215" i="115"/>
  <c r="BR215" i="115"/>
  <c r="BV215" i="115"/>
  <c r="BZ215" i="115"/>
  <c r="CD215" i="115"/>
  <c r="BF217" i="115"/>
  <c r="BJ217" i="115"/>
  <c r="BN217" i="115"/>
  <c r="BR217" i="115"/>
  <c r="BV217" i="115"/>
  <c r="BZ217" i="115"/>
  <c r="CD217" i="115"/>
  <c r="BF218" i="115"/>
  <c r="BJ218" i="115"/>
  <c r="BN218" i="115"/>
  <c r="BR218" i="115"/>
  <c r="BV218" i="115"/>
  <c r="DO63" i="117" s="1"/>
  <c r="BZ218" i="115"/>
  <c r="CD218" i="115"/>
  <c r="BD219" i="115"/>
  <c r="BE219" i="115"/>
  <c r="BH219" i="115"/>
  <c r="BI219" i="115"/>
  <c r="BL219" i="115"/>
  <c r="BM219" i="115"/>
  <c r="BP219" i="115"/>
  <c r="BQ219" i="115"/>
  <c r="BT219" i="115"/>
  <c r="BU219" i="115"/>
  <c r="BX219" i="115"/>
  <c r="BY219" i="115"/>
  <c r="CB219" i="115"/>
  <c r="CC219" i="115"/>
  <c r="A227" i="115"/>
  <c r="A228" i="115"/>
  <c r="A229" i="115"/>
  <c r="BD236" i="115"/>
  <c r="BE236" i="115"/>
  <c r="BH236" i="115"/>
  <c r="BI236" i="115"/>
  <c r="BL236" i="115"/>
  <c r="BM236" i="115"/>
  <c r="BP236" i="115"/>
  <c r="BQ236" i="115"/>
  <c r="BT236" i="115"/>
  <c r="BU236" i="115"/>
  <c r="BX236" i="115"/>
  <c r="BY236" i="115"/>
  <c r="CB236" i="115"/>
  <c r="CC236" i="115"/>
  <c r="BE241" i="115"/>
  <c r="BE243" i="115" s="1"/>
  <c r="BE235" i="115" s="1"/>
  <c r="BF241" i="115"/>
  <c r="BH241" i="115"/>
  <c r="BI241" i="115"/>
  <c r="BI243" i="115" s="1"/>
  <c r="BI235" i="115" s="1"/>
  <c r="BL241" i="115"/>
  <c r="BM241" i="115"/>
  <c r="BM243" i="115" s="1"/>
  <c r="BP241" i="115"/>
  <c r="BQ241" i="115"/>
  <c r="BQ243" i="115" s="1"/>
  <c r="BT241" i="115"/>
  <c r="BT963" i="115" s="1"/>
  <c r="BU241" i="115"/>
  <c r="BU243" i="115" s="1"/>
  <c r="BX241" i="115"/>
  <c r="BY241" i="115"/>
  <c r="BY243" i="115" s="1"/>
  <c r="CB241" i="115"/>
  <c r="CC241" i="115"/>
  <c r="CC243" i="115" s="1"/>
  <c r="BF242" i="115"/>
  <c r="BJ242" i="115"/>
  <c r="BN242" i="115"/>
  <c r="BR242" i="115"/>
  <c r="BV242" i="115"/>
  <c r="BZ242" i="115"/>
  <c r="CD242" i="115"/>
  <c r="BD243" i="115"/>
  <c r="BD235" i="115" s="1"/>
  <c r="BF244" i="115"/>
  <c r="BJ244" i="115"/>
  <c r="BJ1340" i="115" s="1"/>
  <c r="BN244" i="115"/>
  <c r="BR244" i="115"/>
  <c r="BV244" i="115"/>
  <c r="BZ244" i="115"/>
  <c r="BZ1362" i="115" s="1"/>
  <c r="BZ1363" i="115" s="1"/>
  <c r="CD244" i="115"/>
  <c r="DW70" i="117" s="1"/>
  <c r="BE247" i="115"/>
  <c r="BF247" i="115"/>
  <c r="BH247" i="115"/>
  <c r="BI247" i="115"/>
  <c r="BL247" i="115"/>
  <c r="BM247" i="115"/>
  <c r="BP247" i="115"/>
  <c r="BQ247" i="115"/>
  <c r="BT247" i="115"/>
  <c r="BU247" i="115"/>
  <c r="BX247" i="115"/>
  <c r="BY247" i="115"/>
  <c r="CB247" i="115"/>
  <c r="CC247" i="115"/>
  <c r="BF248" i="115"/>
  <c r="BH248" i="115"/>
  <c r="BI248" i="115"/>
  <c r="BL248" i="115"/>
  <c r="BM248" i="115"/>
  <c r="BP248" i="115"/>
  <c r="BQ248" i="115"/>
  <c r="BT248" i="115"/>
  <c r="BU248" i="115"/>
  <c r="BX248" i="115"/>
  <c r="BY248" i="115"/>
  <c r="CC248" i="115"/>
  <c r="BF249" i="115"/>
  <c r="BJ249" i="115"/>
  <c r="BN249" i="115"/>
  <c r="BR249" i="115"/>
  <c r="BV249" i="115"/>
  <c r="BZ249" i="115"/>
  <c r="CD249" i="115"/>
  <c r="BF250" i="115"/>
  <c r="BF251" i="115"/>
  <c r="BF252" i="115"/>
  <c r="BJ247" i="115" s="1"/>
  <c r="BJ252" i="115"/>
  <c r="BN252" i="115"/>
  <c r="BR252" i="115"/>
  <c r="BV252" i="115"/>
  <c r="BZ252" i="115"/>
  <c r="CD252" i="115"/>
  <c r="BD256" i="115"/>
  <c r="BD157" i="115" s="1"/>
  <c r="BE256" i="115"/>
  <c r="BE157" i="115" s="1"/>
  <c r="BF157" i="115" s="1"/>
  <c r="BH256" i="115"/>
  <c r="BH157" i="115" s="1"/>
  <c r="BI256" i="115"/>
  <c r="BI157" i="115" s="1"/>
  <c r="BJ157" i="115" s="1"/>
  <c r="BL256" i="115"/>
  <c r="BM256" i="115"/>
  <c r="BP256" i="115"/>
  <c r="BQ256" i="115"/>
  <c r="BT256" i="115"/>
  <c r="BU256" i="115"/>
  <c r="BX256" i="115"/>
  <c r="BY256" i="115"/>
  <c r="CB256" i="115"/>
  <c r="DU66" i="117" s="1"/>
  <c r="CC256" i="115"/>
  <c r="DV66" i="117" s="1"/>
  <c r="BD257" i="115"/>
  <c r="BE257" i="115"/>
  <c r="BF257" i="115" s="1"/>
  <c r="BH257" i="115"/>
  <c r="BI257" i="115"/>
  <c r="BJ257" i="115" s="1"/>
  <c r="BL257" i="115"/>
  <c r="BM257" i="115"/>
  <c r="BN257" i="115" s="1"/>
  <c r="BP257" i="115"/>
  <c r="BQ257" i="115"/>
  <c r="BT257" i="115"/>
  <c r="BU257" i="115"/>
  <c r="BV257" i="115" s="1"/>
  <c r="BX257" i="115"/>
  <c r="BY257" i="115"/>
  <c r="BZ257" i="115" s="1"/>
  <c r="CB257" i="115"/>
  <c r="CC257" i="115"/>
  <c r="CD257" i="115" s="1"/>
  <c r="BH266" i="115"/>
  <c r="BH268" i="115" s="1"/>
  <c r="BI266" i="115"/>
  <c r="BL266" i="115"/>
  <c r="BL268" i="115" s="1"/>
  <c r="BM266" i="115"/>
  <c r="BP266" i="115"/>
  <c r="BP268" i="115" s="1"/>
  <c r="BQ266" i="115"/>
  <c r="BT266" i="115"/>
  <c r="BT268" i="115" s="1"/>
  <c r="BU266" i="115"/>
  <c r="BU268" i="115" s="1"/>
  <c r="BX266" i="115"/>
  <c r="BX268" i="115" s="1"/>
  <c r="BY266" i="115"/>
  <c r="CB266" i="115"/>
  <c r="CB268" i="115" s="1"/>
  <c r="CC266" i="115"/>
  <c r="CD266" i="115" s="1"/>
  <c r="BI271" i="115"/>
  <c r="BL271" i="115"/>
  <c r="BM271" i="115"/>
  <c r="BP271" i="115"/>
  <c r="BQ271" i="115"/>
  <c r="BT271" i="115"/>
  <c r="BU271" i="115"/>
  <c r="BX271" i="115"/>
  <c r="BY271" i="115"/>
  <c r="CB271" i="115"/>
  <c r="CC271" i="115"/>
  <c r="BH272" i="115"/>
  <c r="DA69" i="117" s="1"/>
  <c r="BI272" i="115"/>
  <c r="BL272" i="115"/>
  <c r="BM272" i="115"/>
  <c r="BP272" i="115"/>
  <c r="BQ272" i="115"/>
  <c r="BT272" i="115"/>
  <c r="BU272" i="115"/>
  <c r="BX272" i="115"/>
  <c r="DQ69" i="117" s="1"/>
  <c r="BY272" i="115"/>
  <c r="CB272" i="115"/>
  <c r="CC272" i="115"/>
  <c r="BJ280" i="115"/>
  <c r="BN280" i="115"/>
  <c r="BR280" i="115"/>
  <c r="BV280" i="115"/>
  <c r="BZ280" i="115"/>
  <c r="CD280" i="115"/>
  <c r="BJ281" i="115"/>
  <c r="BN281" i="115"/>
  <c r="BR281" i="115"/>
  <c r="BV281" i="115"/>
  <c r="BZ281" i="115"/>
  <c r="CD281" i="115"/>
  <c r="BJ282" i="115"/>
  <c r="BN282" i="115"/>
  <c r="BR282" i="115"/>
  <c r="BV282" i="115"/>
  <c r="BZ282" i="115"/>
  <c r="CD282" i="115"/>
  <c r="BJ283" i="115"/>
  <c r="BM283" i="115"/>
  <c r="BR283" i="115"/>
  <c r="BV283" i="115"/>
  <c r="BZ283" i="115"/>
  <c r="CD283" i="115"/>
  <c r="BH284" i="115"/>
  <c r="BI284" i="115"/>
  <c r="BL284" i="115"/>
  <c r="BP284" i="115"/>
  <c r="BQ284" i="115"/>
  <c r="BT284" i="115"/>
  <c r="BU284" i="115"/>
  <c r="BX284" i="115"/>
  <c r="BY284" i="115"/>
  <c r="CB284" i="115"/>
  <c r="CB285" i="115" s="1"/>
  <c r="CC284" i="115"/>
  <c r="CC285" i="115" s="1"/>
  <c r="A287" i="115"/>
  <c r="BI287" i="115"/>
  <c r="BL287" i="115"/>
  <c r="BM287" i="115"/>
  <c r="BP287" i="115"/>
  <c r="BQ287" i="115"/>
  <c r="BT287" i="115"/>
  <c r="BU287" i="115"/>
  <c r="BX287" i="115"/>
  <c r="BY287" i="115"/>
  <c r="CB287" i="115"/>
  <c r="CC287" i="115"/>
  <c r="A288" i="115"/>
  <c r="BI288" i="115"/>
  <c r="BL288" i="115"/>
  <c r="BM288" i="115"/>
  <c r="BP288" i="115"/>
  <c r="BQ288" i="115"/>
  <c r="BT288" i="115"/>
  <c r="BU288" i="115"/>
  <c r="BX288" i="115"/>
  <c r="BY288" i="115"/>
  <c r="CB288" i="115"/>
  <c r="CC288" i="115"/>
  <c r="BI289" i="115"/>
  <c r="BL289" i="115"/>
  <c r="BM289" i="115"/>
  <c r="BP289" i="115"/>
  <c r="BQ289" i="115"/>
  <c r="BT289" i="115"/>
  <c r="BU289" i="115"/>
  <c r="BX289" i="115"/>
  <c r="BY289" i="115"/>
  <c r="CB289" i="115"/>
  <c r="CC289" i="115"/>
  <c r="A290" i="115"/>
  <c r="BI290" i="115"/>
  <c r="BL290" i="115"/>
  <c r="BQ290" i="115"/>
  <c r="BT290" i="115"/>
  <c r="BU290" i="115"/>
  <c r="BX290" i="115"/>
  <c r="BY290" i="115"/>
  <c r="CB290" i="115"/>
  <c r="CC290" i="115"/>
  <c r="A291" i="115"/>
  <c r="BJ294" i="115"/>
  <c r="BN294" i="115"/>
  <c r="BR294" i="115"/>
  <c r="BV294" i="115"/>
  <c r="BZ294" i="115"/>
  <c r="CD294" i="115"/>
  <c r="BJ295" i="115"/>
  <c r="BN295" i="115"/>
  <c r="BR295" i="115"/>
  <c r="BV295" i="115"/>
  <c r="BZ295" i="115"/>
  <c r="CD295" i="115"/>
  <c r="BJ296" i="115"/>
  <c r="BN296" i="115"/>
  <c r="BR296" i="115"/>
  <c r="BV296" i="115"/>
  <c r="BZ296" i="115"/>
  <c r="CD296" i="115"/>
  <c r="BJ297" i="115"/>
  <c r="BN297" i="115"/>
  <c r="BR297" i="115"/>
  <c r="BV297" i="115"/>
  <c r="BZ297" i="115"/>
  <c r="CD297" i="115"/>
  <c r="BH298" i="115"/>
  <c r="BI298" i="115"/>
  <c r="BL298" i="115"/>
  <c r="BM298" i="115"/>
  <c r="BP298" i="115"/>
  <c r="BQ298" i="115"/>
  <c r="BT298" i="115"/>
  <c r="BU298" i="115"/>
  <c r="BX298" i="115"/>
  <c r="BY298" i="115"/>
  <c r="CB298" i="115"/>
  <c r="CC298" i="115"/>
  <c r="A300" i="115"/>
  <c r="BI300" i="115"/>
  <c r="BL300" i="115"/>
  <c r="BM300" i="115"/>
  <c r="BP300" i="115"/>
  <c r="BQ300" i="115"/>
  <c r="BT300" i="115"/>
  <c r="BU300" i="115"/>
  <c r="BX300" i="115"/>
  <c r="BY300" i="115"/>
  <c r="CB300" i="115"/>
  <c r="CC300" i="115"/>
  <c r="A301" i="115"/>
  <c r="BI301" i="115"/>
  <c r="BL301" i="115"/>
  <c r="BM301" i="115"/>
  <c r="BP301" i="115"/>
  <c r="BQ301" i="115"/>
  <c r="BT301" i="115"/>
  <c r="BU301" i="115"/>
  <c r="BX301" i="115"/>
  <c r="BY301" i="115"/>
  <c r="CB301" i="115"/>
  <c r="CC301" i="115"/>
  <c r="A302" i="115"/>
  <c r="BI302" i="115"/>
  <c r="BL302" i="115"/>
  <c r="BM302" i="115"/>
  <c r="BP302" i="115"/>
  <c r="BQ302" i="115"/>
  <c r="BT302" i="115"/>
  <c r="BU302" i="115"/>
  <c r="BX302" i="115"/>
  <c r="BY302" i="115"/>
  <c r="CB302" i="115"/>
  <c r="CC302" i="115"/>
  <c r="A303" i="115"/>
  <c r="BL303" i="115"/>
  <c r="BP303" i="115"/>
  <c r="BT303" i="115"/>
  <c r="BX303" i="115"/>
  <c r="CB303" i="115"/>
  <c r="BH304" i="115"/>
  <c r="BI304" i="115"/>
  <c r="BI310" i="115" s="1"/>
  <c r="BJ310" i="115" s="1"/>
  <c r="BL304" i="115"/>
  <c r="BL308" i="115" s="1"/>
  <c r="BM304" i="115"/>
  <c r="BP304" i="115"/>
  <c r="BP307" i="115" s="1"/>
  <c r="BQ304" i="115"/>
  <c r="BT304" i="115"/>
  <c r="BT308" i="115" s="1"/>
  <c r="BU304" i="115"/>
  <c r="BX304" i="115"/>
  <c r="BY304" i="115"/>
  <c r="CB304" i="115"/>
  <c r="CB308" i="115" s="1"/>
  <c r="CC304" i="115"/>
  <c r="A306" i="115"/>
  <c r="A307" i="115"/>
  <c r="A314" i="115" s="1"/>
  <c r="A308" i="115"/>
  <c r="A315" i="115" s="1"/>
  <c r="A310" i="115"/>
  <c r="A317" i="115" s="1"/>
  <c r="A311" i="115"/>
  <c r="A318" i="115" s="1"/>
  <c r="BJ321" i="115"/>
  <c r="BN321" i="115"/>
  <c r="BR321" i="115"/>
  <c r="BV321" i="115"/>
  <c r="BZ321" i="115"/>
  <c r="CD321" i="115"/>
  <c r="BJ322" i="115"/>
  <c r="BN322" i="115"/>
  <c r="BR322" i="115"/>
  <c r="BV322" i="115"/>
  <c r="BZ322" i="115"/>
  <c r="CD322" i="115"/>
  <c r="BJ323" i="115"/>
  <c r="BN323" i="115"/>
  <c r="BR323" i="115"/>
  <c r="BV323" i="115"/>
  <c r="BZ323" i="115"/>
  <c r="CD323" i="115"/>
  <c r="BJ324" i="115"/>
  <c r="BN324" i="115"/>
  <c r="BR324" i="115"/>
  <c r="BV324" i="115"/>
  <c r="BZ324" i="115"/>
  <c r="CD324" i="115"/>
  <c r="BH325" i="115"/>
  <c r="BI325" i="115"/>
  <c r="BL325" i="115"/>
  <c r="BM325" i="115"/>
  <c r="BP325" i="115"/>
  <c r="BQ325" i="115"/>
  <c r="BT325" i="115"/>
  <c r="BU325" i="115"/>
  <c r="BX325" i="115"/>
  <c r="BY325" i="115"/>
  <c r="CB325" i="115"/>
  <c r="CC325" i="115"/>
  <c r="A327" i="115"/>
  <c r="BI327" i="115"/>
  <c r="BL327" i="115"/>
  <c r="BM327" i="115"/>
  <c r="BP327" i="115"/>
  <c r="BQ327" i="115"/>
  <c r="BT327" i="115"/>
  <c r="BU327" i="115"/>
  <c r="BX327" i="115"/>
  <c r="BY327" i="115"/>
  <c r="CB327" i="115"/>
  <c r="CC327" i="115"/>
  <c r="A328" i="115"/>
  <c r="BI328" i="115"/>
  <c r="BL328" i="115"/>
  <c r="BM328" i="115"/>
  <c r="BP328" i="115"/>
  <c r="BQ328" i="115"/>
  <c r="BT328" i="115"/>
  <c r="BU328" i="115"/>
  <c r="BX328" i="115"/>
  <c r="BY328" i="115"/>
  <c r="CB328" i="115"/>
  <c r="CC328" i="115"/>
  <c r="A329" i="115"/>
  <c r="BI329" i="115"/>
  <c r="BL329" i="115"/>
  <c r="BM329" i="115"/>
  <c r="BP329" i="115"/>
  <c r="BQ329" i="115"/>
  <c r="BT329" i="115"/>
  <c r="BU329" i="115"/>
  <c r="BX329" i="115"/>
  <c r="BY329" i="115"/>
  <c r="CB329" i="115"/>
  <c r="CC329" i="115"/>
  <c r="A330" i="115"/>
  <c r="BL330" i="115"/>
  <c r="BP330" i="115"/>
  <c r="BT330" i="115"/>
  <c r="BX330" i="115"/>
  <c r="CB330" i="115"/>
  <c r="BH331" i="115"/>
  <c r="BH333" i="115" s="1"/>
  <c r="BI331" i="115"/>
  <c r="BI334" i="115" s="1"/>
  <c r="BL331" i="115"/>
  <c r="BM331" i="115"/>
  <c r="BP331" i="115"/>
  <c r="BP334" i="115" s="1"/>
  <c r="BQ331" i="115"/>
  <c r="BQ336" i="115" s="1"/>
  <c r="BR336" i="115" s="1"/>
  <c r="BT331" i="115"/>
  <c r="BU331" i="115"/>
  <c r="BU335" i="115" s="1"/>
  <c r="BV335" i="115" s="1"/>
  <c r="BX331" i="115"/>
  <c r="BX336" i="115" s="1"/>
  <c r="BY331" i="115"/>
  <c r="CB331" i="115"/>
  <c r="CC331" i="115"/>
  <c r="CC333" i="115" s="1"/>
  <c r="A332" i="115"/>
  <c r="A333" i="115"/>
  <c r="A340" i="115" s="1"/>
  <c r="A334" i="115"/>
  <c r="A341" i="115" s="1"/>
  <c r="A336" i="115"/>
  <c r="A343" i="115" s="1"/>
  <c r="A337" i="115"/>
  <c r="A344" i="115" s="1"/>
  <c r="BH348" i="115"/>
  <c r="BI348" i="115"/>
  <c r="BL348" i="115"/>
  <c r="BM348" i="115"/>
  <c r="BP348" i="115"/>
  <c r="BQ348" i="115"/>
  <c r="BT348" i="115"/>
  <c r="BU348" i="115"/>
  <c r="BX348" i="115"/>
  <c r="BY348" i="115"/>
  <c r="CB348" i="115"/>
  <c r="CC348" i="115"/>
  <c r="BH349" i="115"/>
  <c r="BI349" i="115"/>
  <c r="BL349" i="115"/>
  <c r="BM349" i="115"/>
  <c r="BP349" i="115"/>
  <c r="BQ349" i="115"/>
  <c r="BT349" i="115"/>
  <c r="BU349" i="115"/>
  <c r="BX349" i="115"/>
  <c r="BY349" i="115"/>
  <c r="CB349" i="115"/>
  <c r="CC349" i="115"/>
  <c r="BH350" i="115"/>
  <c r="BI350" i="115"/>
  <c r="BL350" i="115"/>
  <c r="BM350" i="115"/>
  <c r="BP350" i="115"/>
  <c r="BQ350" i="115"/>
  <c r="BT350" i="115"/>
  <c r="BU350" i="115"/>
  <c r="BX350" i="115"/>
  <c r="BY350" i="115"/>
  <c r="CB350" i="115"/>
  <c r="CC350" i="115"/>
  <c r="BH351" i="115"/>
  <c r="BI351" i="115"/>
  <c r="BL351" i="115"/>
  <c r="BP351" i="115"/>
  <c r="BQ351" i="115"/>
  <c r="BT351" i="115"/>
  <c r="BU351" i="115"/>
  <c r="BX351" i="115"/>
  <c r="BY351" i="115"/>
  <c r="CB351" i="115"/>
  <c r="CC351" i="115"/>
  <c r="A356" i="115"/>
  <c r="A357" i="115"/>
  <c r="A359" i="115"/>
  <c r="A360" i="115"/>
  <c r="BJ367" i="115"/>
  <c r="BN367" i="115"/>
  <c r="BR367" i="115"/>
  <c r="BV367" i="115"/>
  <c r="BZ367" i="115"/>
  <c r="CD367" i="115"/>
  <c r="BJ368" i="115"/>
  <c r="BN368" i="115"/>
  <c r="BR368" i="115"/>
  <c r="BV368" i="115"/>
  <c r="BZ368" i="115"/>
  <c r="CD368" i="115"/>
  <c r="BJ370" i="115"/>
  <c r="BN370" i="115"/>
  <c r="BR370" i="115"/>
  <c r="BV370" i="115"/>
  <c r="BZ370" i="115"/>
  <c r="CD370" i="115"/>
  <c r="BJ374" i="115"/>
  <c r="BN374" i="115"/>
  <c r="BR374" i="115"/>
  <c r="BV374" i="115"/>
  <c r="BZ374" i="115"/>
  <c r="CD374" i="115"/>
  <c r="BJ375" i="115"/>
  <c r="BN375" i="115"/>
  <c r="BR375" i="115"/>
  <c r="BV375" i="115"/>
  <c r="BZ375" i="115"/>
  <c r="CD375" i="115"/>
  <c r="BJ376" i="115"/>
  <c r="BN376" i="115"/>
  <c r="BR376" i="115"/>
  <c r="BV376" i="115"/>
  <c r="BZ376" i="115"/>
  <c r="CD376" i="115"/>
  <c r="BJ378" i="115"/>
  <c r="BN378" i="115"/>
  <c r="BR378" i="115"/>
  <c r="BV378" i="115"/>
  <c r="BZ378" i="115"/>
  <c r="CD378" i="115"/>
  <c r="BH380" i="115"/>
  <c r="BH382" i="115" s="1"/>
  <c r="BI380" i="115"/>
  <c r="BI382" i="115" s="1"/>
  <c r="BL380" i="115"/>
  <c r="BL382" i="115" s="1"/>
  <c r="BM380" i="115"/>
  <c r="BM382" i="115" s="1"/>
  <c r="BP380" i="115"/>
  <c r="BP382" i="115" s="1"/>
  <c r="BQ380" i="115"/>
  <c r="BQ382" i="115" s="1"/>
  <c r="BT380" i="115"/>
  <c r="BT382" i="115" s="1"/>
  <c r="BU380" i="115"/>
  <c r="BU382" i="115" s="1"/>
  <c r="BX380" i="115"/>
  <c r="BX382" i="115" s="1"/>
  <c r="BY380" i="115"/>
  <c r="BY382" i="115" s="1"/>
  <c r="CB380" i="115"/>
  <c r="CB382" i="115" s="1"/>
  <c r="CC380" i="115"/>
  <c r="CC382" i="115" s="1"/>
  <c r="BH392" i="115"/>
  <c r="BI392" i="115"/>
  <c r="BL392" i="115"/>
  <c r="BM392" i="115"/>
  <c r="BP392" i="115"/>
  <c r="BQ392" i="115"/>
  <c r="BT392" i="115"/>
  <c r="BU392" i="115"/>
  <c r="BX392" i="115"/>
  <c r="BY392" i="115"/>
  <c r="CB392" i="115"/>
  <c r="CC392" i="115"/>
  <c r="BF402" i="115"/>
  <c r="BF403" i="115"/>
  <c r="BD403" i="115" s="1"/>
  <c r="BD404" i="115" s="1"/>
  <c r="BE402" i="115" s="1"/>
  <c r="BJ403" i="115"/>
  <c r="BH403" i="115" s="1"/>
  <c r="BI403" i="115" s="1"/>
  <c r="BM403" i="115"/>
  <c r="BQ403" i="115"/>
  <c r="BU403" i="115"/>
  <c r="BY403" i="115"/>
  <c r="BJ409" i="115"/>
  <c r="BZ409" i="115"/>
  <c r="BJ410" i="115"/>
  <c r="BN410" i="115"/>
  <c r="BR410" i="115"/>
  <c r="BV410" i="115"/>
  <c r="BZ410" i="115"/>
  <c r="CD410" i="115"/>
  <c r="BJ411" i="115"/>
  <c r="BN411" i="115"/>
  <c r="BR411" i="115"/>
  <c r="BV411" i="115"/>
  <c r="BZ411" i="115"/>
  <c r="BJ412" i="115"/>
  <c r="BL412" i="115"/>
  <c r="BM412" i="115"/>
  <c r="BP412" i="115"/>
  <c r="BQ412" i="115"/>
  <c r="BT412" i="115"/>
  <c r="BU412" i="115"/>
  <c r="BX412" i="115"/>
  <c r="BX413" i="115" s="1"/>
  <c r="BY412" i="115"/>
  <c r="CB412" i="115"/>
  <c r="BH413" i="115"/>
  <c r="BI409" i="115" s="1"/>
  <c r="BI413" i="115" s="1"/>
  <c r="BH443" i="115"/>
  <c r="BI443" i="115"/>
  <c r="BL443" i="115"/>
  <c r="BM443" i="115"/>
  <c r="BP443" i="115"/>
  <c r="BQ443" i="115"/>
  <c r="BT443" i="115"/>
  <c r="BU443" i="115"/>
  <c r="BX443" i="115"/>
  <c r="BY443" i="115"/>
  <c r="CB443" i="115"/>
  <c r="CC443" i="115"/>
  <c r="BH444" i="115"/>
  <c r="BI444" i="115"/>
  <c r="BL444" i="115"/>
  <c r="BM444" i="115"/>
  <c r="BP444" i="115"/>
  <c r="BQ444" i="115"/>
  <c r="BT444" i="115"/>
  <c r="BU444" i="115"/>
  <c r="BX444" i="115"/>
  <c r="BY444" i="115"/>
  <c r="CB444" i="115"/>
  <c r="CC444" i="115"/>
  <c r="BH461" i="115"/>
  <c r="BH495" i="115" s="1"/>
  <c r="BI461" i="115"/>
  <c r="BI641" i="115" s="1"/>
  <c r="BJ461" i="115"/>
  <c r="BJ486" i="115" s="1"/>
  <c r="BL461" i="115"/>
  <c r="AF56" i="117" s="1"/>
  <c r="BM461" i="115"/>
  <c r="BP479" i="115" s="1"/>
  <c r="BN461" i="115"/>
  <c r="BR461" i="115"/>
  <c r="BV461" i="115"/>
  <c r="BZ461" i="115"/>
  <c r="BP462" i="115"/>
  <c r="BP646" i="115" s="1"/>
  <c r="BQ462" i="115"/>
  <c r="BT462" i="115"/>
  <c r="BU462" i="115"/>
  <c r="BU485" i="115" s="1"/>
  <c r="BX462" i="115"/>
  <c r="BX485" i="115" s="1"/>
  <c r="BY462" i="115"/>
  <c r="CB462" i="115"/>
  <c r="CC462" i="115"/>
  <c r="BR463" i="115"/>
  <c r="BV463" i="115"/>
  <c r="BZ463" i="115"/>
  <c r="CD483" i="115"/>
  <c r="BH464" i="115"/>
  <c r="BH489" i="115" s="1"/>
  <c r="BI464" i="115"/>
  <c r="BI488" i="115" s="1"/>
  <c r="BJ464" i="115"/>
  <c r="BL464" i="115"/>
  <c r="BM464" i="115"/>
  <c r="BN464" i="115"/>
  <c r="BN489" i="115" s="1"/>
  <c r="BP464" i="115"/>
  <c r="BP489" i="115" s="1"/>
  <c r="BQ464" i="115"/>
  <c r="BT464" i="115"/>
  <c r="BU464" i="115"/>
  <c r="BU489" i="115" s="1"/>
  <c r="BX464" i="115"/>
  <c r="BX489" i="115" s="1"/>
  <c r="BY464" i="115"/>
  <c r="BV465" i="115"/>
  <c r="BZ465" i="115"/>
  <c r="CD487" i="115"/>
  <c r="BV467" i="115"/>
  <c r="BZ467" i="115"/>
  <c r="BV468" i="115"/>
  <c r="BZ468" i="115"/>
  <c r="BH470" i="115"/>
  <c r="BI470" i="115"/>
  <c r="BI476" i="115" s="1"/>
  <c r="BJ470" i="115"/>
  <c r="BL470" i="115"/>
  <c r="BM470" i="115"/>
  <c r="BP470" i="115"/>
  <c r="BQ470" i="115"/>
  <c r="BR470" i="115"/>
  <c r="BR476" i="115" s="1"/>
  <c r="BT470" i="115"/>
  <c r="BN471" i="115"/>
  <c r="BN470" i="115" s="1"/>
  <c r="BN476" i="115" s="1"/>
  <c r="BU471" i="115"/>
  <c r="BU470" i="115" s="1"/>
  <c r="BX471" i="115"/>
  <c r="BY471" i="115"/>
  <c r="BY470" i="115" s="1"/>
  <c r="BY472" i="115" s="1"/>
  <c r="BY1517" i="115" s="1"/>
  <c r="CB471" i="115"/>
  <c r="CC471" i="115"/>
  <c r="CC470" i="115" s="1"/>
  <c r="BH473" i="115"/>
  <c r="BI473" i="115"/>
  <c r="BL473" i="115"/>
  <c r="BM473" i="115"/>
  <c r="BP473" i="115"/>
  <c r="BQ473" i="115"/>
  <c r="BT473" i="115"/>
  <c r="BU473" i="115"/>
  <c r="BX473" i="115"/>
  <c r="A479" i="115"/>
  <c r="BQ479" i="115"/>
  <c r="BT479" i="115"/>
  <c r="BU479" i="115"/>
  <c r="BX479" i="115"/>
  <c r="BY479" i="115"/>
  <c r="CB479" i="115"/>
  <c r="CC479" i="115"/>
  <c r="A480" i="115"/>
  <c r="A481" i="115"/>
  <c r="BI481" i="115"/>
  <c r="BL481" i="115"/>
  <c r="BM481" i="115"/>
  <c r="BP481" i="115"/>
  <c r="BQ481" i="115"/>
  <c r="BT481" i="115"/>
  <c r="BU481" i="115"/>
  <c r="BX481" i="115"/>
  <c r="BY481" i="115"/>
  <c r="CB481" i="115"/>
  <c r="CC481" i="115"/>
  <c r="BP483" i="115"/>
  <c r="BQ483" i="115"/>
  <c r="BT483" i="115"/>
  <c r="BU483" i="115"/>
  <c r="BX483" i="115"/>
  <c r="BY483" i="115"/>
  <c r="CB483" i="115"/>
  <c r="CC483" i="115"/>
  <c r="BP486" i="115"/>
  <c r="BQ486" i="115"/>
  <c r="BT486" i="115"/>
  <c r="BU486" i="115"/>
  <c r="BX486" i="115"/>
  <c r="BY486" i="115"/>
  <c r="CB486" i="115"/>
  <c r="CC486" i="115"/>
  <c r="BH487" i="115"/>
  <c r="BI487" i="115"/>
  <c r="BJ487" i="115"/>
  <c r="BL487" i="115"/>
  <c r="BM487" i="115"/>
  <c r="BN487" i="115"/>
  <c r="BP487" i="115"/>
  <c r="BQ487" i="115"/>
  <c r="BT487" i="115"/>
  <c r="BU487" i="115"/>
  <c r="BX487" i="115"/>
  <c r="BY487" i="115"/>
  <c r="CB487" i="115"/>
  <c r="CC487" i="115"/>
  <c r="BH509" i="115"/>
  <c r="BI509" i="115"/>
  <c r="BL509" i="115"/>
  <c r="BM509" i="115"/>
  <c r="BP509" i="115"/>
  <c r="BQ509" i="115"/>
  <c r="BT509" i="115"/>
  <c r="BU509" i="115"/>
  <c r="BX509" i="115"/>
  <c r="BY509" i="115"/>
  <c r="CB509" i="115"/>
  <c r="CC509" i="115"/>
  <c r="BH512" i="115"/>
  <c r="BI512" i="115"/>
  <c r="BJ512" i="115"/>
  <c r="BL512" i="115"/>
  <c r="BM512" i="115"/>
  <c r="BN512" i="115"/>
  <c r="BP512" i="115"/>
  <c r="BQ512" i="115"/>
  <c r="BR512" i="115"/>
  <c r="BT512" i="115"/>
  <c r="BU512" i="115"/>
  <c r="BX512" i="115"/>
  <c r="BY512" i="115"/>
  <c r="CB512" i="115"/>
  <c r="BJ594" i="115"/>
  <c r="BN594" i="115"/>
  <c r="BR594" i="115"/>
  <c r="BV594" i="115"/>
  <c r="BZ594" i="115"/>
  <c r="CD594" i="115"/>
  <c r="BH597" i="115"/>
  <c r="BI597" i="115"/>
  <c r="BJ597" i="115"/>
  <c r="BL597" i="115"/>
  <c r="BM597" i="115"/>
  <c r="BN597" i="115"/>
  <c r="BP597" i="115"/>
  <c r="BQ597" i="115"/>
  <c r="BR597" i="115"/>
  <c r="BT597" i="115"/>
  <c r="BU597" i="115"/>
  <c r="BV597" i="115"/>
  <c r="BX597" i="115"/>
  <c r="BY597" i="115"/>
  <c r="CB597" i="115"/>
  <c r="CC597" i="115"/>
  <c r="BH598" i="115"/>
  <c r="BI598" i="115"/>
  <c r="BL598" i="115"/>
  <c r="BM598" i="115"/>
  <c r="BP598" i="115"/>
  <c r="BQ598" i="115"/>
  <c r="BT598" i="115"/>
  <c r="BU598" i="115"/>
  <c r="BX598" i="115"/>
  <c r="BY598" i="115"/>
  <c r="CB598" i="115"/>
  <c r="CC598" i="115"/>
  <c r="BH605" i="115"/>
  <c r="BI605" i="115"/>
  <c r="BJ605" i="115"/>
  <c r="BL605" i="115"/>
  <c r="BL780" i="115" s="1"/>
  <c r="BM605" i="115"/>
  <c r="BM780" i="115" s="1"/>
  <c r="BN605" i="115"/>
  <c r="BP605" i="115"/>
  <c r="BQ605" i="115"/>
  <c r="BQ780" i="115" s="1"/>
  <c r="BT605" i="115"/>
  <c r="BU605" i="115"/>
  <c r="BX605" i="115"/>
  <c r="BY605" i="115"/>
  <c r="CB605" i="115"/>
  <c r="CC605" i="115"/>
  <c r="CC780" i="115" s="1"/>
  <c r="BJ636" i="115"/>
  <c r="BN636" i="115"/>
  <c r="BR636" i="115"/>
  <c r="BV636" i="115"/>
  <c r="BZ636" i="115"/>
  <c r="CD636" i="115"/>
  <c r="BJ637" i="115"/>
  <c r="BN637" i="115"/>
  <c r="BP637" i="115"/>
  <c r="BP639" i="115" s="1"/>
  <c r="BQ637" i="115"/>
  <c r="BT637" i="115"/>
  <c r="BT639" i="115" s="1"/>
  <c r="BU637" i="115"/>
  <c r="BU639" i="115" s="1"/>
  <c r="BX637" i="115"/>
  <c r="BY637" i="115"/>
  <c r="BY639" i="115" s="1"/>
  <c r="CB637" i="115"/>
  <c r="CB639" i="115" s="1"/>
  <c r="CC637" i="115"/>
  <c r="CC639" i="115" s="1"/>
  <c r="BJ638" i="115"/>
  <c r="BN638" i="115"/>
  <c r="BR638" i="115"/>
  <c r="BV638" i="115"/>
  <c r="BZ638" i="115"/>
  <c r="CD638" i="115"/>
  <c r="BH639" i="115"/>
  <c r="BI639" i="115"/>
  <c r="BL639" i="115"/>
  <c r="BM639" i="115"/>
  <c r="BP641" i="115"/>
  <c r="BQ641" i="115"/>
  <c r="BT641" i="115"/>
  <c r="BU641" i="115"/>
  <c r="BX641" i="115"/>
  <c r="BY641" i="115"/>
  <c r="CB641" i="115"/>
  <c r="CC641" i="115"/>
  <c r="BM642" i="115"/>
  <c r="BP642" i="115"/>
  <c r="BT642" i="115"/>
  <c r="BU642" i="115"/>
  <c r="BX642" i="115"/>
  <c r="BY642" i="115"/>
  <c r="CB642" i="115"/>
  <c r="CC642" i="115"/>
  <c r="BH647" i="115"/>
  <c r="BI647" i="115"/>
  <c r="BL647" i="115"/>
  <c r="BQ647" i="115"/>
  <c r="BV647" i="115"/>
  <c r="BZ647" i="115"/>
  <c r="CD647" i="115"/>
  <c r="BH654" i="115"/>
  <c r="BI654" i="115"/>
  <c r="BJ654" i="115"/>
  <c r="BL654" i="115"/>
  <c r="BM654" i="115"/>
  <c r="BN654" i="115"/>
  <c r="BP654" i="115"/>
  <c r="BQ654" i="115"/>
  <c r="BR654" i="115"/>
  <c r="BT654" i="115"/>
  <c r="BU654" i="115"/>
  <c r="BX654" i="115"/>
  <c r="BY654" i="115"/>
  <c r="CB654" i="115"/>
  <c r="CC654" i="115"/>
  <c r="CD654" i="115"/>
  <c r="BH662" i="115"/>
  <c r="BI662" i="115"/>
  <c r="BL662" i="115"/>
  <c r="BM662" i="115"/>
  <c r="BT662" i="115"/>
  <c r="BU662" i="115"/>
  <c r="BX662" i="115"/>
  <c r="BY662" i="115"/>
  <c r="CB662" i="115"/>
  <c r="CC662" i="115"/>
  <c r="BH663" i="115"/>
  <c r="BI663" i="115"/>
  <c r="BL663" i="115"/>
  <c r="BM663" i="115"/>
  <c r="BM692" i="115" s="1"/>
  <c r="BT663" i="115"/>
  <c r="AN128" i="117" s="1"/>
  <c r="BU663" i="115"/>
  <c r="BX663" i="115"/>
  <c r="BY663" i="115"/>
  <c r="BY692" i="115" s="1"/>
  <c r="CB663" i="115"/>
  <c r="CB692" i="115" s="1"/>
  <c r="CC663" i="115"/>
  <c r="BH664" i="115"/>
  <c r="BI664" i="115"/>
  <c r="BL664" i="115"/>
  <c r="BM664" i="115"/>
  <c r="BM1347" i="115" s="1"/>
  <c r="BP664" i="115"/>
  <c r="BP1347" i="115" s="1"/>
  <c r="BQ664" i="115"/>
  <c r="BT664" i="115"/>
  <c r="BT1347" i="115" s="1"/>
  <c r="BU664" i="115"/>
  <c r="BX664" i="115"/>
  <c r="BY664" i="115"/>
  <c r="CB664" i="115"/>
  <c r="CC664" i="115"/>
  <c r="BX665" i="115"/>
  <c r="BY665" i="115"/>
  <c r="BY740" i="115" s="1"/>
  <c r="CB665" i="115"/>
  <c r="CB740" i="115" s="1"/>
  <c r="CC665" i="115"/>
  <c r="CC740" i="115" s="1"/>
  <c r="A668" i="115"/>
  <c r="A669" i="115"/>
  <c r="A670" i="115"/>
  <c r="A671" i="115"/>
  <c r="A672" i="115"/>
  <c r="BV680" i="115"/>
  <c r="BZ680" i="115"/>
  <c r="CD680" i="115"/>
  <c r="BV681" i="115"/>
  <c r="BZ681" i="115"/>
  <c r="CD681" i="115"/>
  <c r="BV682" i="115"/>
  <c r="BZ682" i="115"/>
  <c r="CD682" i="115"/>
  <c r="BV684" i="115"/>
  <c r="BZ684" i="115"/>
  <c r="CD684" i="115"/>
  <c r="BV685" i="115"/>
  <c r="BZ685" i="115"/>
  <c r="CD685" i="115"/>
  <c r="BR691" i="115"/>
  <c r="BN693" i="115"/>
  <c r="BV693" i="115"/>
  <c r="BZ693" i="115"/>
  <c r="CD693" i="115"/>
  <c r="A695" i="115"/>
  <c r="A696" i="115"/>
  <c r="BX697" i="115"/>
  <c r="BY697" i="115"/>
  <c r="CB697" i="115"/>
  <c r="CC697" i="115"/>
  <c r="BN719" i="115"/>
  <c r="BR719" i="115"/>
  <c r="BV719" i="115"/>
  <c r="BZ719" i="115"/>
  <c r="CD719" i="115"/>
  <c r="BN720" i="115"/>
  <c r="BR720" i="115"/>
  <c r="BT720" i="115"/>
  <c r="BU720" i="115"/>
  <c r="BY732" i="115" s="1"/>
  <c r="BZ720" i="115"/>
  <c r="CD720" i="115"/>
  <c r="BN721" i="115"/>
  <c r="BR721" i="115"/>
  <c r="BV721" i="115"/>
  <c r="BZ721" i="115"/>
  <c r="CD721" i="115"/>
  <c r="BN722" i="115"/>
  <c r="BR722" i="115"/>
  <c r="BV722" i="115"/>
  <c r="BZ722" i="115"/>
  <c r="CD722" i="115"/>
  <c r="BL723" i="115"/>
  <c r="BM723" i="115"/>
  <c r="BP723" i="115"/>
  <c r="BP725" i="115" s="1"/>
  <c r="BQ723" i="115"/>
  <c r="BX723" i="115"/>
  <c r="BY723" i="115"/>
  <c r="BY725" i="115" s="1"/>
  <c r="CB723" i="115"/>
  <c r="CC723" i="115"/>
  <c r="BN724" i="115"/>
  <c r="BR724" i="115"/>
  <c r="BV724" i="115"/>
  <c r="BZ724" i="115"/>
  <c r="CD724" i="115"/>
  <c r="BL725" i="115"/>
  <c r="BM725" i="115"/>
  <c r="A731" i="115"/>
  <c r="BP731" i="115"/>
  <c r="BQ731" i="115"/>
  <c r="BT731" i="115"/>
  <c r="BU731" i="115"/>
  <c r="BX731" i="115"/>
  <c r="BY731" i="115"/>
  <c r="CB731" i="115"/>
  <c r="CC731" i="115"/>
  <c r="A732" i="115"/>
  <c r="BP732" i="115"/>
  <c r="BQ732" i="115"/>
  <c r="CB732" i="115"/>
  <c r="CC732" i="115"/>
  <c r="A733" i="115"/>
  <c r="BP733" i="115"/>
  <c r="BQ733" i="115"/>
  <c r="BT733" i="115"/>
  <c r="BU733" i="115"/>
  <c r="BX733" i="115"/>
  <c r="BY733" i="115"/>
  <c r="CB733" i="115"/>
  <c r="CC733" i="115"/>
  <c r="A735" i="115"/>
  <c r="BM741" i="115"/>
  <c r="BN741" i="115" s="1"/>
  <c r="BR741" i="115"/>
  <c r="BV741" i="115"/>
  <c r="BZ741" i="115"/>
  <c r="CB741" i="115"/>
  <c r="BN742" i="115"/>
  <c r="BR742" i="115"/>
  <c r="BT742" i="115"/>
  <c r="BT1605" i="115" s="1"/>
  <c r="BZ742" i="115"/>
  <c r="CB742" i="115"/>
  <c r="BN743" i="115"/>
  <c r="BR743" i="115"/>
  <c r="BV743" i="115"/>
  <c r="BP754" i="115"/>
  <c r="BQ754" i="115"/>
  <c r="BN771" i="115"/>
  <c r="BR771" i="115"/>
  <c r="BV771" i="115"/>
  <c r="BZ771" i="115"/>
  <c r="CD771" i="115"/>
  <c r="BP772" i="115"/>
  <c r="BQ772" i="115"/>
  <c r="BT772" i="115"/>
  <c r="BU772" i="115"/>
  <c r="BX772" i="115"/>
  <c r="BY772" i="115"/>
  <c r="CB772" i="115"/>
  <c r="CC772" i="115"/>
  <c r="A788" i="115"/>
  <c r="A795" i="115" s="1"/>
  <c r="BH788" i="115"/>
  <c r="BI788" i="115"/>
  <c r="BL788" i="115"/>
  <c r="BM788" i="115"/>
  <c r="BP788" i="115"/>
  <c r="BQ788" i="115"/>
  <c r="BT788" i="115"/>
  <c r="BU788" i="115"/>
  <c r="BX788" i="115"/>
  <c r="BY788" i="115"/>
  <c r="CB788" i="115"/>
  <c r="CC788" i="115"/>
  <c r="A789" i="115"/>
  <c r="A796" i="115" s="1"/>
  <c r="BH789" i="115"/>
  <c r="BI789" i="115"/>
  <c r="BL789" i="115"/>
  <c r="BM789" i="115"/>
  <c r="BP789" i="115"/>
  <c r="BQ789" i="115"/>
  <c r="BT789" i="115"/>
  <c r="BU789" i="115"/>
  <c r="A790" i="115"/>
  <c r="A797" i="115" s="1"/>
  <c r="BX790" i="115"/>
  <c r="BY790" i="115"/>
  <c r="CB790" i="115"/>
  <c r="CC790" i="115"/>
  <c r="A792" i="115"/>
  <c r="BX792" i="115"/>
  <c r="BY792" i="115"/>
  <c r="BH805" i="115"/>
  <c r="BI805" i="115"/>
  <c r="BL805" i="115"/>
  <c r="BM805" i="115"/>
  <c r="BP805" i="115"/>
  <c r="BQ805" i="115"/>
  <c r="BJ807" i="115"/>
  <c r="BJ811" i="115" s="1"/>
  <c r="BI808" i="115"/>
  <c r="BM808" i="115"/>
  <c r="BQ808" i="115"/>
  <c r="BI809" i="115"/>
  <c r="BM809" i="115"/>
  <c r="BQ809" i="115"/>
  <c r="BI810" i="115"/>
  <c r="BM810" i="115"/>
  <c r="BQ810" i="115"/>
  <c r="BH811" i="115"/>
  <c r="BI807" i="115" s="1"/>
  <c r="BT811" i="115"/>
  <c r="BU811" i="115"/>
  <c r="BZ811" i="115"/>
  <c r="CD811" i="115"/>
  <c r="BY812" i="115"/>
  <c r="CB812" i="115"/>
  <c r="CC812" i="115"/>
  <c r="BJ816" i="115"/>
  <c r="BJ805" i="115" s="1"/>
  <c r="BN816" i="115"/>
  <c r="BN805" i="115" s="1"/>
  <c r="BR816" i="115"/>
  <c r="BR805" i="115" s="1"/>
  <c r="BT816" i="115"/>
  <c r="BT805" i="115" s="1"/>
  <c r="BU816" i="115"/>
  <c r="BU805" i="115" s="1"/>
  <c r="BV816" i="115"/>
  <c r="BV805" i="115" s="1"/>
  <c r="BX816" i="115"/>
  <c r="BX805" i="115" s="1"/>
  <c r="BY816" i="115"/>
  <c r="BY805" i="115" s="1"/>
  <c r="BZ816" i="115"/>
  <c r="BZ805" i="115" s="1"/>
  <c r="CB816" i="115"/>
  <c r="CB805" i="115" s="1"/>
  <c r="CC816" i="115"/>
  <c r="CD816" i="115"/>
  <c r="BZ821" i="115"/>
  <c r="CD821" i="115"/>
  <c r="BH825" i="115"/>
  <c r="BI825" i="115"/>
  <c r="BL825" i="115"/>
  <c r="BM825" i="115"/>
  <c r="BP825" i="115"/>
  <c r="BQ825" i="115"/>
  <c r="BT825" i="115"/>
  <c r="BU825" i="115"/>
  <c r="BI828" i="115"/>
  <c r="BJ828" i="115"/>
  <c r="BL828" i="115"/>
  <c r="BM828" i="115"/>
  <c r="BP828" i="115"/>
  <c r="BQ828" i="115"/>
  <c r="BT828" i="115"/>
  <c r="BV828" i="115" s="1"/>
  <c r="BU828" i="115"/>
  <c r="BI829" i="115"/>
  <c r="BJ829" i="115" s="1"/>
  <c r="BM829" i="115"/>
  <c r="BQ829" i="115"/>
  <c r="BR829" i="115" s="1"/>
  <c r="BT829" i="115"/>
  <c r="BH830" i="115"/>
  <c r="BZ832" i="115"/>
  <c r="CD832" i="115"/>
  <c r="BI834" i="115"/>
  <c r="BL834" i="115"/>
  <c r="BM834" i="115"/>
  <c r="BP834" i="115"/>
  <c r="BQ834" i="115"/>
  <c r="BT834" i="115"/>
  <c r="BU834" i="115"/>
  <c r="BX834" i="115"/>
  <c r="BY834" i="115"/>
  <c r="CB834" i="115"/>
  <c r="CC834" i="115"/>
  <c r="BH840" i="115"/>
  <c r="BH905" i="115" s="1"/>
  <c r="BI840" i="115"/>
  <c r="BI905" i="115" s="1"/>
  <c r="BL840" i="115"/>
  <c r="BL905" i="115" s="1"/>
  <c r="BM840" i="115"/>
  <c r="BM905" i="115" s="1"/>
  <c r="BP840" i="115"/>
  <c r="BP905" i="115" s="1"/>
  <c r="BQ840" i="115"/>
  <c r="BQ905" i="115" s="1"/>
  <c r="BT840" i="115"/>
  <c r="BU840" i="115"/>
  <c r="BU905" i="115" s="1"/>
  <c r="BX840" i="115"/>
  <c r="BY840" i="115"/>
  <c r="BY905" i="115" s="1"/>
  <c r="CB840" i="115"/>
  <c r="CB905" i="115" s="1"/>
  <c r="CC840" i="115"/>
  <c r="CC905" i="115" s="1"/>
  <c r="BL841" i="115"/>
  <c r="BL916" i="115" s="1"/>
  <c r="BM841" i="115"/>
  <c r="BM916" i="115" s="1"/>
  <c r="BP841" i="115"/>
  <c r="BP916" i="115" s="1"/>
  <c r="BQ841" i="115"/>
  <c r="BT841" i="115"/>
  <c r="BT916" i="115" s="1"/>
  <c r="BU841" i="115"/>
  <c r="BU916" i="115" s="1"/>
  <c r="BX841" i="115"/>
  <c r="BX916" i="115" s="1"/>
  <c r="BY841" i="115"/>
  <c r="BY916" i="115" s="1"/>
  <c r="CB841" i="115"/>
  <c r="CB916" i="115" s="1"/>
  <c r="CC841" i="115"/>
  <c r="BH842" i="115"/>
  <c r="BH925" i="115" s="1"/>
  <c r="BI842" i="115"/>
  <c r="BI925" i="115" s="1"/>
  <c r="BL842" i="115"/>
  <c r="BM842" i="115"/>
  <c r="BM925" i="115" s="1"/>
  <c r="BP842" i="115"/>
  <c r="BQ842" i="115"/>
  <c r="BQ925" i="115" s="1"/>
  <c r="BT842" i="115"/>
  <c r="BT925" i="115" s="1"/>
  <c r="BU842" i="115"/>
  <c r="BU925" i="115" s="1"/>
  <c r="BU922" i="115" s="1"/>
  <c r="BU931" i="115" s="1"/>
  <c r="BX842" i="115"/>
  <c r="BY842" i="115"/>
  <c r="BY925" i="115" s="1"/>
  <c r="BY922" i="115" s="1"/>
  <c r="BY931" i="115" s="1"/>
  <c r="CB842" i="115"/>
  <c r="CB925" i="115" s="1"/>
  <c r="CB922" i="115" s="1"/>
  <c r="CB931" i="115" s="1"/>
  <c r="CC842" i="115"/>
  <c r="BD848" i="115"/>
  <c r="BU883" i="115"/>
  <c r="BU1604" i="115" s="1"/>
  <c r="BX883" i="115"/>
  <c r="BY883" i="115"/>
  <c r="BY1604" i="115" s="1"/>
  <c r="CB883" i="115"/>
  <c r="CC883" i="115"/>
  <c r="CC1604" i="115" s="1"/>
  <c r="BP884" i="115"/>
  <c r="BQ884" i="115"/>
  <c r="BT884" i="115"/>
  <c r="BU884" i="115"/>
  <c r="BX884" i="115"/>
  <c r="BY884" i="115"/>
  <c r="CB884" i="115"/>
  <c r="CC884" i="115"/>
  <c r="BR948" i="115"/>
  <c r="BV948" i="115"/>
  <c r="BZ948" i="115"/>
  <c r="CD948" i="115"/>
  <c r="CD890" i="115" s="1"/>
  <c r="CP890" i="115"/>
  <c r="BF908" i="115"/>
  <c r="BJ908" i="115"/>
  <c r="BN908" i="115"/>
  <c r="BR908" i="115"/>
  <c r="BV908" i="115"/>
  <c r="BZ908" i="115"/>
  <c r="CD908" i="115"/>
  <c r="BE909" i="115"/>
  <c r="BH909" i="115"/>
  <c r="BI909" i="115"/>
  <c r="BL909" i="115"/>
  <c r="BM909" i="115"/>
  <c r="BP909" i="115"/>
  <c r="BQ909" i="115"/>
  <c r="BT909" i="115"/>
  <c r="BU909" i="115"/>
  <c r="BX909" i="115"/>
  <c r="BY909" i="115"/>
  <c r="CB909" i="115"/>
  <c r="CC909" i="115"/>
  <c r="BH910" i="115"/>
  <c r="BI910" i="115"/>
  <c r="BL910" i="115"/>
  <c r="BM910" i="115"/>
  <c r="BP910" i="115"/>
  <c r="BQ910" i="115"/>
  <c r="BT910" i="115"/>
  <c r="BU910" i="115"/>
  <c r="BX910" i="115"/>
  <c r="BY910" i="115"/>
  <c r="CB910" i="115"/>
  <c r="CC910" i="115"/>
  <c r="BH911" i="115"/>
  <c r="BI911" i="115"/>
  <c r="BL911" i="115"/>
  <c r="BM911" i="115"/>
  <c r="BP911" i="115"/>
  <c r="BQ911" i="115"/>
  <c r="BT911" i="115"/>
  <c r="BU911" i="115"/>
  <c r="BX911" i="115"/>
  <c r="BY911" i="115"/>
  <c r="BT883" i="115"/>
  <c r="BZ923" i="115"/>
  <c r="CD923" i="115"/>
  <c r="CD883" i="115" s="1"/>
  <c r="BH929" i="115"/>
  <c r="BI929" i="115"/>
  <c r="BL929" i="115"/>
  <c r="BM929" i="115"/>
  <c r="BP929" i="115"/>
  <c r="BQ929" i="115"/>
  <c r="BT929" i="115"/>
  <c r="BU929" i="115"/>
  <c r="BX929" i="115"/>
  <c r="BY929" i="115"/>
  <c r="CB929" i="115"/>
  <c r="A933" i="115"/>
  <c r="A934" i="115"/>
  <c r="A935" i="115"/>
  <c r="BR942" i="115"/>
  <c r="BR884" i="115" s="1"/>
  <c r="BV942" i="115"/>
  <c r="BZ942" i="115"/>
  <c r="CD942" i="115"/>
  <c r="BR944" i="115"/>
  <c r="BV944" i="115"/>
  <c r="BZ944" i="115"/>
  <c r="CD944" i="115"/>
  <c r="A955" i="115"/>
  <c r="BH961" i="115"/>
  <c r="BH969" i="115" s="1"/>
  <c r="BI961" i="115"/>
  <c r="BI969" i="115" s="1"/>
  <c r="BL961" i="115"/>
  <c r="BL969" i="115" s="1"/>
  <c r="BM961" i="115"/>
  <c r="BM969" i="115" s="1"/>
  <c r="BP961" i="115"/>
  <c r="BP969" i="115" s="1"/>
  <c r="BQ961" i="115"/>
  <c r="BQ969" i="115" s="1"/>
  <c r="BT961" i="115"/>
  <c r="BT969" i="115" s="1"/>
  <c r="BU961" i="115"/>
  <c r="BU969" i="115" s="1"/>
  <c r="BX961" i="115"/>
  <c r="BX969" i="115" s="1"/>
  <c r="BY961" i="115"/>
  <c r="BY969" i="115" s="1"/>
  <c r="CB961" i="115"/>
  <c r="CB969" i="115" s="1"/>
  <c r="CC961" i="115"/>
  <c r="CC969" i="115" s="1"/>
  <c r="BJ964" i="115"/>
  <c r="BN964" i="115"/>
  <c r="BR964" i="115"/>
  <c r="BV964" i="115"/>
  <c r="BZ964" i="115"/>
  <c r="CD964" i="115"/>
  <c r="BH966" i="115"/>
  <c r="BI963" i="115" s="1"/>
  <c r="BI966" i="115"/>
  <c r="BL966" i="115"/>
  <c r="BM966" i="115"/>
  <c r="BP966" i="115"/>
  <c r="BQ963" i="115" s="1"/>
  <c r="BQ966" i="115"/>
  <c r="BT966" i="115"/>
  <c r="BU966" i="115"/>
  <c r="BX966" i="115"/>
  <c r="BY966" i="115"/>
  <c r="CB966" i="115"/>
  <c r="CC966" i="115"/>
  <c r="BH990" i="115"/>
  <c r="BI990" i="115"/>
  <c r="BL990" i="115"/>
  <c r="BM990" i="115"/>
  <c r="BP990" i="115"/>
  <c r="BQ990" i="115"/>
  <c r="BT990" i="115"/>
  <c r="BY996" i="115"/>
  <c r="BZ996" i="115" s="1"/>
  <c r="BZ999" i="115"/>
  <c r="BZ1003" i="115"/>
  <c r="BZ597" i="115" s="1"/>
  <c r="CD1003" i="115"/>
  <c r="BY1004" i="115"/>
  <c r="CB1004" i="115"/>
  <c r="CC1004" i="115"/>
  <c r="BX1014" i="115"/>
  <c r="BI1016" i="115"/>
  <c r="BN1016" i="115"/>
  <c r="BR1016" i="115"/>
  <c r="BV1016" i="115"/>
  <c r="BZ1016" i="115"/>
  <c r="CD1016" i="115"/>
  <c r="BI1017" i="115"/>
  <c r="BN1017" i="115"/>
  <c r="BR1017" i="115"/>
  <c r="BV1017" i="115"/>
  <c r="BZ1017" i="115"/>
  <c r="CD1017" i="115"/>
  <c r="BI1018" i="115"/>
  <c r="BN1018" i="115"/>
  <c r="BR1018" i="115"/>
  <c r="BV1018" i="115"/>
  <c r="BZ1018" i="115"/>
  <c r="CD1018" i="115"/>
  <c r="BI1019" i="115"/>
  <c r="BN1019" i="115"/>
  <c r="BR1019" i="115"/>
  <c r="BV1019" i="115"/>
  <c r="BZ1019" i="115"/>
  <c r="CD1019" i="115"/>
  <c r="BI1020" i="115"/>
  <c r="BN1020" i="115"/>
  <c r="BR1020" i="115"/>
  <c r="BV1020" i="115"/>
  <c r="BZ1020" i="115"/>
  <c r="CD1020" i="115"/>
  <c r="BI1021" i="115"/>
  <c r="BN1021" i="115"/>
  <c r="BR1021" i="115"/>
  <c r="BV1021" i="115"/>
  <c r="BZ1021" i="115"/>
  <c r="CD1021" i="115"/>
  <c r="BV1022" i="115"/>
  <c r="BZ1022" i="115"/>
  <c r="CD1022" i="115"/>
  <c r="BI1023" i="115"/>
  <c r="BN1023" i="115"/>
  <c r="BR1023" i="115"/>
  <c r="BV1023" i="115"/>
  <c r="BZ1023" i="115"/>
  <c r="CD1023" i="115"/>
  <c r="BH1024" i="115"/>
  <c r="BH40" i="115" s="1"/>
  <c r="BJ1024" i="115"/>
  <c r="BL1024" i="115"/>
  <c r="BM1024" i="115"/>
  <c r="BP1024" i="115"/>
  <c r="BQ1024" i="115"/>
  <c r="BT1024" i="115"/>
  <c r="BU1024" i="115"/>
  <c r="BX1024" i="115"/>
  <c r="BY1024" i="115"/>
  <c r="CB1024" i="115"/>
  <c r="CC1024" i="115"/>
  <c r="BJ1027" i="115"/>
  <c r="BN1027" i="115"/>
  <c r="BR1027" i="115"/>
  <c r="BV1027" i="115"/>
  <c r="BY1027" i="115"/>
  <c r="CD1027" i="115"/>
  <c r="BX1030" i="115"/>
  <c r="BX1036" i="115" s="1"/>
  <c r="BY1030" i="115"/>
  <c r="BZ1033" i="115"/>
  <c r="CD1033" i="115"/>
  <c r="BZ1035" i="115"/>
  <c r="CB1035" i="115"/>
  <c r="CD1035" i="115" s="1"/>
  <c r="CC1036" i="115"/>
  <c r="BJ1040" i="115"/>
  <c r="BN1040" i="115"/>
  <c r="BR1040" i="115"/>
  <c r="BV1040" i="115"/>
  <c r="BZ1040" i="115"/>
  <c r="CD1040" i="115"/>
  <c r="BJ1041" i="115"/>
  <c r="BN1041" i="115"/>
  <c r="BR1041" i="115"/>
  <c r="BV1041" i="115"/>
  <c r="BZ1041" i="115"/>
  <c r="CD1041" i="115"/>
  <c r="BJ1042" i="115"/>
  <c r="BN1042" i="115"/>
  <c r="BR1042" i="115"/>
  <c r="BV1042" i="115"/>
  <c r="BZ1042" i="115"/>
  <c r="CD1042" i="115"/>
  <c r="BH1043" i="115"/>
  <c r="BI1043" i="115"/>
  <c r="BL1043" i="115"/>
  <c r="BM1043" i="115"/>
  <c r="BP1043" i="115"/>
  <c r="BQ1043" i="115"/>
  <c r="BT1043" i="115"/>
  <c r="BU1043" i="115"/>
  <c r="BX1043" i="115"/>
  <c r="BY1043" i="115"/>
  <c r="CB1043" i="115"/>
  <c r="CC1043" i="115"/>
  <c r="BJ1044" i="115"/>
  <c r="BN1044" i="115"/>
  <c r="BR1044" i="115"/>
  <c r="BV1044" i="115"/>
  <c r="BZ1044" i="115"/>
  <c r="CD1044" i="115"/>
  <c r="BJ1045" i="115"/>
  <c r="BN1045" i="115"/>
  <c r="BR1045" i="115"/>
  <c r="BV1045" i="115"/>
  <c r="BZ1045" i="115"/>
  <c r="CD1045" i="115"/>
  <c r="BJ1058" i="115"/>
  <c r="BJ1059" i="115"/>
  <c r="BN1059" i="115"/>
  <c r="BQ1059" i="115"/>
  <c r="BV1059" i="115"/>
  <c r="BZ1059" i="115"/>
  <c r="CD1059" i="115"/>
  <c r="BJ1060" i="115"/>
  <c r="BN1060" i="115"/>
  <c r="BQ1060" i="115"/>
  <c r="BU1060" i="115"/>
  <c r="BV1060" i="115" s="1"/>
  <c r="BZ1060" i="115"/>
  <c r="CD1060" i="115"/>
  <c r="BJ1061" i="115"/>
  <c r="BN1061" i="115"/>
  <c r="BR1061" i="115"/>
  <c r="BV1061" i="115"/>
  <c r="BZ1061" i="115"/>
  <c r="CD1061" i="115"/>
  <c r="BJ1062" i="115"/>
  <c r="BN1062" i="115"/>
  <c r="BR1062" i="115"/>
  <c r="BV1062" i="115"/>
  <c r="BZ1062" i="115"/>
  <c r="CB1062" i="115"/>
  <c r="CC1062" i="115" s="1"/>
  <c r="BJ1063" i="115"/>
  <c r="BN1063" i="115"/>
  <c r="BR1063" i="115"/>
  <c r="BT1063" i="115"/>
  <c r="BU1063" i="115" s="1"/>
  <c r="BV1063" i="115" s="1"/>
  <c r="BX1063" i="115"/>
  <c r="BY1063" i="115" s="1"/>
  <c r="BZ1063" i="115" s="1"/>
  <c r="CD1063" i="115"/>
  <c r="BH1065" i="115"/>
  <c r="BH1311" i="115" s="1"/>
  <c r="BI1065" i="115"/>
  <c r="BI1311" i="115" s="1"/>
  <c r="BL1065" i="115"/>
  <c r="BM1058" i="115" s="1"/>
  <c r="BM1065" i="115"/>
  <c r="BP1058" i="115" s="1"/>
  <c r="BR1058" i="115" s="1"/>
  <c r="BP1065" i="115"/>
  <c r="BQ1065" i="115"/>
  <c r="BT1065" i="115"/>
  <c r="BU1065" i="115"/>
  <c r="BU1311" i="115" s="1"/>
  <c r="BX1065" i="115"/>
  <c r="BX1311" i="115" s="1"/>
  <c r="BY1065" i="115"/>
  <c r="CB1058" i="115" s="1"/>
  <c r="CD1058" i="115" s="1"/>
  <c r="CB1065" i="115"/>
  <c r="CC1065" i="115"/>
  <c r="BJ1068" i="115"/>
  <c r="BJ1069" i="115"/>
  <c r="BN1069" i="115"/>
  <c r="BR1069" i="115"/>
  <c r="BV1069" i="115"/>
  <c r="BZ1069" i="115"/>
  <c r="CD1069" i="115"/>
  <c r="BJ1070" i="115"/>
  <c r="BN1070" i="115"/>
  <c r="BR1070" i="115"/>
  <c r="BV1070" i="115"/>
  <c r="BZ1070" i="115"/>
  <c r="CD1070" i="115"/>
  <c r="BJ1071" i="115"/>
  <c r="BN1071" i="115"/>
  <c r="BQ1071" i="115"/>
  <c r="BR1071" i="115" s="1"/>
  <c r="BU1071" i="115"/>
  <c r="BV1071" i="115" s="1"/>
  <c r="BY1071" i="115"/>
  <c r="BZ1071" i="115" s="1"/>
  <c r="CC1071" i="115"/>
  <c r="CD1071" i="115" s="1"/>
  <c r="BH1074" i="115"/>
  <c r="BI1074" i="115"/>
  <c r="BL1074" i="115"/>
  <c r="BP1074" i="115"/>
  <c r="BQ1074" i="115"/>
  <c r="BT1074" i="115"/>
  <c r="BU1074" i="115"/>
  <c r="BX1074" i="115"/>
  <c r="CB1074" i="115"/>
  <c r="BJ1075" i="115"/>
  <c r="BN1075" i="115"/>
  <c r="BR1075" i="115"/>
  <c r="BV1075" i="115"/>
  <c r="BZ1075" i="115"/>
  <c r="CD1075" i="115"/>
  <c r="BJ1076" i="115"/>
  <c r="BN1076" i="115"/>
  <c r="BQ1076" i="115"/>
  <c r="BR1076" i="115" s="1"/>
  <c r="BU1076" i="115"/>
  <c r="BY1076" i="115"/>
  <c r="CC1076" i="115"/>
  <c r="CD1076" i="115" s="1"/>
  <c r="BH1078" i="115"/>
  <c r="BI1068" i="115" s="1"/>
  <c r="BI1078" i="115"/>
  <c r="BL1068" i="115" s="1"/>
  <c r="BN1068" i="115" s="1"/>
  <c r="BL1078" i="115"/>
  <c r="BM1068" i="115" s="1"/>
  <c r="BM1078" i="115"/>
  <c r="BP1068" i="115" s="1"/>
  <c r="BR1068" i="115" s="1"/>
  <c r="BP1078" i="115"/>
  <c r="BQ1068" i="115" s="1"/>
  <c r="BQ1078" i="115"/>
  <c r="BT1068" i="115" s="1"/>
  <c r="BT1078" i="115"/>
  <c r="BU1068" i="115" s="1"/>
  <c r="BU1078" i="115"/>
  <c r="BX1068" i="115" s="1"/>
  <c r="BZ1068" i="115" s="1"/>
  <c r="BX1078" i="115"/>
  <c r="BY1068" i="115" s="1"/>
  <c r="BY1078" i="115"/>
  <c r="CB1078" i="115"/>
  <c r="CC1068" i="115" s="1"/>
  <c r="CC1078" i="115"/>
  <c r="CF1068" i="115" s="1"/>
  <c r="CH1068" i="115" s="1"/>
  <c r="BJ1081" i="115"/>
  <c r="BJ1082" i="115"/>
  <c r="BN1082" i="115"/>
  <c r="BR1082" i="115"/>
  <c r="BV1082" i="115"/>
  <c r="BZ1082" i="115"/>
  <c r="CD1082" i="115"/>
  <c r="BJ1083" i="115"/>
  <c r="BM1083" i="115"/>
  <c r="BR1083" i="115"/>
  <c r="BV1083" i="115"/>
  <c r="BY1083" i="115"/>
  <c r="BZ1083" i="115" s="1"/>
  <c r="BH1085" i="115"/>
  <c r="BI1085" i="115"/>
  <c r="BL1085" i="115"/>
  <c r="BM1081" i="115" s="1"/>
  <c r="BM1085" i="115"/>
  <c r="BP1081" i="115" s="1"/>
  <c r="BP1085" i="115"/>
  <c r="BQ1081" i="115" s="1"/>
  <c r="BQ1085" i="115"/>
  <c r="BT1081" i="115" s="1"/>
  <c r="BV1081" i="115" s="1"/>
  <c r="BT1085" i="115"/>
  <c r="BU1085" i="115"/>
  <c r="BX1085" i="115"/>
  <c r="BY1081" i="115" s="1"/>
  <c r="BY1085" i="115"/>
  <c r="CB1081" i="115" s="1"/>
  <c r="CD1081" i="115" s="1"/>
  <c r="CB1085" i="115"/>
  <c r="CC1081" i="115" s="1"/>
  <c r="CC1085" i="115"/>
  <c r="CF1081" i="115" s="1"/>
  <c r="BJ1088" i="115"/>
  <c r="BH1090" i="115"/>
  <c r="BI1090" i="115"/>
  <c r="BL1088" i="115" s="1"/>
  <c r="BN1088" i="115" s="1"/>
  <c r="BL1090" i="115"/>
  <c r="BM1088" i="115" s="1"/>
  <c r="BM1090" i="115"/>
  <c r="BP1088" i="115" s="1"/>
  <c r="BR1088" i="115" s="1"/>
  <c r="BP1090" i="115"/>
  <c r="BQ1088" i="115" s="1"/>
  <c r="BQ1090" i="115"/>
  <c r="BT1090" i="115"/>
  <c r="BU1088" i="115" s="1"/>
  <c r="BU1090" i="115"/>
  <c r="BX1088" i="115" s="1"/>
  <c r="BX1090" i="115"/>
  <c r="BY1088" i="115" s="1"/>
  <c r="BY1090" i="115"/>
  <c r="CB1088" i="115" s="1"/>
  <c r="CB1090" i="115"/>
  <c r="CC1088" i="115" s="1"/>
  <c r="CC1090" i="115"/>
  <c r="CF1088" i="115" s="1"/>
  <c r="BJ1093" i="115"/>
  <c r="BH1095" i="115"/>
  <c r="BH1094" i="115" s="1"/>
  <c r="BI1095" i="115"/>
  <c r="BL1093" i="115" s="1"/>
  <c r="BN1093" i="115" s="1"/>
  <c r="BL1095" i="115"/>
  <c r="BM1095" i="115"/>
  <c r="BP1093" i="115" s="1"/>
  <c r="BR1093" i="115" s="1"/>
  <c r="BP1095" i="115"/>
  <c r="BQ1093" i="115" s="1"/>
  <c r="BQ1095" i="115"/>
  <c r="BT1095" i="115"/>
  <c r="BU1093" i="115" s="1"/>
  <c r="BU1095" i="115"/>
  <c r="BX1093" i="115" s="1"/>
  <c r="BX1095" i="115"/>
  <c r="BY1093" i="115" s="1"/>
  <c r="BY1095" i="115"/>
  <c r="CB1093" i="115" s="1"/>
  <c r="CB1095" i="115"/>
  <c r="CC1093" i="115" s="1"/>
  <c r="CC1095" i="115"/>
  <c r="CF1093" i="115" s="1"/>
  <c r="CH1093" i="115" s="1"/>
  <c r="BH1101" i="115"/>
  <c r="BH1106" i="115" s="1"/>
  <c r="BI1101" i="115"/>
  <c r="BI1106" i="115" s="1"/>
  <c r="BI1202" i="115" s="1"/>
  <c r="BL1101" i="115"/>
  <c r="BN1101" i="115" s="1"/>
  <c r="BM1101" i="115"/>
  <c r="BM1106" i="115" s="1"/>
  <c r="BM1202" i="115" s="1"/>
  <c r="BP1101" i="115"/>
  <c r="BQ1101" i="115"/>
  <c r="BT1101" i="115"/>
  <c r="BU1101" i="115"/>
  <c r="BU1106" i="115" s="1"/>
  <c r="BX1101" i="115"/>
  <c r="BZ1101" i="115" s="1"/>
  <c r="BY1101" i="115"/>
  <c r="BY1106" i="115" s="1"/>
  <c r="CB1101" i="115"/>
  <c r="CD1101" i="115" s="1"/>
  <c r="CC1101" i="115"/>
  <c r="CC1106" i="115" s="1"/>
  <c r="CC1202" i="115" s="1"/>
  <c r="BJ1102" i="115"/>
  <c r="BN1102" i="115"/>
  <c r="BQ1102" i="115"/>
  <c r="BR1102" i="115" s="1"/>
  <c r="BV1102" i="115"/>
  <c r="BZ1102" i="115"/>
  <c r="CD1102" i="115"/>
  <c r="BJ1103" i="115"/>
  <c r="BN1103" i="115"/>
  <c r="BR1103" i="115"/>
  <c r="BV1103" i="115"/>
  <c r="BZ1103" i="115"/>
  <c r="CD1103" i="115"/>
  <c r="BJ1104" i="115"/>
  <c r="BN1104" i="115"/>
  <c r="BR1104" i="115"/>
  <c r="BV1104" i="115"/>
  <c r="BZ1104" i="115"/>
  <c r="BJ1105" i="115"/>
  <c r="BN1105" i="115"/>
  <c r="BR1105" i="115"/>
  <c r="BV1105" i="115"/>
  <c r="BZ1105" i="115"/>
  <c r="BF1107" i="115"/>
  <c r="BS1107" i="115"/>
  <c r="BF1108" i="115"/>
  <c r="BJ1108" i="115"/>
  <c r="BN1108" i="115"/>
  <c r="BR1108" i="115"/>
  <c r="BV1108" i="115"/>
  <c r="BZ1108" i="115"/>
  <c r="CD1108" i="115"/>
  <c r="BH1111" i="115"/>
  <c r="BH1112" i="115" s="1"/>
  <c r="BI1111" i="115"/>
  <c r="BI1112" i="115" s="1"/>
  <c r="BL1111" i="115"/>
  <c r="BL1112" i="115" s="1"/>
  <c r="BM1111" i="115"/>
  <c r="BM1112" i="115" s="1"/>
  <c r="BP1111" i="115"/>
  <c r="BP1112" i="115" s="1"/>
  <c r="BQ1111" i="115"/>
  <c r="BQ1112" i="115" s="1"/>
  <c r="BT1111" i="115"/>
  <c r="BT1112" i="115" s="1"/>
  <c r="BU1111" i="115"/>
  <c r="BU1112" i="115" s="1"/>
  <c r="BX1111" i="115"/>
  <c r="BX1112" i="115" s="1"/>
  <c r="BY1111" i="115"/>
  <c r="BY1112" i="115" s="1"/>
  <c r="CB1111" i="115"/>
  <c r="CB1112" i="115" s="1"/>
  <c r="CC1111" i="115"/>
  <c r="CC1112" i="115" s="1"/>
  <c r="BH1115" i="115"/>
  <c r="BI1115" i="115"/>
  <c r="BL1115" i="115"/>
  <c r="BM1115" i="115"/>
  <c r="BP1115" i="115"/>
  <c r="BQ1115" i="115"/>
  <c r="BT1115" i="115"/>
  <c r="BU1115" i="115"/>
  <c r="BX1115" i="115"/>
  <c r="BY1115" i="115"/>
  <c r="CB1115" i="115"/>
  <c r="CC1115" i="115"/>
  <c r="BF1125" i="115"/>
  <c r="BF1163" i="115" s="1"/>
  <c r="BJ1125" i="115"/>
  <c r="BN1125" i="115"/>
  <c r="BR1125" i="115"/>
  <c r="BV1125" i="115"/>
  <c r="BZ1125" i="115"/>
  <c r="CD1125" i="115"/>
  <c r="BF1126" i="115"/>
  <c r="BJ1126" i="115"/>
  <c r="AD48" i="117" s="1"/>
  <c r="BN1126" i="115"/>
  <c r="BR1126" i="115"/>
  <c r="BV1126" i="115"/>
  <c r="BZ1126" i="115"/>
  <c r="CD1126" i="115"/>
  <c r="BD1127" i="115"/>
  <c r="BE1127" i="115"/>
  <c r="BH1127" i="115"/>
  <c r="BI1127" i="115"/>
  <c r="BL1127" i="115"/>
  <c r="BM1127" i="115"/>
  <c r="BP1127" i="115"/>
  <c r="BQ1127" i="115"/>
  <c r="BT1127" i="115"/>
  <c r="BU1127" i="115"/>
  <c r="BX1127" i="115"/>
  <c r="BY1127" i="115"/>
  <c r="CB1127" i="115"/>
  <c r="CC1127" i="115"/>
  <c r="BH1128" i="115"/>
  <c r="BI1128" i="115"/>
  <c r="BL1128" i="115"/>
  <c r="BM1128" i="115"/>
  <c r="BP1128" i="115"/>
  <c r="BQ1128" i="115"/>
  <c r="BT1128" i="115"/>
  <c r="BU1128" i="115"/>
  <c r="BX1128" i="115"/>
  <c r="BY1128" i="115"/>
  <c r="CB1128" i="115"/>
  <c r="CC1128" i="115"/>
  <c r="BD1130" i="115"/>
  <c r="BE1130" i="115"/>
  <c r="BF1130" i="115"/>
  <c r="BD1131" i="115"/>
  <c r="BE1131" i="115"/>
  <c r="BE1132" i="115" s="1"/>
  <c r="BH1131" i="115"/>
  <c r="BI1131" i="115"/>
  <c r="BJ1131" i="115" s="1"/>
  <c r="BL1131" i="115"/>
  <c r="BM1131" i="115"/>
  <c r="BN1131" i="115" s="1"/>
  <c r="BP1131" i="115"/>
  <c r="BQ1131" i="115"/>
  <c r="BQ1132" i="115" s="1"/>
  <c r="BT1131" i="115"/>
  <c r="BU1131" i="115"/>
  <c r="BV1131" i="115" s="1"/>
  <c r="BX1131" i="115"/>
  <c r="BY1131" i="115"/>
  <c r="CB1131" i="115"/>
  <c r="CC1131" i="115"/>
  <c r="CC1133" i="115" s="1"/>
  <c r="BD1163" i="115"/>
  <c r="BD1166" i="115" s="1"/>
  <c r="BE1163" i="115"/>
  <c r="BE1166" i="115" s="1"/>
  <c r="BH1163" i="115"/>
  <c r="BH1166" i="115" s="1"/>
  <c r="BI1163" i="115"/>
  <c r="BI1166" i="115" s="1"/>
  <c r="BL1163" i="115"/>
  <c r="BL1166" i="115" s="1"/>
  <c r="BM1163" i="115"/>
  <c r="BM1166" i="115" s="1"/>
  <c r="BP1163" i="115"/>
  <c r="BP1166" i="115" s="1"/>
  <c r="BQ1163" i="115"/>
  <c r="BQ1166" i="115" s="1"/>
  <c r="BT1163" i="115"/>
  <c r="BT1166" i="115" s="1"/>
  <c r="BU1163" i="115"/>
  <c r="BU1166" i="115" s="1"/>
  <c r="BX1163" i="115"/>
  <c r="BX1166" i="115" s="1"/>
  <c r="BY1163" i="115"/>
  <c r="BY1166" i="115" s="1"/>
  <c r="CB1163" i="115"/>
  <c r="CB1166" i="115" s="1"/>
  <c r="CC1163" i="115"/>
  <c r="CC1166" i="115" s="1"/>
  <c r="BH1171" i="115"/>
  <c r="BI1171" i="115"/>
  <c r="BM1171" i="115"/>
  <c r="BM1175" i="115" s="1"/>
  <c r="BP1171" i="115"/>
  <c r="BP1175" i="115" s="1"/>
  <c r="BQ1171" i="115"/>
  <c r="BQ1175" i="115" s="1"/>
  <c r="BT1171" i="115"/>
  <c r="BU1171" i="115"/>
  <c r="BX1171" i="115"/>
  <c r="BH1173" i="115"/>
  <c r="BI1173" i="115"/>
  <c r="BH1175" i="115"/>
  <c r="BI1175" i="115"/>
  <c r="BH1176" i="115"/>
  <c r="BI1176" i="115"/>
  <c r="BM1176" i="115"/>
  <c r="BP1176" i="115"/>
  <c r="BQ1176" i="115"/>
  <c r="BT1176" i="115"/>
  <c r="BU1176" i="115"/>
  <c r="BX1176" i="115"/>
  <c r="BQ1177" i="115"/>
  <c r="CS1182" i="115"/>
  <c r="DA1182" i="115" s="1"/>
  <c r="DH1182" i="115" s="1"/>
  <c r="DI1182" i="115" s="1"/>
  <c r="DL1182" i="115" s="1"/>
  <c r="DM1182" i="115" s="1"/>
  <c r="DP1182" i="115" s="1"/>
  <c r="DQ1182" i="115" s="1"/>
  <c r="DI1185" i="115"/>
  <c r="DL1185" i="115" s="1"/>
  <c r="DM1185" i="115" s="1"/>
  <c r="DP1185" i="115" s="1"/>
  <c r="DQ1185" i="115" s="1"/>
  <c r="BP1187" i="115"/>
  <c r="BP1188" i="115"/>
  <c r="BM1198" i="115"/>
  <c r="BM1199" i="115" s="1"/>
  <c r="BH1209" i="115"/>
  <c r="BI1209" i="115"/>
  <c r="BL1209" i="115"/>
  <c r="BM1209" i="115"/>
  <c r="BP1209" i="115"/>
  <c r="BQ1209" i="115"/>
  <c r="BT1209" i="115"/>
  <c r="BU1209" i="115"/>
  <c r="BX1209" i="115"/>
  <c r="BY1209" i="115"/>
  <c r="CB1209" i="115"/>
  <c r="CC1209" i="115"/>
  <c r="BH1213" i="115"/>
  <c r="BI1213" i="115"/>
  <c r="BJ1213" i="115"/>
  <c r="BL1213" i="115"/>
  <c r="BM1213" i="115"/>
  <c r="BN1213" i="115"/>
  <c r="BP1213" i="115"/>
  <c r="BQ1213" i="115"/>
  <c r="BR1213" i="115"/>
  <c r="BT1213" i="115"/>
  <c r="BU1213" i="115"/>
  <c r="BV1213" i="115"/>
  <c r="BX1213" i="115"/>
  <c r="BY1213" i="115"/>
  <c r="BZ1213" i="115"/>
  <c r="CB1213" i="115"/>
  <c r="CC1213" i="115"/>
  <c r="CD1213" i="115"/>
  <c r="BN1218" i="115"/>
  <c r="BN1240" i="115" s="1"/>
  <c r="BR1218" i="115"/>
  <c r="BR1240" i="115" s="1"/>
  <c r="BV1218" i="115"/>
  <c r="BZ1218" i="115"/>
  <c r="BZ1240" i="115" s="1"/>
  <c r="CD1218" i="115"/>
  <c r="BH1221" i="115"/>
  <c r="BI1221" i="115"/>
  <c r="BJ1221" i="115"/>
  <c r="BL1221" i="115"/>
  <c r="BM1221" i="115"/>
  <c r="BN1221" i="115"/>
  <c r="BP1221" i="115"/>
  <c r="BQ1221" i="115"/>
  <c r="BR1221" i="115"/>
  <c r="BT1221" i="115"/>
  <c r="BU1221" i="115"/>
  <c r="BV1221" i="115"/>
  <c r="BX1221" i="115"/>
  <c r="BY1221" i="115"/>
  <c r="BZ1221" i="115"/>
  <c r="CB1221" i="115"/>
  <c r="CC1221" i="115"/>
  <c r="CD1221" i="115"/>
  <c r="BH1224" i="115"/>
  <c r="BI1224" i="115"/>
  <c r="BL1224" i="115"/>
  <c r="BM1224" i="115"/>
  <c r="BP1224" i="115"/>
  <c r="BQ1224" i="115"/>
  <c r="BT1224" i="115"/>
  <c r="BU1224" i="115"/>
  <c r="BX1224" i="115"/>
  <c r="BY1224" i="115"/>
  <c r="CB1224" i="115"/>
  <c r="CC1224" i="115"/>
  <c r="AB45" i="117"/>
  <c r="AB61" i="117" s="1"/>
  <c r="AD45" i="117"/>
  <c r="AG45" i="117"/>
  <c r="AN45" i="117"/>
  <c r="BN1268" i="115"/>
  <c r="BR1268" i="115"/>
  <c r="BV1268" i="115"/>
  <c r="BZ1268" i="115"/>
  <c r="CD1268" i="115"/>
  <c r="BN1269" i="115"/>
  <c r="BR1269" i="115"/>
  <c r="BV1269" i="115"/>
  <c r="BZ1269" i="115"/>
  <c r="CD1269" i="115"/>
  <c r="BN1270" i="115"/>
  <c r="BR1270" i="115"/>
  <c r="BV1270" i="115"/>
  <c r="BZ1270" i="115"/>
  <c r="CD1270" i="115"/>
  <c r="BP1271" i="115"/>
  <c r="BQ1271" i="115"/>
  <c r="BT1271" i="115"/>
  <c r="BT1272" i="115" s="1"/>
  <c r="BU1271" i="115"/>
  <c r="BX1271" i="115"/>
  <c r="BY1271" i="115"/>
  <c r="CB1271" i="115"/>
  <c r="CC1271" i="115"/>
  <c r="BP1274" i="115"/>
  <c r="BN1274" i="115" s="1"/>
  <c r="BR1274" i="115"/>
  <c r="BV1274" i="115"/>
  <c r="BZ1274" i="115"/>
  <c r="CD1274" i="115"/>
  <c r="BP1275" i="115"/>
  <c r="BN1275" i="115" s="1"/>
  <c r="BR1275" i="115"/>
  <c r="BV1275" i="115"/>
  <c r="BZ1275" i="115"/>
  <c r="CD1275" i="115"/>
  <c r="BJ1282" i="115"/>
  <c r="BN1282" i="115"/>
  <c r="BR1282" i="115"/>
  <c r="BV1282" i="115"/>
  <c r="BZ1282" i="115"/>
  <c r="CD1282" i="115"/>
  <c r="BJ1283" i="115"/>
  <c r="BN1283" i="115"/>
  <c r="BR1283" i="115"/>
  <c r="BV1283" i="115"/>
  <c r="BZ1283" i="115"/>
  <c r="CD1283" i="115"/>
  <c r="BH1284" i="115"/>
  <c r="BI1284" i="115"/>
  <c r="BJ1284" i="115" s="1"/>
  <c r="BL1284" i="115"/>
  <c r="BM1284" i="115"/>
  <c r="BN1284" i="115" s="1"/>
  <c r="BP1284" i="115"/>
  <c r="BQ1284" i="115"/>
  <c r="BR1284" i="115" s="1"/>
  <c r="BT1284" i="115"/>
  <c r="BU1284" i="115"/>
  <c r="BV1284" i="115" s="1"/>
  <c r="BX1284" i="115"/>
  <c r="BY1284" i="115"/>
  <c r="BZ1284" i="115" s="1"/>
  <c r="CB1284" i="115"/>
  <c r="CC1284" i="115"/>
  <c r="CD1284" i="115" s="1"/>
  <c r="BJ1285" i="115"/>
  <c r="BN1285" i="115"/>
  <c r="BR1285" i="115"/>
  <c r="BV1285" i="115"/>
  <c r="BZ1285" i="115"/>
  <c r="CD1285" i="115"/>
  <c r="BJ1286" i="115"/>
  <c r="BN1286" i="115"/>
  <c r="BR1286" i="115"/>
  <c r="BV1286" i="115"/>
  <c r="BZ1286" i="115"/>
  <c r="CD1286" i="115"/>
  <c r="BJ1287" i="115"/>
  <c r="BN1287" i="115"/>
  <c r="BR1287" i="115"/>
  <c r="BV1287" i="115"/>
  <c r="BZ1287" i="115"/>
  <c r="CD1287" i="115"/>
  <c r="BJ1289" i="115"/>
  <c r="BJ1317" i="115" s="1"/>
  <c r="BN1289" i="115"/>
  <c r="BO1289" i="115"/>
  <c r="BR1289" i="115"/>
  <c r="BS1289" i="115"/>
  <c r="BV1289" i="115"/>
  <c r="BW1289" i="115"/>
  <c r="BZ1289" i="115"/>
  <c r="CA1289" i="115"/>
  <c r="CD1289" i="115"/>
  <c r="CD1317" i="115" s="1"/>
  <c r="CE1289" i="115"/>
  <c r="BJ1290" i="115"/>
  <c r="BJ1319" i="115" s="1"/>
  <c r="BN1290" i="115"/>
  <c r="BO1290" i="115"/>
  <c r="BR1290" i="115"/>
  <c r="BS1290" i="115"/>
  <c r="BV1290" i="115"/>
  <c r="BW1290" i="115"/>
  <c r="BZ1290" i="115"/>
  <c r="CA1290" i="115"/>
  <c r="CD1290" i="115"/>
  <c r="CE1290" i="115"/>
  <c r="BJ1292" i="115"/>
  <c r="BJ1323" i="115" s="1"/>
  <c r="BN1292" i="115"/>
  <c r="BO1292" i="115"/>
  <c r="BR1292" i="115"/>
  <c r="BS1292" i="115"/>
  <c r="BV1292" i="115"/>
  <c r="BW1292" i="115"/>
  <c r="BZ1292" i="115"/>
  <c r="CA1292" i="115"/>
  <c r="CD1292" i="115"/>
  <c r="CE1292" i="115"/>
  <c r="BJ1293" i="115"/>
  <c r="BJ1327" i="115" s="1"/>
  <c r="BN1293" i="115"/>
  <c r="BO1293" i="115"/>
  <c r="BR1293" i="115"/>
  <c r="BS1293" i="115"/>
  <c r="BV1293" i="115"/>
  <c r="BW1293" i="115"/>
  <c r="BZ1293" i="115"/>
  <c r="CA1293" i="115"/>
  <c r="CD1293" i="115"/>
  <c r="CE1293" i="115"/>
  <c r="BJ1294" i="115"/>
  <c r="BJ1351" i="115" s="1"/>
  <c r="BN1294" i="115"/>
  <c r="BO1294" i="115"/>
  <c r="BR1294" i="115"/>
  <c r="BS1294" i="115"/>
  <c r="BV1294" i="115"/>
  <c r="BW1294" i="115"/>
  <c r="BZ1294" i="115"/>
  <c r="CA1294" i="115"/>
  <c r="CD1294" i="115"/>
  <c r="CE1294" i="115"/>
  <c r="BJ1295" i="115"/>
  <c r="BN1295" i="115"/>
  <c r="BO1295" i="115"/>
  <c r="BR1295" i="115"/>
  <c r="BS1295" i="115"/>
  <c r="BV1295" i="115"/>
  <c r="BW1295" i="115"/>
  <c r="BZ1295" i="115"/>
  <c r="CA1295" i="115"/>
  <c r="CD1295" i="115"/>
  <c r="CE1295" i="115"/>
  <c r="BH1296" i="115"/>
  <c r="BH1334" i="115" s="1"/>
  <c r="BI1296" i="115"/>
  <c r="BJ1296" i="115" s="1"/>
  <c r="BL1296" i="115"/>
  <c r="BM1296" i="115"/>
  <c r="BP1296" i="115"/>
  <c r="BP1334" i="115" s="1"/>
  <c r="BQ1331" i="115" s="1"/>
  <c r="BQ1296" i="115"/>
  <c r="BQ1300" i="115" s="1"/>
  <c r="BT1296" i="115"/>
  <c r="BT1300" i="115" s="1"/>
  <c r="BU1296" i="115"/>
  <c r="BX1296" i="115"/>
  <c r="BY1296" i="115"/>
  <c r="CB1296" i="115"/>
  <c r="CC1296" i="115"/>
  <c r="CC1300" i="115" s="1"/>
  <c r="BJ1297" i="115"/>
  <c r="BJ1338" i="115" s="1"/>
  <c r="BJ1339" i="115" s="1"/>
  <c r="BN1297" i="115"/>
  <c r="BO1297" i="115"/>
  <c r="BR1297" i="115"/>
  <c r="BS1297" i="115"/>
  <c r="BV1297" i="115"/>
  <c r="BV1338" i="115" s="1"/>
  <c r="BV1339" i="115" s="1"/>
  <c r="BW1297" i="115"/>
  <c r="BZ1297" i="115"/>
  <c r="CA1297" i="115"/>
  <c r="CD1297" i="115"/>
  <c r="CE1297" i="115"/>
  <c r="BJ1299" i="115"/>
  <c r="BN1299" i="115"/>
  <c r="BO1299" i="115"/>
  <c r="BR1299" i="115"/>
  <c r="BS1299" i="115"/>
  <c r="BV1299" i="115"/>
  <c r="BW1299" i="115"/>
  <c r="BZ1299" i="115"/>
  <c r="CA1299" i="115"/>
  <c r="CD1299" i="115"/>
  <c r="CE1299" i="115"/>
  <c r="BJ1303" i="115"/>
  <c r="BN1303" i="115"/>
  <c r="BR1303" i="115"/>
  <c r="BV1303" i="115"/>
  <c r="BZ1303" i="115"/>
  <c r="CD1303" i="115"/>
  <c r="BJ1304" i="115"/>
  <c r="BN1304" i="115"/>
  <c r="BR1304" i="115"/>
  <c r="BV1304" i="115"/>
  <c r="BZ1304" i="115"/>
  <c r="CD1304" i="115"/>
  <c r="BJ1308" i="115"/>
  <c r="BN1308" i="115"/>
  <c r="BR1308" i="115"/>
  <c r="BV1308" i="115"/>
  <c r="BZ1308" i="115"/>
  <c r="CD1308" i="115"/>
  <c r="BH1310" i="115"/>
  <c r="BI1310" i="115"/>
  <c r="BJ1310" i="115" s="1"/>
  <c r="BL1310" i="115"/>
  <c r="BM1310" i="115"/>
  <c r="BN1310" i="115" s="1"/>
  <c r="BP1310" i="115"/>
  <c r="BQ1310" i="115"/>
  <c r="BR1310" i="115" s="1"/>
  <c r="BT1310" i="115"/>
  <c r="BU1310" i="115"/>
  <c r="BV1310" i="115" s="1"/>
  <c r="BX1310" i="115"/>
  <c r="BY1310" i="115"/>
  <c r="BZ1310" i="115" s="1"/>
  <c r="CB1310" i="115"/>
  <c r="CC1310" i="115"/>
  <c r="CD1310" i="115" s="1"/>
  <c r="BH1317" i="115"/>
  <c r="BI1317" i="115"/>
  <c r="BL1317" i="115"/>
  <c r="BM1317" i="115"/>
  <c r="BP1317" i="115"/>
  <c r="BQ1317" i="115"/>
  <c r="BT1317" i="115"/>
  <c r="BU1317" i="115"/>
  <c r="BX1317" i="115"/>
  <c r="BY1317" i="115"/>
  <c r="CB1317" i="115"/>
  <c r="CC1317" i="115"/>
  <c r="BH1319" i="115"/>
  <c r="BI1319" i="115"/>
  <c r="BL1319" i="115"/>
  <c r="BM1319" i="115"/>
  <c r="BP1319" i="115"/>
  <c r="BQ1319" i="115"/>
  <c r="BT1319" i="115"/>
  <c r="BU1319" i="115"/>
  <c r="BX1319" i="115"/>
  <c r="BY1319" i="115"/>
  <c r="CB1319" i="115"/>
  <c r="CC1319" i="115"/>
  <c r="BH1327" i="115"/>
  <c r="BI1327" i="115"/>
  <c r="BL1327" i="115"/>
  <c r="BM1327" i="115"/>
  <c r="BP1327" i="115"/>
  <c r="BQ1327" i="115"/>
  <c r="BT1327" i="115"/>
  <c r="BU1327" i="115"/>
  <c r="BX1327" i="115"/>
  <c r="BY1327" i="115"/>
  <c r="CB1327" i="115"/>
  <c r="CC1327" i="115"/>
  <c r="BH1331" i="115"/>
  <c r="BJ1331" i="115" s="1"/>
  <c r="BJ1333" i="115"/>
  <c r="BN1333" i="115"/>
  <c r="BR1333" i="115"/>
  <c r="BV1333" i="115"/>
  <c r="BZ1333" i="115"/>
  <c r="CD1333" i="115"/>
  <c r="BH1338" i="115"/>
  <c r="BH1339" i="115" s="1"/>
  <c r="BI1338" i="115"/>
  <c r="BI1339" i="115" s="1"/>
  <c r="BL1338" i="115"/>
  <c r="BL1339" i="115" s="1"/>
  <c r="BM1338" i="115"/>
  <c r="BM1339" i="115" s="1"/>
  <c r="BP1338" i="115"/>
  <c r="BP1339" i="115" s="1"/>
  <c r="BQ1338" i="115"/>
  <c r="BQ1339" i="115" s="1"/>
  <c r="BT1338" i="115"/>
  <c r="BT1339" i="115" s="1"/>
  <c r="BU1338" i="115"/>
  <c r="BU1339" i="115" s="1"/>
  <c r="BX1338" i="115"/>
  <c r="BX1339" i="115" s="1"/>
  <c r="BY1338" i="115"/>
  <c r="BY1339" i="115" s="1"/>
  <c r="CB1338" i="115"/>
  <c r="CB1339" i="115" s="1"/>
  <c r="CC1338" i="115"/>
  <c r="CC1339" i="115" s="1"/>
  <c r="BH1340" i="115"/>
  <c r="BI1340" i="115"/>
  <c r="BL1340" i="115"/>
  <c r="BM1340" i="115"/>
  <c r="BP1340" i="115"/>
  <c r="BQ1340" i="115"/>
  <c r="BT1340" i="115"/>
  <c r="BU1340" i="115"/>
  <c r="BX1340" i="115"/>
  <c r="BY1340" i="115"/>
  <c r="CB1340" i="115"/>
  <c r="CC1340" i="115"/>
  <c r="BH1342" i="115"/>
  <c r="BI1342" i="115"/>
  <c r="BL1342" i="115"/>
  <c r="BM1342" i="115"/>
  <c r="BP1342" i="115"/>
  <c r="BQ1342" i="115"/>
  <c r="BT1342" i="115"/>
  <c r="BU1342" i="115"/>
  <c r="BX1342" i="115"/>
  <c r="BY1342" i="115"/>
  <c r="CB1342" i="115"/>
  <c r="CC1342" i="115"/>
  <c r="BL1348" i="115"/>
  <c r="BM1348" i="115"/>
  <c r="BP1348" i="115"/>
  <c r="BQ1348" i="115"/>
  <c r="BU1348" i="115"/>
  <c r="BX1348" i="115"/>
  <c r="BY1348" i="115"/>
  <c r="BN1349" i="115"/>
  <c r="BR1349" i="115"/>
  <c r="BV1349" i="115"/>
  <c r="BZ1349" i="115"/>
  <c r="CD1349" i="115"/>
  <c r="BH1351" i="115"/>
  <c r="BI1351" i="115"/>
  <c r="BL1346" i="115" s="1"/>
  <c r="BN1346" i="115" s="1"/>
  <c r="BL1351" i="115"/>
  <c r="BM1346" i="115" s="1"/>
  <c r="BM1351" i="115"/>
  <c r="BP1346" i="115" s="1"/>
  <c r="BR1346" i="115" s="1"/>
  <c r="BP1351" i="115"/>
  <c r="BQ1346" i="115" s="1"/>
  <c r="BQ1351" i="115"/>
  <c r="BT1346" i="115" s="1"/>
  <c r="BV1346" i="115" s="1"/>
  <c r="BT1351" i="115"/>
  <c r="BU1351" i="115"/>
  <c r="BX1346" i="115" s="1"/>
  <c r="BZ1346" i="115" s="1"/>
  <c r="BX1351" i="115"/>
  <c r="BY1346" i="115" s="1"/>
  <c r="BY1351" i="115"/>
  <c r="CB1346" i="115" s="1"/>
  <c r="CD1346" i="115" s="1"/>
  <c r="CB1351" i="115"/>
  <c r="CC1346" i="115" s="1"/>
  <c r="CC1351" i="115"/>
  <c r="CF1346" i="115" s="1"/>
  <c r="CH1346" i="115" s="1"/>
  <c r="A1367" i="115"/>
  <c r="BI1367" i="115"/>
  <c r="BL1367" i="115"/>
  <c r="BM1367" i="115"/>
  <c r="BP1367" i="115"/>
  <c r="BQ1367" i="115"/>
  <c r="BT1367" i="115"/>
  <c r="BU1367" i="115"/>
  <c r="BX1367" i="115"/>
  <c r="BY1367" i="115"/>
  <c r="CB1367" i="115"/>
  <c r="CC1367" i="115"/>
  <c r="A1368" i="115"/>
  <c r="BI1368" i="115"/>
  <c r="BL1368" i="115"/>
  <c r="BM1368" i="115"/>
  <c r="BP1368" i="115"/>
  <c r="BQ1368" i="115"/>
  <c r="BT1368" i="115"/>
  <c r="BU1368" i="115"/>
  <c r="BX1368" i="115"/>
  <c r="BY1368" i="115"/>
  <c r="CB1368" i="115"/>
  <c r="CC1368" i="115"/>
  <c r="A1369" i="115"/>
  <c r="BI1369" i="115"/>
  <c r="BL1369" i="115"/>
  <c r="BM1369" i="115"/>
  <c r="BP1369" i="115"/>
  <c r="BQ1369" i="115"/>
  <c r="BT1369" i="115"/>
  <c r="BU1369" i="115"/>
  <c r="BX1369" i="115"/>
  <c r="BY1369" i="115"/>
  <c r="CB1369" i="115"/>
  <c r="CC1369" i="115"/>
  <c r="A1370" i="115"/>
  <c r="BI1370" i="115"/>
  <c r="BL1370" i="115"/>
  <c r="BM1370" i="115"/>
  <c r="BP1370" i="115"/>
  <c r="BQ1370" i="115"/>
  <c r="BT1370" i="115"/>
  <c r="BU1370" i="115"/>
  <c r="BX1370" i="115"/>
  <c r="BY1370" i="115"/>
  <c r="CB1370" i="115"/>
  <c r="CC1370" i="115"/>
  <c r="A1371" i="115"/>
  <c r="A1372" i="115"/>
  <c r="BT1372" i="115"/>
  <c r="BU1372" i="115"/>
  <c r="BX1372" i="115"/>
  <c r="BY1372" i="115"/>
  <c r="CB1372" i="115"/>
  <c r="CC1372" i="115"/>
  <c r="BJ1375" i="115"/>
  <c r="BN1375" i="115"/>
  <c r="BR1375" i="115"/>
  <c r="BV1375" i="115"/>
  <c r="BZ1375" i="115"/>
  <c r="CD1375" i="115"/>
  <c r="BJ1376" i="115"/>
  <c r="BN1376" i="115"/>
  <c r="BR1376" i="115"/>
  <c r="BV1376" i="115"/>
  <c r="BZ1376" i="115"/>
  <c r="CD1376" i="115"/>
  <c r="BJ1377" i="115"/>
  <c r="BN1377" i="115"/>
  <c r="BR1377" i="115"/>
  <c r="BV1377" i="115"/>
  <c r="BZ1377" i="115"/>
  <c r="CD1377" i="115"/>
  <c r="BJ1378" i="115"/>
  <c r="BN1378" i="115"/>
  <c r="BR1378" i="115"/>
  <c r="BV1378" i="115"/>
  <c r="BZ1378" i="115"/>
  <c r="CD1378" i="115"/>
  <c r="BJ1379" i="115"/>
  <c r="BN1379" i="115"/>
  <c r="BR1379" i="115"/>
  <c r="BV1379" i="115"/>
  <c r="BZ1379" i="115"/>
  <c r="CD1379" i="115"/>
  <c r="BJ1380" i="115"/>
  <c r="BN1380" i="115"/>
  <c r="BR1380" i="115"/>
  <c r="BV1380" i="115"/>
  <c r="BZ1380" i="115"/>
  <c r="CD1380" i="115"/>
  <c r="BJ1381" i="115"/>
  <c r="BN1381" i="115"/>
  <c r="BR1381" i="115"/>
  <c r="BV1381" i="115"/>
  <c r="BZ1381" i="115"/>
  <c r="CD1381" i="115"/>
  <c r="BJ1383" i="115"/>
  <c r="BN1383" i="115"/>
  <c r="BR1383" i="115"/>
  <c r="BV1383" i="115"/>
  <c r="BZ1383" i="115"/>
  <c r="CD1383" i="115"/>
  <c r="BJ1384" i="115"/>
  <c r="BN1384" i="115"/>
  <c r="BR1384" i="115"/>
  <c r="BV1384" i="115"/>
  <c r="BZ1384" i="115"/>
  <c r="CD1384" i="115"/>
  <c r="BJ1389" i="115"/>
  <c r="BN1389" i="115"/>
  <c r="BR1389" i="115"/>
  <c r="BV1389" i="115"/>
  <c r="BZ1389" i="115"/>
  <c r="CD1389" i="115"/>
  <c r="CO1389" i="115"/>
  <c r="CP1389" i="115" s="1"/>
  <c r="BH1390" i="115"/>
  <c r="BH1302" i="115" s="1"/>
  <c r="BI1390" i="115"/>
  <c r="BI1302" i="115" s="1"/>
  <c r="BL1390" i="115"/>
  <c r="BL1302" i="115" s="1"/>
  <c r="BM1390" i="115"/>
  <c r="BM1302" i="115" s="1"/>
  <c r="BP1390" i="115"/>
  <c r="BP1302" i="115" s="1"/>
  <c r="BQ1390" i="115"/>
  <c r="BQ1302" i="115" s="1"/>
  <c r="BR1302" i="115" s="1"/>
  <c r="BT1390" i="115"/>
  <c r="BT1302" i="115" s="1"/>
  <c r="BU1390" i="115"/>
  <c r="BU1302" i="115" s="1"/>
  <c r="BX1390" i="115"/>
  <c r="BX1302" i="115" s="1"/>
  <c r="BY1390" i="115"/>
  <c r="BY1302" i="115" s="1"/>
  <c r="BZ1302" i="115" s="1"/>
  <c r="CB1390" i="115"/>
  <c r="CB1302" i="115" s="1"/>
  <c r="CC1390" i="115"/>
  <c r="CC1302" i="115" s="1"/>
  <c r="CD1302" i="115" s="1"/>
  <c r="BJ1393" i="115"/>
  <c r="BN1393" i="115"/>
  <c r="BR1393" i="115"/>
  <c r="BT1393" i="115"/>
  <c r="BV1393" i="115"/>
  <c r="BX1393" i="115"/>
  <c r="BZ1393" i="115"/>
  <c r="CB1393" i="115"/>
  <c r="CD1393" i="115"/>
  <c r="BJ1394" i="115"/>
  <c r="BN1394" i="115"/>
  <c r="BR1394" i="115"/>
  <c r="BT1394" i="115"/>
  <c r="BV1394" i="115"/>
  <c r="BX1394" i="115"/>
  <c r="BZ1394" i="115"/>
  <c r="CB1394" i="115"/>
  <c r="CD1394" i="115"/>
  <c r="BH1395" i="115"/>
  <c r="BI1395" i="115"/>
  <c r="BI1305" i="115" s="1"/>
  <c r="BJ1305" i="115" s="1"/>
  <c r="BL1395" i="115"/>
  <c r="BM1395" i="115"/>
  <c r="BP1395" i="115"/>
  <c r="BQ1395" i="115"/>
  <c r="BU1395" i="115"/>
  <c r="BY1395" i="115"/>
  <c r="CC1395" i="115"/>
  <c r="BI1396" i="115"/>
  <c r="CC1396" i="115"/>
  <c r="CD1396" i="115" s="1"/>
  <c r="BJ1402" i="115"/>
  <c r="BN1402" i="115"/>
  <c r="BR1402" i="115"/>
  <c r="BV1402" i="115"/>
  <c r="BZ1402" i="115"/>
  <c r="CD1402" i="115"/>
  <c r="BJ1403" i="115"/>
  <c r="BN1403" i="115"/>
  <c r="BR1403" i="115"/>
  <c r="BV1403" i="115"/>
  <c r="BZ1403" i="115"/>
  <c r="CD1403" i="115"/>
  <c r="BJ1404" i="115"/>
  <c r="BN1404" i="115"/>
  <c r="BR1404" i="115"/>
  <c r="BV1404" i="115"/>
  <c r="BZ1404" i="115"/>
  <c r="CD1404" i="115"/>
  <c r="BJ1405" i="115"/>
  <c r="BN1405" i="115"/>
  <c r="BR1405" i="115"/>
  <c r="BV1405" i="115"/>
  <c r="BZ1405" i="115"/>
  <c r="CD1405" i="115"/>
  <c r="BH1407" i="115"/>
  <c r="BH1180" i="115" s="1"/>
  <c r="BI1407" i="115"/>
  <c r="BL1407" i="115"/>
  <c r="BM1407" i="115"/>
  <c r="BP1407" i="115"/>
  <c r="BQ1407" i="115"/>
  <c r="BT1407" i="115"/>
  <c r="BU1407" i="115"/>
  <c r="BX1407" i="115"/>
  <c r="BY1407" i="115"/>
  <c r="CB1407" i="115"/>
  <c r="CC1407" i="115"/>
  <c r="BH1416" i="115"/>
  <c r="BI1416" i="115"/>
  <c r="BL1416" i="115"/>
  <c r="BM1416" i="115"/>
  <c r="BP1416" i="115"/>
  <c r="BQ1416" i="115"/>
  <c r="BT1416" i="115"/>
  <c r="BU1416" i="115"/>
  <c r="BX1416" i="115"/>
  <c r="BY1416" i="115"/>
  <c r="CB1416" i="115"/>
  <c r="CC1416" i="115"/>
  <c r="BH1418" i="115"/>
  <c r="BI1418" i="115"/>
  <c r="BL1418" i="115"/>
  <c r="BM1418" i="115"/>
  <c r="BP1418" i="115"/>
  <c r="BQ1418" i="115"/>
  <c r="BT1418" i="115"/>
  <c r="BU1418" i="115"/>
  <c r="BU1422" i="115" s="1"/>
  <c r="BX1418" i="115"/>
  <c r="BY1418" i="115"/>
  <c r="BY1422" i="115" s="1"/>
  <c r="CB1418" i="115"/>
  <c r="CC1418" i="115"/>
  <c r="CD1418" i="115" s="1"/>
  <c r="BJ1419" i="115"/>
  <c r="BN1419" i="115"/>
  <c r="BR1419" i="115"/>
  <c r="BV1419" i="115"/>
  <c r="BZ1419" i="115"/>
  <c r="CD1419" i="115"/>
  <c r="BJ1420" i="115"/>
  <c r="BN1420" i="115"/>
  <c r="BR1420" i="115"/>
  <c r="BV1420" i="115"/>
  <c r="BZ1420" i="115"/>
  <c r="CD1420" i="115"/>
  <c r="BJ1421" i="115"/>
  <c r="BN1421" i="115"/>
  <c r="BR1421" i="115"/>
  <c r="BV1421" i="115"/>
  <c r="BZ1421" i="115"/>
  <c r="CD1421" i="115"/>
  <c r="BP1436" i="115"/>
  <c r="BQ1436" i="115"/>
  <c r="BR1436" i="115" s="1"/>
  <c r="BT1436" i="115"/>
  <c r="BU1436" i="115"/>
  <c r="BX1436" i="115"/>
  <c r="BY1436" i="115"/>
  <c r="BR1438" i="115"/>
  <c r="BV1438" i="115"/>
  <c r="BZ1438" i="115"/>
  <c r="CD1438" i="115"/>
  <c r="BH1488" i="115"/>
  <c r="BI1488" i="115"/>
  <c r="BL1488" i="115"/>
  <c r="BL1487" i="115" s="1"/>
  <c r="BM1488" i="115"/>
  <c r="BP1488" i="115"/>
  <c r="BQ1488" i="115"/>
  <c r="BT1488" i="115"/>
  <c r="BU1488" i="115"/>
  <c r="BX1488" i="115"/>
  <c r="BY1488" i="115"/>
  <c r="BY1486" i="115" s="1"/>
  <c r="CB1488" i="115"/>
  <c r="CB1487" i="115" s="1"/>
  <c r="CC1488" i="115"/>
  <c r="A1492" i="115"/>
  <c r="BL1492" i="115"/>
  <c r="BM1492" i="115"/>
  <c r="BP1492" i="115"/>
  <c r="BQ1492" i="115"/>
  <c r="BT1492" i="115"/>
  <c r="BU1492" i="115"/>
  <c r="BX1492" i="115"/>
  <c r="BY1492" i="115"/>
  <c r="CB1492" i="115"/>
  <c r="CC1492" i="115"/>
  <c r="A1493" i="115"/>
  <c r="BL1493" i="115"/>
  <c r="BM1493" i="115"/>
  <c r="BP1493" i="115"/>
  <c r="BQ1493" i="115"/>
  <c r="BT1493" i="115"/>
  <c r="BU1493" i="115"/>
  <c r="BX1493" i="115"/>
  <c r="BY1493" i="115"/>
  <c r="CB1493" i="115"/>
  <c r="CC1493" i="115"/>
  <c r="BH1518" i="115"/>
  <c r="BI1518" i="115"/>
  <c r="BL1518" i="115"/>
  <c r="BM1518" i="115"/>
  <c r="BP1518" i="115"/>
  <c r="BQ1518" i="115"/>
  <c r="BT1518" i="115"/>
  <c r="BU1518" i="115"/>
  <c r="BX1518" i="115"/>
  <c r="BY1518" i="115"/>
  <c r="CB1518" i="115"/>
  <c r="CC1518" i="115"/>
  <c r="BH1520" i="115"/>
  <c r="BI1520" i="115"/>
  <c r="BL1520" i="115"/>
  <c r="BM1520" i="115"/>
  <c r="BP1520" i="115"/>
  <c r="BQ1520" i="115"/>
  <c r="BT1520" i="115"/>
  <c r="BU1520" i="115"/>
  <c r="BX1520" i="115"/>
  <c r="BY1520" i="115"/>
  <c r="CB1520" i="115"/>
  <c r="CC1520" i="115"/>
  <c r="BH1529" i="115"/>
  <c r="BI1529" i="115"/>
  <c r="BJ1529" i="115"/>
  <c r="BL1529" i="115"/>
  <c r="BM1529" i="115"/>
  <c r="BN1529" i="115"/>
  <c r="BP1529" i="115"/>
  <c r="BQ1529" i="115"/>
  <c r="BR1529" i="115"/>
  <c r="BT1529" i="115"/>
  <c r="BU1529" i="115"/>
  <c r="BX1529" i="115"/>
  <c r="BY1529" i="115"/>
  <c r="CB1529" i="115"/>
  <c r="CC1529" i="115"/>
  <c r="BT1557" i="115"/>
  <c r="BU1557" i="115"/>
  <c r="CB1557" i="115"/>
  <c r="CC1557" i="115"/>
  <c r="A1564" i="115"/>
  <c r="BN1565" i="115"/>
  <c r="BV1573" i="115"/>
  <c r="BZ1573" i="115"/>
  <c r="CD1573" i="115"/>
  <c r="CP1573" i="115"/>
  <c r="BV1574" i="115"/>
  <c r="BZ1574" i="115"/>
  <c r="CD1574" i="115"/>
  <c r="CP1574" i="115"/>
  <c r="CD1575" i="115"/>
  <c r="CP1575" i="115"/>
  <c r="CD1576" i="115"/>
  <c r="CP1576" i="115"/>
  <c r="BV1577" i="115"/>
  <c r="BZ1577" i="115"/>
  <c r="CD1577" i="115"/>
  <c r="CP1577" i="115"/>
  <c r="BV1578" i="115"/>
  <c r="BZ1578" i="115"/>
  <c r="CD1578" i="115"/>
  <c r="CP1578" i="115"/>
  <c r="BV1579" i="115"/>
  <c r="BZ1579" i="115"/>
  <c r="CD1579" i="115"/>
  <c r="CP1579" i="115"/>
  <c r="BT1580" i="115"/>
  <c r="BU1580" i="115"/>
  <c r="BU1554" i="115" s="1"/>
  <c r="BX1580" i="115"/>
  <c r="BY1580" i="115"/>
  <c r="BY1554" i="115" s="1"/>
  <c r="CB1580" i="115"/>
  <c r="CC1580" i="115"/>
  <c r="CC1554" i="115" s="1"/>
  <c r="CF1580" i="115"/>
  <c r="CF1554" i="115" s="1"/>
  <c r="CO1580" i="115"/>
  <c r="BT1583" i="115"/>
  <c r="BT1584" i="115"/>
  <c r="BX1584" i="115"/>
  <c r="A1585" i="115"/>
  <c r="A1586" i="115"/>
  <c r="BX1586" i="115"/>
  <c r="BT1587" i="115"/>
  <c r="BU1587" i="115"/>
  <c r="BY1587" i="115"/>
  <c r="BT1588" i="115"/>
  <c r="BU1588" i="115"/>
  <c r="BY1588" i="115"/>
  <c r="BU1589" i="115"/>
  <c r="BY1589" i="115"/>
  <c r="A1592" i="115"/>
  <c r="BV1592" i="115"/>
  <c r="BZ1592" i="115"/>
  <c r="CC1592" i="115"/>
  <c r="CD1592" i="115" s="1"/>
  <c r="CF1592" i="115"/>
  <c r="CO1592" i="115"/>
  <c r="A1593" i="115"/>
  <c r="BV1593" i="115"/>
  <c r="BZ1593" i="115"/>
  <c r="CC1593" i="115"/>
  <c r="CD1593" i="115" s="1"/>
  <c r="CF1593" i="115"/>
  <c r="CO1593" i="115"/>
  <c r="CP1593" i="115" s="1"/>
  <c r="A1594" i="115"/>
  <c r="CC1594" i="115"/>
  <c r="CF1594" i="115"/>
  <c r="CO1594" i="115"/>
  <c r="A1595" i="115"/>
  <c r="CC1595" i="115"/>
  <c r="CD1595" i="115" s="1"/>
  <c r="CF1595" i="115"/>
  <c r="CO1595" i="115"/>
  <c r="CP1595" i="115" s="1"/>
  <c r="A1596" i="115"/>
  <c r="BV1596" i="115"/>
  <c r="BZ1596" i="115"/>
  <c r="CC1596" i="115"/>
  <c r="CD1596" i="115" s="1"/>
  <c r="CF1596" i="115"/>
  <c r="CO1596" i="115"/>
  <c r="A1597" i="115"/>
  <c r="BV1597" i="115"/>
  <c r="BZ1597" i="115"/>
  <c r="CC1597" i="115"/>
  <c r="CD1597" i="115" s="1"/>
  <c r="CF1597" i="115"/>
  <c r="CO1597" i="115"/>
  <c r="CP1597" i="115" s="1"/>
  <c r="A1598" i="115"/>
  <c r="BV1598" i="115"/>
  <c r="BZ1598" i="115"/>
  <c r="CC1598" i="115"/>
  <c r="CD1598" i="115" s="1"/>
  <c r="CF1598" i="115"/>
  <c r="CO1598" i="115"/>
  <c r="BT1599" i="115"/>
  <c r="BU1599" i="115"/>
  <c r="BX1599" i="115"/>
  <c r="BY1599" i="115"/>
  <c r="CB1599" i="115"/>
  <c r="CB1565" i="115" s="1"/>
  <c r="BP1605" i="115"/>
  <c r="BQ1605" i="115"/>
  <c r="BU1605" i="115"/>
  <c r="BX1605" i="115"/>
  <c r="CD1605" i="115"/>
  <c r="CP1605" i="115"/>
  <c r="BP1606" i="115"/>
  <c r="BQ1606" i="115"/>
  <c r="BT1606" i="115"/>
  <c r="BU1606" i="115"/>
  <c r="BX1606" i="115"/>
  <c r="BY1606" i="115"/>
  <c r="CB1606" i="115"/>
  <c r="CC1606" i="115"/>
  <c r="CO1606" i="115"/>
  <c r="BR1607" i="115"/>
  <c r="BV1607" i="115"/>
  <c r="BZ1607" i="115"/>
  <c r="CD1607" i="115"/>
  <c r="CP1607" i="115"/>
  <c r="BR1608" i="115"/>
  <c r="BV1608" i="115"/>
  <c r="BZ1608" i="115"/>
  <c r="CD1608" i="115"/>
  <c r="CP1608" i="115"/>
  <c r="BP1615" i="115"/>
  <c r="BQ1615" i="115"/>
  <c r="BT1615" i="115"/>
  <c r="BU1615" i="115"/>
  <c r="BU1616" i="115"/>
  <c r="BR1619" i="115"/>
  <c r="BV1619" i="115"/>
  <c r="BR1620" i="115"/>
  <c r="BV1620" i="115"/>
  <c r="BR1621" i="115"/>
  <c r="BV1621" i="115"/>
  <c r="BR1622" i="115"/>
  <c r="BV1622" i="115"/>
  <c r="BR1623" i="115"/>
  <c r="BV1623" i="115"/>
  <c r="BP1624" i="115"/>
  <c r="BQ1624" i="115"/>
  <c r="BT1624" i="115"/>
  <c r="BU1624" i="115"/>
  <c r="AN5" i="117"/>
  <c r="AO5" i="117"/>
  <c r="DN5" i="117" s="1"/>
  <c r="AP5" i="117"/>
  <c r="AT5" i="117"/>
  <c r="AT132" i="117" s="1"/>
  <c r="AV5" i="117"/>
  <c r="AV132" i="117" s="1"/>
  <c r="AW5" i="117"/>
  <c r="DV5" i="117" s="1"/>
  <c r="AX5" i="117"/>
  <c r="AZ5" i="117"/>
  <c r="AZ132" i="117" s="1"/>
  <c r="BA5" i="117"/>
  <c r="BA126" i="117" s="1"/>
  <c r="BA172" i="117" s="1"/>
  <c r="BB5" i="117"/>
  <c r="BF5" i="117"/>
  <c r="DG5" i="117"/>
  <c r="DH5" i="117"/>
  <c r="DI5" i="117"/>
  <c r="DJ5" i="117"/>
  <c r="DK5" i="117"/>
  <c r="DL5" i="117"/>
  <c r="DP5" i="117"/>
  <c r="DQ5" i="117"/>
  <c r="DR5" i="117"/>
  <c r="DT5" i="117"/>
  <c r="DX5" i="117"/>
  <c r="EB5" i="117"/>
  <c r="EF5" i="117"/>
  <c r="DO6" i="117"/>
  <c r="X7" i="117"/>
  <c r="Y7" i="117"/>
  <c r="AB7" i="117"/>
  <c r="AC7" i="117"/>
  <c r="AE7" i="117"/>
  <c r="AF7" i="117"/>
  <c r="AG7" i="117"/>
  <c r="AJ7" i="117"/>
  <c r="AK7" i="117"/>
  <c r="AN7" i="117"/>
  <c r="AO7" i="117"/>
  <c r="AR7" i="117"/>
  <c r="AS7" i="117"/>
  <c r="AV7" i="117"/>
  <c r="AW7" i="117"/>
  <c r="AE8" i="117"/>
  <c r="X10" i="117"/>
  <c r="Y10" i="117"/>
  <c r="AB10" i="117"/>
  <c r="AC10" i="117"/>
  <c r="AE10" i="117"/>
  <c r="AF10" i="117"/>
  <c r="AG10" i="117"/>
  <c r="AN10" i="117"/>
  <c r="AO10" i="117"/>
  <c r="AR10" i="117"/>
  <c r="AS10" i="117"/>
  <c r="AV10" i="117"/>
  <c r="AV219" i="117" s="1"/>
  <c r="AW10" i="117"/>
  <c r="AW219" i="117" s="1"/>
  <c r="AB11" i="117"/>
  <c r="AC11" i="117"/>
  <c r="AE11" i="117"/>
  <c r="AF11" i="117"/>
  <c r="AG11" i="117"/>
  <c r="AN11" i="117"/>
  <c r="AO11" i="117"/>
  <c r="AR11" i="117"/>
  <c r="AS11" i="117"/>
  <c r="AV11" i="117"/>
  <c r="AV220" i="117" s="1"/>
  <c r="AW11" i="117"/>
  <c r="DL12" i="117"/>
  <c r="X12" i="117"/>
  <c r="Y12" i="117"/>
  <c r="AB12" i="117"/>
  <c r="AC12" i="117"/>
  <c r="AE12" i="117"/>
  <c r="AF12" i="117"/>
  <c r="AG12" i="117"/>
  <c r="AJ12" i="117"/>
  <c r="AK12" i="117"/>
  <c r="AN12" i="117"/>
  <c r="AO12" i="117"/>
  <c r="AR12" i="117"/>
  <c r="AS12" i="117"/>
  <c r="AV12" i="117"/>
  <c r="AV221" i="117" s="1"/>
  <c r="AW12" i="117"/>
  <c r="AW221" i="117" s="1"/>
  <c r="X13" i="117"/>
  <c r="Y13" i="117"/>
  <c r="AE13" i="117"/>
  <c r="AR13" i="117"/>
  <c r="AS13" i="117"/>
  <c r="AV13" i="117"/>
  <c r="AV222" i="117" s="1"/>
  <c r="AW13" i="117"/>
  <c r="AW222" i="117" s="1"/>
  <c r="DL15" i="117"/>
  <c r="AE15" i="117"/>
  <c r="DA16" i="117"/>
  <c r="DB16" i="117"/>
  <c r="DE16" i="117"/>
  <c r="DF16" i="117"/>
  <c r="DI16" i="117"/>
  <c r="DJ16" i="117"/>
  <c r="DL16" i="117"/>
  <c r="DM16" i="117"/>
  <c r="DN16" i="117"/>
  <c r="DQ16" i="117"/>
  <c r="DR16" i="117"/>
  <c r="DU16" i="117"/>
  <c r="DV16" i="117"/>
  <c r="AM16" i="117"/>
  <c r="AM17" i="117" s="1"/>
  <c r="DL17" i="117"/>
  <c r="DA19" i="117"/>
  <c r="DB19" i="117"/>
  <c r="DE19" i="117"/>
  <c r="DF19" i="117"/>
  <c r="DI19" i="117"/>
  <c r="DJ19" i="117"/>
  <c r="DM19" i="117"/>
  <c r="DN19" i="117"/>
  <c r="DQ19" i="117"/>
  <c r="DR19" i="117"/>
  <c r="DA20" i="117"/>
  <c r="DB20" i="117"/>
  <c r="DC20" i="117"/>
  <c r="DE20" i="117"/>
  <c r="DF20" i="117"/>
  <c r="DG20" i="117"/>
  <c r="DI20" i="117"/>
  <c r="DJ20" i="117"/>
  <c r="DK20" i="117"/>
  <c r="DL20" i="117"/>
  <c r="DM20" i="117"/>
  <c r="DN20" i="117"/>
  <c r="DO20" i="117"/>
  <c r="DQ20" i="117"/>
  <c r="DR20" i="117"/>
  <c r="DS20" i="117"/>
  <c r="DW20" i="117"/>
  <c r="X20" i="117"/>
  <c r="Y20" i="117"/>
  <c r="AB20" i="117"/>
  <c r="AC20" i="117"/>
  <c r="AE20" i="117"/>
  <c r="AF20" i="117"/>
  <c r="AG20" i="117"/>
  <c r="AJ20" i="117"/>
  <c r="AK20" i="117"/>
  <c r="AN20" i="117"/>
  <c r="AO20" i="117"/>
  <c r="AR20" i="117"/>
  <c r="AS20" i="117"/>
  <c r="AV20" i="117"/>
  <c r="AW20" i="117"/>
  <c r="AW164" i="117" s="1"/>
  <c r="AW166" i="117" s="1"/>
  <c r="AW118" i="117" s="1"/>
  <c r="X22" i="117"/>
  <c r="Y22" i="117"/>
  <c r="AB22" i="117"/>
  <c r="AC22" i="117"/>
  <c r="AE22" i="117"/>
  <c r="AF22" i="117"/>
  <c r="AG22" i="117"/>
  <c r="AJ22" i="117"/>
  <c r="AK22" i="117"/>
  <c r="AN22" i="117"/>
  <c r="AO22" i="117"/>
  <c r="AV22" i="117"/>
  <c r="AW22" i="117"/>
  <c r="X23" i="117"/>
  <c r="Y23" i="117"/>
  <c r="AB23" i="117"/>
  <c r="AC23" i="117"/>
  <c r="AE23" i="117"/>
  <c r="AF23" i="117"/>
  <c r="AG23" i="117"/>
  <c r="AJ23" i="117"/>
  <c r="AK23" i="117"/>
  <c r="AN23" i="117"/>
  <c r="AO23" i="117"/>
  <c r="AR23" i="117"/>
  <c r="AS23" i="117"/>
  <c r="AV23" i="117"/>
  <c r="AV242" i="117" s="1"/>
  <c r="AW23" i="117"/>
  <c r="AW242" i="117" s="1"/>
  <c r="DL25" i="117"/>
  <c r="AY25" i="117"/>
  <c r="BC25" i="117"/>
  <c r="DL27" i="117"/>
  <c r="H26" i="117"/>
  <c r="I26" i="117"/>
  <c r="J26" i="117"/>
  <c r="L26" i="117"/>
  <c r="M26" i="117"/>
  <c r="N26" i="117"/>
  <c r="P26" i="117"/>
  <c r="Q26" i="117"/>
  <c r="R26" i="117"/>
  <c r="T26" i="117"/>
  <c r="U26" i="117"/>
  <c r="V26" i="117"/>
  <c r="DL29" i="117"/>
  <c r="DL30" i="117"/>
  <c r="AE29" i="117"/>
  <c r="DL31" i="117"/>
  <c r="AE27" i="117"/>
  <c r="AI44" i="117"/>
  <c r="AM44" i="117"/>
  <c r="AY44" i="117"/>
  <c r="BC44" i="117"/>
  <c r="AE45" i="117"/>
  <c r="DA39" i="117"/>
  <c r="DB39" i="117"/>
  <c r="DE39" i="117"/>
  <c r="DF39" i="117"/>
  <c r="DI39" i="117"/>
  <c r="DJ39" i="117"/>
  <c r="DM39" i="117"/>
  <c r="DN39" i="117"/>
  <c r="DQ39" i="117"/>
  <c r="DR39" i="117"/>
  <c r="DU39" i="117"/>
  <c r="DV39" i="117"/>
  <c r="AB47" i="117"/>
  <c r="DA15" i="117" s="1"/>
  <c r="AC47" i="117"/>
  <c r="AF47" i="117"/>
  <c r="AG47" i="117"/>
  <c r="AJ47" i="117"/>
  <c r="AK47" i="117"/>
  <c r="DJ15" i="117" s="1"/>
  <c r="AN47" i="117"/>
  <c r="AO47" i="117"/>
  <c r="AR47" i="117"/>
  <c r="DQ15" i="117" s="1"/>
  <c r="AS47" i="117"/>
  <c r="AV47" i="117"/>
  <c r="AW47" i="117"/>
  <c r="DV15" i="117" s="1"/>
  <c r="DL42" i="117"/>
  <c r="AB50" i="117"/>
  <c r="AC50" i="117"/>
  <c r="AE50" i="117"/>
  <c r="AF50" i="117"/>
  <c r="AG50" i="117"/>
  <c r="AJ50" i="117"/>
  <c r="AK50" i="117"/>
  <c r="AN50" i="117"/>
  <c r="AO50" i="117"/>
  <c r="AR50" i="117"/>
  <c r="AS50" i="117"/>
  <c r="AV50" i="117"/>
  <c r="AW50" i="117"/>
  <c r="AE51" i="117"/>
  <c r="DL45" i="117"/>
  <c r="AE53" i="117"/>
  <c r="DL47" i="117"/>
  <c r="AE54" i="117"/>
  <c r="AE82" i="117" s="1"/>
  <c r="DL48" i="117"/>
  <c r="AE55" i="117"/>
  <c r="AE81" i="117" s="1"/>
  <c r="DL49" i="117"/>
  <c r="AE56" i="117"/>
  <c r="AJ56" i="117"/>
  <c r="AK56" i="117"/>
  <c r="AN56" i="117"/>
  <c r="AO56" i="117"/>
  <c r="AR56" i="117"/>
  <c r="AS56" i="117"/>
  <c r="AV56" i="117"/>
  <c r="AW56" i="117"/>
  <c r="AX56" i="117"/>
  <c r="AB57" i="117"/>
  <c r="AB83" i="117" s="1"/>
  <c r="AC57" i="117"/>
  <c r="AC83" i="117" s="1"/>
  <c r="AD57" i="117"/>
  <c r="AE57" i="117"/>
  <c r="AF57" i="117"/>
  <c r="AG57" i="117"/>
  <c r="AH57" i="117"/>
  <c r="AJ57" i="117"/>
  <c r="AK57" i="117"/>
  <c r="AN57" i="117"/>
  <c r="AO57" i="117"/>
  <c r="AR57" i="117"/>
  <c r="AS57" i="117"/>
  <c r="AV57" i="117"/>
  <c r="AV249" i="117" s="1"/>
  <c r="AW57" i="117"/>
  <c r="AX57" i="117"/>
  <c r="AB58" i="117"/>
  <c r="AC58" i="117"/>
  <c r="AD58" i="117"/>
  <c r="AE58" i="117"/>
  <c r="AF58" i="117"/>
  <c r="AG58" i="117"/>
  <c r="AH58" i="117"/>
  <c r="AJ58" i="117"/>
  <c r="AK58" i="117"/>
  <c r="AL58" i="117"/>
  <c r="AN58" i="117"/>
  <c r="AO58" i="117"/>
  <c r="AR58" i="117"/>
  <c r="AS58" i="117"/>
  <c r="AV58" i="117"/>
  <c r="AW58" i="117"/>
  <c r="AE59" i="117"/>
  <c r="DL55" i="117"/>
  <c r="DP55" i="117"/>
  <c r="DL56" i="117"/>
  <c r="DP56" i="117"/>
  <c r="DL57" i="117"/>
  <c r="DP57" i="117"/>
  <c r="DA61" i="117"/>
  <c r="DB61" i="117"/>
  <c r="DE61" i="117"/>
  <c r="DF61" i="117"/>
  <c r="DI61" i="117"/>
  <c r="DJ61" i="117"/>
  <c r="DL61" i="117"/>
  <c r="DM61" i="117"/>
  <c r="DN61" i="117"/>
  <c r="DQ61" i="117"/>
  <c r="DR61" i="117"/>
  <c r="DU61" i="117"/>
  <c r="DV61" i="117"/>
  <c r="DL62" i="117"/>
  <c r="DA63" i="117"/>
  <c r="DB63" i="117"/>
  <c r="DE63" i="117"/>
  <c r="DF63" i="117"/>
  <c r="DI63" i="117"/>
  <c r="DJ63" i="117"/>
  <c r="DL63" i="117"/>
  <c r="DL64" i="117" s="1"/>
  <c r="DM63" i="117"/>
  <c r="DN63" i="117"/>
  <c r="DQ63" i="117"/>
  <c r="DR63" i="117"/>
  <c r="DU63" i="117"/>
  <c r="DV63" i="117"/>
  <c r="DA65" i="117"/>
  <c r="DB65" i="117"/>
  <c r="DE65" i="117"/>
  <c r="DF65" i="117"/>
  <c r="DI65" i="117"/>
  <c r="DJ65" i="117"/>
  <c r="DL65" i="117"/>
  <c r="DM65" i="117"/>
  <c r="DN65" i="117"/>
  <c r="DQ65" i="117"/>
  <c r="DR65" i="117"/>
  <c r="DU65" i="117"/>
  <c r="DV65" i="117"/>
  <c r="DL66" i="117"/>
  <c r="AM65" i="117"/>
  <c r="DL67" i="117"/>
  <c r="DA68" i="117"/>
  <c r="DB68" i="117"/>
  <c r="DE68" i="117"/>
  <c r="DF68" i="117"/>
  <c r="DI68" i="117"/>
  <c r="DJ68" i="117"/>
  <c r="DL68" i="117"/>
  <c r="DM68" i="117"/>
  <c r="DN68" i="117"/>
  <c r="DQ68" i="117"/>
  <c r="DR68" i="117"/>
  <c r="DU68" i="117"/>
  <c r="DV68" i="117"/>
  <c r="DL69" i="117"/>
  <c r="DA70" i="117"/>
  <c r="DB70" i="117"/>
  <c r="DE70" i="117"/>
  <c r="DF70" i="117"/>
  <c r="DI70" i="117"/>
  <c r="DJ70" i="117"/>
  <c r="DL70" i="117"/>
  <c r="DM70" i="117"/>
  <c r="DN70" i="117"/>
  <c r="DQ70" i="117"/>
  <c r="DR70" i="117"/>
  <c r="DU70" i="117"/>
  <c r="DV70" i="117"/>
  <c r="DL71" i="117"/>
  <c r="DL73" i="117"/>
  <c r="DL76" i="117"/>
  <c r="DL77" i="117"/>
  <c r="DL78" i="117"/>
  <c r="DL79" i="117"/>
  <c r="AM80" i="117"/>
  <c r="DA83" i="117"/>
  <c r="DB83" i="117"/>
  <c r="DC83" i="117"/>
  <c r="DE83" i="117"/>
  <c r="DF83" i="117"/>
  <c r="DG83" i="117"/>
  <c r="DI83" i="117"/>
  <c r="DJ83" i="117"/>
  <c r="DK83" i="117"/>
  <c r="DL83" i="117"/>
  <c r="DM83" i="117"/>
  <c r="DN83" i="117"/>
  <c r="DO83" i="117"/>
  <c r="DQ83" i="117"/>
  <c r="DR83" i="117"/>
  <c r="DS83" i="117"/>
  <c r="DW83" i="117"/>
  <c r="DA84" i="117"/>
  <c r="DB84" i="117"/>
  <c r="DC84" i="117"/>
  <c r="DE84" i="117"/>
  <c r="DF84" i="117"/>
  <c r="DG84" i="117"/>
  <c r="DI84" i="117"/>
  <c r="DJ84" i="117"/>
  <c r="DK84" i="117"/>
  <c r="DL84" i="117"/>
  <c r="DM84" i="117"/>
  <c r="DN84" i="117"/>
  <c r="DO84" i="117"/>
  <c r="DQ84" i="117"/>
  <c r="DR84" i="117"/>
  <c r="DS84" i="117"/>
  <c r="DW84" i="117"/>
  <c r="X93" i="117"/>
  <c r="Y93" i="117"/>
  <c r="AB93" i="117"/>
  <c r="AC93" i="117"/>
  <c r="AF93" i="117"/>
  <c r="AG93" i="117"/>
  <c r="AJ93" i="117"/>
  <c r="AK93" i="117"/>
  <c r="AN93" i="117"/>
  <c r="AO93" i="117"/>
  <c r="AR93" i="117"/>
  <c r="AS93" i="117"/>
  <c r="AV93" i="117"/>
  <c r="AW93" i="117"/>
  <c r="AE94" i="117"/>
  <c r="AO129" i="117"/>
  <c r="AO134" i="117" s="1"/>
  <c r="AR129" i="117"/>
  <c r="AR134" i="117" s="1"/>
  <c r="AS129" i="117"/>
  <c r="AS134" i="117" s="1"/>
  <c r="CD512" i="115"/>
  <c r="AX58" i="117"/>
  <c r="CD1529" i="115"/>
  <c r="CD486" i="115"/>
  <c r="CD641" i="115"/>
  <c r="CI1292" i="115"/>
  <c r="BV923" i="115"/>
  <c r="BV883" i="115" s="1"/>
  <c r="P12" i="123"/>
  <c r="P10" i="123"/>
  <c r="CD605" i="115"/>
  <c r="AA46" i="111"/>
  <c r="CD462" i="115"/>
  <c r="CI1295" i="115"/>
  <c r="EA84" i="117"/>
  <c r="EA83" i="117"/>
  <c r="CC512" i="115"/>
  <c r="DY51" i="117"/>
  <c r="AZ10" i="117"/>
  <c r="CD548" i="115"/>
  <c r="DH271" i="115"/>
  <c r="AZ12" i="117"/>
  <c r="AZ221" i="117" s="1"/>
  <c r="AZ93" i="117"/>
  <c r="AZ23" i="117"/>
  <c r="AZ242" i="117" s="1"/>
  <c r="AZ13" i="117"/>
  <c r="AZ11" i="117"/>
  <c r="AZ220" i="117" s="1"/>
  <c r="AZ56" i="117"/>
  <c r="CF38" i="115"/>
  <c r="AZ57" i="117"/>
  <c r="AZ249" i="117" s="1"/>
  <c r="AZ178" i="117"/>
  <c r="AZ193" i="117" s="1"/>
  <c r="AZ197" i="117" s="1"/>
  <c r="AZ47" i="117"/>
  <c r="AZ7" i="117"/>
  <c r="AZ22" i="117"/>
  <c r="AZ50" i="117"/>
  <c r="AZ58" i="117"/>
  <c r="CF13" i="115"/>
  <c r="CF12" i="115" s="1"/>
  <c r="CF266" i="115"/>
  <c r="CF473" i="115"/>
  <c r="CF512" i="115"/>
  <c r="CI1299" i="115"/>
  <c r="BF150" i="117"/>
  <c r="BA23" i="117"/>
  <c r="BA242" i="117" s="1"/>
  <c r="BA10" i="117"/>
  <c r="BA93" i="117"/>
  <c r="CP1383" i="115"/>
  <c r="DZ51" i="117"/>
  <c r="CD476" i="115"/>
  <c r="BA12" i="117"/>
  <c r="BA221" i="117" s="1"/>
  <c r="CI1294" i="115"/>
  <c r="BA11" i="117"/>
  <c r="BA220" i="117" s="1"/>
  <c r="BA56" i="117"/>
  <c r="T10" i="123"/>
  <c r="BB56" i="117"/>
  <c r="BA57" i="117"/>
  <c r="BA249" i="117" s="1"/>
  <c r="BB57" i="117"/>
  <c r="T12" i="123"/>
  <c r="BA178" i="117"/>
  <c r="BB192" i="117"/>
  <c r="CH1036" i="115"/>
  <c r="CH471" i="115"/>
  <c r="CH472" i="115" s="1"/>
  <c r="CO1396" i="115"/>
  <c r="CH476" i="115"/>
  <c r="CG472" i="115"/>
  <c r="BB191" i="117"/>
  <c r="CH512" i="115"/>
  <c r="CH473" i="115"/>
  <c r="T41" i="123"/>
  <c r="EA20" i="117"/>
  <c r="CI1293" i="115"/>
  <c r="CI1290" i="115"/>
  <c r="CI1289" i="115"/>
  <c r="BA7" i="117"/>
  <c r="BA22" i="117"/>
  <c r="BA47" i="117"/>
  <c r="BA50" i="117"/>
  <c r="BA58" i="117"/>
  <c r="BB58" i="117"/>
  <c r="AB46" i="111"/>
  <c r="CG266" i="115"/>
  <c r="CI1297" i="115"/>
  <c r="CH157" i="115"/>
  <c r="CH254" i="115" s="1"/>
  <c r="CG365" i="115"/>
  <c r="CG792" i="115"/>
  <c r="EC51" i="117"/>
  <c r="BH134" i="117"/>
  <c r="BH191" i="117" s="1"/>
  <c r="BH101" i="117" s="1"/>
  <c r="BD23" i="117"/>
  <c r="BE23" i="117"/>
  <c r="K89" i="123"/>
  <c r="BE183" i="117"/>
  <c r="BD12" i="117"/>
  <c r="CG169" i="115"/>
  <c r="CF365" i="115"/>
  <c r="BD93" i="117"/>
  <c r="BD10" i="117"/>
  <c r="BD11" i="117"/>
  <c r="BD20" i="117"/>
  <c r="CJ576" i="115"/>
  <c r="BD56" i="117"/>
  <c r="BD57" i="117"/>
  <c r="BD7" i="117"/>
  <c r="BD22" i="117"/>
  <c r="BD47" i="117"/>
  <c r="CJ365" i="115"/>
  <c r="CJ169" i="115"/>
  <c r="BD50" i="117"/>
  <c r="BD58" i="117"/>
  <c r="CJ266" i="115"/>
  <c r="CJ12" i="115"/>
  <c r="DH273" i="115"/>
  <c r="DI273" i="115" s="1"/>
  <c r="DL273" i="115" s="1"/>
  <c r="DM273" i="115" s="1"/>
  <c r="DP273" i="115" s="1"/>
  <c r="DQ273" i="115" s="1"/>
  <c r="CJ792" i="115"/>
  <c r="EE84" i="117"/>
  <c r="CJ1176" i="115"/>
  <c r="ED51" i="117"/>
  <c r="CO1394" i="115"/>
  <c r="CP1384" i="115"/>
  <c r="CJ1300" i="115"/>
  <c r="CJ1334" i="115"/>
  <c r="CK1331" i="115" s="1"/>
  <c r="EE83" i="117"/>
  <c r="CO1393" i="115"/>
  <c r="CR1393" i="115" s="1"/>
  <c r="CS1393" i="115" s="1"/>
  <c r="CV1393" i="115" s="1"/>
  <c r="CW1393" i="115" s="1"/>
  <c r="CZ1393" i="115" s="1"/>
  <c r="DA1393" i="115" s="1"/>
  <c r="DD1393" i="115" s="1"/>
  <c r="DE1393" i="115" s="1"/>
  <c r="EI84" i="117"/>
  <c r="BE10" i="117"/>
  <c r="BE12" i="117"/>
  <c r="BE93" i="117"/>
  <c r="BE11" i="117"/>
  <c r="BE20" i="117"/>
  <c r="CK1111" i="115"/>
  <c r="CK1112" i="115" s="1"/>
  <c r="DH1112" i="115" s="1"/>
  <c r="DI1112" i="115" s="1"/>
  <c r="DL1112" i="115" s="1"/>
  <c r="DM1112" i="115" s="1"/>
  <c r="DP1112" i="115" s="1"/>
  <c r="DQ1112" i="115" s="1"/>
  <c r="CL1108" i="115"/>
  <c r="CK576" i="115"/>
  <c r="BE56" i="117"/>
  <c r="X10" i="123"/>
  <c r="BF56" i="117"/>
  <c r="X41" i="123"/>
  <c r="BF57" i="117"/>
  <c r="X12" i="123"/>
  <c r="BE57" i="117"/>
  <c r="EE20" i="117"/>
  <c r="BE7" i="117"/>
  <c r="BE22" i="117"/>
  <c r="BE47" i="117"/>
  <c r="BE50" i="117"/>
  <c r="BE58" i="117"/>
  <c r="AC46" i="111"/>
  <c r="BF58" i="117"/>
  <c r="CK266" i="115"/>
  <c r="CK268" i="115" s="1"/>
  <c r="ED42" i="117"/>
  <c r="CK13" i="115"/>
  <c r="BF45" i="117"/>
  <c r="BH23" i="117"/>
  <c r="BH242" i="117" s="1"/>
  <c r="CK1300" i="115"/>
  <c r="CL1296" i="115"/>
  <c r="CK1371" i="115"/>
  <c r="CK1334" i="115"/>
  <c r="CN1331" i="115" s="1"/>
  <c r="DH1364" i="115"/>
  <c r="DI1364" i="115" s="1"/>
  <c r="DL1364" i="115" s="1"/>
  <c r="DM1364" i="115" s="1"/>
  <c r="DP1364" i="115" s="1"/>
  <c r="DQ1364" i="115" s="1"/>
  <c r="CP1377" i="115"/>
  <c r="BE135" i="117"/>
  <c r="DH484" i="115"/>
  <c r="DI484" i="115" s="1"/>
  <c r="DL484" i="115" s="1"/>
  <c r="DM484" i="115" s="1"/>
  <c r="DP484" i="115" s="1"/>
  <c r="DQ484" i="115" s="1"/>
  <c r="BH174" i="117"/>
  <c r="EG51" i="117"/>
  <c r="K143" i="123"/>
  <c r="S126" i="111"/>
  <c r="AM102" i="111"/>
  <c r="BN151" i="117"/>
  <c r="BH25" i="117"/>
  <c r="CK1176" i="115"/>
  <c r="BH27" i="117"/>
  <c r="AX109" i="111"/>
  <c r="BH109" i="111"/>
  <c r="AV109" i="111"/>
  <c r="BA109" i="111"/>
  <c r="CF109" i="111"/>
  <c r="AD109" i="111"/>
  <c r="BY109" i="111"/>
  <c r="BG109" i="111"/>
  <c r="AC109" i="111"/>
  <c r="BL109" i="111"/>
  <c r="BJ109" i="111"/>
  <c r="AG143" i="123" l="1"/>
  <c r="AG144" i="123"/>
  <c r="AH143" i="123"/>
  <c r="AH144" i="123"/>
  <c r="AI143" i="123"/>
  <c r="AI144" i="123"/>
  <c r="J39" i="121"/>
  <c r="J31" i="121"/>
  <c r="J38" i="121"/>
  <c r="J30" i="121"/>
  <c r="J37" i="121"/>
  <c r="J29" i="121"/>
  <c r="J36" i="121"/>
  <c r="J28" i="121"/>
  <c r="J35" i="121"/>
  <c r="J27" i="121"/>
  <c r="J34" i="121"/>
  <c r="J42" i="121"/>
  <c r="J33" i="121"/>
  <c r="J41" i="121"/>
  <c r="J32" i="121"/>
  <c r="J40" i="121"/>
  <c r="J26" i="121"/>
  <c r="BR754" i="115"/>
  <c r="DF1393" i="115"/>
  <c r="AN102" i="111"/>
  <c r="AO102" i="111" s="1"/>
  <c r="AP102" i="111" s="1"/>
  <c r="BZ1090" i="115"/>
  <c r="BL642" i="115"/>
  <c r="BJ444" i="115"/>
  <c r="BU445" i="115"/>
  <c r="BI642" i="115"/>
  <c r="BR1085" i="115"/>
  <c r="BJ1488" i="115"/>
  <c r="BJ1486" i="115" s="1"/>
  <c r="BZ392" i="115"/>
  <c r="BV392" i="115"/>
  <c r="BP445" i="115"/>
  <c r="BR392" i="115"/>
  <c r="BM445" i="115"/>
  <c r="BV1115" i="115"/>
  <c r="BN392" i="115"/>
  <c r="BJ443" i="115"/>
  <c r="BZ1488" i="115"/>
  <c r="BJ392" i="115"/>
  <c r="BY1046" i="115"/>
  <c r="BQ642" i="115"/>
  <c r="BZ1027" i="115"/>
  <c r="BZ380" i="115"/>
  <c r="BZ382" i="115" s="1"/>
  <c r="BJ380" i="115"/>
  <c r="BJ382" i="115" s="1"/>
  <c r="BX496" i="115"/>
  <c r="DM5" i="117"/>
  <c r="DB1393" i="115"/>
  <c r="X101" i="123"/>
  <c r="X48" i="123"/>
  <c r="L101" i="123"/>
  <c r="L48" i="123"/>
  <c r="AB101" i="123"/>
  <c r="AB48" i="123"/>
  <c r="AF150" i="111"/>
  <c r="AG150" i="111" s="1"/>
  <c r="AH150" i="111" s="1"/>
  <c r="AF2" i="111"/>
  <c r="P101" i="123"/>
  <c r="P48" i="123"/>
  <c r="AF101" i="123"/>
  <c r="AF48" i="123"/>
  <c r="AF147" i="111"/>
  <c r="T101" i="123"/>
  <c r="T48" i="123"/>
  <c r="BM337" i="115"/>
  <c r="AH48" i="117"/>
  <c r="AX48" i="117"/>
  <c r="AL48" i="117"/>
  <c r="AT48" i="117"/>
  <c r="BB48" i="117"/>
  <c r="BF48" i="117"/>
  <c r="AP48" i="117"/>
  <c r="BE168" i="115"/>
  <c r="CF158" i="115"/>
  <c r="BE158" i="115"/>
  <c r="BD158" i="115"/>
  <c r="CD1557" i="115"/>
  <c r="K32" i="121"/>
  <c r="CD1322" i="115"/>
  <c r="CL1323" i="115"/>
  <c r="BZ1323" i="115"/>
  <c r="BN1323" i="115"/>
  <c r="BZ1322" i="115"/>
  <c r="BV1322" i="115"/>
  <c r="BV1323" i="115"/>
  <c r="BR1322" i="115"/>
  <c r="CH1323" i="115"/>
  <c r="BN1322" i="115"/>
  <c r="CL1322" i="115"/>
  <c r="CD1323" i="115"/>
  <c r="BR1323" i="115"/>
  <c r="BJ1322" i="115"/>
  <c r="BJ1324" i="115" s="1"/>
  <c r="CH1322" i="115"/>
  <c r="CX1393" i="115"/>
  <c r="DI271" i="115"/>
  <c r="DL271" i="115" s="1"/>
  <c r="DW1271" i="115"/>
  <c r="DW1272" i="115" s="1"/>
  <c r="DI1221" i="115"/>
  <c r="DL1221" i="115" s="1"/>
  <c r="BT780" i="115"/>
  <c r="CH617" i="115"/>
  <c r="CH780" i="115"/>
  <c r="CB780" i="115"/>
  <c r="BP757" i="115"/>
  <c r="BP780" i="115"/>
  <c r="BP781" i="115" s="1"/>
  <c r="CD617" i="115"/>
  <c r="CD780" i="115"/>
  <c r="BY617" i="115"/>
  <c r="BY780" i="115"/>
  <c r="CC781" i="115" s="1"/>
  <c r="BN780" i="115"/>
  <c r="BX617" i="115"/>
  <c r="BX780" i="115"/>
  <c r="BQ781" i="115"/>
  <c r="CK780" i="115"/>
  <c r="CO781" i="115" s="1"/>
  <c r="BU780" i="115"/>
  <c r="BU781" i="115" s="1"/>
  <c r="CG781" i="115"/>
  <c r="CJ780" i="115"/>
  <c r="CN781" i="115" s="1"/>
  <c r="CL780" i="115"/>
  <c r="CB691" i="115"/>
  <c r="CB711" i="115"/>
  <c r="BH269" i="115"/>
  <c r="CK1074" i="115"/>
  <c r="CL1074" i="115" s="1"/>
  <c r="BV138" i="115"/>
  <c r="BV142" i="115" s="1"/>
  <c r="CH138" i="115"/>
  <c r="CH142" i="115" s="1"/>
  <c r="BR138" i="115"/>
  <c r="BR140" i="115" s="1"/>
  <c r="BV116" i="115"/>
  <c r="CL138" i="115"/>
  <c r="CL142" i="115" s="1"/>
  <c r="CQ142" i="115" s="1"/>
  <c r="CD138" i="115"/>
  <c r="CD142" i="115" s="1"/>
  <c r="BZ138" i="115"/>
  <c r="BZ140" i="115" s="1"/>
  <c r="CH116" i="115"/>
  <c r="W54" i="111"/>
  <c r="W67" i="111" s="1"/>
  <c r="CC268" i="115"/>
  <c r="CJ700" i="115"/>
  <c r="CK700" i="115" s="1"/>
  <c r="CF700" i="115"/>
  <c r="CG700" i="115" s="1"/>
  <c r="CB700" i="115"/>
  <c r="CC700" i="115" s="1"/>
  <c r="BX700" i="115"/>
  <c r="BY700" i="115" s="1"/>
  <c r="BT700" i="115"/>
  <c r="BU700" i="115" s="1"/>
  <c r="BX1463" i="115"/>
  <c r="BX1469" i="115" s="1"/>
  <c r="BX172" i="115"/>
  <c r="BL172" i="115"/>
  <c r="BT172" i="115"/>
  <c r="AB51" i="117"/>
  <c r="AB76" i="117" s="1"/>
  <c r="BH172" i="115"/>
  <c r="CC1463" i="115"/>
  <c r="CC1469" i="115" s="1"/>
  <c r="CC172" i="115"/>
  <c r="AK51" i="117"/>
  <c r="BQ172" i="115"/>
  <c r="CK172" i="115"/>
  <c r="BY172" i="115"/>
  <c r="BM172" i="115"/>
  <c r="CF172" i="115"/>
  <c r="CJ172" i="115"/>
  <c r="BH665" i="115"/>
  <c r="BV12" i="117"/>
  <c r="BV221" i="117" s="1"/>
  <c r="BZ230" i="117" s="1"/>
  <c r="CF308" i="115"/>
  <c r="BW21" i="115"/>
  <c r="BM1300" i="115"/>
  <c r="CG843" i="115"/>
  <c r="CG867" i="115" s="1"/>
  <c r="CG868" i="115" s="1"/>
  <c r="CD1083" i="115"/>
  <c r="CJ1468" i="115"/>
  <c r="CD248" i="115"/>
  <c r="BI665" i="115"/>
  <c r="CF40" i="115"/>
  <c r="BZ723" i="115"/>
  <c r="BZ728" i="115" s="1"/>
  <c r="CM131" i="115"/>
  <c r="CQ131" i="115"/>
  <c r="EE68" i="117"/>
  <c r="BR247" i="115"/>
  <c r="X39" i="123"/>
  <c r="X84" i="123" s="1"/>
  <c r="CH1517" i="115"/>
  <c r="BI1334" i="115"/>
  <c r="BI1336" i="115" s="1"/>
  <c r="BR966" i="115"/>
  <c r="BT243" i="115"/>
  <c r="CH741" i="115"/>
  <c r="CT1393" i="115"/>
  <c r="BR1317" i="115"/>
  <c r="CD1163" i="115"/>
  <c r="CD1164" i="115" s="1"/>
  <c r="DW16" i="117" s="1"/>
  <c r="BF41" i="117"/>
  <c r="CK69" i="115"/>
  <c r="CJ69" i="115"/>
  <c r="AF91" i="123"/>
  <c r="AF145" i="123"/>
  <c r="BT244" i="117"/>
  <c r="DE40" i="117"/>
  <c r="BP267" i="115"/>
  <c r="BP270" i="115" s="1"/>
  <c r="DI73" i="117" s="1"/>
  <c r="AZ105" i="117"/>
  <c r="BH196" i="117"/>
  <c r="BH106" i="117" s="1"/>
  <c r="CG448" i="115"/>
  <c r="BV1240" i="115"/>
  <c r="Y56" i="111"/>
  <c r="CK448" i="115"/>
  <c r="Z46" i="111"/>
  <c r="AX36" i="117"/>
  <c r="BD195" i="117"/>
  <c r="BD105" i="117" s="1"/>
  <c r="BI194" i="117"/>
  <c r="BI104" i="117" s="1"/>
  <c r="CQ1403" i="115"/>
  <c r="CH1240" i="115"/>
  <c r="CP59" i="115"/>
  <c r="CQ1404" i="115"/>
  <c r="CD1240" i="115"/>
  <c r="L10" i="123"/>
  <c r="L108" i="123" s="1"/>
  <c r="AP36" i="117"/>
  <c r="BF36" i="117"/>
  <c r="CQ1405" i="115"/>
  <c r="P91" i="123"/>
  <c r="T91" i="123"/>
  <c r="X91" i="123"/>
  <c r="T15" i="123"/>
  <c r="BZ598" i="115"/>
  <c r="CH1488" i="115"/>
  <c r="CH1486" i="115" s="1"/>
  <c r="CQ370" i="115"/>
  <c r="CD392" i="115"/>
  <c r="CJ480" i="115"/>
  <c r="CD1095" i="115"/>
  <c r="CH392" i="115"/>
  <c r="CL1095" i="115"/>
  <c r="BB22" i="117"/>
  <c r="CF1046" i="115"/>
  <c r="CL392" i="115"/>
  <c r="BD85" i="117"/>
  <c r="BV25" i="117"/>
  <c r="CG484" i="115"/>
  <c r="T33" i="123"/>
  <c r="T78" i="123" s="1"/>
  <c r="CG789" i="115"/>
  <c r="CG793" i="115" s="1"/>
  <c r="BZ605" i="115"/>
  <c r="BI483" i="115"/>
  <c r="DG68" i="117"/>
  <c r="CH998" i="115"/>
  <c r="CG485" i="115"/>
  <c r="CD69" i="115"/>
  <c r="CH59" i="115"/>
  <c r="AB56" i="111"/>
  <c r="CJ1175" i="115"/>
  <c r="CG1341" i="115"/>
  <c r="CG1343" i="115" s="1"/>
  <c r="BV27" i="117"/>
  <c r="BR271" i="115"/>
  <c r="AQ109" i="111"/>
  <c r="CH334" i="115"/>
  <c r="AL36" i="117"/>
  <c r="BD41" i="117"/>
  <c r="CG496" i="115"/>
  <c r="BU39" i="117"/>
  <c r="AH36" i="117"/>
  <c r="BP41" i="117"/>
  <c r="BT39" i="117"/>
  <c r="AD36" i="117"/>
  <c r="AX41" i="117"/>
  <c r="BQ41" i="117"/>
  <c r="Z36" i="117"/>
  <c r="AB57" i="111"/>
  <c r="BB36" i="117"/>
  <c r="CG285" i="115"/>
  <c r="BR41" i="117"/>
  <c r="BB41" i="117"/>
  <c r="AT36" i="117"/>
  <c r="BE41" i="117"/>
  <c r="BR380" i="115"/>
  <c r="BR382" i="115" s="1"/>
  <c r="CK716" i="115"/>
  <c r="CU281" i="115"/>
  <c r="X139" i="123"/>
  <c r="P86" i="123"/>
  <c r="T139" i="123"/>
  <c r="K46" i="123"/>
  <c r="AY26" i="117"/>
  <c r="AY28" i="117" s="1"/>
  <c r="BC26" i="117"/>
  <c r="BC28" i="117" s="1"/>
  <c r="DL24" i="117"/>
  <c r="AM19" i="117"/>
  <c r="BB249" i="117"/>
  <c r="BY101" i="115"/>
  <c r="BY100" i="115" s="1"/>
  <c r="L29" i="123"/>
  <c r="CG258" i="115"/>
  <c r="CJ617" i="115"/>
  <c r="CQ87" i="115"/>
  <c r="CG66" i="115"/>
  <c r="BA33" i="117" s="1"/>
  <c r="CP714" i="115"/>
  <c r="CC38" i="115"/>
  <c r="AW25" i="117" s="1"/>
  <c r="AW244" i="117" s="1"/>
  <c r="CJ40" i="115"/>
  <c r="CK101" i="115"/>
  <c r="CK100" i="115" s="1"/>
  <c r="CK566" i="115"/>
  <c r="CF711" i="115"/>
  <c r="CH38" i="115"/>
  <c r="CQ89" i="115"/>
  <c r="CJ716" i="115"/>
  <c r="CC617" i="115"/>
  <c r="CF617" i="115"/>
  <c r="CG101" i="115"/>
  <c r="CG757" i="115"/>
  <c r="CG617" i="115"/>
  <c r="BM134" i="117"/>
  <c r="BM191" i="117" s="1"/>
  <c r="BM101" i="117" s="1"/>
  <c r="CM462" i="115"/>
  <c r="CK617" i="115"/>
  <c r="CL38" i="115"/>
  <c r="CB66" i="115"/>
  <c r="AV33" i="117" s="1"/>
  <c r="CB757" i="115"/>
  <c r="CB617" i="115"/>
  <c r="CE281" i="115"/>
  <c r="CE280" i="115"/>
  <c r="AT93" i="117"/>
  <c r="CC101" i="115"/>
  <c r="CQ605" i="115"/>
  <c r="CL617" i="115"/>
  <c r="CC66" i="115"/>
  <c r="AW33" i="117" s="1"/>
  <c r="CP1394" i="115"/>
  <c r="CR1394" i="115"/>
  <c r="CC40" i="115"/>
  <c r="CB101" i="115"/>
  <c r="CF101" i="115"/>
  <c r="CF66" i="115"/>
  <c r="AZ33" i="117" s="1"/>
  <c r="BE224" i="115"/>
  <c r="AW176" i="117"/>
  <c r="AW177" i="117" s="1"/>
  <c r="BD223" i="115"/>
  <c r="BE249" i="117"/>
  <c r="BE85" i="117"/>
  <c r="BN132" i="117"/>
  <c r="BJ132" i="117"/>
  <c r="AY177" i="117"/>
  <c r="AY179" i="117" s="1"/>
  <c r="EE5" i="117"/>
  <c r="BH126" i="117"/>
  <c r="BH172" i="117" s="1"/>
  <c r="BI126" i="117"/>
  <c r="BI172" i="117" s="1"/>
  <c r="BL126" i="117"/>
  <c r="BL172" i="117" s="1"/>
  <c r="BL216" i="117" s="1"/>
  <c r="D29" i="123"/>
  <c r="AD23" i="117"/>
  <c r="BR183" i="117"/>
  <c r="BL118" i="115"/>
  <c r="BL1106" i="115"/>
  <c r="BN1106" i="115" s="1"/>
  <c r="BN1107" i="115" s="1"/>
  <c r="BN990" i="115"/>
  <c r="BZ271" i="115"/>
  <c r="BY1074" i="115"/>
  <c r="BZ1074" i="115" s="1"/>
  <c r="P39" i="123"/>
  <c r="P84" i="123" s="1"/>
  <c r="BS282" i="115"/>
  <c r="BW281" i="115"/>
  <c r="CL484" i="115"/>
  <c r="CQ462" i="115"/>
  <c r="AC11" i="123" s="1"/>
  <c r="BS281" i="115"/>
  <c r="BS280" i="115"/>
  <c r="CI280" i="115"/>
  <c r="CH484" i="115"/>
  <c r="CI462" i="115"/>
  <c r="CJ101" i="115"/>
  <c r="CM283" i="115"/>
  <c r="CQ283" i="115"/>
  <c r="CO1554" i="115"/>
  <c r="CO1555" i="115" s="1"/>
  <c r="CF1210" i="115"/>
  <c r="CF1211" i="115" s="1"/>
  <c r="BZ546" i="115"/>
  <c r="CE283" i="115"/>
  <c r="CE282" i="115"/>
  <c r="CI281" i="115"/>
  <c r="CM280" i="115"/>
  <c r="CQ280" i="115"/>
  <c r="BW280" i="115"/>
  <c r="CA283" i="115"/>
  <c r="CA282" i="115"/>
  <c r="CD271" i="115"/>
  <c r="CI282" i="115"/>
  <c r="CM281" i="115"/>
  <c r="CQ281" i="115"/>
  <c r="BW283" i="115"/>
  <c r="BW282" i="115"/>
  <c r="CA281" i="115"/>
  <c r="CA280" i="115"/>
  <c r="CI283" i="115"/>
  <c r="CM282" i="115"/>
  <c r="CQ282" i="115"/>
  <c r="CQ693" i="115"/>
  <c r="CP697" i="115"/>
  <c r="CO734" i="115"/>
  <c r="CN1089" i="115"/>
  <c r="CP1089" i="115" s="1"/>
  <c r="CP1088" i="115"/>
  <c r="CN1350" i="115"/>
  <c r="CP1346" i="115"/>
  <c r="BH1341" i="115"/>
  <c r="BH1343" i="115" s="1"/>
  <c r="BJ1095" i="115"/>
  <c r="CP271" i="115"/>
  <c r="CN1094" i="115"/>
  <c r="CP1094" i="115" s="1"/>
  <c r="CP1093" i="115"/>
  <c r="BN271" i="115"/>
  <c r="CH1520" i="115"/>
  <c r="CQ109" i="115"/>
  <c r="CQ1240" i="115"/>
  <c r="CP247" i="115"/>
  <c r="CQ1125" i="115"/>
  <c r="CP1128" i="115"/>
  <c r="BX1175" i="115"/>
  <c r="CN1332" i="115"/>
  <c r="CP1332" i="115" s="1"/>
  <c r="CP1331" i="115"/>
  <c r="CB1486" i="115"/>
  <c r="CQ33" i="115"/>
  <c r="AC29" i="123" s="1"/>
  <c r="CP57" i="115"/>
  <c r="CP241" i="115"/>
  <c r="CP243" i="115" s="1"/>
  <c r="CK711" i="115"/>
  <c r="CO716" i="115"/>
  <c r="BN183" i="117"/>
  <c r="CP48" i="115"/>
  <c r="CQ14" i="115"/>
  <c r="AC15" i="123" s="1"/>
  <c r="CP885" i="115"/>
  <c r="AB91" i="123"/>
  <c r="AB145" i="123"/>
  <c r="Y81" i="123"/>
  <c r="Z81" i="123"/>
  <c r="CA109" i="111"/>
  <c r="BX109" i="111"/>
  <c r="CE109" i="111"/>
  <c r="AM109" i="111"/>
  <c r="BV109" i="111"/>
  <c r="AU109" i="111"/>
  <c r="CB109" i="111"/>
  <c r="BE109" i="111"/>
  <c r="CC109" i="111"/>
  <c r="BK109" i="111"/>
  <c r="BT109" i="111"/>
  <c r="BB109" i="111"/>
  <c r="AY109" i="111"/>
  <c r="BD109" i="111"/>
  <c r="BC109" i="111"/>
  <c r="AW109" i="111"/>
  <c r="CD109" i="111"/>
  <c r="BS109" i="111"/>
  <c r="BW109" i="111"/>
  <c r="BQ109" i="111"/>
  <c r="BF109" i="111"/>
  <c r="AS109" i="111"/>
  <c r="AT109" i="111"/>
  <c r="BM109" i="111"/>
  <c r="AE109" i="111"/>
  <c r="BN109" i="111"/>
  <c r="AP109" i="111"/>
  <c r="AL109" i="111"/>
  <c r="BR109" i="111"/>
  <c r="G33" i="111"/>
  <c r="AN109" i="111"/>
  <c r="AZ109" i="111"/>
  <c r="S142" i="111"/>
  <c r="G43" i="111" s="1"/>
  <c r="BO109" i="111"/>
  <c r="BI109" i="111"/>
  <c r="BP109" i="111"/>
  <c r="BU109" i="111"/>
  <c r="BZ109" i="111"/>
  <c r="AB109" i="111"/>
  <c r="AO109" i="111"/>
  <c r="CL587" i="115"/>
  <c r="AY243" i="117"/>
  <c r="CD66" i="115"/>
  <c r="AX33" i="117" s="1"/>
  <c r="CJ586" i="115"/>
  <c r="CL586" i="115" s="1"/>
  <c r="CK757" i="115"/>
  <c r="CO758" i="115" s="1"/>
  <c r="CL70" i="115"/>
  <c r="CH236" i="115"/>
  <c r="CH66" i="115"/>
  <c r="BB33" i="117" s="1"/>
  <c r="CB999" i="115"/>
  <c r="CB1000" i="115" s="1"/>
  <c r="CB69" i="115"/>
  <c r="CD70" i="115"/>
  <c r="CK66" i="115"/>
  <c r="BE33" i="117" s="1"/>
  <c r="CF999" i="115"/>
  <c r="CF1000" i="115" s="1"/>
  <c r="CF69" i="115"/>
  <c r="CH70" i="115"/>
  <c r="CG999" i="115"/>
  <c r="CG1000" i="115" s="1"/>
  <c r="CG69" i="115"/>
  <c r="CJ602" i="115"/>
  <c r="CJ566" i="115"/>
  <c r="CJ585" i="115"/>
  <c r="CL66" i="115"/>
  <c r="BF33" i="117" s="1"/>
  <c r="CJ66" i="115"/>
  <c r="BD33" i="117" s="1"/>
  <c r="CJ865" i="115"/>
  <c r="BE128" i="117"/>
  <c r="CJ1347" i="115"/>
  <c r="CJ1350" i="115" s="1"/>
  <c r="CN670" i="115"/>
  <c r="CK864" i="115"/>
  <c r="CK866" i="115"/>
  <c r="CN668" i="115"/>
  <c r="W15" i="111"/>
  <c r="AP20" i="117"/>
  <c r="CH990" i="115"/>
  <c r="BU665" i="115"/>
  <c r="BU740" i="115" s="1"/>
  <c r="BU744" i="115" s="1"/>
  <c r="CG335" i="115"/>
  <c r="CJ342" i="115" s="1"/>
  <c r="BH142" i="115"/>
  <c r="BH141" i="115" s="1"/>
  <c r="CB488" i="115"/>
  <c r="BX843" i="115"/>
  <c r="BX952" i="115" s="1"/>
  <c r="BX951" i="115" s="1"/>
  <c r="BL462" i="115"/>
  <c r="BL484" i="115" s="1"/>
  <c r="CD412" i="115"/>
  <c r="EE39" i="117"/>
  <c r="CJ999" i="115"/>
  <c r="CJ1000" i="115" s="1"/>
  <c r="CF1132" i="115"/>
  <c r="CF1134" i="115" s="1"/>
  <c r="CF1180" i="115"/>
  <c r="AT58" i="117"/>
  <c r="CK999" i="115"/>
  <c r="CK1000" i="115" s="1"/>
  <c r="CD990" i="115"/>
  <c r="BD234" i="115"/>
  <c r="BZ22" i="115"/>
  <c r="CA22" i="115" s="1"/>
  <c r="BN825" i="115"/>
  <c r="BV733" i="115"/>
  <c r="BV731" i="115"/>
  <c r="BE258" i="115"/>
  <c r="CK1202" i="115"/>
  <c r="BV1043" i="115"/>
  <c r="DK70" i="117"/>
  <c r="BV1418" i="115"/>
  <c r="DW65" i="117"/>
  <c r="CF140" i="115"/>
  <c r="CF141" i="115" s="1"/>
  <c r="BE174" i="117"/>
  <c r="BF404" i="115"/>
  <c r="BH402" i="115" s="1"/>
  <c r="BJ402" i="115" s="1"/>
  <c r="BJ404" i="115" s="1"/>
  <c r="BL402" i="115" s="1"/>
  <c r="BY330" i="115"/>
  <c r="CA87" i="115"/>
  <c r="CN161" i="115"/>
  <c r="CJ496" i="115"/>
  <c r="BQ790" i="115"/>
  <c r="BR790" i="115" s="1"/>
  <c r="BU333" i="115"/>
  <c r="BV333" i="115" s="1"/>
  <c r="BX488" i="115"/>
  <c r="BV471" i="115"/>
  <c r="BV470" i="115" s="1"/>
  <c r="BV472" i="115" s="1"/>
  <c r="CH1598" i="115"/>
  <c r="BF235" i="115"/>
  <c r="CN163" i="115"/>
  <c r="CL544" i="115"/>
  <c r="BT1341" i="115"/>
  <c r="BT1343" i="115" s="1"/>
  <c r="L12" i="123"/>
  <c r="BR298" i="115"/>
  <c r="BM335" i="115"/>
  <c r="BN335" i="115" s="1"/>
  <c r="BL486" i="115"/>
  <c r="BI118" i="115"/>
  <c r="BI119" i="115" s="1"/>
  <c r="BT31" i="115"/>
  <c r="BT393" i="115"/>
  <c r="CF291" i="115"/>
  <c r="CJ92" i="115"/>
  <c r="CH219" i="115"/>
  <c r="CK311" i="115"/>
  <c r="CN318" i="115" s="1"/>
  <c r="DQ18" i="117"/>
  <c r="EE7" i="117"/>
  <c r="BN129" i="117"/>
  <c r="X11" i="117"/>
  <c r="X14" i="117" s="1"/>
  <c r="BJ1043" i="115"/>
  <c r="T35" i="123"/>
  <c r="BV1085" i="115"/>
  <c r="CB1485" i="115"/>
  <c r="BP1064" i="115"/>
  <c r="BP1204" i="115" s="1"/>
  <c r="CH57" i="115"/>
  <c r="BF142" i="115"/>
  <c r="CH151" i="115"/>
  <c r="CH1468" i="115"/>
  <c r="CK136" i="115"/>
  <c r="CJ1519" i="115"/>
  <c r="CH257" i="115"/>
  <c r="T11" i="123"/>
  <c r="T109" i="123" s="1"/>
  <c r="AS54" i="117"/>
  <c r="BR325" i="115"/>
  <c r="CL110" i="115"/>
  <c r="BV1090" i="115"/>
  <c r="CC337" i="115"/>
  <c r="BM1311" i="115"/>
  <c r="BM1312" i="115" s="1"/>
  <c r="CK308" i="115"/>
  <c r="CM1402" i="115"/>
  <c r="CH1342" i="115"/>
  <c r="CC1084" i="115"/>
  <c r="BM1064" i="115"/>
  <c r="BM1204" i="115" s="1"/>
  <c r="BM1205" i="115" s="1"/>
  <c r="CD742" i="115"/>
  <c r="CB576" i="115"/>
  <c r="BP735" i="115"/>
  <c r="CG140" i="115"/>
  <c r="CG141" i="115" s="1"/>
  <c r="CH22" i="115"/>
  <c r="CF789" i="115"/>
  <c r="CL1031" i="115"/>
  <c r="CF334" i="115"/>
  <c r="BF236" i="115"/>
  <c r="BQ334" i="115"/>
  <c r="BQ341" i="115" s="1"/>
  <c r="CF728" i="115"/>
  <c r="BY1311" i="115"/>
  <c r="BY1312" i="115" s="1"/>
  <c r="BY1565" i="115"/>
  <c r="CG120" i="115"/>
  <c r="CH120" i="115" s="1"/>
  <c r="BI830" i="115"/>
  <c r="BJ830" i="115" s="1"/>
  <c r="BL334" i="115"/>
  <c r="BL341" i="115" s="1"/>
  <c r="BL333" i="115"/>
  <c r="BL337" i="115"/>
  <c r="BI1255" i="115"/>
  <c r="BN298" i="115"/>
  <c r="BL335" i="115"/>
  <c r="BX333" i="115"/>
  <c r="BY1485" i="115"/>
  <c r="BL1046" i="115"/>
  <c r="CH697" i="115"/>
  <c r="BI352" i="115"/>
  <c r="BI451" i="115" s="1"/>
  <c r="BR349" i="115"/>
  <c r="BR245" i="115"/>
  <c r="BE92" i="115"/>
  <c r="BD20" i="115"/>
  <c r="CB580" i="115"/>
  <c r="AV137" i="117" s="1"/>
  <c r="AV103" i="117" s="1"/>
  <c r="CB543" i="115"/>
  <c r="CB545" i="115" s="1"/>
  <c r="CF310" i="115"/>
  <c r="CF309" i="115"/>
  <c r="BB23" i="117"/>
  <c r="BB242" i="117" s="1"/>
  <c r="CG337" i="115"/>
  <c r="CG338" i="115" s="1"/>
  <c r="CH485" i="115"/>
  <c r="CH646" i="115"/>
  <c r="CL1085" i="115"/>
  <c r="CL577" i="115"/>
  <c r="CC1046" i="115"/>
  <c r="CA594" i="115"/>
  <c r="CE594" i="115"/>
  <c r="W56" i="111"/>
  <c r="BH19" i="115"/>
  <c r="BH666" i="115" s="1"/>
  <c r="AB13" i="117"/>
  <c r="AB14" i="117" s="1"/>
  <c r="BI267" i="115"/>
  <c r="BI264" i="115" s="1"/>
  <c r="AL20" i="117"/>
  <c r="BT933" i="115"/>
  <c r="BY1490" i="115"/>
  <c r="CD110" i="115"/>
  <c r="BF110" i="115"/>
  <c r="BR110" i="115"/>
  <c r="CF337" i="115"/>
  <c r="CH242" i="115"/>
  <c r="CG243" i="115"/>
  <c r="CG235" i="115" s="1"/>
  <c r="CG488" i="115"/>
  <c r="CG489" i="115"/>
  <c r="CG31" i="115"/>
  <c r="BA18" i="117" s="1"/>
  <c r="CL963" i="115"/>
  <c r="CJ965" i="115"/>
  <c r="CJ291" i="115"/>
  <c r="CL149" i="115"/>
  <c r="CN114" i="115"/>
  <c r="CN136" i="115"/>
  <c r="BW131" i="115"/>
  <c r="AA57" i="111"/>
  <c r="AX23" i="117"/>
  <c r="AX242" i="117" s="1"/>
  <c r="BU31" i="115"/>
  <c r="AO18" i="117" s="1"/>
  <c r="DI69" i="117"/>
  <c r="DB40" i="117"/>
  <c r="CB24" i="115"/>
  <c r="CB792" i="115" s="1"/>
  <c r="BX337" i="115"/>
  <c r="AT57" i="117"/>
  <c r="AX83" i="117" s="1"/>
  <c r="Z7" i="117"/>
  <c r="BR236" i="115"/>
  <c r="Z23" i="117"/>
  <c r="BQ1114" i="115"/>
  <c r="BQ1118" i="115" s="1"/>
  <c r="BV1416" i="115"/>
  <c r="BX335" i="115"/>
  <c r="BX342" i="115" s="1"/>
  <c r="BX334" i="115"/>
  <c r="X54" i="111"/>
  <c r="X67" i="111" s="1"/>
  <c r="BR57" i="115"/>
  <c r="BR961" i="115"/>
  <c r="BR969" i="115" s="1"/>
  <c r="BP25" i="115"/>
  <c r="BT665" i="115"/>
  <c r="BT740" i="115" s="1"/>
  <c r="BT744" i="115" s="1"/>
  <c r="BU1417" i="115"/>
  <c r="BV637" i="115"/>
  <c r="BV639" i="115" s="1"/>
  <c r="L39" i="123"/>
  <c r="L137" i="123" s="1"/>
  <c r="P35" i="123"/>
  <c r="BU843" i="115"/>
  <c r="BU952" i="115" s="1"/>
  <c r="BU951" i="115" s="1"/>
  <c r="BU1565" i="115"/>
  <c r="CC602" i="115"/>
  <c r="CC614" i="115" s="1"/>
  <c r="CC596" i="115"/>
  <c r="CC595" i="115" s="1"/>
  <c r="CC472" i="115"/>
  <c r="AW59" i="117" s="1"/>
  <c r="CC476" i="115"/>
  <c r="BJ472" i="115"/>
  <c r="AD59" i="117" s="1"/>
  <c r="AD85" i="117" s="1"/>
  <c r="BJ476" i="115"/>
  <c r="CD1115" i="115"/>
  <c r="CD400" i="115"/>
  <c r="BV241" i="115"/>
  <c r="BV243" i="115" s="1"/>
  <c r="BR1340" i="115"/>
  <c r="P33" i="123"/>
  <c r="P78" i="123" s="1"/>
  <c r="CD998" i="115"/>
  <c r="CD1000" i="115" s="1"/>
  <c r="BJ990" i="115"/>
  <c r="V56" i="111"/>
  <c r="BQ665" i="115"/>
  <c r="BQ740" i="115" s="1"/>
  <c r="BQ744" i="115" s="1"/>
  <c r="CD741" i="115"/>
  <c r="CB843" i="115"/>
  <c r="CB952" i="115" s="1"/>
  <c r="CB951" i="115" s="1"/>
  <c r="CG333" i="115"/>
  <c r="CH333" i="115" s="1"/>
  <c r="CG336" i="115"/>
  <c r="CH336" i="115" s="1"/>
  <c r="CL1342" i="115"/>
  <c r="AX47" i="117"/>
  <c r="DW15" i="117" s="1"/>
  <c r="DW18" i="117" s="1"/>
  <c r="CF1106" i="115"/>
  <c r="CF1202" i="115" s="1"/>
  <c r="CH1101" i="115"/>
  <c r="BL174" i="117"/>
  <c r="BN488" i="115"/>
  <c r="BZ486" i="115"/>
  <c r="X15" i="117"/>
  <c r="CB1348" i="115"/>
  <c r="CD1348" i="115" s="1"/>
  <c r="CB20" i="115"/>
  <c r="AA56" i="111"/>
  <c r="BI337" i="115"/>
  <c r="CF49" i="115"/>
  <c r="AT23" i="117"/>
  <c r="BN472" i="115"/>
  <c r="W47" i="111" s="1"/>
  <c r="BL336" i="115"/>
  <c r="AV129" i="117"/>
  <c r="AK13" i="117"/>
  <c r="BI843" i="115"/>
  <c r="BJ843" i="115" s="1"/>
  <c r="BR647" i="115"/>
  <c r="AN13" i="117"/>
  <c r="AN14" i="117" s="1"/>
  <c r="BA129" i="117"/>
  <c r="CH1594" i="115"/>
  <c r="BV911" i="115"/>
  <c r="BJ911" i="115"/>
  <c r="BR733" i="115"/>
  <c r="BZ642" i="115"/>
  <c r="BQ335" i="115"/>
  <c r="BR335" i="115" s="1"/>
  <c r="CC1334" i="115"/>
  <c r="CC1336" i="115" s="1"/>
  <c r="BY157" i="115"/>
  <c r="BZ157" i="115" s="1"/>
  <c r="BP290" i="115"/>
  <c r="CD30" i="115"/>
  <c r="CD325" i="115"/>
  <c r="BQ965" i="115"/>
  <c r="BQ967" i="115" s="1"/>
  <c r="BQ968" i="115" s="1"/>
  <c r="BP308" i="115"/>
  <c r="BQ1334" i="115"/>
  <c r="BT1331" i="115" s="1"/>
  <c r="BV1331" i="115" s="1"/>
  <c r="BP1180" i="115"/>
  <c r="CH349" i="115"/>
  <c r="Z20" i="117"/>
  <c r="BN272" i="115"/>
  <c r="DG69" i="117" s="1"/>
  <c r="BQ337" i="115"/>
  <c r="BY933" i="115"/>
  <c r="CG1064" i="115"/>
  <c r="CG1204" i="115" s="1"/>
  <c r="CG1203" i="115" s="1"/>
  <c r="BN283" i="115"/>
  <c r="AJ18" i="117"/>
  <c r="AJ146" i="117" s="1"/>
  <c r="CB31" i="115"/>
  <c r="BZ298" i="115"/>
  <c r="CJ789" i="115"/>
  <c r="CJ793" i="115" s="1"/>
  <c r="CC403" i="115"/>
  <c r="BP309" i="115"/>
  <c r="BD134" i="117"/>
  <c r="BD191" i="117" s="1"/>
  <c r="BD101" i="117" s="1"/>
  <c r="CJ25" i="115"/>
  <c r="CF489" i="115"/>
  <c r="BV272" i="115"/>
  <c r="BP310" i="115"/>
  <c r="CD236" i="115"/>
  <c r="P29" i="123"/>
  <c r="BZ348" i="115"/>
  <c r="BQ333" i="115"/>
  <c r="BR333" i="115" s="1"/>
  <c r="BP1565" i="115"/>
  <c r="BM284" i="115"/>
  <c r="BM291" i="115" s="1"/>
  <c r="BM351" i="115"/>
  <c r="BL445" i="115"/>
  <c r="BR1296" i="115"/>
  <c r="AX20" i="117"/>
  <c r="BI150" i="115"/>
  <c r="BI1478" i="115" s="1"/>
  <c r="BL1114" i="115"/>
  <c r="BL1118" i="115" s="1"/>
  <c r="DE12" i="117" s="1"/>
  <c r="BM290" i="115"/>
  <c r="BR1043" i="115"/>
  <c r="BU142" i="115"/>
  <c r="BU141" i="115" s="1"/>
  <c r="BD59" i="117"/>
  <c r="CJ263" i="115"/>
  <c r="BI1530" i="115"/>
  <c r="BI175" i="117"/>
  <c r="CG1451" i="115"/>
  <c r="CH1451" i="115" s="1"/>
  <c r="AF54" i="117"/>
  <c r="DE49" i="117" s="1"/>
  <c r="BN350" i="115"/>
  <c r="AR45" i="117"/>
  <c r="AR61" i="117" s="1"/>
  <c r="BQ1094" i="115"/>
  <c r="BJ413" i="115"/>
  <c r="BP393" i="115"/>
  <c r="BR248" i="115"/>
  <c r="CE109" i="115"/>
  <c r="CJ905" i="115"/>
  <c r="CJ864" i="115"/>
  <c r="P139" i="123"/>
  <c r="CJ925" i="115"/>
  <c r="CN927" i="115" s="1"/>
  <c r="CJ866" i="115"/>
  <c r="CF916" i="115"/>
  <c r="CF920" i="115" s="1"/>
  <c r="CF865" i="115"/>
  <c r="CK865" i="115"/>
  <c r="CK873" i="115" s="1"/>
  <c r="CF925" i="115"/>
  <c r="CF866" i="115"/>
  <c r="D145" i="123"/>
  <c r="CB1341" i="115"/>
  <c r="CB1343" i="115" s="1"/>
  <c r="BP1341" i="115"/>
  <c r="BP1343" i="115" s="1"/>
  <c r="BI49" i="115"/>
  <c r="CF1084" i="115"/>
  <c r="CG933" i="115"/>
  <c r="CH1437" i="115"/>
  <c r="AB20" i="111" s="1"/>
  <c r="AB21" i="111" s="1"/>
  <c r="CJ1336" i="115"/>
  <c r="BI666" i="115"/>
  <c r="AO54" i="117"/>
  <c r="DN49" i="117" s="1"/>
  <c r="AL129" i="117"/>
  <c r="BH641" i="115"/>
  <c r="CC1210" i="115"/>
  <c r="CC1211" i="115" s="1"/>
  <c r="BQ1210" i="115"/>
  <c r="BQ1211" i="115" s="1"/>
  <c r="BU933" i="115"/>
  <c r="BJ929" i="115"/>
  <c r="CD642" i="115"/>
  <c r="BU596" i="115"/>
  <c r="BU595" i="115" s="1"/>
  <c r="BU510" i="115"/>
  <c r="BU511" i="115" s="1"/>
  <c r="BZ512" i="115"/>
  <c r="BW1403" i="115"/>
  <c r="BI445" i="115"/>
  <c r="BI1114" i="115"/>
  <c r="BI1116" i="115" s="1"/>
  <c r="BI1046" i="115"/>
  <c r="BN1043" i="115"/>
  <c r="BQ933" i="115"/>
  <c r="BR929" i="115"/>
  <c r="BP933" i="115"/>
  <c r="BI12" i="117"/>
  <c r="D10" i="123"/>
  <c r="D55" i="123" s="1"/>
  <c r="AL56" i="117"/>
  <c r="BH337" i="115"/>
  <c r="BI330" i="115"/>
  <c r="CC309" i="115"/>
  <c r="CD309" i="115" s="1"/>
  <c r="CC308" i="115"/>
  <c r="CC307" i="115"/>
  <c r="CD307" i="115" s="1"/>
  <c r="CC310" i="115"/>
  <c r="CD310" i="115" s="1"/>
  <c r="BQ303" i="115"/>
  <c r="BQ311" i="115"/>
  <c r="BQ352" i="115"/>
  <c r="BQ372" i="115" s="1"/>
  <c r="BY291" i="115"/>
  <c r="DI66" i="117"/>
  <c r="BN966" i="115"/>
  <c r="BN256" i="115"/>
  <c r="BN258" i="115" s="1"/>
  <c r="BL142" i="115"/>
  <c r="BL140" i="115"/>
  <c r="BL144" i="115" s="1"/>
  <c r="BM114" i="115"/>
  <c r="Y57" i="111"/>
  <c r="BQ843" i="115"/>
  <c r="BQ952" i="115" s="1"/>
  <c r="BQ951" i="115" s="1"/>
  <c r="BQ31" i="115"/>
  <c r="CF114" i="115"/>
  <c r="CF1437" i="115"/>
  <c r="CF1452" i="115" s="1"/>
  <c r="CF1456" i="115" s="1"/>
  <c r="BM174" i="117"/>
  <c r="CJ1114" i="115"/>
  <c r="CJ1118" i="115" s="1"/>
  <c r="BD54" i="117"/>
  <c r="CJ1046" i="115"/>
  <c r="CG1046" i="115"/>
  <c r="AN129" i="117"/>
  <c r="AN134" i="117" s="1"/>
  <c r="AP134" i="117" s="1"/>
  <c r="AP138" i="117" s="1"/>
  <c r="BR731" i="115"/>
  <c r="BJ1127" i="115"/>
  <c r="BH1129" i="115" s="1"/>
  <c r="CG1517" i="115"/>
  <c r="CG1519" i="115" s="1"/>
  <c r="BA59" i="117"/>
  <c r="BZ1327" i="115"/>
  <c r="BN1127" i="115"/>
  <c r="BL1129" i="115" s="1"/>
  <c r="BN1128" i="115"/>
  <c r="BN1163" i="115"/>
  <c r="BN1164" i="115" s="1"/>
  <c r="DG16" i="117" s="1"/>
  <c r="BU40" i="115"/>
  <c r="CB933" i="115"/>
  <c r="BL488" i="115"/>
  <c r="BL489" i="115"/>
  <c r="BH483" i="115"/>
  <c r="BH486" i="115"/>
  <c r="BY114" i="115"/>
  <c r="BX114" i="115"/>
  <c r="BQ150" i="115"/>
  <c r="BQ92" i="115"/>
  <c r="BJ236" i="115"/>
  <c r="BN57" i="115"/>
  <c r="CG303" i="115"/>
  <c r="BA25" i="117"/>
  <c r="BA244" i="117" s="1"/>
  <c r="AB30" i="111"/>
  <c r="AB22" i="111" s="1"/>
  <c r="CH1271" i="115"/>
  <c r="CG1272" i="115"/>
  <c r="CG1081" i="115"/>
  <c r="CG1084" i="115" s="1"/>
  <c r="BT92" i="115"/>
  <c r="CF92" i="115"/>
  <c r="BU1046" i="115"/>
  <c r="BU1114" i="115"/>
  <c r="BV742" i="115"/>
  <c r="AP129" i="117" s="1"/>
  <c r="BT1348" i="115"/>
  <c r="BV1348" i="115" s="1"/>
  <c r="BR732" i="115"/>
  <c r="BR723" i="115"/>
  <c r="BR725" i="115" s="1"/>
  <c r="BV654" i="115"/>
  <c r="BU646" i="115"/>
  <c r="BU484" i="115"/>
  <c r="BH335" i="115"/>
  <c r="BH336" i="115"/>
  <c r="BH334" i="115"/>
  <c r="BI341" i="115" s="1"/>
  <c r="BQ235" i="115"/>
  <c r="BY1557" i="115"/>
  <c r="BY59" i="115"/>
  <c r="AS22" i="117"/>
  <c r="BL790" i="115"/>
  <c r="BL793" i="115" s="1"/>
  <c r="BL25" i="115"/>
  <c r="CH110" i="115"/>
  <c r="CJ445" i="115"/>
  <c r="BR472" i="115"/>
  <c r="AL59" i="117" s="1"/>
  <c r="CP1396" i="115"/>
  <c r="BN1095" i="115"/>
  <c r="BN1085" i="115"/>
  <c r="BT336" i="115"/>
  <c r="BT343" i="115" s="1"/>
  <c r="BT335" i="115"/>
  <c r="BU342" i="115" s="1"/>
  <c r="BT334" i="115"/>
  <c r="BU330" i="115"/>
  <c r="BQ307" i="115"/>
  <c r="BQ314" i="115" s="1"/>
  <c r="BQ308" i="115"/>
  <c r="BR308" i="115" s="1"/>
  <c r="BQ309" i="115"/>
  <c r="BR309" i="115" s="1"/>
  <c r="BQ310" i="115"/>
  <c r="BR310" i="115" s="1"/>
  <c r="CC352" i="115"/>
  <c r="CC372" i="115" s="1"/>
  <c r="CC311" i="115"/>
  <c r="CC303" i="115"/>
  <c r="DC68" i="117"/>
  <c r="BJ256" i="115"/>
  <c r="DC66" i="117" s="1"/>
  <c r="BN247" i="115"/>
  <c r="BX140" i="115"/>
  <c r="BX144" i="115" s="1"/>
  <c r="BX142" i="115"/>
  <c r="BT136" i="115"/>
  <c r="BZ149" i="115"/>
  <c r="D39" i="123"/>
  <c r="CG602" i="115"/>
  <c r="CG614" i="115" s="1"/>
  <c r="CG596" i="115"/>
  <c r="CG595" i="115" s="1"/>
  <c r="CG655" i="115" s="1"/>
  <c r="CH544" i="115"/>
  <c r="BL137" i="117"/>
  <c r="BL138" i="117" s="1"/>
  <c r="BP734" i="115"/>
  <c r="BX150" i="115"/>
  <c r="BX1478" i="115" s="1"/>
  <c r="CC150" i="115"/>
  <c r="BN1090" i="115"/>
  <c r="H12" i="123"/>
  <c r="BZ1115" i="115"/>
  <c r="BL291" i="115"/>
  <c r="BR284" i="115"/>
  <c r="BR350" i="115"/>
  <c r="CB157" i="115"/>
  <c r="CB365" i="115" s="1"/>
  <c r="BN116" i="115"/>
  <c r="CC543" i="115"/>
  <c r="CC580" i="115"/>
  <c r="CD743" i="115"/>
  <c r="CD580" i="115" s="1"/>
  <c r="AX137" i="117" s="1"/>
  <c r="CH132" i="115"/>
  <c r="CH929" i="115"/>
  <c r="BA54" i="117"/>
  <c r="CG1114" i="115"/>
  <c r="CG445" i="115"/>
  <c r="CG1348" i="115"/>
  <c r="CG576" i="115"/>
  <c r="CH742" i="115"/>
  <c r="CH888" i="115"/>
  <c r="BD45" i="117"/>
  <c r="BS1296" i="115"/>
  <c r="CH30" i="115"/>
  <c r="CI109" i="115"/>
  <c r="CD637" i="115"/>
  <c r="CD639" i="115" s="1"/>
  <c r="BR641" i="115"/>
  <c r="BT333" i="115"/>
  <c r="BR241" i="115"/>
  <c r="BR243" i="115" s="1"/>
  <c r="BJ639" i="115"/>
  <c r="BH595" i="115"/>
  <c r="BH655" i="115" s="1"/>
  <c r="CG146" i="115"/>
  <c r="BJ1085" i="115"/>
  <c r="Z86" i="111"/>
  <c r="BY1558" i="115"/>
  <c r="BT1437" i="115"/>
  <c r="Z88" i="111"/>
  <c r="BY1489" i="115"/>
  <c r="BY476" i="115"/>
  <c r="W85" i="111"/>
  <c r="BX1422" i="115"/>
  <c r="BX1106" i="115"/>
  <c r="BX1202" i="115" s="1"/>
  <c r="BX1203" i="115" s="1"/>
  <c r="BV1319" i="115"/>
  <c r="BL514" i="115"/>
  <c r="AB27" i="117"/>
  <c r="BX1417" i="115"/>
  <c r="BY1089" i="115"/>
  <c r="CF506" i="115"/>
  <c r="CF507" i="115" s="1"/>
  <c r="CF1364" i="115"/>
  <c r="CL348" i="115"/>
  <c r="BQ496" i="115"/>
  <c r="BP510" i="115"/>
  <c r="BP511" i="115" s="1"/>
  <c r="BU480" i="115"/>
  <c r="CB1489" i="115"/>
  <c r="BR911" i="115"/>
  <c r="BX510" i="115"/>
  <c r="BX511" i="115" s="1"/>
  <c r="BL510" i="115"/>
  <c r="BL511" i="115" s="1"/>
  <c r="BL1490" i="115"/>
  <c r="BU1341" i="115"/>
  <c r="BU1343" i="115" s="1"/>
  <c r="AA85" i="111"/>
  <c r="BI472" i="115"/>
  <c r="AC59" i="117" s="1"/>
  <c r="AC85" i="117" s="1"/>
  <c r="AC54" i="117"/>
  <c r="AC82" i="117" s="1"/>
  <c r="V83" i="111"/>
  <c r="BN647" i="115"/>
  <c r="CG905" i="115"/>
  <c r="CG878" i="115"/>
  <c r="CG879" i="115" s="1"/>
  <c r="CG944" i="115" s="1"/>
  <c r="CG916" i="115"/>
  <c r="CG925" i="115"/>
  <c r="AZ126" i="117"/>
  <c r="AZ172" i="117" s="1"/>
  <c r="CG931" i="115"/>
  <c r="CG930" i="115" s="1"/>
  <c r="CG938" i="115" s="1"/>
  <c r="CG939" i="115" s="1"/>
  <c r="BV1166" i="115"/>
  <c r="AS59" i="117"/>
  <c r="BN723" i="115"/>
  <c r="CD1043" i="115"/>
  <c r="BI514" i="115"/>
  <c r="BR483" i="115"/>
  <c r="CD1128" i="115"/>
  <c r="BQ40" i="115"/>
  <c r="CE1125" i="115"/>
  <c r="BM1489" i="115"/>
  <c r="CC445" i="115"/>
  <c r="X88" i="111"/>
  <c r="X85" i="111"/>
  <c r="BX1058" i="115"/>
  <c r="BZ1058" i="115" s="1"/>
  <c r="D12" i="123"/>
  <c r="DM40" i="117"/>
  <c r="BT20" i="115"/>
  <c r="CI1405" i="115"/>
  <c r="CD1224" i="115"/>
  <c r="BP1210" i="115"/>
  <c r="BP1211" i="115" s="1"/>
  <c r="CA1125" i="115"/>
  <c r="BY1084" i="115"/>
  <c r="BM1084" i="115"/>
  <c r="BI811" i="115"/>
  <c r="BL807" i="115" s="1"/>
  <c r="CH733" i="115"/>
  <c r="CD723" i="115"/>
  <c r="CD728" i="115" s="1"/>
  <c r="BX291" i="115"/>
  <c r="BU269" i="115"/>
  <c r="BU114" i="115"/>
  <c r="BM92" i="115"/>
  <c r="CH1166" i="115"/>
  <c r="CH298" i="115"/>
  <c r="CH723" i="115"/>
  <c r="CH725" i="115" s="1"/>
  <c r="CH1031" i="115"/>
  <c r="BH1530" i="115"/>
  <c r="AT47" i="117"/>
  <c r="BR1437" i="115"/>
  <c r="BR487" i="115"/>
  <c r="BU757" i="115"/>
  <c r="BL1485" i="115"/>
  <c r="AW54" i="117"/>
  <c r="DV49" i="117" s="1"/>
  <c r="CJ798" i="115"/>
  <c r="AG13" i="117"/>
  <c r="AG14" i="117" s="1"/>
  <c r="BT1395" i="115"/>
  <c r="BT1305" i="115" s="1"/>
  <c r="BT1306" i="115" s="1"/>
  <c r="CC744" i="115"/>
  <c r="BL352" i="115"/>
  <c r="BL372" i="115" s="1"/>
  <c r="BE150" i="115"/>
  <c r="BN140" i="115"/>
  <c r="BH267" i="115"/>
  <c r="BH270" i="115" s="1"/>
  <c r="DA73" i="117" s="1"/>
  <c r="BJ1101" i="115"/>
  <c r="BR1060" i="115"/>
  <c r="X86" i="111" s="1"/>
  <c r="BM665" i="115"/>
  <c r="BY728" i="115"/>
  <c r="BZ1163" i="115"/>
  <c r="BZ1164" i="115" s="1"/>
  <c r="BZ929" i="115"/>
  <c r="CC1114" i="115"/>
  <c r="BU1089" i="115"/>
  <c r="CB1084" i="115"/>
  <c r="BY963" i="115"/>
  <c r="BY965" i="115" s="1"/>
  <c r="BY967" i="115" s="1"/>
  <c r="BY968" i="115" s="1"/>
  <c r="BL1089" i="115"/>
  <c r="BQ445" i="115"/>
  <c r="BV266" i="115"/>
  <c r="BV268" i="115" s="1"/>
  <c r="BI1093" i="115"/>
  <c r="BI1094" i="115" s="1"/>
  <c r="BJ1094" i="115" s="1"/>
  <c r="CH1593" i="115"/>
  <c r="CD1090" i="115"/>
  <c r="CB393" i="115"/>
  <c r="BQ1565" i="115"/>
  <c r="BZ350" i="115"/>
  <c r="BM311" i="115"/>
  <c r="BF140" i="115"/>
  <c r="BF132" i="115"/>
  <c r="BI841" i="115"/>
  <c r="BV23" i="115"/>
  <c r="BV25" i="115" s="1"/>
  <c r="BT25" i="115"/>
  <c r="BT790" i="115"/>
  <c r="BT793" i="115" s="1"/>
  <c r="BT554" i="115" s="1"/>
  <c r="BI174" i="117"/>
  <c r="CF1371" i="115"/>
  <c r="CF1300" i="115"/>
  <c r="CF1334" i="115"/>
  <c r="CG1331" i="115" s="1"/>
  <c r="CH88" i="115"/>
  <c r="CM87" i="115"/>
  <c r="CH1340" i="115"/>
  <c r="CH1341" i="115" s="1"/>
  <c r="CH966" i="115"/>
  <c r="EA70" i="117"/>
  <c r="EA72" i="117" s="1"/>
  <c r="X33" i="123"/>
  <c r="X131" i="123" s="1"/>
  <c r="AC56" i="111"/>
  <c r="CC1255" i="115"/>
  <c r="CD1255" i="115" s="1"/>
  <c r="CB337" i="115"/>
  <c r="CD149" i="115"/>
  <c r="BR151" i="115"/>
  <c r="BT1093" i="115"/>
  <c r="BV1093" i="115" s="1"/>
  <c r="BP1614" i="115"/>
  <c r="CD1594" i="115"/>
  <c r="CD1599" i="115" s="1"/>
  <c r="CD1565" i="115" s="1"/>
  <c r="CC1599" i="115"/>
  <c r="CC1558" i="115" s="1"/>
  <c r="CC1559" i="115" s="1"/>
  <c r="CB267" i="115"/>
  <c r="CB270" i="115" s="1"/>
  <c r="DU73" i="117" s="1"/>
  <c r="DI40" i="117"/>
  <c r="BP1255" i="115"/>
  <c r="BQ1255" i="115" s="1"/>
  <c r="BZ1407" i="115"/>
  <c r="BZ1342" i="115"/>
  <c r="DS39" i="117"/>
  <c r="CD1296" i="115"/>
  <c r="CE1296" i="115"/>
  <c r="BR1351" i="115"/>
  <c r="AL47" i="117"/>
  <c r="DK15" i="117" s="1"/>
  <c r="DK18" i="117" s="1"/>
  <c r="BX1081" i="115"/>
  <c r="BZ1081" i="115" s="1"/>
  <c r="BL1081" i="115"/>
  <c r="BL1084" i="115" s="1"/>
  <c r="CB1068" i="115"/>
  <c r="BV1076" i="115"/>
  <c r="Y85" i="111" s="1"/>
  <c r="BQ1311" i="115"/>
  <c r="BQ1312" i="115" s="1"/>
  <c r="BT1058" i="115"/>
  <c r="BV1058" i="115" s="1"/>
  <c r="V86" i="111"/>
  <c r="BR1095" i="115"/>
  <c r="BY1114" i="115"/>
  <c r="BY1118" i="115" s="1"/>
  <c r="BY445" i="115"/>
  <c r="AG54" i="117"/>
  <c r="BM1114" i="115"/>
  <c r="BM1046" i="115"/>
  <c r="BY1036" i="115"/>
  <c r="BZ1030" i="115"/>
  <c r="BR1024" i="115"/>
  <c r="BN828" i="115"/>
  <c r="BL830" i="115"/>
  <c r="BU812" i="115"/>
  <c r="BX812" i="115"/>
  <c r="BV811" i="115"/>
  <c r="BQ770" i="115"/>
  <c r="BZ733" i="115"/>
  <c r="BZ731" i="115"/>
  <c r="CB687" i="115"/>
  <c r="CB686" i="115" s="1"/>
  <c r="CB1347" i="115"/>
  <c r="AV128" i="117"/>
  <c r="BQ757" i="115"/>
  <c r="CI594" i="115"/>
  <c r="BU472" i="115"/>
  <c r="BU476" i="115"/>
  <c r="BM472" i="115"/>
  <c r="BM476" i="115"/>
  <c r="BV1529" i="115"/>
  <c r="BV464" i="115"/>
  <c r="CB484" i="115"/>
  <c r="CB646" i="115"/>
  <c r="CB485" i="115"/>
  <c r="BP485" i="115"/>
  <c r="BP484" i="115"/>
  <c r="BL495" i="115"/>
  <c r="BL483" i="115"/>
  <c r="BL641" i="115"/>
  <c r="BM334" i="115"/>
  <c r="BP341" i="115" s="1"/>
  <c r="BM336" i="115"/>
  <c r="BN336" i="115" s="1"/>
  <c r="BM333" i="115"/>
  <c r="BY337" i="115"/>
  <c r="BV325" i="115"/>
  <c r="BX307" i="115"/>
  <c r="BX309" i="115"/>
  <c r="BX310" i="115"/>
  <c r="BL310" i="115"/>
  <c r="BL317" i="115" s="1"/>
  <c r="BL309" i="115"/>
  <c r="BL307" i="115"/>
  <c r="BX311" i="115"/>
  <c r="BT291" i="115"/>
  <c r="CD350" i="115"/>
  <c r="DM69" i="117"/>
  <c r="BR257" i="115"/>
  <c r="BQ258" i="115"/>
  <c r="DC61" i="117"/>
  <c r="DG65" i="117"/>
  <c r="CC140" i="115"/>
  <c r="CC142" i="115"/>
  <c r="BQ142" i="115"/>
  <c r="BQ140" i="115"/>
  <c r="BN132" i="115"/>
  <c r="BN142" i="115"/>
  <c r="BZ110" i="115"/>
  <c r="BN110" i="115"/>
  <c r="BN149" i="115"/>
  <c r="W7" i="111" s="1"/>
  <c r="BN151" i="115"/>
  <c r="BL150" i="115"/>
  <c r="BZ88" i="115"/>
  <c r="V57" i="111"/>
  <c r="D33" i="123"/>
  <c r="D78" i="123" s="1"/>
  <c r="BR990" i="115"/>
  <c r="BV961" i="115"/>
  <c r="BV969" i="115" s="1"/>
  <c r="Y54" i="111"/>
  <c r="BV57" i="115"/>
  <c r="BH841" i="115"/>
  <c r="BH916" i="115" s="1"/>
  <c r="BL920" i="115" s="1"/>
  <c r="BJ28" i="115"/>
  <c r="BQ25" i="115"/>
  <c r="BR23" i="115"/>
  <c r="Y15" i="117"/>
  <c r="CA21" i="115"/>
  <c r="BJ18" i="115"/>
  <c r="BJ19" i="115" s="1"/>
  <c r="AC13" i="117"/>
  <c r="AC14" i="117" s="1"/>
  <c r="Z10" i="117"/>
  <c r="CB335" i="115"/>
  <c r="CB334" i="115"/>
  <c r="CE131" i="115"/>
  <c r="BM510" i="115"/>
  <c r="BM511" i="115" s="1"/>
  <c r="BN18" i="115"/>
  <c r="BN665" i="115" s="1"/>
  <c r="BN740" i="115" s="1"/>
  <c r="BN744" i="115" s="1"/>
  <c r="BN1115" i="115"/>
  <c r="BH642" i="115"/>
  <c r="BJ647" i="115"/>
  <c r="BL393" i="115"/>
  <c r="BM393" i="115"/>
  <c r="BR1488" i="115"/>
  <c r="BR1486" i="115" s="1"/>
  <c r="BS370" i="115"/>
  <c r="BM308" i="115"/>
  <c r="BN308" i="115" s="1"/>
  <c r="BM310" i="115"/>
  <c r="BN310" i="115" s="1"/>
  <c r="BJ284" i="115"/>
  <c r="CI131" i="115"/>
  <c r="BJ52" i="115"/>
  <c r="BX308" i="115"/>
  <c r="P11" i="123"/>
  <c r="P56" i="123" s="1"/>
  <c r="CD485" i="115"/>
  <c r="CD484" i="115"/>
  <c r="CD646" i="115"/>
  <c r="BZ1043" i="115"/>
  <c r="BQ646" i="115"/>
  <c r="BQ480" i="115"/>
  <c r="BQ485" i="115"/>
  <c r="BY352" i="115"/>
  <c r="BY442" i="115" s="1"/>
  <c r="BY303" i="115"/>
  <c r="BY235" i="115"/>
  <c r="BN245" i="115"/>
  <c r="CE33" i="115"/>
  <c r="CE1405" i="115"/>
  <c r="BR642" i="115"/>
  <c r="BH488" i="115"/>
  <c r="CG263" i="115"/>
  <c r="CG268" i="115"/>
  <c r="CH266" i="115"/>
  <c r="CH261" i="115" s="1"/>
  <c r="CG352" i="115"/>
  <c r="CG442" i="115" s="1"/>
  <c r="BA45" i="117"/>
  <c r="BF219" i="115"/>
  <c r="BQ114" i="115"/>
  <c r="CJ1430" i="115"/>
  <c r="CJ1429" i="115" s="1"/>
  <c r="BR1605" i="115"/>
  <c r="BI1486" i="115"/>
  <c r="BI1487" i="115"/>
  <c r="BI1485" i="115"/>
  <c r="BQ1422" i="115"/>
  <c r="BR1418" i="115"/>
  <c r="BQ1417" i="115"/>
  <c r="BQ267" i="115"/>
  <c r="BR267" i="115" s="1"/>
  <c r="BQ1180" i="115"/>
  <c r="DJ40" i="117"/>
  <c r="BR1327" i="115"/>
  <c r="BT1175" i="115"/>
  <c r="BV1171" i="115"/>
  <c r="DO50" i="117" s="1"/>
  <c r="BZ1076" i="115"/>
  <c r="BV1095" i="115"/>
  <c r="CD886" i="115"/>
  <c r="BL157" i="115"/>
  <c r="BL365" i="115" s="1"/>
  <c r="BL258" i="115"/>
  <c r="DE66" i="117"/>
  <c r="AC51" i="117"/>
  <c r="AC76" i="117" s="1"/>
  <c r="BI1463" i="115"/>
  <c r="BI1469" i="115" s="1"/>
  <c r="BY120" i="115"/>
  <c r="BY118" i="115"/>
  <c r="CF639" i="115"/>
  <c r="CH637" i="115"/>
  <c r="CH639" i="115" s="1"/>
  <c r="CH1034" i="115"/>
  <c r="AZ183" i="117"/>
  <c r="CH1090" i="115"/>
  <c r="CG1489" i="115"/>
  <c r="CG1485" i="115"/>
  <c r="CG1486" i="115"/>
  <c r="CG271" i="115"/>
  <c r="CH249" i="115"/>
  <c r="CH271" i="115" s="1"/>
  <c r="CJ1371" i="115"/>
  <c r="CG1300" i="115"/>
  <c r="CK114" i="115"/>
  <c r="CJ150" i="115"/>
  <c r="DB6" i="115"/>
  <c r="DF6" i="115" s="1"/>
  <c r="DJ6" i="115" s="1"/>
  <c r="CL1115" i="115"/>
  <c r="CL400" i="115"/>
  <c r="AS15" i="117"/>
  <c r="BL596" i="115"/>
  <c r="DG61" i="117"/>
  <c r="BN349" i="115"/>
  <c r="BI142" i="115"/>
  <c r="BI141" i="115" s="1"/>
  <c r="CI1296" i="115"/>
  <c r="BY510" i="115"/>
  <c r="BY511" i="115" s="1"/>
  <c r="W57" i="111"/>
  <c r="BQ484" i="115"/>
  <c r="CJ114" i="115"/>
  <c r="BM307" i="115"/>
  <c r="BN307" i="115" s="1"/>
  <c r="BM150" i="115"/>
  <c r="BQ330" i="115"/>
  <c r="BX1312" i="115"/>
  <c r="BN348" i="115"/>
  <c r="BT757" i="115"/>
  <c r="BF22" i="117"/>
  <c r="BH1300" i="115"/>
  <c r="BT1565" i="115"/>
  <c r="BT1554" i="115"/>
  <c r="BT1558" i="115"/>
  <c r="BT1559" i="115" s="1"/>
  <c r="BU1485" i="115"/>
  <c r="BU1486" i="115"/>
  <c r="BU1487" i="115"/>
  <c r="CC1422" i="115"/>
  <c r="CC1417" i="115"/>
  <c r="BR1416" i="115"/>
  <c r="BH1089" i="115"/>
  <c r="BI1088" i="115"/>
  <c r="BI1089" i="115" s="1"/>
  <c r="BX933" i="115"/>
  <c r="CD731" i="115"/>
  <c r="CD697" i="115"/>
  <c r="CE693" i="115"/>
  <c r="BQ488" i="115"/>
  <c r="BQ489" i="115"/>
  <c r="BM462" i="115"/>
  <c r="BM483" i="115"/>
  <c r="BM479" i="115"/>
  <c r="BW370" i="115"/>
  <c r="AL50" i="117"/>
  <c r="DQ66" i="117"/>
  <c r="BX258" i="115"/>
  <c r="BJ241" i="115"/>
  <c r="BJ243" i="115" s="1"/>
  <c r="BF243" i="115"/>
  <c r="BF256" i="115"/>
  <c r="BF258" i="115" s="1"/>
  <c r="BR149" i="115"/>
  <c r="CD116" i="115"/>
  <c r="BY789" i="115"/>
  <c r="BY793" i="115" s="1"/>
  <c r="CF646" i="115"/>
  <c r="CF480" i="115"/>
  <c r="CF1486" i="115"/>
  <c r="CF1485" i="115"/>
  <c r="CF1487" i="115"/>
  <c r="CF243" i="115"/>
  <c r="CI1125" i="115"/>
  <c r="CH1128" i="115"/>
  <c r="CJ514" i="115"/>
  <c r="CG1180" i="115"/>
  <c r="CG267" i="115"/>
  <c r="CG264" i="115" s="1"/>
  <c r="CG580" i="115"/>
  <c r="CG543" i="115"/>
  <c r="CG545" i="115" s="1"/>
  <c r="CH743" i="115"/>
  <c r="CH580" i="115" s="1"/>
  <c r="EE61" i="117"/>
  <c r="CG1334" i="115"/>
  <c r="BY1519" i="115"/>
  <c r="CI1402" i="115"/>
  <c r="CF485" i="115"/>
  <c r="BI291" i="115"/>
  <c r="BB47" i="117"/>
  <c r="CH351" i="115"/>
  <c r="CJ1422" i="115"/>
  <c r="BI965" i="115"/>
  <c r="BI967" i="115" s="1"/>
  <c r="BI968" i="115" s="1"/>
  <c r="CD1074" i="115"/>
  <c r="CG1371" i="115"/>
  <c r="BM309" i="115"/>
  <c r="BN309" i="115" s="1"/>
  <c r="BP337" i="115"/>
  <c r="BR1059" i="115"/>
  <c r="CE1402" i="115"/>
  <c r="CD268" i="115"/>
  <c r="CL1557" i="115"/>
  <c r="BZ1436" i="115"/>
  <c r="BZ1437" i="115" s="1"/>
  <c r="BY1437" i="115"/>
  <c r="CF514" i="115"/>
  <c r="DV40" i="117"/>
  <c r="CC267" i="115"/>
  <c r="CC1180" i="115"/>
  <c r="BH1336" i="115"/>
  <c r="BI1331" i="115"/>
  <c r="BZ1317" i="115"/>
  <c r="BS1119" i="115"/>
  <c r="DL11" i="117" s="1"/>
  <c r="DL19" i="117"/>
  <c r="BZ884" i="115"/>
  <c r="CH732" i="115"/>
  <c r="BX470" i="115"/>
  <c r="BZ471" i="115"/>
  <c r="BZ470" i="115" s="1"/>
  <c r="BZ476" i="115" s="1"/>
  <c r="BR412" i="115"/>
  <c r="BR1115" i="115"/>
  <c r="BZ351" i="115"/>
  <c r="DS68" i="117"/>
  <c r="CD247" i="115"/>
  <c r="DC63" i="117"/>
  <c r="BJ219" i="115"/>
  <c r="BJ272" i="115"/>
  <c r="DC69" i="117" s="1"/>
  <c r="DK65" i="117"/>
  <c r="BD118" i="115"/>
  <c r="BD120" i="115"/>
  <c r="X94" i="117" s="1"/>
  <c r="BT114" i="115"/>
  <c r="BP92" i="115"/>
  <c r="BY31" i="115"/>
  <c r="BZ30" i="115"/>
  <c r="BY843" i="115"/>
  <c r="BY952" i="115" s="1"/>
  <c r="BY951" i="115" s="1"/>
  <c r="BH790" i="115"/>
  <c r="BH793" i="115" s="1"/>
  <c r="BJ23" i="115"/>
  <c r="CG963" i="115"/>
  <c r="CG965" i="115" s="1"/>
  <c r="CG967" i="115" s="1"/>
  <c r="CG968" i="115" s="1"/>
  <c r="CG1093" i="115"/>
  <c r="CG1094" i="115" s="1"/>
  <c r="CF1094" i="115"/>
  <c r="CL351" i="115"/>
  <c r="CH1296" i="115"/>
  <c r="CF484" i="115"/>
  <c r="BI1174" i="115"/>
  <c r="BI31" i="115"/>
  <c r="BZ256" i="115"/>
  <c r="BV349" i="115"/>
  <c r="CP1379" i="115"/>
  <c r="BJ51" i="115"/>
  <c r="CD132" i="115"/>
  <c r="CD256" i="115"/>
  <c r="CD258" i="115" s="1"/>
  <c r="BI489" i="115"/>
  <c r="BZ1085" i="115"/>
  <c r="AZ137" i="117"/>
  <c r="BF88" i="115"/>
  <c r="BM118" i="115"/>
  <c r="BQ1614" i="115"/>
  <c r="BZ325" i="115"/>
  <c r="AF13" i="117"/>
  <c r="AF14" i="117" s="1"/>
  <c r="W88" i="111"/>
  <c r="CD1416" i="115"/>
  <c r="CI1416" i="115" s="1"/>
  <c r="BN1317" i="115"/>
  <c r="BW1125" i="115"/>
  <c r="BV1128" i="115"/>
  <c r="CB1046" i="115"/>
  <c r="CB445" i="115"/>
  <c r="CB1114" i="115"/>
  <c r="CB1118" i="115" s="1"/>
  <c r="BL933" i="115"/>
  <c r="BX602" i="115"/>
  <c r="BX596" i="115"/>
  <c r="BX595" i="115" s="1"/>
  <c r="BX655" i="115" s="1"/>
  <c r="BZ1529" i="115"/>
  <c r="CC480" i="115"/>
  <c r="CC646" i="115"/>
  <c r="BE223" i="115"/>
  <c r="BT142" i="115"/>
  <c r="BT140" i="115"/>
  <c r="BU144" i="115" s="1"/>
  <c r="BS133" i="115"/>
  <c r="BH150" i="115"/>
  <c r="BW89" i="115"/>
  <c r="CA33" i="115"/>
  <c r="BZ13" i="115"/>
  <c r="CF445" i="115"/>
  <c r="CF1114" i="115"/>
  <c r="CF1118" i="115" s="1"/>
  <c r="AZ54" i="117"/>
  <c r="CG1398" i="115"/>
  <c r="CG1305" i="115"/>
  <c r="CG1306" i="115" s="1"/>
  <c r="CF1030" i="115"/>
  <c r="CH1030" i="115" s="1"/>
  <c r="CJ444" i="115"/>
  <c r="BQ134" i="117"/>
  <c r="BQ191" i="117" s="1"/>
  <c r="BQ101" i="117" s="1"/>
  <c r="BP174" i="117"/>
  <c r="BR174" i="117"/>
  <c r="CL998" i="115"/>
  <c r="CL59" i="115"/>
  <c r="BM495" i="115"/>
  <c r="BP496" i="115" s="1"/>
  <c r="BH596" i="115"/>
  <c r="AV54" i="117"/>
  <c r="DU49" i="117" s="1"/>
  <c r="BZ236" i="115"/>
  <c r="BV298" i="115"/>
  <c r="CG480" i="115"/>
  <c r="AS45" i="117"/>
  <c r="BR1606" i="115"/>
  <c r="BT1334" i="115"/>
  <c r="BU1331" i="115" s="1"/>
  <c r="BX12" i="115"/>
  <c r="X15" i="111"/>
  <c r="CF543" i="115"/>
  <c r="CF545" i="115" s="1"/>
  <c r="BZ1520" i="115"/>
  <c r="BN1520" i="115"/>
  <c r="BZ1518" i="115"/>
  <c r="BN1518" i="115"/>
  <c r="CD1166" i="115"/>
  <c r="BF1166" i="115"/>
  <c r="CC1094" i="115"/>
  <c r="CG92" i="115"/>
  <c r="BZ1224" i="115"/>
  <c r="BX1210" i="115"/>
  <c r="BX1211" i="115" s="1"/>
  <c r="BY744" i="115"/>
  <c r="BT596" i="115"/>
  <c r="BT595" i="115" s="1"/>
  <c r="BQ393" i="115"/>
  <c r="BV51" i="115"/>
  <c r="BZ1395" i="115"/>
  <c r="BZ1398" i="115" s="1"/>
  <c r="BR1074" i="115"/>
  <c r="CD298" i="115"/>
  <c r="CF352" i="115"/>
  <c r="CF354" i="115" s="1"/>
  <c r="BX1489" i="115"/>
  <c r="BL1489" i="115"/>
  <c r="BU1371" i="115"/>
  <c r="BR1224" i="115"/>
  <c r="CB1210" i="115"/>
  <c r="CB1211" i="115" s="1"/>
  <c r="BV1174" i="115"/>
  <c r="BU1312" i="115"/>
  <c r="BI596" i="115"/>
  <c r="BN248" i="115"/>
  <c r="BW133" i="115"/>
  <c r="BT506" i="115"/>
  <c r="BT507" i="115" s="1"/>
  <c r="CC154" i="115"/>
  <c r="CC156" i="115" s="1"/>
  <c r="AZ51" i="117"/>
  <c r="AO51" i="117"/>
  <c r="CF1347" i="115"/>
  <c r="CK905" i="115"/>
  <c r="CK925" i="115"/>
  <c r="BJ150" i="117"/>
  <c r="BX1565" i="115"/>
  <c r="BZ1361" i="115"/>
  <c r="BZ1364" i="115" s="1"/>
  <c r="AW45" i="117"/>
  <c r="BY1132" i="115"/>
  <c r="BY1133" i="115"/>
  <c r="BZ1131" i="115"/>
  <c r="BZ1093" i="115"/>
  <c r="BX1094" i="115"/>
  <c r="V85" i="111"/>
  <c r="BL1311" i="115"/>
  <c r="BL1312" i="115" s="1"/>
  <c r="DO51" i="117"/>
  <c r="DS51" i="117"/>
  <c r="BH445" i="115"/>
  <c r="BH1046" i="115"/>
  <c r="AB54" i="117"/>
  <c r="AB82" i="117" s="1"/>
  <c r="BH1114" i="115"/>
  <c r="BT40" i="115"/>
  <c r="AN27" i="117" s="1"/>
  <c r="BT732" i="115"/>
  <c r="BT723" i="115"/>
  <c r="BT728" i="115" s="1"/>
  <c r="BQ639" i="115"/>
  <c r="BR637" i="115"/>
  <c r="BR639" i="115" s="1"/>
  <c r="BQ595" i="115"/>
  <c r="BQ655" i="115" s="1"/>
  <c r="BZ487" i="115"/>
  <c r="BZ464" i="115"/>
  <c r="BZ489" i="115" s="1"/>
  <c r="BX480" i="115"/>
  <c r="BX646" i="115"/>
  <c r="AC56" i="117"/>
  <c r="AC84" i="117" s="1"/>
  <c r="BL479" i="115"/>
  <c r="BU334" i="115"/>
  <c r="BV334" i="115" s="1"/>
  <c r="BU336" i="115"/>
  <c r="BV336" i="115" s="1"/>
  <c r="BU352" i="115"/>
  <c r="BU353" i="115" s="1"/>
  <c r="BU337" i="115"/>
  <c r="DU69" i="117"/>
  <c r="BZ266" i="115"/>
  <c r="BZ268" i="115" s="1"/>
  <c r="BY268" i="115"/>
  <c r="CC970" i="115"/>
  <c r="CC971" i="115" s="1"/>
  <c r="CC157" i="115"/>
  <c r="DJ66" i="117"/>
  <c r="BQ970" i="115"/>
  <c r="BQ971" i="115" s="1"/>
  <c r="BQ157" i="115"/>
  <c r="BH243" i="115"/>
  <c r="BH235" i="115" s="1"/>
  <c r="BH234" i="115" s="1"/>
  <c r="BH963" i="115"/>
  <c r="DS61" i="117"/>
  <c r="BY140" i="115"/>
  <c r="BY142" i="115"/>
  <c r="CB146" i="115" s="1"/>
  <c r="BD140" i="115"/>
  <c r="BD142" i="115"/>
  <c r="CI133" i="115"/>
  <c r="BS134" i="115"/>
  <c r="BR132" i="115"/>
  <c r="BT120" i="115"/>
  <c r="BT118" i="115"/>
  <c r="BS111" i="115"/>
  <c r="CD88" i="115"/>
  <c r="AX93" i="117"/>
  <c r="Z93" i="117"/>
  <c r="BF151" i="115"/>
  <c r="BF154" i="115" s="1"/>
  <c r="BF156" i="115" s="1"/>
  <c r="BF158" i="115" s="1"/>
  <c r="BT150" i="115"/>
  <c r="BT1478" i="115" s="1"/>
  <c r="BR88" i="115"/>
  <c r="L35" i="123"/>
  <c r="Z57" i="111"/>
  <c r="AH20" i="117"/>
  <c r="BS33" i="115"/>
  <c r="BJ30" i="115"/>
  <c r="AK10" i="117"/>
  <c r="BH1417" i="115"/>
  <c r="BQ1305" i="115"/>
  <c r="BQ1398" i="115"/>
  <c r="BT830" i="115"/>
  <c r="BY26" i="115"/>
  <c r="CF970" i="115"/>
  <c r="CF971" i="115" s="1"/>
  <c r="BZ132" i="115"/>
  <c r="DG70" i="117"/>
  <c r="H35" i="123"/>
  <c r="AT50" i="117"/>
  <c r="BT337" i="115"/>
  <c r="CB725" i="115"/>
  <c r="CF735" i="115" s="1"/>
  <c r="BL1058" i="115"/>
  <c r="BN1058" i="115" s="1"/>
  <c r="BQ1046" i="115"/>
  <c r="BP157" i="115"/>
  <c r="BP365" i="115" s="1"/>
  <c r="CG1490" i="115"/>
  <c r="CG1487" i="115"/>
  <c r="CB892" i="115"/>
  <c r="CB970" i="115"/>
  <c r="CB971" i="115" s="1"/>
  <c r="BP970" i="115"/>
  <c r="BP971" i="115" s="1"/>
  <c r="BJ1341" i="115"/>
  <c r="CC506" i="115"/>
  <c r="CC507" i="115" s="1"/>
  <c r="BQ506" i="115"/>
  <c r="BQ507" i="115" s="1"/>
  <c r="BY1364" i="115"/>
  <c r="BN1340" i="115"/>
  <c r="Z15" i="111"/>
  <c r="CB728" i="115"/>
  <c r="AK54" i="117"/>
  <c r="CC1030" i="115"/>
  <c r="CD1085" i="115"/>
  <c r="CG1255" i="115"/>
  <c r="BI1397" i="115"/>
  <c r="BI1398" i="115" s="1"/>
  <c r="BJ1398" i="115" s="1"/>
  <c r="BZ1348" i="115"/>
  <c r="BH1174" i="115"/>
  <c r="CB734" i="115"/>
  <c r="BT258" i="115"/>
  <c r="CF1468" i="115"/>
  <c r="CH13" i="115"/>
  <c r="CH12" i="115" s="1"/>
  <c r="CJ255" i="115"/>
  <c r="CJ262" i="115" s="1"/>
  <c r="BZ1095" i="115"/>
  <c r="BZ151" i="115"/>
  <c r="CD120" i="115"/>
  <c r="AX94" i="117" s="1"/>
  <c r="DR69" i="117"/>
  <c r="CG1530" i="115"/>
  <c r="BU488" i="115"/>
  <c r="CG311" i="115"/>
  <c r="BM963" i="115"/>
  <c r="BM965" i="115" s="1"/>
  <c r="BM967" i="115" s="1"/>
  <c r="BM968" i="115" s="1"/>
  <c r="BR1395" i="115"/>
  <c r="BR1398" i="115" s="1"/>
  <c r="BL1210" i="115"/>
  <c r="BL1211" i="115" s="1"/>
  <c r="BT1084" i="115"/>
  <c r="BZ245" i="115"/>
  <c r="CJ1530" i="115"/>
  <c r="BX1272" i="115"/>
  <c r="BX1276" i="115" s="1"/>
  <c r="DS65" i="117"/>
  <c r="CJ1084" i="115"/>
  <c r="DF69" i="117"/>
  <c r="BJ1224" i="115"/>
  <c r="CD1127" i="115"/>
  <c r="BF1127" i="115"/>
  <c r="BD1129" i="115" s="1"/>
  <c r="BJ1128" i="115"/>
  <c r="CB258" i="115"/>
  <c r="BP258" i="115"/>
  <c r="BD258" i="115"/>
  <c r="BR256" i="115"/>
  <c r="AZ25" i="117"/>
  <c r="AZ244" i="117" s="1"/>
  <c r="CD1606" i="115"/>
  <c r="BM1305" i="115"/>
  <c r="BN1305" i="115" s="1"/>
  <c r="BM1397" i="115"/>
  <c r="BN1397" i="115" s="1"/>
  <c r="BN1302" i="115"/>
  <c r="CC1341" i="115"/>
  <c r="CC1343" i="115" s="1"/>
  <c r="AF45" i="117"/>
  <c r="BT1133" i="115"/>
  <c r="BT1132" i="115"/>
  <c r="BH1133" i="115"/>
  <c r="BH1132" i="115"/>
  <c r="BT892" i="115"/>
  <c r="BT1604" i="115"/>
  <c r="BT1609" i="115" s="1"/>
  <c r="BV1488" i="115"/>
  <c r="BV1487" i="115" s="1"/>
  <c r="Y15" i="111"/>
  <c r="AP50" i="117"/>
  <c r="CC335" i="115"/>
  <c r="CC336" i="115"/>
  <c r="CD336" i="115" s="1"/>
  <c r="CC334" i="115"/>
  <c r="CB309" i="115"/>
  <c r="CB307" i="115"/>
  <c r="CB310" i="115"/>
  <c r="DE69" i="117"/>
  <c r="BE136" i="115"/>
  <c r="BW109" i="115"/>
  <c r="BX59" i="115"/>
  <c r="BZ35" i="115"/>
  <c r="BX1557" i="115"/>
  <c r="AR22" i="117"/>
  <c r="BU25" i="115"/>
  <c r="BU790" i="115"/>
  <c r="BM19" i="115"/>
  <c r="CC576" i="115"/>
  <c r="AW129" i="117"/>
  <c r="AZ174" i="117"/>
  <c r="CF1417" i="115"/>
  <c r="CJ1093" i="115"/>
  <c r="CH1319" i="115"/>
  <c r="CH412" i="115"/>
  <c r="CJ1210" i="115"/>
  <c r="CJ1211" i="115" s="1"/>
  <c r="BU1423" i="115"/>
  <c r="CC1305" i="115"/>
  <c r="CD1305" i="115" s="1"/>
  <c r="CD1306" i="115" s="1"/>
  <c r="CC1398" i="115"/>
  <c r="BZ1390" i="115"/>
  <c r="BP1311" i="115"/>
  <c r="BP1312" i="115" s="1"/>
  <c r="BQ1058" i="115"/>
  <c r="AA86" i="111"/>
  <c r="BX1114" i="115"/>
  <c r="BX40" i="115"/>
  <c r="BL40" i="115"/>
  <c r="BN1024" i="115"/>
  <c r="BM641" i="115"/>
  <c r="CB333" i="115"/>
  <c r="CC340" i="115" s="1"/>
  <c r="CB336" i="115"/>
  <c r="BM303" i="115"/>
  <c r="BU291" i="115"/>
  <c r="DN69" i="117"/>
  <c r="BX157" i="115"/>
  <c r="BX365" i="115" s="1"/>
  <c r="CH241" i="115"/>
  <c r="CD966" i="115"/>
  <c r="CD1340" i="115"/>
  <c r="BN120" i="115"/>
  <c r="AG94" i="117"/>
  <c r="CD151" i="115"/>
  <c r="CD154" i="115" s="1"/>
  <c r="CD156" i="115" s="1"/>
  <c r="CE111" i="115"/>
  <c r="BY92" i="115"/>
  <c r="BY150" i="115"/>
  <c r="BM31" i="115"/>
  <c r="BM843" i="115"/>
  <c r="BL665" i="115"/>
  <c r="BL740" i="115" s="1"/>
  <c r="BL744" i="115" s="1"/>
  <c r="BL19" i="115"/>
  <c r="CD544" i="115"/>
  <c r="CF602" i="115"/>
  <c r="CF614" i="115" s="1"/>
  <c r="CF596" i="115"/>
  <c r="CF595" i="115" s="1"/>
  <c r="CH1557" i="115"/>
  <c r="CH731" i="115"/>
  <c r="CH1085" i="115"/>
  <c r="BI134" i="117"/>
  <c r="BI191" i="117" s="1"/>
  <c r="BJ191" i="117" s="1"/>
  <c r="CJ485" i="115"/>
  <c r="CJ646" i="115"/>
  <c r="CJ484" i="115"/>
  <c r="CJ728" i="115"/>
  <c r="CN736" i="115" s="1"/>
  <c r="BD174" i="117"/>
  <c r="CL542" i="115"/>
  <c r="CF1109" i="115"/>
  <c r="CF1111" i="115"/>
  <c r="CF1112" i="115" s="1"/>
  <c r="BE25" i="117"/>
  <c r="BE244" i="117" s="1"/>
  <c r="CK309" i="115"/>
  <c r="CN316" i="115" s="1"/>
  <c r="CK307" i="115"/>
  <c r="CL307" i="115" s="1"/>
  <c r="CK310" i="115"/>
  <c r="CL310" i="115" s="1"/>
  <c r="CL423" i="115"/>
  <c r="CL489" i="115"/>
  <c r="CL488" i="115"/>
  <c r="CL731" i="115"/>
  <c r="CL888" i="115"/>
  <c r="CL883" i="115"/>
  <c r="CL887" i="115"/>
  <c r="CK1422" i="115"/>
  <c r="CK1417" i="115"/>
  <c r="CL1418" i="115"/>
  <c r="BV1422" i="115"/>
  <c r="CB1064" i="115"/>
  <c r="BR1163" i="115"/>
  <c r="BR1164" i="115" s="1"/>
  <c r="BZ1319" i="115"/>
  <c r="BU963" i="115"/>
  <c r="BU965" i="115" s="1"/>
  <c r="BU967" i="115" s="1"/>
  <c r="BU968" i="115" s="1"/>
  <c r="BM136" i="115"/>
  <c r="CJ970" i="115"/>
  <c r="CJ971" i="115" s="1"/>
  <c r="CJ596" i="115"/>
  <c r="CJ595" i="115" s="1"/>
  <c r="CL1518" i="115"/>
  <c r="BY506" i="115"/>
  <c r="BY507" i="115" s="1"/>
  <c r="CK1364" i="115"/>
  <c r="CF716" i="115"/>
  <c r="BM1089" i="115"/>
  <c r="BV248" i="115"/>
  <c r="CL1224" i="115"/>
  <c r="BR137" i="117"/>
  <c r="BP175" i="117"/>
  <c r="CB1364" i="115"/>
  <c r="CL1593" i="115"/>
  <c r="BF1164" i="115"/>
  <c r="AZ129" i="117"/>
  <c r="CH348" i="115"/>
  <c r="BI1312" i="115"/>
  <c r="BM1210" i="115"/>
  <c r="BM1211" i="115" s="1"/>
  <c r="BM933" i="115"/>
  <c r="CD542" i="115"/>
  <c r="CL1166" i="115"/>
  <c r="BB59" i="117"/>
  <c r="AB47" i="111"/>
  <c r="BH169" i="115"/>
  <c r="DA66" i="117"/>
  <c r="BV1340" i="115"/>
  <c r="BV1341" i="115" s="1"/>
  <c r="BZ241" i="115"/>
  <c r="BZ243" i="115" s="1"/>
  <c r="DO70" i="117"/>
  <c r="BV966" i="115"/>
  <c r="DS63" i="117"/>
  <c r="BZ272" i="115"/>
  <c r="DS69" i="117" s="1"/>
  <c r="BP140" i="115"/>
  <c r="BP142" i="115"/>
  <c r="BU136" i="115"/>
  <c r="BX136" i="115"/>
  <c r="BW87" i="115"/>
  <c r="BQ174" i="117"/>
  <c r="BP114" i="115"/>
  <c r="BZ219" i="115"/>
  <c r="BV110" i="115"/>
  <c r="CA111" i="115"/>
  <c r="BI92" i="115"/>
  <c r="CK488" i="115"/>
  <c r="CK489" i="115"/>
  <c r="CL642" i="115"/>
  <c r="CL1171" i="115"/>
  <c r="BJ110" i="115"/>
  <c r="EA50" i="117"/>
  <c r="BL92" i="115"/>
  <c r="CB140" i="115"/>
  <c r="BZ1422" i="115"/>
  <c r="BY1423" i="115"/>
  <c r="BU235" i="115"/>
  <c r="BL136" i="115"/>
  <c r="BU150" i="115"/>
  <c r="BU1478" i="115" s="1"/>
  <c r="BU92" i="115"/>
  <c r="BD13" i="117"/>
  <c r="BD14" i="117" s="1"/>
  <c r="CJ665" i="115"/>
  <c r="CJ19" i="115"/>
  <c r="CC496" i="115"/>
  <c r="CF496" i="115"/>
  <c r="CK1175" i="115"/>
  <c r="BJ151" i="115"/>
  <c r="BW111" i="115"/>
  <c r="BI268" i="115"/>
  <c r="BJ266" i="115"/>
  <c r="BJ268" i="115" s="1"/>
  <c r="DR66" i="117"/>
  <c r="BY970" i="115"/>
  <c r="BY971" i="115" s="1"/>
  <c r="BY258" i="115"/>
  <c r="BM258" i="115"/>
  <c r="BM970" i="115"/>
  <c r="BM971" i="115" s="1"/>
  <c r="BM157" i="115"/>
  <c r="BM158" i="115" s="1"/>
  <c r="DF66" i="117"/>
  <c r="DW68" i="117"/>
  <c r="CH247" i="115"/>
  <c r="DC70" i="117"/>
  <c r="BN241" i="115"/>
  <c r="BN243" i="115" s="1"/>
  <c r="BJ245" i="115"/>
  <c r="BJ966" i="115"/>
  <c r="CB243" i="115"/>
  <c r="CB963" i="115"/>
  <c r="CD963" i="115" s="1"/>
  <c r="BP243" i="115"/>
  <c r="BP963" i="115"/>
  <c r="BR963" i="115" s="1"/>
  <c r="BE225" i="115"/>
  <c r="DG63" i="117"/>
  <c r="BN219" i="115"/>
  <c r="DK61" i="117"/>
  <c r="DO65" i="117"/>
  <c r="BV132" i="115"/>
  <c r="CB136" i="115"/>
  <c r="CC136" i="115"/>
  <c r="BP136" i="115"/>
  <c r="BQ136" i="115"/>
  <c r="BJ140" i="115"/>
  <c r="CB118" i="115"/>
  <c r="CB120" i="115"/>
  <c r="BP118" i="115"/>
  <c r="BP120" i="115"/>
  <c r="BI114" i="115"/>
  <c r="BL114" i="115"/>
  <c r="BV88" i="115"/>
  <c r="AP93" i="117"/>
  <c r="BV151" i="115"/>
  <c r="CC92" i="115"/>
  <c r="CB92" i="115"/>
  <c r="CB150" i="115"/>
  <c r="BP150" i="115"/>
  <c r="BP1478" i="115" s="1"/>
  <c r="BJ149" i="115"/>
  <c r="V7" i="111" s="1"/>
  <c r="CJ843" i="115"/>
  <c r="CJ31" i="115"/>
  <c r="CG261" i="115"/>
  <c r="CG255" i="115"/>
  <c r="CG262" i="115" s="1"/>
  <c r="BQ137" i="117"/>
  <c r="CN92" i="115"/>
  <c r="CK150" i="115"/>
  <c r="CK92" i="115"/>
  <c r="CM111" i="115"/>
  <c r="CM133" i="115"/>
  <c r="CL132" i="115"/>
  <c r="CQ132" i="115" s="1"/>
  <c r="CL365" i="115"/>
  <c r="CK1517" i="115"/>
  <c r="CK1519" i="115" s="1"/>
  <c r="BE59" i="117"/>
  <c r="CK602" i="115"/>
  <c r="CK596" i="115"/>
  <c r="CK595" i="115" s="1"/>
  <c r="CL733" i="115"/>
  <c r="DM66" i="117"/>
  <c r="BT157" i="115"/>
  <c r="BV247" i="115"/>
  <c r="DK68" i="117"/>
  <c r="CD219" i="115"/>
  <c r="DW61" i="117"/>
  <c r="CB114" i="115"/>
  <c r="CC114" i="115"/>
  <c r="BJ88" i="115"/>
  <c r="AD93" i="117"/>
  <c r="BR135" i="117"/>
  <c r="CL1174" i="115"/>
  <c r="BV118" i="115"/>
  <c r="BT970" i="115"/>
  <c r="BT971" i="115" s="1"/>
  <c r="CD245" i="115"/>
  <c r="BU120" i="115"/>
  <c r="BZ1418" i="115"/>
  <c r="BY1417" i="115"/>
  <c r="BM1422" i="115"/>
  <c r="BM1417" i="115"/>
  <c r="BN1418" i="115"/>
  <c r="BY1468" i="115"/>
  <c r="BZ1416" i="115"/>
  <c r="BY1255" i="115"/>
  <c r="DR40" i="117"/>
  <c r="CB1530" i="115"/>
  <c r="BY267" i="115"/>
  <c r="BY264" i="115" s="1"/>
  <c r="BY1180" i="115"/>
  <c r="DF40" i="117"/>
  <c r="BM1180" i="115"/>
  <c r="BM1255" i="115"/>
  <c r="BN1255" i="115" s="1"/>
  <c r="BM267" i="115"/>
  <c r="BM264" i="115" s="1"/>
  <c r="BM1490" i="115"/>
  <c r="BM514" i="115"/>
  <c r="BP1530" i="115"/>
  <c r="BW1404" i="115"/>
  <c r="CA1403" i="115"/>
  <c r="BV1407" i="115"/>
  <c r="BV1342" i="115"/>
  <c r="CA1402" i="115"/>
  <c r="CP1376" i="115"/>
  <c r="BJ1390" i="115"/>
  <c r="CB1300" i="115"/>
  <c r="CB1334" i="115"/>
  <c r="CC1371" i="115"/>
  <c r="BP1300" i="115"/>
  <c r="BN1327" i="115"/>
  <c r="BV1317" i="115"/>
  <c r="CC1272" i="115"/>
  <c r="CD1271" i="115"/>
  <c r="CD1272" i="115" s="1"/>
  <c r="BR1174" i="115"/>
  <c r="BQ1133" i="115"/>
  <c r="BQ1134" i="115" s="1"/>
  <c r="BR1131" i="115"/>
  <c r="BS1125" i="115"/>
  <c r="AH47" i="117"/>
  <c r="CJ580" i="115"/>
  <c r="CJ543" i="115"/>
  <c r="BD175" i="117" s="1"/>
  <c r="CN798" i="115"/>
  <c r="CK798" i="115"/>
  <c r="Y86" i="111"/>
  <c r="BD150" i="115"/>
  <c r="BI136" i="115"/>
  <c r="BU1609" i="115"/>
  <c r="BD135" i="117"/>
  <c r="CL792" i="115"/>
  <c r="CL743" i="115"/>
  <c r="CL580" i="115" s="1"/>
  <c r="CK1094" i="115"/>
  <c r="CO1395" i="115"/>
  <c r="CO1305" i="115" s="1"/>
  <c r="CP1305" i="115" s="1"/>
  <c r="CP1393" i="115"/>
  <c r="BT1614" i="115"/>
  <c r="BU1558" i="115"/>
  <c r="BU1559" i="115" s="1"/>
  <c r="BT1468" i="115"/>
  <c r="BT1530" i="115"/>
  <c r="BT1255" i="115"/>
  <c r="BT267" i="115"/>
  <c r="BT270" i="115" s="1"/>
  <c r="DM73" i="117" s="1"/>
  <c r="BT514" i="115"/>
  <c r="BJ1342" i="115"/>
  <c r="BJ1407" i="115"/>
  <c r="DC39" i="117"/>
  <c r="BN1338" i="115"/>
  <c r="BN1339" i="115" s="1"/>
  <c r="BV1296" i="115"/>
  <c r="BU1300" i="115"/>
  <c r="BU1334" i="115"/>
  <c r="BW1296" i="115"/>
  <c r="BV1351" i="115"/>
  <c r="AV45" i="117"/>
  <c r="AJ45" i="117"/>
  <c r="DI7" i="117" s="1"/>
  <c r="BR1319" i="115"/>
  <c r="BU829" i="115"/>
  <c r="BU830" i="115" s="1"/>
  <c r="BM489" i="115"/>
  <c r="BM488" i="115"/>
  <c r="BX484" i="115"/>
  <c r="BI462" i="115"/>
  <c r="BI479" i="115"/>
  <c r="BY409" i="115"/>
  <c r="BY413" i="115" s="1"/>
  <c r="BX397" i="115"/>
  <c r="BX1315" i="115" s="1"/>
  <c r="BX1326" i="115"/>
  <c r="BX1328" i="115" s="1"/>
  <c r="BT310" i="115"/>
  <c r="BT307" i="115"/>
  <c r="BT309" i="115"/>
  <c r="CJ120" i="115"/>
  <c r="CJ118" i="115"/>
  <c r="CJ489" i="115"/>
  <c r="CJ488" i="115"/>
  <c r="AP23" i="117"/>
  <c r="BY990" i="115"/>
  <c r="CC59" i="115"/>
  <c r="BY998" i="115"/>
  <c r="BY1000" i="115" s="1"/>
  <c r="Z22" i="117"/>
  <c r="V54" i="111"/>
  <c r="V67" i="111" s="1"/>
  <c r="AD20" i="117"/>
  <c r="BJ57" i="115"/>
  <c r="BJ961" i="115"/>
  <c r="BJ969" i="115" s="1"/>
  <c r="BE31" i="115"/>
  <c r="CF510" i="115"/>
  <c r="CF511" i="115" s="1"/>
  <c r="CJ1058" i="115"/>
  <c r="CL1058" i="115" s="1"/>
  <c r="CG1311" i="115"/>
  <c r="CG1312" i="115" s="1"/>
  <c r="CH1351" i="115"/>
  <c r="BH1332" i="115"/>
  <c r="BV884" i="115"/>
  <c r="BV892" i="115" s="1"/>
  <c r="BP476" i="115"/>
  <c r="BP472" i="115"/>
  <c r="CC484" i="115"/>
  <c r="CC485" i="115"/>
  <c r="AG56" i="117"/>
  <c r="AK84" i="117" s="1"/>
  <c r="BM486" i="115"/>
  <c r="BP336" i="115"/>
  <c r="BQ343" i="115" s="1"/>
  <c r="BP335" i="115"/>
  <c r="BP333" i="115"/>
  <c r="BY311" i="115"/>
  <c r="DB69" i="117"/>
  <c r="CG40" i="115"/>
  <c r="AW135" i="117"/>
  <c r="AW102" i="117" s="1"/>
  <c r="CJ309" i="115"/>
  <c r="CJ307" i="115"/>
  <c r="CJ308" i="115"/>
  <c r="CJ334" i="115"/>
  <c r="CJ336" i="115"/>
  <c r="CJ333" i="115"/>
  <c r="CJ1133" i="115"/>
  <c r="CJ1132" i="115"/>
  <c r="CJ1255" i="115"/>
  <c r="CJ1180" i="115"/>
  <c r="CJ267" i="115"/>
  <c r="BZ116" i="115"/>
  <c r="BR59" i="115"/>
  <c r="X56" i="111"/>
  <c r="AL22" i="117"/>
  <c r="BV236" i="115"/>
  <c r="BW33" i="115"/>
  <c r="H29" i="123"/>
  <c r="BX31" i="115"/>
  <c r="BL31" i="115"/>
  <c r="BL843" i="115"/>
  <c r="BL952" i="115" s="1"/>
  <c r="BL951" i="115" s="1"/>
  <c r="BF23" i="115"/>
  <c r="BX789" i="115"/>
  <c r="BX25" i="115"/>
  <c r="AX150" i="117"/>
  <c r="CG291" i="115"/>
  <c r="CF757" i="115"/>
  <c r="CF31" i="115"/>
  <c r="CF843" i="115"/>
  <c r="CD489" i="115"/>
  <c r="CD488" i="115"/>
  <c r="AB15" i="111"/>
  <c r="BB50" i="117"/>
  <c r="BN1348" i="115"/>
  <c r="BU1094" i="115"/>
  <c r="CD733" i="115"/>
  <c r="BH258" i="115"/>
  <c r="BQ1371" i="115"/>
  <c r="BI1024" i="115"/>
  <c r="BI40" i="115" s="1"/>
  <c r="BJ40" i="115" s="1"/>
  <c r="BN412" i="115"/>
  <c r="BU258" i="115"/>
  <c r="BJ248" i="115"/>
  <c r="BF80" i="115"/>
  <c r="BN30" i="115"/>
  <c r="BM1530" i="115"/>
  <c r="BO1296" i="115"/>
  <c r="BI1210" i="115"/>
  <c r="BI1211" i="115" s="1"/>
  <c r="BN1166" i="115"/>
  <c r="BP1094" i="115"/>
  <c r="CC1089" i="115"/>
  <c r="CF1341" i="115"/>
  <c r="CF1343" i="115" s="1"/>
  <c r="CJ337" i="115"/>
  <c r="CJ1341" i="115"/>
  <c r="CJ1343" i="115" s="1"/>
  <c r="BR129" i="117"/>
  <c r="BI506" i="115"/>
  <c r="BI507" i="115" s="1"/>
  <c r="CJ1364" i="115"/>
  <c r="CK263" i="115"/>
  <c r="CL1348" i="115"/>
  <c r="CM1416" i="115"/>
  <c r="BH1312" i="115"/>
  <c r="CH1592" i="115"/>
  <c r="BX1371" i="115"/>
  <c r="BZ911" i="115"/>
  <c r="CH1407" i="115"/>
  <c r="CK931" i="115"/>
  <c r="CN935" i="115" s="1"/>
  <c r="D91" i="123"/>
  <c r="BL132" i="117"/>
  <c r="EK5" i="117"/>
  <c r="CK154" i="115"/>
  <c r="CK156" i="115" s="1"/>
  <c r="CH841" i="115"/>
  <c r="CH865" i="115" s="1"/>
  <c r="DU5" i="117"/>
  <c r="CL663" i="115"/>
  <c r="CQ663" i="115" s="1"/>
  <c r="AV126" i="117"/>
  <c r="AV172" i="117" s="1"/>
  <c r="AD10" i="117"/>
  <c r="BF126" i="117"/>
  <c r="BF172" i="117" s="1"/>
  <c r="BF132" i="117"/>
  <c r="BJ663" i="115"/>
  <c r="AD12" i="117"/>
  <c r="BT687" i="115"/>
  <c r="BT686" i="115" s="1"/>
  <c r="CG668" i="115"/>
  <c r="AD11" i="117"/>
  <c r="AT7" i="117"/>
  <c r="DY5" i="117"/>
  <c r="CH1024" i="115"/>
  <c r="CG1132" i="115"/>
  <c r="CG1133" i="115"/>
  <c r="CH1133" i="115" s="1"/>
  <c r="CJ243" i="115"/>
  <c r="CJ235" i="115" s="1"/>
  <c r="CL242" i="115"/>
  <c r="BP134" i="117"/>
  <c r="BP191" i="117" s="1"/>
  <c r="BP101" i="117" s="1"/>
  <c r="CL1319" i="115"/>
  <c r="CN1489" i="115"/>
  <c r="CK1486" i="115"/>
  <c r="CK1485" i="115"/>
  <c r="CK1487" i="115"/>
  <c r="CK1489" i="115"/>
  <c r="BE137" i="117"/>
  <c r="CK581" i="115"/>
  <c r="CL13" i="115"/>
  <c r="CH885" i="115"/>
  <c r="BB150" i="117"/>
  <c r="CH542" i="115"/>
  <c r="BA174" i="117"/>
  <c r="CG19" i="115"/>
  <c r="BA13" i="117"/>
  <c r="BA14" i="117" s="1"/>
  <c r="CH18" i="115"/>
  <c r="CG665" i="115"/>
  <c r="CH375" i="115"/>
  <c r="CH1083" i="115"/>
  <c r="CG1074" i="115"/>
  <c r="CH1074" i="115" s="1"/>
  <c r="BB135" i="117"/>
  <c r="CJ311" i="115"/>
  <c r="CK303" i="115"/>
  <c r="CJ352" i="115"/>
  <c r="CJ451" i="115" s="1"/>
  <c r="CL1061" i="115"/>
  <c r="CK789" i="115"/>
  <c r="CL22" i="115"/>
  <c r="BF93" i="117"/>
  <c r="CL151" i="115"/>
  <c r="CM89" i="115"/>
  <c r="EE65" i="117"/>
  <c r="CK965" i="115"/>
  <c r="CL1090" i="115"/>
  <c r="AC30" i="111"/>
  <c r="CK444" i="115"/>
  <c r="CL376" i="115"/>
  <c r="CG710" i="115"/>
  <c r="CH727" i="115"/>
  <c r="CH365" i="115"/>
  <c r="CH525" i="115"/>
  <c r="CH999" i="115" s="1"/>
  <c r="CJ933" i="115"/>
  <c r="CK1058" i="115"/>
  <c r="CK1064" i="115" s="1"/>
  <c r="CJ1311" i="115"/>
  <c r="CJ1312" i="115" s="1"/>
  <c r="CJ1106" i="115"/>
  <c r="CL1101" i="115"/>
  <c r="CJ1490" i="115"/>
  <c r="CJ1486" i="115"/>
  <c r="CJ1485" i="115"/>
  <c r="CJ1489" i="115"/>
  <c r="CJ443" i="115"/>
  <c r="CJ1452" i="115"/>
  <c r="CJ1480" i="115"/>
  <c r="CL961" i="115"/>
  <c r="BF20" i="117"/>
  <c r="AC54" i="111"/>
  <c r="AC67" i="111" s="1"/>
  <c r="CL57" i="115"/>
  <c r="X29" i="123"/>
  <c r="CL236" i="115"/>
  <c r="CM33" i="115"/>
  <c r="CN1084" i="115"/>
  <c r="CP1084" i="115" s="1"/>
  <c r="CL1351" i="115"/>
  <c r="CQ1351" i="115" s="1"/>
  <c r="CM1438" i="115"/>
  <c r="CL1076" i="115"/>
  <c r="CK25" i="115"/>
  <c r="CL88" i="115"/>
  <c r="CC1609" i="115"/>
  <c r="CH1131" i="115"/>
  <c r="BY1305" i="115"/>
  <c r="BY1398" i="115"/>
  <c r="BY1397" i="115"/>
  <c r="BZ1397" i="115" s="1"/>
  <c r="BY1334" i="115"/>
  <c r="BZ1296" i="115"/>
  <c r="CB1371" i="115"/>
  <c r="CB1132" i="115"/>
  <c r="CB1133" i="115"/>
  <c r="CD1133" i="115" s="1"/>
  <c r="BN52" i="115"/>
  <c r="BR52" i="115"/>
  <c r="CF136" i="115"/>
  <c r="CF1311" i="115"/>
  <c r="CF1312" i="115" s="1"/>
  <c r="CH149" i="115"/>
  <c r="CI87" i="115"/>
  <c r="CG154" i="115"/>
  <c r="CG156" i="115" s="1"/>
  <c r="CH489" i="115"/>
  <c r="CH488" i="115"/>
  <c r="BL175" i="117"/>
  <c r="CF666" i="115"/>
  <c r="CF576" i="115"/>
  <c r="AZ134" i="117" s="1"/>
  <c r="AZ101" i="117" s="1"/>
  <c r="BY1202" i="115"/>
  <c r="BY1203" i="115" s="1"/>
  <c r="BR1407" i="115"/>
  <c r="EI41" i="117"/>
  <c r="CA1296" i="115"/>
  <c r="BU1614" i="115"/>
  <c r="BV1606" i="115"/>
  <c r="BZ1605" i="115"/>
  <c r="BZ1599" i="115"/>
  <c r="BZ1565" i="115" s="1"/>
  <c r="BX1554" i="115"/>
  <c r="BX1558" i="115"/>
  <c r="BY1487" i="115"/>
  <c r="BM1487" i="115"/>
  <c r="BM1486" i="115"/>
  <c r="BP1489" i="115"/>
  <c r="BM1485" i="115"/>
  <c r="BQ1437" i="115"/>
  <c r="BQ1468" i="115"/>
  <c r="BI1422" i="115"/>
  <c r="BJ1418" i="115"/>
  <c r="BI1417" i="115"/>
  <c r="BJ1416" i="115"/>
  <c r="BU1180" i="115"/>
  <c r="BU267" i="115"/>
  <c r="DN40" i="117"/>
  <c r="BU1255" i="115"/>
  <c r="BU1530" i="115"/>
  <c r="BU1490" i="115"/>
  <c r="BI1490" i="115"/>
  <c r="BL1530" i="115"/>
  <c r="BI1180" i="115"/>
  <c r="BN1342" i="115"/>
  <c r="BN1407" i="115"/>
  <c r="DG39" i="117"/>
  <c r="BU1305" i="115"/>
  <c r="BV1305" i="115" s="1"/>
  <c r="BU1398" i="115"/>
  <c r="BU1397" i="115"/>
  <c r="BV1397" i="115" s="1"/>
  <c r="BQ1397" i="115"/>
  <c r="BR1397" i="115" s="1"/>
  <c r="CC1397" i="115"/>
  <c r="CD1397" i="115" s="1"/>
  <c r="BH1305" i="115"/>
  <c r="BH1306" i="115" s="1"/>
  <c r="BR1390" i="115"/>
  <c r="BV1390" i="115"/>
  <c r="BX1341" i="115"/>
  <c r="BX1343" i="115" s="1"/>
  <c r="BL1300" i="115"/>
  <c r="BL1334" i="115"/>
  <c r="BV1327" i="115"/>
  <c r="CD1338" i="115"/>
  <c r="CD1339" i="115" s="1"/>
  <c r="BN1296" i="115"/>
  <c r="BM1334" i="115"/>
  <c r="BP1371" i="115"/>
  <c r="BM1371" i="115"/>
  <c r="BN1271" i="115"/>
  <c r="BN1272" i="115" s="1"/>
  <c r="BN1276" i="115" s="1"/>
  <c r="BP1272" i="115"/>
  <c r="BP1276" i="115" s="1"/>
  <c r="AC45" i="117"/>
  <c r="AC61" i="117" s="1"/>
  <c r="BD1133" i="115"/>
  <c r="BD1132" i="115"/>
  <c r="BF1132" i="115" s="1"/>
  <c r="BJ1163" i="115"/>
  <c r="BJ1164" i="115" s="1"/>
  <c r="BN51" i="115"/>
  <c r="CD411" i="115"/>
  <c r="CC929" i="115"/>
  <c r="CJ506" i="115"/>
  <c r="CJ507" i="115" s="1"/>
  <c r="CG506" i="115"/>
  <c r="CG507" i="115" s="1"/>
  <c r="CL241" i="115"/>
  <c r="CB49" i="115"/>
  <c r="BY1300" i="115"/>
  <c r="CF20" i="115"/>
  <c r="BO1125" i="115"/>
  <c r="CB1106" i="115"/>
  <c r="CF1348" i="115"/>
  <c r="BY1094" i="115"/>
  <c r="DK39" i="117"/>
  <c r="BP662" i="115"/>
  <c r="BQ668" i="115" s="1"/>
  <c r="CH256" i="115"/>
  <c r="CB1272" i="115"/>
  <c r="CP1380" i="115"/>
  <c r="BJ1302" i="115"/>
  <c r="BJ1306" i="115" s="1"/>
  <c r="BI1306" i="115"/>
  <c r="BY1341" i="115"/>
  <c r="BY1343" i="115" s="1"/>
  <c r="BR1338" i="115"/>
  <c r="BR1339" i="115" s="1"/>
  <c r="BN1351" i="115"/>
  <c r="BO1351" i="115" s="1"/>
  <c r="AH45" i="117"/>
  <c r="AH61" i="117" s="1"/>
  <c r="BP1133" i="115"/>
  <c r="BP1132" i="115"/>
  <c r="BH1084" i="115"/>
  <c r="BI1081" i="115"/>
  <c r="BI1084" i="115" s="1"/>
  <c r="BR18" i="115"/>
  <c r="BR665" i="115" s="1"/>
  <c r="BR740" i="115" s="1"/>
  <c r="BR744" i="115" s="1"/>
  <c r="AJ10" i="117"/>
  <c r="CG1210" i="115"/>
  <c r="CG1211" i="115" s="1"/>
  <c r="CJ136" i="115"/>
  <c r="CG136" i="115"/>
  <c r="BJ1300" i="115"/>
  <c r="BZ545" i="115"/>
  <c r="CH284" i="115"/>
  <c r="CF24" i="115"/>
  <c r="CF25" i="115" s="1"/>
  <c r="BK1125" i="115"/>
  <c r="AE47" i="117" s="1"/>
  <c r="BX38" i="115"/>
  <c r="BR1342" i="115"/>
  <c r="BS1402" i="115"/>
  <c r="DL39" i="117" s="1"/>
  <c r="DL72" i="117" s="1"/>
  <c r="BW1402" i="115"/>
  <c r="T39" i="123"/>
  <c r="T84" i="123" s="1"/>
  <c r="AD47" i="117"/>
  <c r="AD63" i="117" s="1"/>
  <c r="BF16" i="115"/>
  <c r="CG510" i="115"/>
  <c r="CG511" i="115" s="1"/>
  <c r="BZ1351" i="115"/>
  <c r="BU1081" i="115"/>
  <c r="BU1084" i="115" s="1"/>
  <c r="CL266" i="115"/>
  <c r="CL261" i="115" s="1"/>
  <c r="CK261" i="115"/>
  <c r="BR1520" i="115"/>
  <c r="BX1485" i="115"/>
  <c r="BX1487" i="115"/>
  <c r="BX1486" i="115"/>
  <c r="BX1490" i="115"/>
  <c r="BT1422" i="115"/>
  <c r="BT1423" i="115" s="1"/>
  <c r="BT1417" i="115"/>
  <c r="BH1422" i="115"/>
  <c r="BH1423" i="115" s="1"/>
  <c r="BT1180" i="115"/>
  <c r="BU514" i="115"/>
  <c r="DA40" i="117"/>
  <c r="BH1255" i="115"/>
  <c r="BH514" i="115"/>
  <c r="CD22" i="115"/>
  <c r="CB789" i="115"/>
  <c r="CO1604" i="115"/>
  <c r="CO1609" i="115" s="1"/>
  <c r="BU732" i="115"/>
  <c r="BU723" i="115"/>
  <c r="BU725" i="115" s="1"/>
  <c r="BY735" i="115" s="1"/>
  <c r="BV720" i="115"/>
  <c r="AD50" i="117"/>
  <c r="V15" i="111"/>
  <c r="BJ1115" i="115"/>
  <c r="BX352" i="115"/>
  <c r="BX353" i="115" s="1"/>
  <c r="BI307" i="115"/>
  <c r="BJ307" i="115" s="1"/>
  <c r="BI309" i="115"/>
  <c r="BI308" i="115"/>
  <c r="BJ308" i="115" s="1"/>
  <c r="BI311" i="115"/>
  <c r="CD349" i="115"/>
  <c r="BX243" i="115"/>
  <c r="BX963" i="115"/>
  <c r="CA131" i="115"/>
  <c r="BV59" i="115"/>
  <c r="BT1311" i="115"/>
  <c r="BT1312" i="115" s="1"/>
  <c r="BU1058" i="115"/>
  <c r="W86" i="111"/>
  <c r="BP1046" i="115"/>
  <c r="AJ54" i="117"/>
  <c r="DI49" i="117" s="1"/>
  <c r="CB40" i="115"/>
  <c r="BP40" i="115"/>
  <c r="BN929" i="115"/>
  <c r="BZ883" i="115"/>
  <c r="CC892" i="115"/>
  <c r="CC725" i="115"/>
  <c r="CC735" i="115" s="1"/>
  <c r="CC728" i="115"/>
  <c r="BX732" i="115"/>
  <c r="BY757" i="115"/>
  <c r="BT472" i="115"/>
  <c r="BT476" i="115"/>
  <c r="BZ654" i="115"/>
  <c r="H10" i="123"/>
  <c r="H55" i="123" s="1"/>
  <c r="BV641" i="115"/>
  <c r="AP56" i="117"/>
  <c r="BI495" i="115"/>
  <c r="BI486" i="115"/>
  <c r="CH889" i="115"/>
  <c r="BI27" i="117"/>
  <c r="BN1083" i="115"/>
  <c r="BM1074" i="115"/>
  <c r="BN1074" i="115" s="1"/>
  <c r="CF1058" i="115"/>
  <c r="CH1058" i="115" s="1"/>
  <c r="CC1311" i="115"/>
  <c r="CC1312" i="115" s="1"/>
  <c r="V88" i="111"/>
  <c r="CD1024" i="115"/>
  <c r="CF258" i="115"/>
  <c r="CD888" i="115"/>
  <c r="CL891" i="115"/>
  <c r="BV1224" i="115"/>
  <c r="BT1210" i="115"/>
  <c r="BT1211" i="115" s="1"/>
  <c r="BP1089" i="115"/>
  <c r="CB930" i="115"/>
  <c r="BV825" i="115"/>
  <c r="BJ825" i="115"/>
  <c r="CH642" i="115"/>
  <c r="CH887" i="115"/>
  <c r="CB1395" i="115"/>
  <c r="BV1395" i="115"/>
  <c r="BV1398" i="115" s="1"/>
  <c r="BY892" i="115"/>
  <c r="BN725" i="115"/>
  <c r="BQ596" i="115"/>
  <c r="BI595" i="115"/>
  <c r="BP311" i="115"/>
  <c r="CK1084" i="115"/>
  <c r="BA148" i="117"/>
  <c r="CG892" i="115"/>
  <c r="BR151" i="117"/>
  <c r="CB506" i="115"/>
  <c r="CB507" i="115" s="1"/>
  <c r="CH1597" i="115"/>
  <c r="BX1604" i="115"/>
  <c r="BX892" i="115"/>
  <c r="BX393" i="115"/>
  <c r="CJ258" i="115"/>
  <c r="CJ1395" i="115"/>
  <c r="CC1364" i="115"/>
  <c r="CL889" i="115"/>
  <c r="CL1395" i="115"/>
  <c r="CL1398" i="115" s="1"/>
  <c r="BU892" i="115"/>
  <c r="BQ734" i="115"/>
  <c r="BV486" i="115"/>
  <c r="BU393" i="115"/>
  <c r="BI393" i="115"/>
  <c r="BZ248" i="115"/>
  <c r="BF30" i="115"/>
  <c r="CH1474" i="115"/>
  <c r="BU506" i="115"/>
  <c r="BU507" i="115" s="1"/>
  <c r="BJ662" i="115"/>
  <c r="AX10" i="117"/>
  <c r="AX219" i="117" s="1"/>
  <c r="CK1347" i="115"/>
  <c r="CK1350" i="115" s="1"/>
  <c r="CK1352" i="115" s="1"/>
  <c r="CK687" i="115"/>
  <c r="CK686" i="115" s="1"/>
  <c r="CL686" i="115" s="1"/>
  <c r="CD842" i="115"/>
  <c r="CD841" i="115"/>
  <c r="BN905" i="115"/>
  <c r="AZ190" i="117"/>
  <c r="AZ198" i="117" s="1"/>
  <c r="AZ120" i="117" s="1"/>
  <c r="BI234" i="115"/>
  <c r="BI251" i="115" s="1"/>
  <c r="BM124" i="115"/>
  <c r="AF94" i="117"/>
  <c r="BY40" i="115"/>
  <c r="BM40" i="115"/>
  <c r="BV1024" i="115"/>
  <c r="BZ1024" i="115"/>
  <c r="BH307" i="115"/>
  <c r="BH309" i="115"/>
  <c r="BH308" i="115"/>
  <c r="BH310" i="115"/>
  <c r="BI317" i="115" s="1"/>
  <c r="BU303" i="115"/>
  <c r="BT352" i="115"/>
  <c r="BT452" i="115" s="1"/>
  <c r="BI303" i="115"/>
  <c r="BH352" i="115"/>
  <c r="BH451" i="115" s="1"/>
  <c r="BH311" i="115"/>
  <c r="BJ351" i="115"/>
  <c r="BJ348" i="115"/>
  <c r="CC291" i="115"/>
  <c r="CB352" i="115"/>
  <c r="CB353" i="115" s="1"/>
  <c r="CB291" i="115"/>
  <c r="BQ291" i="115"/>
  <c r="BP352" i="115"/>
  <c r="BP353" i="115" s="1"/>
  <c r="BV351" i="115"/>
  <c r="BV350" i="115"/>
  <c r="BV284" i="115"/>
  <c r="BZ284" i="115"/>
  <c r="BL124" i="115"/>
  <c r="CH1452" i="115"/>
  <c r="CH1457" i="115" s="1"/>
  <c r="CG1456" i="115"/>
  <c r="BJ298" i="115"/>
  <c r="BJ1106" i="115"/>
  <c r="BH1202" i="115"/>
  <c r="CD1093" i="115"/>
  <c r="CB1094" i="115"/>
  <c r="BE134" i="117"/>
  <c r="BE191" i="117" s="1"/>
  <c r="BE101" i="117" s="1"/>
  <c r="BT311" i="115"/>
  <c r="BE20" i="115"/>
  <c r="BI50" i="115" s="1"/>
  <c r="BY1609" i="115"/>
  <c r="BA15" i="117"/>
  <c r="BA223" i="117" s="1"/>
  <c r="CH1043" i="115"/>
  <c r="EA51" i="117"/>
  <c r="AB88" i="111"/>
  <c r="CL1068" i="115"/>
  <c r="CL485" i="115"/>
  <c r="X11" i="123"/>
  <c r="CL646" i="115"/>
  <c r="CM693" i="115"/>
  <c r="CL697" i="115"/>
  <c r="CK725" i="115"/>
  <c r="CO735" i="115" s="1"/>
  <c r="CK728" i="115"/>
  <c r="CO736" i="115" s="1"/>
  <c r="CK734" i="115"/>
  <c r="BF129" i="117"/>
  <c r="CL576" i="115"/>
  <c r="CK40" i="115"/>
  <c r="CK1114" i="115"/>
  <c r="BE54" i="117"/>
  <c r="CK1046" i="115"/>
  <c r="CK1305" i="115"/>
  <c r="CL1305" i="115" s="1"/>
  <c r="CL1306" i="115" s="1"/>
  <c r="CK1397" i="115"/>
  <c r="CL1397" i="115" s="1"/>
  <c r="CK267" i="115"/>
  <c r="CK270" i="115" s="1"/>
  <c r="CK1255" i="115"/>
  <c r="CK1490" i="115"/>
  <c r="CK1530" i="115"/>
  <c r="CK443" i="115"/>
  <c r="CL375" i="115"/>
  <c r="CK31" i="115"/>
  <c r="CO55" i="115" s="1"/>
  <c r="CK843" i="115"/>
  <c r="CL30" i="115"/>
  <c r="CL412" i="115"/>
  <c r="AB86" i="111"/>
  <c r="CK445" i="115"/>
  <c r="CK510" i="115"/>
  <c r="CK511" i="115" s="1"/>
  <c r="DH511" i="115" s="1"/>
  <c r="DI511" i="115" s="1"/>
  <c r="DL511" i="115" s="1"/>
  <c r="DM511" i="115" s="1"/>
  <c r="DP511" i="115" s="1"/>
  <c r="DQ511" i="115" s="1"/>
  <c r="BV1599" i="115"/>
  <c r="BV1565" i="115" s="1"/>
  <c r="CP1580" i="115"/>
  <c r="BT1486" i="115"/>
  <c r="BT1487" i="115"/>
  <c r="BT1490" i="115"/>
  <c r="BT1485" i="115"/>
  <c r="BU1489" i="115"/>
  <c r="BH1490" i="115"/>
  <c r="BH1487" i="115"/>
  <c r="BI1489" i="115"/>
  <c r="BH1485" i="115"/>
  <c r="BH1486" i="115"/>
  <c r="BX1437" i="115"/>
  <c r="CB1422" i="115"/>
  <c r="CB1417" i="115"/>
  <c r="BP1417" i="115"/>
  <c r="CB1490" i="115"/>
  <c r="DU43" i="117" s="1"/>
  <c r="CC1530" i="115"/>
  <c r="CB1255" i="115"/>
  <c r="BQ1530" i="115"/>
  <c r="BP514" i="115"/>
  <c r="BP1490" i="115"/>
  <c r="CI1403" i="115"/>
  <c r="DW39" i="117"/>
  <c r="DW72" i="117" s="1"/>
  <c r="CD1342" i="115"/>
  <c r="BP1397" i="115"/>
  <c r="BP1305" i="115"/>
  <c r="BP1306" i="115" s="1"/>
  <c r="BP1398" i="115"/>
  <c r="BJ152" i="117"/>
  <c r="BV929" i="115"/>
  <c r="BN829" i="115"/>
  <c r="BM830" i="115"/>
  <c r="CC734" i="115"/>
  <c r="BL757" i="115"/>
  <c r="BY602" i="115"/>
  <c r="BY596" i="115"/>
  <c r="BY595" i="115" s="1"/>
  <c r="BM595" i="115"/>
  <c r="BM655" i="115" s="1"/>
  <c r="BM596" i="115"/>
  <c r="BS594" i="115"/>
  <c r="BQ472" i="115"/>
  <c r="BQ476" i="115"/>
  <c r="BH472" i="115"/>
  <c r="BH476" i="115"/>
  <c r="BT488" i="115"/>
  <c r="BT489" i="115"/>
  <c r="BJ488" i="115"/>
  <c r="BJ489" i="115"/>
  <c r="BR605" i="115"/>
  <c r="BR464" i="115"/>
  <c r="AL57" i="117"/>
  <c r="AL83" i="117" s="1"/>
  <c r="BR462" i="115"/>
  <c r="BT485" i="115"/>
  <c r="BT484" i="115"/>
  <c r="BT480" i="115"/>
  <c r="BT646" i="115"/>
  <c r="AH56" i="117"/>
  <c r="BN462" i="115"/>
  <c r="BN483" i="115"/>
  <c r="BN641" i="115"/>
  <c r="BN486" i="115"/>
  <c r="BH397" i="115"/>
  <c r="BH1315" i="115" s="1"/>
  <c r="BH1326" i="115"/>
  <c r="BH1328" i="115" s="1"/>
  <c r="BV412" i="115"/>
  <c r="EA63" i="117"/>
  <c r="CL271" i="115"/>
  <c r="CL247" i="115"/>
  <c r="CH272" i="115"/>
  <c r="CH350" i="115"/>
  <c r="CH1115" i="115"/>
  <c r="CH400" i="115"/>
  <c r="CM605" i="115"/>
  <c r="CK1336" i="115"/>
  <c r="BP693" i="115"/>
  <c r="T55" i="123"/>
  <c r="T108" i="123"/>
  <c r="CF268" i="115"/>
  <c r="CF263" i="115"/>
  <c r="CK514" i="115"/>
  <c r="BP1350" i="115"/>
  <c r="BP1352" i="115" s="1"/>
  <c r="CK1398" i="115"/>
  <c r="BU930" i="115"/>
  <c r="BZ1338" i="115"/>
  <c r="BZ1339" i="115" s="1"/>
  <c r="BL1371" i="115"/>
  <c r="BI1300" i="115"/>
  <c r="AK45" i="117"/>
  <c r="DJ7" i="117" s="1"/>
  <c r="BM1133" i="115"/>
  <c r="BM1132" i="115"/>
  <c r="BM1093" i="115"/>
  <c r="BM1094" i="115" s="1"/>
  <c r="BL1094" i="115"/>
  <c r="BR1090" i="115"/>
  <c r="BX1046" i="115"/>
  <c r="AR54" i="117"/>
  <c r="BX445" i="115"/>
  <c r="BJ325" i="115"/>
  <c r="CI693" i="115"/>
  <c r="CG728" i="115"/>
  <c r="CG734" i="115"/>
  <c r="CD1351" i="115"/>
  <c r="BN1319" i="115"/>
  <c r="BP1485" i="115"/>
  <c r="BP1487" i="115"/>
  <c r="BP1486" i="115"/>
  <c r="BL1417" i="115"/>
  <c r="BL1422" i="115"/>
  <c r="BX1255" i="115"/>
  <c r="BY1530" i="115"/>
  <c r="DQ40" i="117"/>
  <c r="BY514" i="115"/>
  <c r="DO39" i="117"/>
  <c r="BL1305" i="115"/>
  <c r="BL1306" i="115" s="1"/>
  <c r="BL1397" i="115"/>
  <c r="BL1398" i="115" s="1"/>
  <c r="BN639" i="115"/>
  <c r="CF118" i="115"/>
  <c r="CF120" i="115"/>
  <c r="CF472" i="115"/>
  <c r="CF1517" i="115" s="1"/>
  <c r="CF1519" i="115" s="1"/>
  <c r="CF476" i="115"/>
  <c r="CH1604" i="115"/>
  <c r="AZ45" i="117"/>
  <c r="CF1490" i="115"/>
  <c r="CF1255" i="115"/>
  <c r="CF1530" i="115"/>
  <c r="CG514" i="115"/>
  <c r="CF267" i="115"/>
  <c r="CF270" i="115" s="1"/>
  <c r="CF1422" i="115"/>
  <c r="AX183" i="117"/>
  <c r="BU1210" i="115"/>
  <c r="BU1211" i="115" s="1"/>
  <c r="CC1132" i="115"/>
  <c r="CD1131" i="115"/>
  <c r="BE1133" i="115"/>
  <c r="BE1134" i="115" s="1"/>
  <c r="BF1131" i="115"/>
  <c r="BR1128" i="115"/>
  <c r="BR1101" i="115"/>
  <c r="BP1106" i="115"/>
  <c r="BT1088" i="115"/>
  <c r="BQ1089" i="115"/>
  <c r="BI1058" i="115"/>
  <c r="BH1064" i="115"/>
  <c r="BP1114" i="115"/>
  <c r="DB66" i="117"/>
  <c r="BV256" i="115"/>
  <c r="DW63" i="117"/>
  <c r="CD272" i="115"/>
  <c r="BI144" i="115"/>
  <c r="AH23" i="117"/>
  <c r="BV990" i="115"/>
  <c r="H33" i="123"/>
  <c r="H78" i="123" s="1"/>
  <c r="AP22" i="117"/>
  <c r="BV1557" i="115"/>
  <c r="Z54" i="111"/>
  <c r="AT20" i="117"/>
  <c r="AT186" i="117" s="1"/>
  <c r="AT188" i="117" s="1"/>
  <c r="AT205" i="117" s="1"/>
  <c r="BZ961" i="115"/>
  <c r="BZ969" i="115" s="1"/>
  <c r="BZ57" i="115"/>
  <c r="BH25" i="115"/>
  <c r="BX666" i="115"/>
  <c r="BX20" i="115"/>
  <c r="AJ13" i="117"/>
  <c r="BP665" i="115"/>
  <c r="BP740" i="115" s="1"/>
  <c r="BP744" i="115" s="1"/>
  <c r="Y11" i="117"/>
  <c r="Y14" i="117" s="1"/>
  <c r="BR15" i="115"/>
  <c r="AL10" i="117" s="1"/>
  <c r="CB12" i="115"/>
  <c r="CH1076" i="115"/>
  <c r="BP488" i="115"/>
  <c r="BZ1606" i="115"/>
  <c r="BV1580" i="115"/>
  <c r="BV1554" i="115" s="1"/>
  <c r="BJ1520" i="115"/>
  <c r="BJ1518" i="115"/>
  <c r="BM919" i="115"/>
  <c r="CD732" i="115"/>
  <c r="BZ697" i="115"/>
  <c r="BQ670" i="115"/>
  <c r="CC669" i="115"/>
  <c r="BY393" i="115"/>
  <c r="BM273" i="115"/>
  <c r="CA17" i="115"/>
  <c r="CH788" i="115"/>
  <c r="CH1395" i="115"/>
  <c r="CH1398" i="115" s="1"/>
  <c r="CL990" i="115"/>
  <c r="CC757" i="115"/>
  <c r="Y46" i="111"/>
  <c r="BT796" i="115"/>
  <c r="CB744" i="115"/>
  <c r="BH136" i="115"/>
  <c r="BH92" i="115"/>
  <c r="CG970" i="115"/>
  <c r="CG971" i="115" s="1"/>
  <c r="CG1397" i="115"/>
  <c r="CH1397" i="115" s="1"/>
  <c r="CL1474" i="115"/>
  <c r="BF1109" i="115"/>
  <c r="BP796" i="115"/>
  <c r="BT795" i="115"/>
  <c r="BX670" i="115"/>
  <c r="AP58" i="117"/>
  <c r="BQ1106" i="115"/>
  <c r="BQ1202" i="115" s="1"/>
  <c r="CB510" i="115"/>
  <c r="CB511" i="115" s="1"/>
  <c r="BL970" i="115"/>
  <c r="BL971" i="115" s="1"/>
  <c r="CL1592" i="115"/>
  <c r="CL1598" i="115"/>
  <c r="BA230" i="117"/>
  <c r="BR148" i="117"/>
  <c r="CU681" i="115"/>
  <c r="CB359" i="115"/>
  <c r="CL842" i="115"/>
  <c r="CQ842" i="115" s="1"/>
  <c r="CF161" i="115"/>
  <c r="BX919" i="115"/>
  <c r="CB920" i="115"/>
  <c r="CC692" i="115"/>
  <c r="AW132" i="117"/>
  <c r="BY358" i="115"/>
  <c r="BR12" i="115"/>
  <c r="AW51" i="117"/>
  <c r="AW126" i="117"/>
  <c r="AW172" i="117" s="1"/>
  <c r="CJ687" i="115"/>
  <c r="CL931" i="115"/>
  <c r="CQ931" i="115" s="1"/>
  <c r="BZ842" i="115"/>
  <c r="BN916" i="115"/>
  <c r="BL668" i="115"/>
  <c r="BP163" i="115"/>
  <c r="CK670" i="115"/>
  <c r="U69" i="123"/>
  <c r="U70" i="123" s="1"/>
  <c r="U73" i="123" s="1"/>
  <c r="AT12" i="117"/>
  <c r="AW128" i="117"/>
  <c r="BY154" i="115"/>
  <c r="BY156" i="115" s="1"/>
  <c r="BQ1463" i="115"/>
  <c r="BQ1469" i="115" s="1"/>
  <c r="X86" i="123"/>
  <c r="BX1347" i="115"/>
  <c r="BX1350" i="115" s="1"/>
  <c r="BX1352" i="115" s="1"/>
  <c r="BQ154" i="115"/>
  <c r="BQ156" i="115" s="1"/>
  <c r="BM357" i="115"/>
  <c r="BL1463" i="115"/>
  <c r="BL1469" i="115" s="1"/>
  <c r="DM15" i="117"/>
  <c r="DM18" i="117" s="1"/>
  <c r="CC925" i="115"/>
  <c r="CC922" i="115" s="1"/>
  <c r="CC931" i="115" s="1"/>
  <c r="CC935" i="115" s="1"/>
  <c r="DB72" i="117"/>
  <c r="BM796" i="115"/>
  <c r="BQ795" i="115"/>
  <c r="BY359" i="115"/>
  <c r="BU1463" i="115"/>
  <c r="BU1469" i="115" s="1"/>
  <c r="BJ664" i="115"/>
  <c r="BH163" i="115"/>
  <c r="CF669" i="115"/>
  <c r="CC916" i="115"/>
  <c r="T86" i="123"/>
  <c r="AR51" i="117"/>
  <c r="BT224" i="115"/>
  <c r="AB63" i="117"/>
  <c r="DI72" i="117"/>
  <c r="CI685" i="115"/>
  <c r="AZ128" i="117"/>
  <c r="BX687" i="115"/>
  <c r="BX686" i="115" s="1"/>
  <c r="BX161" i="115"/>
  <c r="BH154" i="115"/>
  <c r="BH156" i="115" s="1"/>
  <c r="BM356" i="115"/>
  <c r="BT973" i="115"/>
  <c r="BT980" i="115" s="1"/>
  <c r="BY356" i="115"/>
  <c r="BH194" i="117"/>
  <c r="BH104" i="117" s="1"/>
  <c r="AZ104" i="117"/>
  <c r="DE72" i="117"/>
  <c r="BN840" i="115"/>
  <c r="AN53" i="117"/>
  <c r="BT491" i="115"/>
  <c r="BT163" i="115"/>
  <c r="BT1481" i="115"/>
  <c r="BF84" i="117"/>
  <c r="BE84" i="117"/>
  <c r="BT225" i="115"/>
  <c r="AO79" i="117"/>
  <c r="AW84" i="117"/>
  <c r="BE63" i="117"/>
  <c r="P145" i="123"/>
  <c r="BL161" i="115"/>
  <c r="BT275" i="115"/>
  <c r="DM67" i="117" s="1"/>
  <c r="BT364" i="115"/>
  <c r="BY357" i="115"/>
  <c r="BT223" i="115"/>
  <c r="DM62" i="117" s="1"/>
  <c r="BT274" i="115"/>
  <c r="DM71" i="117" s="1"/>
  <c r="AF51" i="117"/>
  <c r="BT273" i="115"/>
  <c r="AJ69" i="117"/>
  <c r="BM358" i="115"/>
  <c r="BA132" i="117"/>
  <c r="BU919" i="115"/>
  <c r="BV788" i="115"/>
  <c r="BI795" i="115"/>
  <c r="CA681" i="115"/>
  <c r="BY670" i="115"/>
  <c r="BU668" i="115"/>
  <c r="CB356" i="115"/>
  <c r="AT149" i="117"/>
  <c r="AT176" i="117" s="1"/>
  <c r="AT177" i="117" s="1"/>
  <c r="AL149" i="117"/>
  <c r="CF905" i="115"/>
  <c r="BM973" i="115"/>
  <c r="BM980" i="115" s="1"/>
  <c r="BD238" i="117"/>
  <c r="CG358" i="115"/>
  <c r="BJ788" i="115"/>
  <c r="CL840" i="115"/>
  <c r="BR789" i="115"/>
  <c r="BX920" i="115"/>
  <c r="EH5" i="117"/>
  <c r="CJ1463" i="115"/>
  <c r="CJ1469" i="115" s="1"/>
  <c r="CH664" i="115"/>
  <c r="CH687" i="115" s="1"/>
  <c r="BR905" i="115"/>
  <c r="BJ925" i="115"/>
  <c r="BY919" i="115"/>
  <c r="BJ905" i="115"/>
  <c r="BL356" i="115"/>
  <c r="CH444" i="115"/>
  <c r="BP356" i="115"/>
  <c r="BB12" i="117"/>
  <c r="BB221" i="117" s="1"/>
  <c r="BJ842" i="115"/>
  <c r="BV841" i="115"/>
  <c r="CD840" i="115"/>
  <c r="CY681" i="115"/>
  <c r="CM681" i="115"/>
  <c r="BE195" i="117"/>
  <c r="BE105" i="117" s="1"/>
  <c r="BQ796" i="115"/>
  <c r="BV842" i="115"/>
  <c r="BI196" i="117"/>
  <c r="BI106" i="117" s="1"/>
  <c r="BI132" i="117"/>
  <c r="BD51" i="117"/>
  <c r="BE238" i="117"/>
  <c r="BV916" i="115"/>
  <c r="BR840" i="115"/>
  <c r="BY669" i="115"/>
  <c r="BJ840" i="115"/>
  <c r="BN841" i="115"/>
  <c r="BZ916" i="115"/>
  <c r="BN789" i="115"/>
  <c r="BZ841" i="115"/>
  <c r="BT668" i="115"/>
  <c r="BR788" i="115"/>
  <c r="BI926" i="115"/>
  <c r="CB926" i="115"/>
  <c r="BQ163" i="115"/>
  <c r="BZ444" i="115"/>
  <c r="BM668" i="115"/>
  <c r="CB919" i="115"/>
  <c r="BP919" i="115"/>
  <c r="CF671" i="115"/>
  <c r="CC163" i="115"/>
  <c r="CB668" i="115"/>
  <c r="BT1463" i="115"/>
  <c r="BT1469" i="115" s="1"/>
  <c r="BT692" i="115"/>
  <c r="DF72" i="117"/>
  <c r="AP7" i="117"/>
  <c r="CI14" i="115"/>
  <c r="BD225" i="115"/>
  <c r="CC668" i="115"/>
  <c r="BY699" i="115"/>
  <c r="BP357" i="115"/>
  <c r="BY1347" i="115"/>
  <c r="AS128" i="117"/>
  <c r="AR63" i="117"/>
  <c r="BZ662" i="115"/>
  <c r="CE662" i="115" s="1"/>
  <c r="BN380" i="115"/>
  <c r="BN382" i="115" s="1"/>
  <c r="BM161" i="115"/>
  <c r="CB670" i="115"/>
  <c r="BY687" i="115"/>
  <c r="BY686" i="115" s="1"/>
  <c r="BP670" i="115"/>
  <c r="CB669" i="115"/>
  <c r="CA15" i="115"/>
  <c r="AZ64" i="117"/>
  <c r="AF63" i="117"/>
  <c r="AT10" i="117"/>
  <c r="CB671" i="115"/>
  <c r="BM491" i="115"/>
  <c r="BM275" i="115"/>
  <c r="DF67" i="117" s="1"/>
  <c r="BM364" i="115"/>
  <c r="BM1481" i="115"/>
  <c r="BM1482" i="115" s="1"/>
  <c r="BM225" i="115"/>
  <c r="CF491" i="115"/>
  <c r="CF225" i="115"/>
  <c r="CF1481" i="115"/>
  <c r="CF364" i="115"/>
  <c r="CF275" i="115"/>
  <c r="CF274" i="115"/>
  <c r="CF973" i="115"/>
  <c r="CF980" i="115" s="1"/>
  <c r="BB7" i="117"/>
  <c r="BU161" i="115"/>
  <c r="BX358" i="115"/>
  <c r="BZ48" i="115"/>
  <c r="BT161" i="115"/>
  <c r="BI358" i="115"/>
  <c r="CH598" i="115"/>
  <c r="BV598" i="115"/>
  <c r="BD224" i="115"/>
  <c r="CG359" i="115"/>
  <c r="AN51" i="117"/>
  <c r="BH1463" i="115"/>
  <c r="BH1469" i="115" s="1"/>
  <c r="BX357" i="115"/>
  <c r="BL358" i="115"/>
  <c r="BE166" i="115"/>
  <c r="BL359" i="115"/>
  <c r="CF163" i="115"/>
  <c r="CB163" i="115"/>
  <c r="BZ443" i="115"/>
  <c r="H15" i="123"/>
  <c r="BI161" i="115"/>
  <c r="BX356" i="115"/>
  <c r="BP154" i="115"/>
  <c r="BP156" i="115" s="1"/>
  <c r="BL357" i="115"/>
  <c r="CB154" i="115"/>
  <c r="CB156" i="115" s="1"/>
  <c r="CA14" i="115"/>
  <c r="AG64" i="117"/>
  <c r="BU356" i="115"/>
  <c r="BD194" i="117"/>
  <c r="BD104" i="117" s="1"/>
  <c r="DJ72" i="117"/>
  <c r="AF69" i="117"/>
  <c r="CC1485" i="115"/>
  <c r="CC1486" i="115"/>
  <c r="CC1490" i="115"/>
  <c r="CF1489" i="115"/>
  <c r="DV69" i="117"/>
  <c r="BM137" i="117"/>
  <c r="CK1088" i="115"/>
  <c r="CK1089" i="115" s="1"/>
  <c r="CJ1089" i="115"/>
  <c r="AC57" i="111"/>
  <c r="BF23" i="117"/>
  <c r="X35" i="123"/>
  <c r="CK140" i="115"/>
  <c r="CN144" i="115" s="1"/>
  <c r="CK142" i="115"/>
  <c r="CL298" i="115"/>
  <c r="CK480" i="115"/>
  <c r="CK484" i="115"/>
  <c r="CK485" i="115"/>
  <c r="CL1043" i="115"/>
  <c r="CN1210" i="115"/>
  <c r="CN1211" i="115" s="1"/>
  <c r="CB1554" i="115"/>
  <c r="CB1558" i="115"/>
  <c r="CB1559" i="115" s="1"/>
  <c r="DJ69" i="117"/>
  <c r="AV176" i="117"/>
  <c r="AV177" i="117" s="1"/>
  <c r="AV178" i="117" s="1"/>
  <c r="CL1520" i="115"/>
  <c r="CG1109" i="115"/>
  <c r="CG1111" i="115"/>
  <c r="CG1112" i="115" s="1"/>
  <c r="CH1108" i="115"/>
  <c r="CL116" i="115"/>
  <c r="CN291" i="115"/>
  <c r="CK352" i="115"/>
  <c r="CK291" i="115"/>
  <c r="CN357" i="115"/>
  <c r="CN506" i="115"/>
  <c r="CN507" i="115" s="1"/>
  <c r="CK506" i="115"/>
  <c r="CK507" i="115" s="1"/>
  <c r="CK933" i="115"/>
  <c r="CL929" i="115"/>
  <c r="BF183" i="117"/>
  <c r="BF184" i="117" s="1"/>
  <c r="CD1580" i="115"/>
  <c r="CE1438" i="115"/>
  <c r="CI1438" i="115"/>
  <c r="CJ757" i="115"/>
  <c r="CL841" i="115"/>
  <c r="CQ841" i="115" s="1"/>
  <c r="CJ916" i="115"/>
  <c r="CJ1599" i="115"/>
  <c r="CL1594" i="115"/>
  <c r="CF255" i="115"/>
  <c r="CF262" i="115" s="1"/>
  <c r="CF261" i="115"/>
  <c r="CF260" i="115"/>
  <c r="CH1475" i="115"/>
  <c r="CH1473" i="115"/>
  <c r="CL272" i="115"/>
  <c r="EE63" i="117"/>
  <c r="CL219" i="115"/>
  <c r="BR1624" i="115"/>
  <c r="BV1436" i="115"/>
  <c r="BU1437" i="115"/>
  <c r="BU1468" i="115"/>
  <c r="CD284" i="115"/>
  <c r="CD348" i="115"/>
  <c r="BD25" i="117"/>
  <c r="CJ669" i="115"/>
  <c r="CK669" i="115"/>
  <c r="CJ692" i="115"/>
  <c r="BD128" i="117"/>
  <c r="BP137" i="117"/>
  <c r="BQ175" i="117"/>
  <c r="CK120" i="115"/>
  <c r="CK118" i="115"/>
  <c r="CK330" i="115"/>
  <c r="AC88" i="111"/>
  <c r="CL1128" i="115"/>
  <c r="CL1163" i="115"/>
  <c r="CL1164" i="115" s="1"/>
  <c r="EE16" i="117" s="1"/>
  <c r="BF47" i="117"/>
  <c r="CL1127" i="115"/>
  <c r="CM1125" i="115"/>
  <c r="BE45" i="117"/>
  <c r="CL1317" i="115"/>
  <c r="CL1327" i="115"/>
  <c r="CL1338" i="115"/>
  <c r="CL1339" i="115" s="1"/>
  <c r="CM1405" i="115"/>
  <c r="CH1595" i="115"/>
  <c r="CF1599" i="115"/>
  <c r="BQ1490" i="115"/>
  <c r="BQ1485" i="115"/>
  <c r="BQ1487" i="115"/>
  <c r="BQ1489" i="115"/>
  <c r="BI137" i="117"/>
  <c r="BR150" i="117"/>
  <c r="CL1488" i="115"/>
  <c r="CL1486" i="115" s="1"/>
  <c r="AC15" i="111"/>
  <c r="CL380" i="115"/>
  <c r="CL382" i="115" s="1"/>
  <c r="CM370" i="115"/>
  <c r="BF50" i="117"/>
  <c r="CN1068" i="115"/>
  <c r="CP1068" i="115" s="1"/>
  <c r="CP1073" i="115" s="1"/>
  <c r="CL1475" i="115"/>
  <c r="CL1473" i="115"/>
  <c r="CK665" i="115"/>
  <c r="BE13" i="117"/>
  <c r="BE14" i="117" s="1"/>
  <c r="CL18" i="115"/>
  <c r="BF13" i="117" s="1"/>
  <c r="CK19" i="115"/>
  <c r="CJ1276" i="115"/>
  <c r="CD1062" i="115"/>
  <c r="BT965" i="115"/>
  <c r="BV963" i="115"/>
  <c r="BZ1088" i="115"/>
  <c r="BX1089" i="115"/>
  <c r="CF273" i="115"/>
  <c r="AZ53" i="117"/>
  <c r="CF224" i="115"/>
  <c r="CF223" i="115"/>
  <c r="AO45" i="117"/>
  <c r="CD597" i="115"/>
  <c r="BL925" i="115"/>
  <c r="BN842" i="115"/>
  <c r="BT905" i="115"/>
  <c r="BV905" i="115" s="1"/>
  <c r="BV840" i="115"/>
  <c r="BX728" i="115"/>
  <c r="BX725" i="115"/>
  <c r="CG443" i="115"/>
  <c r="CC711" i="115"/>
  <c r="CG716" i="115"/>
  <c r="CC666" i="115"/>
  <c r="BT1276" i="115"/>
  <c r="BY308" i="115"/>
  <c r="BY309" i="115"/>
  <c r="BY307" i="115"/>
  <c r="CB311" i="115"/>
  <c r="CB312" i="115" s="1"/>
  <c r="BZ349" i="115"/>
  <c r="BR1271" i="115"/>
  <c r="BR1272" i="115" s="1"/>
  <c r="BR1276" i="115" s="1"/>
  <c r="BQ1272" i="115"/>
  <c r="BQ1276" i="115" s="1"/>
  <c r="BY1210" i="115"/>
  <c r="BY1211" i="115" s="1"/>
  <c r="BU1133" i="115"/>
  <c r="BU1132" i="115"/>
  <c r="AP47" i="117"/>
  <c r="BV1163" i="115"/>
  <c r="BV1164" i="115" s="1"/>
  <c r="BV1101" i="115"/>
  <c r="BT1106" i="115"/>
  <c r="BT1202" i="115" s="1"/>
  <c r="BT1203" i="115" s="1"/>
  <c r="BT1114" i="115"/>
  <c r="BT1118" i="115" s="1"/>
  <c r="BT445" i="115"/>
  <c r="BT1046" i="115"/>
  <c r="BN1488" i="115"/>
  <c r="AH50" i="117"/>
  <c r="BY333" i="115"/>
  <c r="BY335" i="115"/>
  <c r="BY336" i="115"/>
  <c r="BY334" i="115"/>
  <c r="BV348" i="115"/>
  <c r="CE133" i="115"/>
  <c r="CA133" i="115"/>
  <c r="BQ120" i="115"/>
  <c r="BQ118" i="115"/>
  <c r="CE89" i="115"/>
  <c r="CA89" i="115"/>
  <c r="BS87" i="115"/>
  <c r="BN88" i="115"/>
  <c r="BR116" i="115"/>
  <c r="H39" i="123"/>
  <c r="AX22" i="117"/>
  <c r="BJ59" i="115"/>
  <c r="AD22" i="117"/>
  <c r="BN236" i="115"/>
  <c r="BV30" i="115"/>
  <c r="BH31" i="115"/>
  <c r="BM25" i="115"/>
  <c r="BM790" i="115"/>
  <c r="BP797" i="115" s="1"/>
  <c r="BU19" i="115"/>
  <c r="BY49" i="115" s="1"/>
  <c r="BV18" i="115"/>
  <c r="BV665" i="115" s="1"/>
  <c r="AO13" i="117"/>
  <c r="AO14" i="117" s="1"/>
  <c r="CC1437" i="115"/>
  <c r="CC1468" i="115"/>
  <c r="CD1436" i="115"/>
  <c r="CD1437" i="115" s="1"/>
  <c r="CG114" i="115"/>
  <c r="CF150" i="115"/>
  <c r="CG330" i="115"/>
  <c r="CH840" i="115"/>
  <c r="CC31" i="115"/>
  <c r="CC843" i="115"/>
  <c r="CH964" i="115"/>
  <c r="CF965" i="115"/>
  <c r="CC488" i="115"/>
  <c r="CC489" i="115"/>
  <c r="BM175" i="117"/>
  <c r="CG150" i="115"/>
  <c r="CG1478" i="115" s="1"/>
  <c r="CG1445" i="115" s="1"/>
  <c r="CI111" i="115"/>
  <c r="EA65" i="117"/>
  <c r="CG309" i="115"/>
  <c r="CG308" i="115"/>
  <c r="CG310" i="115"/>
  <c r="CG307" i="115"/>
  <c r="CH307" i="115" s="1"/>
  <c r="CH1127" i="115"/>
  <c r="CH1163" i="115"/>
  <c r="CH1164" i="115" s="1"/>
  <c r="EA16" i="117" s="1"/>
  <c r="CH118" i="115"/>
  <c r="BN59" i="115"/>
  <c r="BN961" i="115"/>
  <c r="BN969" i="115" s="1"/>
  <c r="CD1407" i="115"/>
  <c r="BX1300" i="115"/>
  <c r="BY1371" i="115"/>
  <c r="BX1334" i="115"/>
  <c r="BZ1271" i="115"/>
  <c r="BY1272" i="115"/>
  <c r="BH120" i="115"/>
  <c r="CC118" i="115"/>
  <c r="AN54" i="117"/>
  <c r="DM49" i="117" s="1"/>
  <c r="BP1422" i="115"/>
  <c r="CB1468" i="115"/>
  <c r="BP1468" i="115"/>
  <c r="CC514" i="115"/>
  <c r="CB1180" i="115"/>
  <c r="DU40" i="117"/>
  <c r="CB514" i="115"/>
  <c r="BQ514" i="115"/>
  <c r="CB470" i="115"/>
  <c r="CD471" i="115"/>
  <c r="CD472" i="115" s="1"/>
  <c r="BV462" i="115"/>
  <c r="BV483" i="115"/>
  <c r="BV605" i="115"/>
  <c r="AP57" i="117"/>
  <c r="BV487" i="115"/>
  <c r="BR486" i="115"/>
  <c r="AB56" i="117"/>
  <c r="AB84" i="117" s="1"/>
  <c r="BH462" i="115"/>
  <c r="BQ268" i="115"/>
  <c r="BR266" i="115"/>
  <c r="BR268" i="115" s="1"/>
  <c r="BX970" i="115"/>
  <c r="BX971" i="115" s="1"/>
  <c r="CH380" i="115"/>
  <c r="CH382" i="115" s="1"/>
  <c r="CL680" i="115"/>
  <c r="CQ680" i="115" s="1"/>
  <c r="BX1468" i="115"/>
  <c r="CA1405" i="115"/>
  <c r="CE1403" i="115"/>
  <c r="BI1371" i="115"/>
  <c r="BL795" i="115"/>
  <c r="BR348" i="115"/>
  <c r="AJ64" i="117"/>
  <c r="CO1599" i="115"/>
  <c r="CO1565" i="115" s="1"/>
  <c r="CO1566" i="115" s="1"/>
  <c r="CS1567" i="115" s="1"/>
  <c r="CE87" i="115"/>
  <c r="CK1210" i="115"/>
  <c r="CK1211" i="115" s="1"/>
  <c r="BP770" i="115"/>
  <c r="BQ510" i="115"/>
  <c r="BQ511" i="115" s="1"/>
  <c r="CG161" i="115"/>
  <c r="CH1390" i="115"/>
  <c r="CH1580" i="115"/>
  <c r="CH1554" i="115" s="1"/>
  <c r="CD1031" i="115"/>
  <c r="CL790" i="115"/>
  <c r="EE51" i="117"/>
  <c r="CL1390" i="115"/>
  <c r="CL1580" i="115"/>
  <c r="CL1554" i="115" s="1"/>
  <c r="BB84" i="117"/>
  <c r="BV1127" i="115"/>
  <c r="CF311" i="115"/>
  <c r="CH423" i="115"/>
  <c r="CK1341" i="115"/>
  <c r="CK1343" i="115" s="1"/>
  <c r="BU358" i="115"/>
  <c r="CD663" i="115"/>
  <c r="CJ358" i="115"/>
  <c r="CK358" i="115"/>
  <c r="BV380" i="115"/>
  <c r="BV382" i="115" s="1"/>
  <c r="BW14" i="115"/>
  <c r="BI357" i="115"/>
  <c r="AX11" i="117"/>
  <c r="AX220" i="117" s="1"/>
  <c r="AS63" i="117"/>
  <c r="DR15" i="117"/>
  <c r="DR18" i="117" s="1"/>
  <c r="BR444" i="115"/>
  <c r="CF358" i="115"/>
  <c r="BQ357" i="115"/>
  <c r="BM1463" i="115"/>
  <c r="BM1469" i="115" s="1"/>
  <c r="AG51" i="117"/>
  <c r="AT13" i="117"/>
  <c r="BZ665" i="115"/>
  <c r="BZ740" i="115" s="1"/>
  <c r="BZ744" i="115" s="1"/>
  <c r="BV664" i="115"/>
  <c r="BV687" i="115" s="1"/>
  <c r="AP12" i="117"/>
  <c r="BZ663" i="115"/>
  <c r="AT128" i="117" s="1"/>
  <c r="BN598" i="115"/>
  <c r="AH7" i="117"/>
  <c r="BN12" i="115"/>
  <c r="AO69" i="117"/>
  <c r="BT357" i="115"/>
  <c r="AV105" i="117"/>
  <c r="BA164" i="117"/>
  <c r="BA166" i="117" s="1"/>
  <c r="BA118" i="117" s="1"/>
  <c r="BA186" i="117"/>
  <c r="BA188" i="117" s="1"/>
  <c r="BA205" i="117" s="1"/>
  <c r="BZ19" i="115"/>
  <c r="BZ664" i="115"/>
  <c r="BI195" i="117"/>
  <c r="BI105" i="117" s="1"/>
  <c r="BU357" i="115"/>
  <c r="BA238" i="117"/>
  <c r="M67" i="123"/>
  <c r="M81" i="123" s="1"/>
  <c r="BV443" i="115"/>
  <c r="CK163" i="115"/>
  <c r="CJ163" i="115"/>
  <c r="CJ154" i="115"/>
  <c r="CJ156" i="115" s="1"/>
  <c r="AX13" i="117"/>
  <c r="AX222" i="117" s="1"/>
  <c r="BA216" i="117"/>
  <c r="DO5" i="117"/>
  <c r="AP132" i="117"/>
  <c r="BN662" i="115"/>
  <c r="AH10" i="117"/>
  <c r="CH662" i="115"/>
  <c r="CI662" i="115" s="1"/>
  <c r="BB10" i="117"/>
  <c r="CG1463" i="115"/>
  <c r="CG1469" i="115" s="1"/>
  <c r="BA51" i="117"/>
  <c r="CJ161" i="115"/>
  <c r="BE126" i="117"/>
  <c r="BE172" i="117" s="1"/>
  <c r="BT358" i="115"/>
  <c r="BI359" i="115"/>
  <c r="AV238" i="117"/>
  <c r="AS64" i="117"/>
  <c r="BV444" i="115"/>
  <c r="BX359" i="115"/>
  <c r="BU359" i="115"/>
  <c r="BI356" i="115"/>
  <c r="BS14" i="115"/>
  <c r="BR598" i="115"/>
  <c r="BV48" i="115"/>
  <c r="BE132" i="117"/>
  <c r="BR48" i="115"/>
  <c r="D15" i="123"/>
  <c r="DZ5" i="117"/>
  <c r="AL7" i="117"/>
  <c r="AV164" i="117"/>
  <c r="AV166" i="117" s="1"/>
  <c r="AV118" i="117" s="1"/>
  <c r="X108" i="123"/>
  <c r="X55" i="123"/>
  <c r="AT152" i="117"/>
  <c r="AT196" i="117" s="1"/>
  <c r="H145" i="123"/>
  <c r="CG163" i="115"/>
  <c r="AF83" i="117"/>
  <c r="CJ357" i="115"/>
  <c r="H91" i="123"/>
  <c r="BH132" i="117"/>
  <c r="CJ359" i="115"/>
  <c r="BE403" i="115"/>
  <c r="BE404" i="115" s="1"/>
  <c r="BZ1487" i="115"/>
  <c r="BZ1486" i="115"/>
  <c r="BZ1485" i="115"/>
  <c r="CB1604" i="115"/>
  <c r="BP925" i="115"/>
  <c r="BR842" i="115"/>
  <c r="BX905" i="115"/>
  <c r="BZ905" i="115" s="1"/>
  <c r="BZ840" i="115"/>
  <c r="BR828" i="115"/>
  <c r="BP830" i="115"/>
  <c r="BX757" i="115"/>
  <c r="BM757" i="115"/>
  <c r="CB596" i="115"/>
  <c r="CB595" i="115" s="1"/>
  <c r="BW594" i="115"/>
  <c r="BL472" i="115"/>
  <c r="BL476" i="115"/>
  <c r="BV512" i="115"/>
  <c r="BY489" i="115"/>
  <c r="BY488" i="115"/>
  <c r="CB480" i="115"/>
  <c r="BY485" i="115"/>
  <c r="BY484" i="115"/>
  <c r="BY646" i="115"/>
  <c r="BY480" i="115"/>
  <c r="BZ641" i="115"/>
  <c r="BJ641" i="115"/>
  <c r="BJ483" i="115"/>
  <c r="BJ462" i="115"/>
  <c r="AD56" i="117"/>
  <c r="AD84" i="117" s="1"/>
  <c r="BZ412" i="115"/>
  <c r="DK63" i="117"/>
  <c r="BR219" i="115"/>
  <c r="BR272" i="115"/>
  <c r="BV219" i="115"/>
  <c r="BV245" i="115"/>
  <c r="BM142" i="115"/>
  <c r="BM140" i="115"/>
  <c r="BE140" i="115"/>
  <c r="BE142" i="115"/>
  <c r="BJ142" i="115"/>
  <c r="BJ132" i="115"/>
  <c r="AB32" i="111"/>
  <c r="CH1327" i="115"/>
  <c r="CI1404" i="115"/>
  <c r="CM1404" i="115"/>
  <c r="CG1599" i="115"/>
  <c r="CH1596" i="115"/>
  <c r="CG1422" i="115"/>
  <c r="CG1417" i="115"/>
  <c r="CG1480" i="115" s="1"/>
  <c r="BJ135" i="117"/>
  <c r="BN135" i="117"/>
  <c r="CL966" i="115"/>
  <c r="EE70" i="117"/>
  <c r="CL1340" i="115"/>
  <c r="CK255" i="115"/>
  <c r="CK262" i="115" s="1"/>
  <c r="CK970" i="115"/>
  <c r="CK971" i="115" s="1"/>
  <c r="CL350" i="115"/>
  <c r="CL284" i="115"/>
  <c r="CK334" i="115"/>
  <c r="CK335" i="115"/>
  <c r="CK342" i="115" s="1"/>
  <c r="CK336" i="115"/>
  <c r="CK333" i="115"/>
  <c r="CL1517" i="115"/>
  <c r="AC47" i="111"/>
  <c r="BF59" i="117"/>
  <c r="CM594" i="115"/>
  <c r="CK639" i="115"/>
  <c r="CL637" i="115"/>
  <c r="CL639" i="115" s="1"/>
  <c r="CL723" i="115"/>
  <c r="CP734" i="115" s="1"/>
  <c r="CL732" i="115"/>
  <c r="CL1024" i="115"/>
  <c r="CK545" i="115"/>
  <c r="BE175" i="117"/>
  <c r="CM1403" i="115"/>
  <c r="CL1407" i="115"/>
  <c r="CL1596" i="115"/>
  <c r="CK1599" i="115"/>
  <c r="CL1271" i="115"/>
  <c r="CK1272" i="115"/>
  <c r="BP596" i="115"/>
  <c r="CK235" i="115"/>
  <c r="BP1336" i="115"/>
  <c r="DF15" i="117"/>
  <c r="DF18" i="117" s="1"/>
  <c r="AW220" i="117"/>
  <c r="BA229" i="117" s="1"/>
  <c r="AW14" i="117"/>
  <c r="BV1624" i="115"/>
  <c r="BU1175" i="115"/>
  <c r="BX1132" i="115"/>
  <c r="BX1133" i="115"/>
  <c r="BL1133" i="115"/>
  <c r="BL1132" i="115"/>
  <c r="BZ1128" i="115"/>
  <c r="BZ1127" i="115"/>
  <c r="BU1202" i="115"/>
  <c r="BU1203" i="115" s="1"/>
  <c r="BZ462" i="115"/>
  <c r="CL256" i="115"/>
  <c r="X18" i="117"/>
  <c r="CB602" i="115"/>
  <c r="CB614" i="115" s="1"/>
  <c r="BZ483" i="115"/>
  <c r="BT920" i="115"/>
  <c r="CI1418" i="115"/>
  <c r="CL325" i="115"/>
  <c r="AC94" i="117"/>
  <c r="BJ120" i="115"/>
  <c r="AD94" i="117" s="1"/>
  <c r="DO61" i="117"/>
  <c r="BP595" i="115"/>
  <c r="BP655" i="115" s="1"/>
  <c r="AT56" i="117"/>
  <c r="AX84" i="117" s="1"/>
  <c r="BQ830" i="115"/>
  <c r="BP920" i="115"/>
  <c r="CD740" i="115"/>
  <c r="CK1132" i="115"/>
  <c r="CK258" i="115"/>
  <c r="CK1133" i="115"/>
  <c r="CI605" i="115"/>
  <c r="CD884" i="115"/>
  <c r="BI933" i="115"/>
  <c r="CF335" i="115"/>
  <c r="CF336" i="115"/>
  <c r="CJ734" i="115"/>
  <c r="CF734" i="115"/>
  <c r="BM506" i="115"/>
  <c r="BM507" i="115" s="1"/>
  <c r="BP506" i="115"/>
  <c r="BP507" i="115" s="1"/>
  <c r="BY1058" i="115"/>
  <c r="Y88" i="111"/>
  <c r="BJ1090" i="115"/>
  <c r="CD708" i="115"/>
  <c r="CA693" i="115"/>
  <c r="BX639" i="115"/>
  <c r="BZ637" i="115"/>
  <c r="BZ639" i="115" s="1"/>
  <c r="CH1095" i="115"/>
  <c r="CL1300" i="115"/>
  <c r="BX1180" i="115"/>
  <c r="BX514" i="115"/>
  <c r="BX1530" i="115"/>
  <c r="BX267" i="115"/>
  <c r="BL267" i="115"/>
  <c r="BL1255" i="115"/>
  <c r="BL1180" i="115"/>
  <c r="CE1404" i="115"/>
  <c r="CA1404" i="115"/>
  <c r="BJ1396" i="115"/>
  <c r="BL1396" i="115"/>
  <c r="BM1396" i="115" s="1"/>
  <c r="BT1371" i="115"/>
  <c r="CD1327" i="115"/>
  <c r="BQ725" i="115"/>
  <c r="BU157" i="115"/>
  <c r="BU970" i="115"/>
  <c r="BU971" i="115" s="1"/>
  <c r="DN66" i="117"/>
  <c r="BI258" i="115"/>
  <c r="BZ247" i="115"/>
  <c r="DO68" i="117"/>
  <c r="BZ1340" i="115"/>
  <c r="DS70" i="117"/>
  <c r="BZ966" i="115"/>
  <c r="CD241" i="115"/>
  <c r="BL243" i="115"/>
  <c r="BL963" i="115"/>
  <c r="T29" i="123"/>
  <c r="CI33" i="115"/>
  <c r="AB54" i="111"/>
  <c r="AB67" i="111" s="1"/>
  <c r="BB20" i="117"/>
  <c r="CH961" i="115"/>
  <c r="CH969" i="115" s="1"/>
  <c r="CI89" i="115"/>
  <c r="BB93" i="117"/>
  <c r="EA61" i="117"/>
  <c r="CH325" i="115"/>
  <c r="BZ1580" i="115"/>
  <c r="BL1486" i="115"/>
  <c r="BP1437" i="115"/>
  <c r="AT129" i="117"/>
  <c r="BI333" i="115"/>
  <c r="BI336" i="115"/>
  <c r="BJ336" i="115" s="1"/>
  <c r="BI335" i="115"/>
  <c r="BU309" i="115"/>
  <c r="BU308" i="115"/>
  <c r="BU310" i="115"/>
  <c r="BV310" i="115" s="1"/>
  <c r="BU307" i="115"/>
  <c r="BU311" i="115"/>
  <c r="BL311" i="115"/>
  <c r="BR351" i="115"/>
  <c r="D35" i="123"/>
  <c r="AL23" i="117"/>
  <c r="X57" i="111"/>
  <c r="CB59" i="115"/>
  <c r="BX990" i="115"/>
  <c r="BX998" i="115"/>
  <c r="CD961" i="115"/>
  <c r="CD969" i="115" s="1"/>
  <c r="CD57" i="115"/>
  <c r="AA54" i="111"/>
  <c r="AA67" i="111" s="1"/>
  <c r="BP843" i="115"/>
  <c r="BR30" i="115"/>
  <c r="BR31" i="115" s="1"/>
  <c r="BI790" i="115"/>
  <c r="BI793" i="115" s="1"/>
  <c r="BI25" i="115"/>
  <c r="AC15" i="117" s="1"/>
  <c r="CC789" i="115"/>
  <c r="BW22" i="115"/>
  <c r="BV52" i="115"/>
  <c r="BR51" i="115"/>
  <c r="BY666" i="115"/>
  <c r="CB672" i="115" s="1"/>
  <c r="Z13" i="117"/>
  <c r="CC12" i="115"/>
  <c r="CD13" i="115"/>
  <c r="BF2" i="115"/>
  <c r="BE3" i="115"/>
  <c r="CG12" i="115"/>
  <c r="CJ140" i="115"/>
  <c r="CJ142" i="115"/>
  <c r="CJ146" i="115" s="1"/>
  <c r="CA370" i="115"/>
  <c r="BY136" i="115"/>
  <c r="BX118" i="115"/>
  <c r="BX120" i="115"/>
  <c r="BE114" i="115"/>
  <c r="BH114" i="115"/>
  <c r="BS89" i="115"/>
  <c r="AH93" i="117"/>
  <c r="AL79" i="117" s="1"/>
  <c r="BX92" i="115"/>
  <c r="BP1186" i="115"/>
  <c r="CJ725" i="115"/>
  <c r="CN734" i="115"/>
  <c r="BU244" i="117"/>
  <c r="BX269" i="115"/>
  <c r="CK646" i="115"/>
  <c r="CN480" i="115"/>
  <c r="CN933" i="115"/>
  <c r="BH1397" i="115"/>
  <c r="BH1398" i="115" s="1"/>
  <c r="CN1397" i="115"/>
  <c r="BV271" i="115"/>
  <c r="CN358" i="115"/>
  <c r="CK692" i="115"/>
  <c r="CN669" i="115"/>
  <c r="CK1180" i="115"/>
  <c r="CN1530" i="115"/>
  <c r="CN514" i="115"/>
  <c r="AV79" i="117"/>
  <c r="AJ79" i="117"/>
  <c r="AR84" i="117"/>
  <c r="CG1089" i="115"/>
  <c r="CK1311" i="115"/>
  <c r="CK1312" i="115" s="1"/>
  <c r="DH1312" i="115" s="1"/>
  <c r="DI1312" i="115" s="1"/>
  <c r="DL1312" i="115" s="1"/>
  <c r="DM1312" i="115" s="1"/>
  <c r="DP1312" i="115" s="1"/>
  <c r="DQ1312" i="115" s="1"/>
  <c r="CN1058" i="115"/>
  <c r="CP1058" i="115" s="1"/>
  <c r="DU72" i="117"/>
  <c r="BI1172" i="115"/>
  <c r="BY496" i="115"/>
  <c r="CK496" i="115"/>
  <c r="BJ183" i="117"/>
  <c r="CL1030" i="115"/>
  <c r="CL525" i="115"/>
  <c r="DH224" i="115"/>
  <c r="DI224" i="115" s="1"/>
  <c r="DL224" i="115" s="1"/>
  <c r="DM224" i="115" s="1"/>
  <c r="DP224" i="115" s="1"/>
  <c r="DQ224" i="115" s="1"/>
  <c r="CM1300" i="115"/>
  <c r="CJ711" i="115"/>
  <c r="CN716" i="115"/>
  <c r="CP1606" i="115"/>
  <c r="BJ151" i="117"/>
  <c r="CR559" i="115"/>
  <c r="CP1375" i="115"/>
  <c r="BE169" i="115"/>
  <c r="BV1605" i="115"/>
  <c r="BT1613" i="115"/>
  <c r="BQ1084" i="115"/>
  <c r="BF120" i="115"/>
  <c r="Z94" i="117" s="1"/>
  <c r="Y94" i="117"/>
  <c r="CL1604" i="115"/>
  <c r="AC64" i="117"/>
  <c r="BV1518" i="115"/>
  <c r="BZ792" i="115"/>
  <c r="BU795" i="115"/>
  <c r="CD707" i="115"/>
  <c r="BV642" i="115"/>
  <c r="AC79" i="117"/>
  <c r="BN23" i="115"/>
  <c r="DN72" i="117"/>
  <c r="CD1518" i="115"/>
  <c r="BW1405" i="115"/>
  <c r="BR825" i="115"/>
  <c r="CC671" i="115"/>
  <c r="BE118" i="115"/>
  <c r="BQ1341" i="115"/>
  <c r="BQ1343" i="115" s="1"/>
  <c r="BJ1074" i="115"/>
  <c r="BN911" i="115"/>
  <c r="BJ134" i="117"/>
  <c r="AW79" i="117"/>
  <c r="CP1592" i="115"/>
  <c r="BF78" i="115"/>
  <c r="AP151" i="117"/>
  <c r="DM72" i="117"/>
  <c r="BA84" i="117"/>
  <c r="DR72" i="117"/>
  <c r="AW64" i="117"/>
  <c r="BH175" i="117"/>
  <c r="BJ129" i="117"/>
  <c r="BH138" i="117"/>
  <c r="BV1068" i="115"/>
  <c r="BV925" i="115"/>
  <c r="BT926" i="115"/>
  <c r="BT922" i="115"/>
  <c r="BT931" i="115" s="1"/>
  <c r="BU926" i="115"/>
  <c r="CH1088" i="115"/>
  <c r="CF1089" i="115"/>
  <c r="BT952" i="115"/>
  <c r="BT951" i="115" s="1"/>
  <c r="BT844" i="115"/>
  <c r="CF1276" i="115"/>
  <c r="BP1084" i="115"/>
  <c r="BR1081" i="115"/>
  <c r="BL12" i="117"/>
  <c r="CP1381" i="115"/>
  <c r="BM235" i="115"/>
  <c r="CK1332" i="115"/>
  <c r="BM274" i="115"/>
  <c r="DF71" i="117" s="1"/>
  <c r="CK12" i="115"/>
  <c r="BM224" i="115"/>
  <c r="AG53" i="117"/>
  <c r="CH1081" i="115"/>
  <c r="AT134" i="117"/>
  <c r="AT138" i="117" s="1"/>
  <c r="BI1341" i="115"/>
  <c r="BI1343" i="115" s="1"/>
  <c r="BR1166" i="115"/>
  <c r="BV1074" i="115"/>
  <c r="BI510" i="115"/>
  <c r="BI511" i="115" s="1"/>
  <c r="BN325" i="115"/>
  <c r="CP1598" i="115"/>
  <c r="BN1224" i="115"/>
  <c r="BZ1166" i="115"/>
  <c r="CH709" i="115"/>
  <c r="CC510" i="115"/>
  <c r="CC511" i="115" s="1"/>
  <c r="BE234" i="115"/>
  <c r="AH109" i="111"/>
  <c r="AJ83" i="117"/>
  <c r="CP1596" i="115"/>
  <c r="CP1594" i="115"/>
  <c r="BN1395" i="115"/>
  <c r="CF744" i="115"/>
  <c r="CL788" i="115"/>
  <c r="BQ192" i="117"/>
  <c r="BQ102" i="117" s="1"/>
  <c r="CK337" i="115"/>
  <c r="CB496" i="115"/>
  <c r="AH149" i="117"/>
  <c r="AL134" i="117"/>
  <c r="AL138" i="117" s="1"/>
  <c r="BN194" i="117"/>
  <c r="BN104" i="117" s="1"/>
  <c r="AZ102" i="117"/>
  <c r="CJ668" i="115"/>
  <c r="CY680" i="115"/>
  <c r="CL709" i="115"/>
  <c r="CL714" i="115"/>
  <c r="BU101" i="117"/>
  <c r="CH1224" i="115"/>
  <c r="BV191" i="117"/>
  <c r="BE192" i="117"/>
  <c r="BE102" i="117" s="1"/>
  <c r="BX506" i="115"/>
  <c r="BX507" i="115" s="1"/>
  <c r="BL506" i="115"/>
  <c r="BL507" i="115" s="1"/>
  <c r="BU496" i="115"/>
  <c r="DA18" i="117"/>
  <c r="DM7" i="117"/>
  <c r="DC7" i="117"/>
  <c r="DF7" i="117"/>
  <c r="DJ18" i="117"/>
  <c r="AG122" i="123"/>
  <c r="AG123" i="123" s="1"/>
  <c r="AG126" i="123" s="1"/>
  <c r="X145" i="123"/>
  <c r="EG5" i="117"/>
  <c r="AV64" i="117"/>
  <c r="AT126" i="117"/>
  <c r="AT172" i="117" s="1"/>
  <c r="BD249" i="117"/>
  <c r="BH176" i="117"/>
  <c r="AY244" i="117"/>
  <c r="BA190" i="117"/>
  <c r="BA195" i="117"/>
  <c r="BB195" i="117" s="1"/>
  <c r="BD83" i="117"/>
  <c r="AV106" i="117"/>
  <c r="AV14" i="117"/>
  <c r="AX149" i="117"/>
  <c r="AV83" i="117"/>
  <c r="BE164" i="117"/>
  <c r="BE166" i="117" s="1"/>
  <c r="BE118" i="117" s="1"/>
  <c r="DE15" i="117"/>
  <c r="DE18" i="117" s="1"/>
  <c r="AZ230" i="117"/>
  <c r="BF148" i="117"/>
  <c r="BD190" i="117"/>
  <c r="AX152" i="117"/>
  <c r="AS83" i="117"/>
  <c r="AO84" i="117"/>
  <c r="BE64" i="117"/>
  <c r="DV72" i="117"/>
  <c r="BD64" i="117"/>
  <c r="AG83" i="117"/>
  <c r="AW63" i="117"/>
  <c r="AZ83" i="117"/>
  <c r="AK63" i="117"/>
  <c r="BD242" i="117"/>
  <c r="AZ186" i="117"/>
  <c r="AZ188" i="117" s="1"/>
  <c r="AZ205" i="117" s="1"/>
  <c r="AW190" i="117"/>
  <c r="BB132" i="117"/>
  <c r="EM5" i="117"/>
  <c r="BD69" i="117"/>
  <c r="BL104" i="117"/>
  <c r="AS84" i="117"/>
  <c r="BE69" i="117"/>
  <c r="BB126" i="117"/>
  <c r="BB172" i="117" s="1"/>
  <c r="AN69" i="117"/>
  <c r="AZ69" i="117"/>
  <c r="DA7" i="117"/>
  <c r="AS79" i="117"/>
  <c r="AJ63" i="117"/>
  <c r="BB151" i="117"/>
  <c r="DU15" i="117"/>
  <c r="AW69" i="117"/>
  <c r="AS14" i="117"/>
  <c r="AF64" i="117"/>
  <c r="AZ63" i="117"/>
  <c r="AN63" i="117"/>
  <c r="DI15" i="117"/>
  <c r="DI18" i="117" s="1"/>
  <c r="EA5" i="117"/>
  <c r="BA69" i="117"/>
  <c r="AW238" i="117"/>
  <c r="AV63" i="117"/>
  <c r="AZ164" i="117"/>
  <c r="AZ166" i="117" s="1"/>
  <c r="AZ118" i="117" s="1"/>
  <c r="DS5" i="117"/>
  <c r="BN126" i="117"/>
  <c r="BN172" i="117" s="1"/>
  <c r="BN216" i="117" s="1"/>
  <c r="DQ72" i="117"/>
  <c r="AE14" i="117"/>
  <c r="AE16" i="117" s="1"/>
  <c r="AE17" i="117" s="1"/>
  <c r="AE19" i="117" s="1"/>
  <c r="AE21" i="117" s="1"/>
  <c r="AE24" i="117" s="1"/>
  <c r="CF340" i="115"/>
  <c r="CD333" i="115"/>
  <c r="H139" i="123"/>
  <c r="H86" i="123"/>
  <c r="BJ148" i="117"/>
  <c r="BI192" i="117"/>
  <c r="BI102" i="117" s="1"/>
  <c r="BM192" i="117"/>
  <c r="BM102" i="117" s="1"/>
  <c r="AV104" i="117"/>
  <c r="AV153" i="117"/>
  <c r="Q69" i="123"/>
  <c r="Q122" i="123"/>
  <c r="BF10" i="117"/>
  <c r="BF219" i="117" s="1"/>
  <c r="CL662" i="115"/>
  <c r="CK1463" i="115"/>
  <c r="CK161" i="115"/>
  <c r="BE51" i="117"/>
  <c r="BL244" i="117"/>
  <c r="AD61" i="117"/>
  <c r="CG356" i="115"/>
  <c r="T145" i="123"/>
  <c r="EI5" i="117"/>
  <c r="BJ126" i="117"/>
  <c r="BJ172" i="117" s="1"/>
  <c r="CU680" i="115"/>
  <c r="EL5" i="117"/>
  <c r="BM126" i="117"/>
  <c r="BM172" i="117" s="1"/>
  <c r="BM216" i="117" s="1"/>
  <c r="BM132" i="117"/>
  <c r="BL191" i="117"/>
  <c r="P108" i="123"/>
  <c r="P55" i="123"/>
  <c r="AR79" i="117"/>
  <c r="AN79" i="117"/>
  <c r="AF79" i="117"/>
  <c r="AB79" i="117"/>
  <c r="AX249" i="117"/>
  <c r="BB83" i="117"/>
  <c r="AN83" i="117"/>
  <c r="AR83" i="117"/>
  <c r="DN15" i="117"/>
  <c r="DN18" i="117" s="1"/>
  <c r="AC63" i="117"/>
  <c r="DB15" i="117"/>
  <c r="DB18" i="117" s="1"/>
  <c r="AG63" i="117"/>
  <c r="AS69" i="117"/>
  <c r="AW218" i="117"/>
  <c r="BA64" i="117"/>
  <c r="DW5" i="117"/>
  <c r="AX126" i="117"/>
  <c r="AX172" i="117" s="1"/>
  <c r="AX132" i="117"/>
  <c r="CD380" i="115"/>
  <c r="CD382" i="115" s="1"/>
  <c r="CD444" i="115"/>
  <c r="CD443" i="115"/>
  <c r="BU163" i="115"/>
  <c r="BU154" i="115"/>
  <c r="BU156" i="115" s="1"/>
  <c r="BU168" i="115" s="1"/>
  <c r="BI154" i="115"/>
  <c r="BI156" i="115" s="1"/>
  <c r="BI163" i="115"/>
  <c r="BY1463" i="115"/>
  <c r="BY1469" i="115" s="1"/>
  <c r="BY161" i="115"/>
  <c r="AS51" i="117"/>
  <c r="AH12" i="117"/>
  <c r="BN664" i="115"/>
  <c r="AH11" i="117"/>
  <c r="AP10" i="117"/>
  <c r="BV662" i="115"/>
  <c r="CD48" i="115"/>
  <c r="CD598" i="115"/>
  <c r="P15" i="123"/>
  <c r="AX7" i="117"/>
  <c r="CH48" i="115"/>
  <c r="BV12" i="115"/>
  <c r="BB11" i="117"/>
  <c r="CH663" i="115"/>
  <c r="CG687" i="115"/>
  <c r="CG686" i="115" s="1"/>
  <c r="CH686" i="115" s="1"/>
  <c r="CJ670" i="115"/>
  <c r="CG670" i="115"/>
  <c r="CG1347" i="115"/>
  <c r="BF249" i="117"/>
  <c r="BF83" i="117"/>
  <c r="BD63" i="117"/>
  <c r="BA193" i="117"/>
  <c r="BE79" i="117"/>
  <c r="BA79" i="117"/>
  <c r="BD84" i="117"/>
  <c r="AD149" i="117"/>
  <c r="BM691" i="115"/>
  <c r="BM754" i="115" s="1"/>
  <c r="BM699" i="115"/>
  <c r="BH192" i="117"/>
  <c r="BH102" i="117" s="1"/>
  <c r="BH93" i="117"/>
  <c r="BH79" i="117" s="1"/>
  <c r="BH15" i="117"/>
  <c r="CP1382" i="115"/>
  <c r="CB1089" i="115"/>
  <c r="CD1088" i="115"/>
  <c r="CD1520" i="115"/>
  <c r="BR1518" i="115"/>
  <c r="BL1341" i="115"/>
  <c r="BL1343" i="115" s="1"/>
  <c r="BR1127" i="115"/>
  <c r="BM330" i="115"/>
  <c r="BM268" i="115"/>
  <c r="BN266" i="115"/>
  <c r="BN268" i="115" s="1"/>
  <c r="BF149" i="115"/>
  <c r="AB69" i="117"/>
  <c r="CD1395" i="115"/>
  <c r="CD1398" i="115" s="1"/>
  <c r="BX1395" i="115"/>
  <c r="BX1398" i="115" s="1"/>
  <c r="BJ1395" i="115"/>
  <c r="CD1390" i="115"/>
  <c r="BM1341" i="115"/>
  <c r="BM1343" i="115" s="1"/>
  <c r="AE52" i="117"/>
  <c r="CC1489" i="115"/>
  <c r="BH1172" i="115"/>
  <c r="AE28" i="117"/>
  <c r="CA680" i="115"/>
  <c r="CE680" i="115"/>
  <c r="BL595" i="115"/>
  <c r="AL152" i="117"/>
  <c r="AD152" i="117"/>
  <c r="CK1437" i="115"/>
  <c r="CH1518" i="115"/>
  <c r="CA685" i="115"/>
  <c r="BT510" i="115"/>
  <c r="BT511" i="115" s="1"/>
  <c r="CC330" i="115"/>
  <c r="CC258" i="115"/>
  <c r="CH790" i="115"/>
  <c r="CF1395" i="115"/>
  <c r="CL1597" i="115"/>
  <c r="BJ349" i="115"/>
  <c r="AR153" i="117"/>
  <c r="CF357" i="115"/>
  <c r="CL1436" i="115"/>
  <c r="CQ1436" i="115" s="1"/>
  <c r="CG1364" i="115"/>
  <c r="CL1595" i="115"/>
  <c r="BA219" i="117"/>
  <c r="BA228" i="117" s="1"/>
  <c r="CC359" i="115"/>
  <c r="CF359" i="115"/>
  <c r="BQ359" i="115"/>
  <c r="BT359" i="115"/>
  <c r="CB358" i="115"/>
  <c r="CC358" i="115"/>
  <c r="BP358" i="115"/>
  <c r="BQ358" i="115"/>
  <c r="CB357" i="115"/>
  <c r="CC357" i="115"/>
  <c r="CF356" i="115"/>
  <c r="CC356" i="115"/>
  <c r="BQ356" i="115"/>
  <c r="BT356" i="115"/>
  <c r="BY163" i="115"/>
  <c r="BX163" i="115"/>
  <c r="BX154" i="115"/>
  <c r="BX156" i="115" s="1"/>
  <c r="BM163" i="115"/>
  <c r="BL154" i="115"/>
  <c r="BL156" i="115" s="1"/>
  <c r="BL163" i="115"/>
  <c r="AV51" i="117"/>
  <c r="CB161" i="115"/>
  <c r="CB1463" i="115"/>
  <c r="CC161" i="115"/>
  <c r="BQ161" i="115"/>
  <c r="BP1463" i="115"/>
  <c r="BP161" i="115"/>
  <c r="AJ51" i="117"/>
  <c r="BE161" i="115"/>
  <c r="BH161" i="115"/>
  <c r="BW17" i="115"/>
  <c r="BR664" i="115"/>
  <c r="AL12" i="117"/>
  <c r="BV663" i="115"/>
  <c r="CA16" i="115"/>
  <c r="AP11" i="117"/>
  <c r="BN48" i="115"/>
  <c r="BJ48" i="115"/>
  <c r="BJ12" i="115"/>
  <c r="M69" i="123"/>
  <c r="M25" i="123"/>
  <c r="M28" i="123" s="1"/>
  <c r="M122" i="123"/>
  <c r="M123" i="123" s="1"/>
  <c r="M126" i="123" s="1"/>
  <c r="BF7" i="117"/>
  <c r="CL598" i="115"/>
  <c r="CL48" i="115"/>
  <c r="CM14" i="115"/>
  <c r="X15" i="123"/>
  <c r="CK359" i="115"/>
  <c r="BP192" i="117"/>
  <c r="BP102" i="117" s="1"/>
  <c r="BB193" i="117"/>
  <c r="AN64" i="117"/>
  <c r="AR64" i="117"/>
  <c r="BY671" i="115"/>
  <c r="BX740" i="115"/>
  <c r="BX744" i="115" s="1"/>
  <c r="BU1347" i="115"/>
  <c r="BV1347" i="115" s="1"/>
  <c r="BU687" i="115"/>
  <c r="BU686" i="115" s="1"/>
  <c r="BU670" i="115"/>
  <c r="BE194" i="117"/>
  <c r="AV69" i="117"/>
  <c r="AR69" i="117"/>
  <c r="AG69" i="117"/>
  <c r="AK69" i="117"/>
  <c r="BR443" i="115"/>
  <c r="D139" i="123"/>
  <c r="D86" i="123"/>
  <c r="BL192" i="117"/>
  <c r="BN148" i="117"/>
  <c r="CJ356" i="115"/>
  <c r="CK356" i="115"/>
  <c r="BE242" i="117"/>
  <c r="BA63" i="117"/>
  <c r="AO63" i="117"/>
  <c r="AV190" i="117"/>
  <c r="AV198" i="117" s="1"/>
  <c r="BN444" i="115"/>
  <c r="CG357" i="115"/>
  <c r="CI680" i="115"/>
  <c r="AG79" i="117"/>
  <c r="AK79" i="117"/>
  <c r="BL692" i="115"/>
  <c r="BM669" i="115"/>
  <c r="BX668" i="115"/>
  <c r="BY668" i="115"/>
  <c r="AW153" i="117"/>
  <c r="CF1463" i="115"/>
  <c r="BM1350" i="115"/>
  <c r="AZ79" i="117"/>
  <c r="BD79" i="117"/>
  <c r="BL670" i="115"/>
  <c r="BL1347" i="115"/>
  <c r="BL1350" i="115" s="1"/>
  <c r="BL1352" i="115" s="1"/>
  <c r="BM670" i="115"/>
  <c r="AR128" i="117"/>
  <c r="BX692" i="115"/>
  <c r="L139" i="123"/>
  <c r="L86" i="123"/>
  <c r="EC5" i="117"/>
  <c r="BD126" i="117"/>
  <c r="BD172" i="117" s="1"/>
  <c r="DA72" i="117"/>
  <c r="BI668" i="115"/>
  <c r="AX102" i="117"/>
  <c r="AZ229" i="117"/>
  <c r="BI670" i="115"/>
  <c r="CK668" i="115"/>
  <c r="CM685" i="115"/>
  <c r="AP152" i="117"/>
  <c r="BE190" i="117"/>
  <c r="BR194" i="117"/>
  <c r="AC69" i="117"/>
  <c r="AB64" i="117"/>
  <c r="AH152" i="117"/>
  <c r="CF699" i="115"/>
  <c r="CF691" i="115"/>
  <c r="BH13" i="117"/>
  <c r="BA83" i="117"/>
  <c r="AW249" i="117"/>
  <c r="AW83" i="117"/>
  <c r="AO83" i="117"/>
  <c r="AK83" i="117"/>
  <c r="AD83" i="117"/>
  <c r="AH83" i="117"/>
  <c r="AZ84" i="117"/>
  <c r="AV84" i="117"/>
  <c r="AJ84" i="117"/>
  <c r="AN84" i="117"/>
  <c r="BU796" i="115"/>
  <c r="BV789" i="115"/>
  <c r="BI796" i="115"/>
  <c r="BL796" i="115"/>
  <c r="BJ789" i="115"/>
  <c r="BZ788" i="115"/>
  <c r="BM795" i="115"/>
  <c r="BP795" i="115"/>
  <c r="BN788" i="115"/>
  <c r="CD664" i="115"/>
  <c r="CD19" i="115"/>
  <c r="AX12" i="117"/>
  <c r="AX221" i="117" s="1"/>
  <c r="AX151" i="117"/>
  <c r="AW105" i="117"/>
  <c r="AT151" i="117"/>
  <c r="AS153" i="117"/>
  <c r="BA194" i="117"/>
  <c r="BH195" i="117"/>
  <c r="BH105" i="117" s="1"/>
  <c r="BH153" i="117"/>
  <c r="BJ334" i="115"/>
  <c r="CE681" i="115"/>
  <c r="CI681" i="115"/>
  <c r="CC687" i="115"/>
  <c r="CC686" i="115" s="1"/>
  <c r="CF670" i="115"/>
  <c r="CC1347" i="115"/>
  <c r="CC670" i="115"/>
  <c r="BQ1347" i="115"/>
  <c r="BR1347" i="115" s="1"/>
  <c r="BT670" i="115"/>
  <c r="CE14" i="115"/>
  <c r="L15" i="123"/>
  <c r="CK357" i="115"/>
  <c r="BY691" i="115"/>
  <c r="BR841" i="115"/>
  <c r="BQ916" i="115"/>
  <c r="BT919" i="115" s="1"/>
  <c r="L145" i="123"/>
  <c r="L91" i="123"/>
  <c r="AZ219" i="117"/>
  <c r="AZ14" i="117"/>
  <c r="BX925" i="115"/>
  <c r="CH842" i="115"/>
  <c r="CH866" i="115" s="1"/>
  <c r="CK916" i="115"/>
  <c r="BM223" i="115"/>
  <c r="DF62" i="117" s="1"/>
  <c r="BD164" i="117"/>
  <c r="BD166" i="117" s="1"/>
  <c r="BD118" i="117" s="1"/>
  <c r="AR14" i="117"/>
  <c r="AV218" i="117"/>
  <c r="AO64" i="117"/>
  <c r="AK64" i="117"/>
  <c r="AD7" i="117"/>
  <c r="BJ598" i="115"/>
  <c r="CJ931" i="115"/>
  <c r="BP793" i="115"/>
  <c r="BX669" i="115"/>
  <c r="BU669" i="115"/>
  <c r="BU692" i="115"/>
  <c r="AO128" i="117"/>
  <c r="BL669" i="115"/>
  <c r="BI669" i="115"/>
  <c r="BN443" i="115"/>
  <c r="CG669" i="115"/>
  <c r="CG692" i="115"/>
  <c r="BA128" i="117"/>
  <c r="Y122" i="123"/>
  <c r="Y123" i="123" s="1"/>
  <c r="Y126" i="123" s="1"/>
  <c r="Y69" i="123"/>
  <c r="Y70" i="123" s="1"/>
  <c r="Y73" i="123" s="1"/>
  <c r="CL664" i="115"/>
  <c r="BF12" i="117"/>
  <c r="BF221" i="117" s="1"/>
  <c r="CE685" i="115"/>
  <c r="CD790" i="115"/>
  <c r="BZ790" i="115"/>
  <c r="CF668" i="115"/>
  <c r="BH12" i="117"/>
  <c r="BV1302" i="115"/>
  <c r="CO1390" i="115"/>
  <c r="CO1302" i="115" s="1"/>
  <c r="CP1378" i="115"/>
  <c r="BN1390" i="115"/>
  <c r="BU1346" i="115"/>
  <c r="BR1348" i="115"/>
  <c r="AP149" i="117"/>
  <c r="AO153" i="117"/>
  <c r="BI1326" i="115"/>
  <c r="BI1328" i="115" s="1"/>
  <c r="BI397" i="115"/>
  <c r="CB935" i="115"/>
  <c r="BY930" i="115"/>
  <c r="BY1281" i="115"/>
  <c r="BH244" i="117"/>
  <c r="BN195" i="117"/>
  <c r="BN105" i="117" s="1"/>
  <c r="BM105" i="117"/>
  <c r="BR195" i="117"/>
  <c r="BP105" i="117"/>
  <c r="CU951" i="115"/>
  <c r="DH223" i="115"/>
  <c r="DI223" i="115" s="1"/>
  <c r="DL223" i="115" s="1"/>
  <c r="DM223" i="115" s="1"/>
  <c r="DP223" i="115" s="1"/>
  <c r="DQ223" i="115" s="1"/>
  <c r="BE83" i="117"/>
  <c r="AA32" i="111"/>
  <c r="CJ268" i="115"/>
  <c r="CJ261" i="115"/>
  <c r="CC235" i="115"/>
  <c r="BT1489" i="115"/>
  <c r="BQ1486" i="115"/>
  <c r="CC963" i="115"/>
  <c r="CC965" i="115" s="1"/>
  <c r="CD1319" i="115"/>
  <c r="BV1271" i="115"/>
  <c r="BU1272" i="115"/>
  <c r="BI1132" i="115"/>
  <c r="BI1133" i="115"/>
  <c r="CB1311" i="115"/>
  <c r="CB1312" i="115" s="1"/>
  <c r="CC1058" i="115"/>
  <c r="BX49" i="115"/>
  <c r="BN1416" i="115"/>
  <c r="CD1488" i="115"/>
  <c r="AX50" i="117"/>
  <c r="CI370" i="115"/>
  <c r="AA15" i="111"/>
  <c r="CE370" i="115"/>
  <c r="CD351" i="115"/>
  <c r="BJ350" i="115"/>
  <c r="BV149" i="115"/>
  <c r="CC24" i="115"/>
  <c r="CC49" i="115"/>
  <c r="CC20" i="115"/>
  <c r="BV1520" i="115"/>
  <c r="CD905" i="115"/>
  <c r="CD788" i="115"/>
  <c r="CC1487" i="115"/>
  <c r="BJ1166" i="115"/>
  <c r="AN153" i="117"/>
  <c r="BY310" i="115"/>
  <c r="CC525" i="115"/>
  <c r="CJ510" i="115"/>
  <c r="CJ511" i="115" s="1"/>
  <c r="BT496" i="115"/>
  <c r="CL349" i="115"/>
  <c r="BY381" i="115" l="1"/>
  <c r="AI150" i="111"/>
  <c r="AJ150" i="111" s="1"/>
  <c r="AK150" i="111" s="1"/>
  <c r="AL150" i="111" s="1"/>
  <c r="AM150" i="111" s="1"/>
  <c r="AN150" i="111" s="1"/>
  <c r="AO150" i="111" s="1"/>
  <c r="AP150" i="111" s="1"/>
  <c r="AQ150" i="111" s="1"/>
  <c r="AR150" i="111" s="1"/>
  <c r="AS102" i="111"/>
  <c r="AT102" i="111" s="1"/>
  <c r="AU102" i="111" s="1"/>
  <c r="AV102" i="111" s="1"/>
  <c r="AW102" i="111" s="1"/>
  <c r="AX102" i="111" s="1"/>
  <c r="AY102" i="111" s="1"/>
  <c r="AZ102" i="111" s="1"/>
  <c r="BA102" i="111" s="1"/>
  <c r="BB102" i="111" s="1"/>
  <c r="BC102" i="111" s="1"/>
  <c r="BD102" i="111" s="1"/>
  <c r="BE102" i="111" s="1"/>
  <c r="BF102" i="111" s="1"/>
  <c r="BG102" i="111" s="1"/>
  <c r="BH102" i="111" s="1"/>
  <c r="BI102" i="111" s="1"/>
  <c r="BJ102" i="111" s="1"/>
  <c r="BK102" i="111" s="1"/>
  <c r="BL102" i="111" s="1"/>
  <c r="BM102" i="111" s="1"/>
  <c r="BN102" i="111" s="1"/>
  <c r="BO102" i="111" s="1"/>
  <c r="BP102" i="111" s="1"/>
  <c r="BQ102" i="111" s="1"/>
  <c r="BR102" i="111" s="1"/>
  <c r="BS102" i="111" s="1"/>
  <c r="BT102" i="111" s="1"/>
  <c r="BU102" i="111" s="1"/>
  <c r="BV102" i="111" s="1"/>
  <c r="BW102" i="111" s="1"/>
  <c r="BX102" i="111" s="1"/>
  <c r="BY102" i="111" s="1"/>
  <c r="BZ102" i="111" s="1"/>
  <c r="CA102" i="111" s="1"/>
  <c r="CB102" i="111" s="1"/>
  <c r="CC102" i="111" s="1"/>
  <c r="CD102" i="111" s="1"/>
  <c r="CE102" i="111" s="1"/>
  <c r="CF102" i="111" s="1"/>
  <c r="CG102" i="111" s="1"/>
  <c r="AQ102" i="111"/>
  <c r="AR102" i="111" s="1"/>
  <c r="BQ1159" i="115"/>
  <c r="BN642" i="115"/>
  <c r="BJ1487" i="115"/>
  <c r="BJ1485" i="115"/>
  <c r="BH381" i="115"/>
  <c r="BZ445" i="115"/>
  <c r="AL54" i="117"/>
  <c r="DK49" i="117" s="1"/>
  <c r="BL381" i="115"/>
  <c r="BR445" i="115"/>
  <c r="AT54" i="117"/>
  <c r="DS49" i="117" s="1"/>
  <c r="BJ642" i="115"/>
  <c r="BI381" i="115"/>
  <c r="V41" i="111"/>
  <c r="V91" i="111" s="1"/>
  <c r="Y41" i="111"/>
  <c r="Y91" i="111" s="1"/>
  <c r="BJ445" i="115"/>
  <c r="BN445" i="115"/>
  <c r="BV445" i="115"/>
  <c r="BX499" i="115"/>
  <c r="BY499" i="115"/>
  <c r="BX168" i="115"/>
  <c r="BX1444" i="115"/>
  <c r="BM344" i="115"/>
  <c r="AG2" i="111"/>
  <c r="AF138" i="111"/>
  <c r="AG147" i="111"/>
  <c r="CD1324" i="115"/>
  <c r="DN6" i="115"/>
  <c r="DM271" i="115"/>
  <c r="DP271" i="115" s="1"/>
  <c r="DM1221" i="115"/>
  <c r="DP1221" i="115" s="1"/>
  <c r="DQ1221" i="115" s="1"/>
  <c r="CN106" i="115"/>
  <c r="AC44" i="111"/>
  <c r="AC45" i="111" s="1"/>
  <c r="CB168" i="115"/>
  <c r="BH158" i="115"/>
  <c r="BH170" i="115" s="1"/>
  <c r="BH168" i="115"/>
  <c r="BQ168" i="115"/>
  <c r="CG158" i="115"/>
  <c r="CG170" i="115" s="1"/>
  <c r="CG168" i="115"/>
  <c r="CC168" i="115"/>
  <c r="BP158" i="115"/>
  <c r="BP168" i="115"/>
  <c r="BY158" i="115"/>
  <c r="BY168" i="115"/>
  <c r="CF168" i="115"/>
  <c r="BI158" i="115"/>
  <c r="BI168" i="115"/>
  <c r="BL158" i="115"/>
  <c r="BL168" i="115"/>
  <c r="CJ158" i="115"/>
  <c r="CJ168" i="115"/>
  <c r="CK158" i="115"/>
  <c r="CK168" i="115"/>
  <c r="CN168" i="115"/>
  <c r="BM168" i="115"/>
  <c r="BT168" i="115"/>
  <c r="BU158" i="115"/>
  <c r="BX158" i="115"/>
  <c r="CB158" i="115"/>
  <c r="BQ158" i="115"/>
  <c r="CC158" i="115"/>
  <c r="CF170" i="115" s="1"/>
  <c r="BT158" i="115"/>
  <c r="BT555" i="115"/>
  <c r="BY554" i="115"/>
  <c r="CH140" i="115"/>
  <c r="CH141" i="115" s="1"/>
  <c r="CL140" i="115"/>
  <c r="CL141" i="115" s="1"/>
  <c r="CH1324" i="115"/>
  <c r="BR1324" i="115"/>
  <c r="BR142" i="115"/>
  <c r="BS142" i="115" s="1"/>
  <c r="BN1324" i="115"/>
  <c r="BP758" i="115"/>
  <c r="BA35" i="117"/>
  <c r="AV35" i="117"/>
  <c r="BE35" i="117"/>
  <c r="BV1324" i="115"/>
  <c r="CL1324" i="115"/>
  <c r="AX35" i="117"/>
  <c r="BZ1324" i="115"/>
  <c r="AZ35" i="117"/>
  <c r="BD35" i="117"/>
  <c r="CJ781" i="115"/>
  <c r="DI1487" i="115"/>
  <c r="DW1273" i="115"/>
  <c r="DW1276" i="115"/>
  <c r="DW1277" i="115" s="1"/>
  <c r="CL969" i="115"/>
  <c r="DW961" i="115"/>
  <c r="DH7" i="115"/>
  <c r="DJ7" i="115"/>
  <c r="DI7" i="115"/>
  <c r="CB781" i="115"/>
  <c r="BQ779" i="115"/>
  <c r="BV780" i="115"/>
  <c r="BY781" i="115"/>
  <c r="BR780" i="115"/>
  <c r="CK781" i="115"/>
  <c r="BT781" i="115"/>
  <c r="BP779" i="115"/>
  <c r="BZ617" i="115"/>
  <c r="BZ780" i="115"/>
  <c r="BX781" i="115"/>
  <c r="CF781" i="115"/>
  <c r="BY312" i="115"/>
  <c r="BU234" i="115"/>
  <c r="CD140" i="115"/>
  <c r="CD141" i="115" s="1"/>
  <c r="CK234" i="115"/>
  <c r="BV140" i="115"/>
  <c r="BV141" i="115" s="1"/>
  <c r="CH714" i="115"/>
  <c r="BY234" i="115"/>
  <c r="CG234" i="115"/>
  <c r="BQ234" i="115"/>
  <c r="CH715" i="115"/>
  <c r="CC1444" i="115"/>
  <c r="CJ234" i="115"/>
  <c r="AO76" i="117"/>
  <c r="BT269" i="115"/>
  <c r="BJ269" i="115"/>
  <c r="BI269" i="115"/>
  <c r="CB269" i="115"/>
  <c r="CC269" i="115"/>
  <c r="BZ142" i="115"/>
  <c r="BZ141" i="115" s="1"/>
  <c r="AF76" i="117"/>
  <c r="BX312" i="115"/>
  <c r="CD308" i="115"/>
  <c r="CD311" i="115" s="1"/>
  <c r="CC312" i="115"/>
  <c r="CJ312" i="115"/>
  <c r="CN315" i="115"/>
  <c r="CK312" i="115"/>
  <c r="CF312" i="115"/>
  <c r="CH308" i="115"/>
  <c r="CG312" i="115"/>
  <c r="CF381" i="115"/>
  <c r="BB129" i="117"/>
  <c r="Y30" i="111"/>
  <c r="BM352" i="115"/>
  <c r="BM442" i="115" s="1"/>
  <c r="BI671" i="115"/>
  <c r="CG952" i="115"/>
  <c r="CG844" i="115"/>
  <c r="CH1519" i="115"/>
  <c r="CH1521" i="115" s="1"/>
  <c r="BI122" i="115"/>
  <c r="BZ725" i="115"/>
  <c r="BV1306" i="115"/>
  <c r="CL268" i="115"/>
  <c r="CK499" i="115"/>
  <c r="X137" i="123"/>
  <c r="BB25" i="117"/>
  <c r="CL258" i="115"/>
  <c r="BU1306" i="115"/>
  <c r="CH1485" i="115"/>
  <c r="CR564" i="115"/>
  <c r="CV564" i="115"/>
  <c r="CG1332" i="115"/>
  <c r="AZ27" i="117"/>
  <c r="Z67" i="111"/>
  <c r="CD1422" i="115"/>
  <c r="CB759" i="115"/>
  <c r="BZ602" i="115"/>
  <c r="BI1332" i="115"/>
  <c r="BJ1332" i="115" s="1"/>
  <c r="CH1487" i="115"/>
  <c r="BI1517" i="115"/>
  <c r="BI1519" i="115" s="1"/>
  <c r="BI1521" i="115" s="1"/>
  <c r="BL1331" i="115"/>
  <c r="BL1332" i="115" s="1"/>
  <c r="CA598" i="115"/>
  <c r="CD757" i="115"/>
  <c r="CJ144" i="115"/>
  <c r="BZ596" i="115"/>
  <c r="CF758" i="115"/>
  <c r="BQ25" i="117"/>
  <c r="BD27" i="117"/>
  <c r="BP264" i="115"/>
  <c r="CF1281" i="115"/>
  <c r="CF1288" i="115" s="1"/>
  <c r="BT235" i="115"/>
  <c r="CH789" i="115"/>
  <c r="BF85" i="117"/>
  <c r="L55" i="123"/>
  <c r="AC109" i="123"/>
  <c r="AC110" i="123" s="1"/>
  <c r="AC56" i="123"/>
  <c r="AC57" i="123" s="1"/>
  <c r="AC60" i="123"/>
  <c r="AC113" i="123"/>
  <c r="AX45" i="117"/>
  <c r="DW7" i="117" s="1"/>
  <c r="AB15" i="117"/>
  <c r="AB65" i="117" s="1"/>
  <c r="CM1240" i="115"/>
  <c r="CL69" i="115"/>
  <c r="AC127" i="123"/>
  <c r="AC74" i="123"/>
  <c r="BW1240" i="115"/>
  <c r="CP1395" i="115"/>
  <c r="CP1398" i="115" s="1"/>
  <c r="BR1417" i="115"/>
  <c r="AP45" i="117"/>
  <c r="DO7" i="117" s="1"/>
  <c r="CA1240" i="115"/>
  <c r="CR1395" i="115"/>
  <c r="CR1305" i="115" s="1"/>
  <c r="CR1306" i="115" s="1"/>
  <c r="CS1394" i="115"/>
  <c r="AH17" i="123"/>
  <c r="AH62" i="123" s="1"/>
  <c r="CL445" i="115"/>
  <c r="CH445" i="115"/>
  <c r="CD445" i="115"/>
  <c r="DO40" i="117"/>
  <c r="H80" i="123"/>
  <c r="D127" i="123"/>
  <c r="D151" i="123" s="1"/>
  <c r="L127" i="123"/>
  <c r="T127" i="123"/>
  <c r="T151" i="123" s="1"/>
  <c r="P127" i="123"/>
  <c r="H127" i="123"/>
  <c r="H151" i="123" s="1"/>
  <c r="H60" i="123"/>
  <c r="T133" i="123"/>
  <c r="T113" i="123"/>
  <c r="T60" i="123"/>
  <c r="BV244" i="117"/>
  <c r="CL1463" i="115"/>
  <c r="CL1469" i="115" s="1"/>
  <c r="Z7" i="111"/>
  <c r="BZ666" i="115"/>
  <c r="X4" i="123"/>
  <c r="X49" i="123" s="1"/>
  <c r="CE605" i="115"/>
  <c r="CL443" i="115"/>
  <c r="CF1150" i="115"/>
  <c r="CC381" i="115"/>
  <c r="CL1114" i="115"/>
  <c r="CL1116" i="115" s="1"/>
  <c r="CF264" i="115"/>
  <c r="CH443" i="115"/>
  <c r="CG381" i="115"/>
  <c r="CH1000" i="115"/>
  <c r="CC388" i="115"/>
  <c r="BE228" i="115"/>
  <c r="CB338" i="115"/>
  <c r="T131" i="123"/>
  <c r="BE227" i="115"/>
  <c r="P137" i="123"/>
  <c r="BR334" i="115"/>
  <c r="BR337" i="115" s="1"/>
  <c r="BM1129" i="115"/>
  <c r="AX79" i="117"/>
  <c r="CI1240" i="115"/>
  <c r="AF15" i="117"/>
  <c r="AF16" i="117" s="1"/>
  <c r="BY365" i="115"/>
  <c r="AC27" i="117"/>
  <c r="BN1081" i="115"/>
  <c r="CC1423" i="115"/>
  <c r="Z11" i="117"/>
  <c r="Z14" i="117" s="1"/>
  <c r="CK758" i="115"/>
  <c r="CF1480" i="115"/>
  <c r="CB342" i="115"/>
  <c r="BM138" i="117"/>
  <c r="D74" i="123"/>
  <c r="D97" i="123" s="1"/>
  <c r="BL119" i="115"/>
  <c r="BL123" i="115" s="1"/>
  <c r="BB45" i="117"/>
  <c r="EA7" i="117" s="1"/>
  <c r="BF25" i="117"/>
  <c r="BZ1046" i="115"/>
  <c r="BX340" i="115"/>
  <c r="BH264" i="115"/>
  <c r="CH1106" i="115"/>
  <c r="CH1107" i="115" s="1"/>
  <c r="AY246" i="117"/>
  <c r="T4" i="123"/>
  <c r="T102" i="123" s="1"/>
  <c r="CG341" i="115"/>
  <c r="CF338" i="115"/>
  <c r="CN341" i="115"/>
  <c r="CK338" i="115"/>
  <c r="CD334" i="115"/>
  <c r="CC338" i="115"/>
  <c r="CJ341" i="115"/>
  <c r="CJ338" i="115"/>
  <c r="BP25" i="117"/>
  <c r="CJ499" i="115"/>
  <c r="DS66" i="117"/>
  <c r="BT53" i="115"/>
  <c r="BZ258" i="115"/>
  <c r="BH216" i="117"/>
  <c r="BV39" i="117"/>
  <c r="CK1129" i="115"/>
  <c r="CG1276" i="115"/>
  <c r="CG499" i="115"/>
  <c r="D84" i="123"/>
  <c r="L74" i="123"/>
  <c r="L97" i="123" s="1"/>
  <c r="AM21" i="117"/>
  <c r="DL26" i="117"/>
  <c r="AE26" i="117"/>
  <c r="BB219" i="117"/>
  <c r="BB228" i="117" s="1"/>
  <c r="CQ929" i="115"/>
  <c r="BX614" i="115"/>
  <c r="BY38" i="115"/>
  <c r="CC106" i="115"/>
  <c r="CC100" i="115"/>
  <c r="CK567" i="115"/>
  <c r="CJ614" i="115"/>
  <c r="CF100" i="115"/>
  <c r="CF106" i="115"/>
  <c r="BI1118" i="115"/>
  <c r="DB12" i="117" s="1"/>
  <c r="DB14" i="117" s="1"/>
  <c r="BR118" i="115"/>
  <c r="CN122" i="115"/>
  <c r="CN127" i="115" s="1"/>
  <c r="AO59" i="117"/>
  <c r="AS85" i="117" s="1"/>
  <c r="BZ118" i="115"/>
  <c r="BZ101" i="115"/>
  <c r="CK106" i="115"/>
  <c r="CP716" i="115"/>
  <c r="BY614" i="115"/>
  <c r="CH710" i="115"/>
  <c r="CK614" i="115"/>
  <c r="BU122" i="115"/>
  <c r="AW27" i="117"/>
  <c r="AH59" i="117"/>
  <c r="AH85" i="117" s="1"/>
  <c r="BM27" i="117"/>
  <c r="CG106" i="115"/>
  <c r="CG100" i="115"/>
  <c r="CG49" i="115"/>
  <c r="CL101" i="115"/>
  <c r="CQ101" i="115" s="1"/>
  <c r="CJ1064" i="115"/>
  <c r="CJ1204" i="115" s="1"/>
  <c r="CJ1205" i="115" s="1"/>
  <c r="CF736" i="115"/>
  <c r="CD101" i="115"/>
  <c r="BM119" i="115"/>
  <c r="CB106" i="115"/>
  <c r="CB100" i="115"/>
  <c r="BX122" i="115"/>
  <c r="BT141" i="115"/>
  <c r="BU145" i="115" s="1"/>
  <c r="CH101" i="115"/>
  <c r="CJ100" i="115"/>
  <c r="CJ106" i="115"/>
  <c r="BZ100" i="115"/>
  <c r="BA85" i="117"/>
  <c r="BI216" i="117"/>
  <c r="BN175" i="117"/>
  <c r="CJ1444" i="115"/>
  <c r="BX223" i="115"/>
  <c r="DQ62" i="117" s="1"/>
  <c r="BQ364" i="115"/>
  <c r="CK364" i="115"/>
  <c r="BL364" i="115"/>
  <c r="CC973" i="115"/>
  <c r="CC980" i="115" s="1"/>
  <c r="CF981" i="115" s="1"/>
  <c r="AW85" i="117"/>
  <c r="CO696" i="115"/>
  <c r="CH692" i="115"/>
  <c r="CC696" i="115"/>
  <c r="CF696" i="115"/>
  <c r="BV154" i="115"/>
  <c r="BV156" i="115" s="1"/>
  <c r="CN759" i="115"/>
  <c r="CN764" i="115" s="1"/>
  <c r="BL485" i="115"/>
  <c r="CG1205" i="115"/>
  <c r="BN269" i="115"/>
  <c r="BT1483" i="115"/>
  <c r="DM42" i="117" s="1"/>
  <c r="CH1305" i="115"/>
  <c r="CH1306" i="115" s="1"/>
  <c r="BT1398" i="115"/>
  <c r="BI453" i="115"/>
  <c r="BQ793" i="115"/>
  <c r="BQ799" i="115" s="1"/>
  <c r="BQ797" i="115"/>
  <c r="BV1114" i="115"/>
  <c r="BV1116" i="115" s="1"/>
  <c r="CJ1129" i="115"/>
  <c r="BJ118" i="115"/>
  <c r="BJ119" i="115" s="1"/>
  <c r="BH404" i="115"/>
  <c r="BH396" i="115" s="1"/>
  <c r="BV1046" i="115"/>
  <c r="AP54" i="117"/>
  <c r="DO49" i="117" s="1"/>
  <c r="BF51" i="117"/>
  <c r="BR1046" i="115"/>
  <c r="CJ1281" i="115"/>
  <c r="CJ1288" i="115" s="1"/>
  <c r="CJ588" i="115"/>
  <c r="CJ589" i="115" s="1"/>
  <c r="CJ927" i="115"/>
  <c r="BI1129" i="115"/>
  <c r="BN154" i="115"/>
  <c r="BN156" i="115" s="1"/>
  <c r="X41" i="111"/>
  <c r="X91" i="111" s="1"/>
  <c r="BL122" i="115"/>
  <c r="CJ926" i="115"/>
  <c r="CL925" i="115"/>
  <c r="CQ925" i="115" s="1"/>
  <c r="CH1343" i="115"/>
  <c r="CJ924" i="115"/>
  <c r="CJ874" i="115" s="1"/>
  <c r="BR1114" i="115"/>
  <c r="BR1116" i="115" s="1"/>
  <c r="CB793" i="115"/>
  <c r="CB554" i="115" s="1"/>
  <c r="BL646" i="115"/>
  <c r="BY55" i="115"/>
  <c r="BI353" i="115"/>
  <c r="BI442" i="115"/>
  <c r="BI354" i="115"/>
  <c r="BI372" i="115"/>
  <c r="BI452" i="115"/>
  <c r="CH335" i="115"/>
  <c r="CH337" i="115" s="1"/>
  <c r="BU844" i="115"/>
  <c r="BR1487" i="115"/>
  <c r="CA1418" i="115"/>
  <c r="CH243" i="115"/>
  <c r="BN1084" i="115"/>
  <c r="BX235" i="115"/>
  <c r="BI53" i="115"/>
  <c r="BP291" i="115"/>
  <c r="BX1064" i="115"/>
  <c r="CH1132" i="115"/>
  <c r="CH1134" i="115" s="1"/>
  <c r="BQ1116" i="115"/>
  <c r="BJ1046" i="115"/>
  <c r="CC141" i="115"/>
  <c r="CF145" i="115" s="1"/>
  <c r="BL1202" i="115"/>
  <c r="BL1203" i="115" s="1"/>
  <c r="BX1445" i="115"/>
  <c r="BU1479" i="115"/>
  <c r="CP1334" i="115"/>
  <c r="BV843" i="115"/>
  <c r="BV844" i="115" s="1"/>
  <c r="BJ1114" i="115"/>
  <c r="BJ1116" i="115" s="1"/>
  <c r="DJ12" i="117"/>
  <c r="BV1417" i="115"/>
  <c r="EA41" i="117"/>
  <c r="BS283" i="115"/>
  <c r="CG316" i="115"/>
  <c r="BJ1133" i="115"/>
  <c r="AD54" i="117"/>
  <c r="AD82" i="117" s="1"/>
  <c r="CO1568" i="115"/>
  <c r="CS1569" i="115" s="1"/>
  <c r="BR352" i="115"/>
  <c r="BR354" i="115" s="1"/>
  <c r="BV476" i="115"/>
  <c r="BA175" i="117"/>
  <c r="BA222" i="117" s="1"/>
  <c r="BA231" i="117" s="1"/>
  <c r="CE284" i="115"/>
  <c r="AA30" i="111"/>
  <c r="CP1554" i="115"/>
  <c r="CP1555" i="115" s="1"/>
  <c r="BW284" i="115"/>
  <c r="CC1480" i="115"/>
  <c r="CO1558" i="115"/>
  <c r="CO1559" i="115" s="1"/>
  <c r="CO1562" i="115" s="1"/>
  <c r="BF150" i="115"/>
  <c r="CQ1407" i="115"/>
  <c r="CP1530" i="115"/>
  <c r="CM284" i="115"/>
  <c r="CQ284" i="115"/>
  <c r="CI284" i="115"/>
  <c r="CG581" i="115"/>
  <c r="CQ1418" i="115"/>
  <c r="BY269" i="115"/>
  <c r="CD1417" i="115"/>
  <c r="CA284" i="115"/>
  <c r="BA134" i="117"/>
  <c r="BA101" i="117" s="1"/>
  <c r="CP970" i="115"/>
  <c r="CP971" i="115" s="1"/>
  <c r="CL100" i="115"/>
  <c r="CN105" i="115"/>
  <c r="P131" i="123"/>
  <c r="DB49" i="117"/>
  <c r="BE82" i="117"/>
  <c r="CK666" i="115"/>
  <c r="CO49" i="115"/>
  <c r="CQ88" i="115"/>
  <c r="CU687" i="115"/>
  <c r="CH1084" i="115"/>
  <c r="CK53" i="115"/>
  <c r="CO53" i="115"/>
  <c r="V47" i="111"/>
  <c r="AN15" i="117"/>
  <c r="AN16" i="117" s="1"/>
  <c r="BN1422" i="115"/>
  <c r="BJ1255" i="115"/>
  <c r="CL263" i="115"/>
  <c r="BR154" i="115"/>
  <c r="BR156" i="115" s="1"/>
  <c r="BH49" i="115"/>
  <c r="BL49" i="115"/>
  <c r="CC144" i="115"/>
  <c r="BX146" i="115"/>
  <c r="BF234" i="115"/>
  <c r="CD725" i="115"/>
  <c r="CA23" i="115"/>
  <c r="CF1336" i="115"/>
  <c r="AR15" i="117"/>
  <c r="AR16" i="117" s="1"/>
  <c r="CG342" i="115"/>
  <c r="BF19" i="115"/>
  <c r="BJ49" i="115" s="1"/>
  <c r="BM342" i="115"/>
  <c r="DW66" i="117"/>
  <c r="BW1407" i="115"/>
  <c r="CN1352" i="115"/>
  <c r="CP1350" i="115"/>
  <c r="CP1352" i="115" s="1"/>
  <c r="CO1306" i="115"/>
  <c r="CP1302" i="115"/>
  <c r="CP1306" i="115" s="1"/>
  <c r="BJ1517" i="115"/>
  <c r="BJ1519" i="115" s="1"/>
  <c r="CC1129" i="115"/>
  <c r="CB1116" i="115"/>
  <c r="CB1119" i="115" s="1"/>
  <c r="CK1306" i="115"/>
  <c r="BI270" i="115"/>
  <c r="DB73" i="117" s="1"/>
  <c r="DH44" i="115"/>
  <c r="DL44" i="115" s="1"/>
  <c r="DP44" i="115" s="1"/>
  <c r="CM142" i="115"/>
  <c r="CB1350" i="115"/>
  <c r="CB1352" i="115" s="1"/>
  <c r="CQ110" i="115"/>
  <c r="BX844" i="115"/>
  <c r="BI672" i="115"/>
  <c r="CC451" i="115"/>
  <c r="AY245" i="117"/>
  <c r="CJ340" i="115"/>
  <c r="BP359" i="115"/>
  <c r="AZ216" i="117"/>
  <c r="CC273" i="115"/>
  <c r="BX671" i="115"/>
  <c r="BQ451" i="115"/>
  <c r="CL309" i="115"/>
  <c r="BQ388" i="115"/>
  <c r="CD1300" i="115"/>
  <c r="CH916" i="115"/>
  <c r="BQ316" i="115"/>
  <c r="X16" i="111"/>
  <c r="CQ664" i="115"/>
  <c r="CQ151" i="115"/>
  <c r="CG344" i="115"/>
  <c r="CQ840" i="115"/>
  <c r="CQ662" i="115"/>
  <c r="CQ149" i="115"/>
  <c r="T80" i="123"/>
  <c r="W16" i="111"/>
  <c r="Y96" i="111"/>
  <c r="BA82" i="117"/>
  <c r="AW82" i="117"/>
  <c r="CL444" i="115"/>
  <c r="CB955" i="115"/>
  <c r="CH154" i="115"/>
  <c r="CH156" i="115" s="1"/>
  <c r="CH158" i="115" s="1"/>
  <c r="BU671" i="115"/>
  <c r="BT315" i="115"/>
  <c r="AS82" i="117"/>
  <c r="CF316" i="115"/>
  <c r="EE72" i="117"/>
  <c r="CB547" i="115"/>
  <c r="CB549" i="115" s="1"/>
  <c r="CL585" i="115"/>
  <c r="BM1423" i="115"/>
  <c r="CE110" i="115"/>
  <c r="CH1272" i="115"/>
  <c r="CH1276" i="115" s="1"/>
  <c r="BM144" i="115"/>
  <c r="BL269" i="115"/>
  <c r="AJ15" i="117"/>
  <c r="BN141" i="115"/>
  <c r="CF1457" i="115"/>
  <c r="CC999" i="115"/>
  <c r="CC1000" i="115" s="1"/>
  <c r="CC69" i="115"/>
  <c r="CC146" i="115"/>
  <c r="BF135" i="117"/>
  <c r="CF1451" i="115"/>
  <c r="CF1458" i="115" s="1"/>
  <c r="CJ967" i="115"/>
  <c r="CJ968" i="115" s="1"/>
  <c r="CJ567" i="115"/>
  <c r="CL566" i="115"/>
  <c r="BH844" i="115"/>
  <c r="BM1203" i="115"/>
  <c r="BI1281" i="115"/>
  <c r="BI1288" i="115" s="1"/>
  <c r="BI1301" i="115" s="1"/>
  <c r="BI1252" i="115" s="1"/>
  <c r="BI1181" i="115" s="1"/>
  <c r="BI1183" i="115" s="1"/>
  <c r="CH69" i="115"/>
  <c r="CL725" i="115"/>
  <c r="CL735" i="115" s="1"/>
  <c r="BP53" i="115"/>
  <c r="CK735" i="115"/>
  <c r="BY1116" i="115"/>
  <c r="CD736" i="115"/>
  <c r="CC1005" i="115"/>
  <c r="CC1007" i="115" s="1"/>
  <c r="CK316" i="115"/>
  <c r="BJ665" i="115"/>
  <c r="AX164" i="117"/>
  <c r="AX166" i="117" s="1"/>
  <c r="AX118" i="117" s="1"/>
  <c r="BQ342" i="115"/>
  <c r="AX186" i="117"/>
  <c r="AX188" i="117" s="1"/>
  <c r="AX205" i="117" s="1"/>
  <c r="DI25" i="117"/>
  <c r="BE53" i="117"/>
  <c r="BT342" i="115"/>
  <c r="BR307" i="115"/>
  <c r="BR311" i="115" s="1"/>
  <c r="AX238" i="117"/>
  <c r="BB69" i="117"/>
  <c r="CJ867" i="115"/>
  <c r="CJ868" i="115" s="1"/>
  <c r="CN696" i="115"/>
  <c r="CL865" i="115"/>
  <c r="BF128" i="117"/>
  <c r="CL866" i="115"/>
  <c r="CK867" i="115"/>
  <c r="CK868" i="115" s="1"/>
  <c r="CJ740" i="115"/>
  <c r="CJ744" i="115" s="1"/>
  <c r="CN746" i="115" s="1"/>
  <c r="X127" i="123"/>
  <c r="BH365" i="115"/>
  <c r="BU442" i="115"/>
  <c r="CK926" i="115"/>
  <c r="BT1445" i="115"/>
  <c r="BI344" i="115"/>
  <c r="AX129" i="117"/>
  <c r="CI142" i="115"/>
  <c r="AV61" i="117"/>
  <c r="DO69" i="117"/>
  <c r="CD744" i="115"/>
  <c r="AB7" i="111"/>
  <c r="AB27" i="111" s="1"/>
  <c r="CH1463" i="115"/>
  <c r="CH1444" i="115" s="1"/>
  <c r="AB17" i="111" s="1"/>
  <c r="CD1084" i="115"/>
  <c r="BB51" i="117"/>
  <c r="CH728" i="115"/>
  <c r="CH736" i="115" s="1"/>
  <c r="BT341" i="115"/>
  <c r="CM149" i="115"/>
  <c r="CL255" i="115"/>
  <c r="CL262" i="115" s="1"/>
  <c r="BJ258" i="115"/>
  <c r="CD1094" i="115"/>
  <c r="BJ1326" i="115"/>
  <c r="BJ1328" i="115" s="1"/>
  <c r="BZ25" i="115"/>
  <c r="AT15" i="117" s="1"/>
  <c r="DE14" i="117"/>
  <c r="BW1416" i="115"/>
  <c r="BN174" i="117"/>
  <c r="BR1485" i="115"/>
  <c r="AB36" i="111"/>
  <c r="AB29" i="111" s="1"/>
  <c r="CJ344" i="115"/>
  <c r="CC581" i="115"/>
  <c r="CC317" i="115"/>
  <c r="AX54" i="117"/>
  <c r="DW49" i="117" s="1"/>
  <c r="CL595" i="115"/>
  <c r="CL655" i="115" s="1"/>
  <c r="AF82" i="117"/>
  <c r="CL999" i="115"/>
  <c r="CL1000" i="115" s="1"/>
  <c r="AW137" i="117"/>
  <c r="BV1423" i="115"/>
  <c r="CF1005" i="115"/>
  <c r="BZ970" i="115"/>
  <c r="BZ971" i="115" s="1"/>
  <c r="BL409" i="115"/>
  <c r="BL413" i="115" s="1"/>
  <c r="BJ267" i="115"/>
  <c r="BJ270" i="115" s="1"/>
  <c r="DC73" i="117" s="1"/>
  <c r="CJ1521" i="115"/>
  <c r="CB844" i="115"/>
  <c r="BP342" i="115"/>
  <c r="BI169" i="115"/>
  <c r="CG1458" i="115"/>
  <c r="BI55" i="115"/>
  <c r="BT317" i="115"/>
  <c r="CG1281" i="115"/>
  <c r="CG1288" i="115" s="1"/>
  <c r="CF144" i="115"/>
  <c r="CF317" i="115"/>
  <c r="BL1116" i="115"/>
  <c r="BL1119" i="115" s="1"/>
  <c r="X47" i="111"/>
  <c r="BR1517" i="115"/>
  <c r="BR1519" i="115" s="1"/>
  <c r="BR1300" i="115"/>
  <c r="BZ1133" i="115"/>
  <c r="BU146" i="115"/>
  <c r="BX53" i="115"/>
  <c r="BB190" i="117"/>
  <c r="CH576" i="115"/>
  <c r="BB134" i="117" s="1"/>
  <c r="BB101" i="117" s="1"/>
  <c r="BE122" i="115"/>
  <c r="BL344" i="115"/>
  <c r="BH20" i="115"/>
  <c r="CF1331" i="115"/>
  <c r="CH1331" i="115" s="1"/>
  <c r="DK72" i="117"/>
  <c r="AG59" i="117"/>
  <c r="AG85" i="117" s="1"/>
  <c r="CK315" i="115"/>
  <c r="BW1351" i="115"/>
  <c r="BN1517" i="115"/>
  <c r="BN1519" i="115" s="1"/>
  <c r="BN1521" i="115" s="1"/>
  <c r="CD576" i="115"/>
  <c r="AX134" i="117" s="1"/>
  <c r="AX101" i="117" s="1"/>
  <c r="CG144" i="115"/>
  <c r="DA49" i="117"/>
  <c r="CA1422" i="115"/>
  <c r="X17" i="117"/>
  <c r="CG317" i="115"/>
  <c r="CL308" i="115"/>
  <c r="BI146" i="115"/>
  <c r="BN134" i="117"/>
  <c r="BU759" i="115"/>
  <c r="BL141" i="115"/>
  <c r="BL145" i="115" s="1"/>
  <c r="BQ317" i="115"/>
  <c r="CJ736" i="115"/>
  <c r="CF344" i="115"/>
  <c r="AP69" i="117"/>
  <c r="X96" i="111"/>
  <c r="P133" i="123"/>
  <c r="P80" i="123"/>
  <c r="BU957" i="115"/>
  <c r="CK917" i="115"/>
  <c r="CC341" i="115"/>
  <c r="BT340" i="115"/>
  <c r="BL811" i="115"/>
  <c r="BN807" i="115"/>
  <c r="BN811" i="115" s="1"/>
  <c r="AK18" i="117"/>
  <c r="CC169" i="115"/>
  <c r="BP317" i="115"/>
  <c r="CD686" i="115"/>
  <c r="BQ1332" i="115"/>
  <c r="CK930" i="115"/>
  <c r="CK938" i="115" s="1"/>
  <c r="CK939" i="115" s="1"/>
  <c r="BU340" i="115"/>
  <c r="CC314" i="115"/>
  <c r="V96" i="111"/>
  <c r="BM480" i="115"/>
  <c r="BU55" i="115"/>
  <c r="CF314" i="115"/>
  <c r="BQ1336" i="115"/>
  <c r="BY169" i="115"/>
  <c r="BM318" i="115"/>
  <c r="DS72" i="117"/>
  <c r="BL354" i="115"/>
  <c r="CG354" i="115"/>
  <c r="DG66" i="117"/>
  <c r="CH1300" i="115"/>
  <c r="BM484" i="115"/>
  <c r="BQ55" i="115"/>
  <c r="BR25" i="115"/>
  <c r="AL15" i="117" s="1"/>
  <c r="AB148" i="111"/>
  <c r="AC148" i="111" s="1"/>
  <c r="CG451" i="115"/>
  <c r="CA236" i="115"/>
  <c r="CH267" i="115"/>
  <c r="CH270" i="115" s="1"/>
  <c r="EA73" i="117" s="1"/>
  <c r="BR1133" i="115"/>
  <c r="BI812" i="115"/>
  <c r="CC344" i="115"/>
  <c r="BT55" i="115"/>
  <c r="CB169" i="115"/>
  <c r="BM485" i="115"/>
  <c r="AD13" i="117"/>
  <c r="AD14" i="117" s="1"/>
  <c r="BW1418" i="115"/>
  <c r="CF146" i="115"/>
  <c r="BT671" i="115"/>
  <c r="BM359" i="115"/>
  <c r="BR1094" i="115"/>
  <c r="BQ340" i="115"/>
  <c r="BQ169" i="115"/>
  <c r="AN18" i="117"/>
  <c r="AN146" i="117" s="1"/>
  <c r="AN154" i="117" s="1"/>
  <c r="BM646" i="115"/>
  <c r="BJ12" i="117"/>
  <c r="BJ221" i="117" s="1"/>
  <c r="BJ230" i="117" s="1"/>
  <c r="BT1350" i="115"/>
  <c r="BT1352" i="115" s="1"/>
  <c r="L84" i="123"/>
  <c r="BP480" i="115"/>
  <c r="DG15" i="117"/>
  <c r="DG18" i="117" s="1"/>
  <c r="CB50" i="115"/>
  <c r="BN1089" i="115"/>
  <c r="BZ472" i="115"/>
  <c r="Z47" i="111" s="1"/>
  <c r="BN284" i="115"/>
  <c r="CM151" i="115"/>
  <c r="CD31" i="115"/>
  <c r="CC442" i="115"/>
  <c r="BI952" i="115"/>
  <c r="BI951" i="115" s="1"/>
  <c r="AH13" i="117"/>
  <c r="AH14" i="117" s="1"/>
  <c r="T110" i="123"/>
  <c r="CC655" i="115"/>
  <c r="CH734" i="115"/>
  <c r="CC545" i="115"/>
  <c r="CC547" i="115" s="1"/>
  <c r="CN162" i="115"/>
  <c r="AV134" i="117"/>
  <c r="AV101" i="117" s="1"/>
  <c r="BQ499" i="115"/>
  <c r="BQ344" i="115"/>
  <c r="T56" i="123"/>
  <c r="T57" i="123" s="1"/>
  <c r="CC452" i="115"/>
  <c r="DO72" i="117"/>
  <c r="AL84" i="117"/>
  <c r="CJ381" i="115"/>
  <c r="BZ789" i="115"/>
  <c r="BZ793" i="115" s="1"/>
  <c r="BL146" i="115"/>
  <c r="CB344" i="115"/>
  <c r="BF141" i="115"/>
  <c r="CH925" i="115"/>
  <c r="CI110" i="115"/>
  <c r="BY146" i="115"/>
  <c r="BZ1089" i="115"/>
  <c r="CH31" i="115"/>
  <c r="AP84" i="117"/>
  <c r="BT1336" i="115"/>
  <c r="BT344" i="115"/>
  <c r="CC1565" i="115"/>
  <c r="AC7" i="111"/>
  <c r="AC27" i="111" s="1"/>
  <c r="CI151" i="115"/>
  <c r="BB94" i="117"/>
  <c r="BB80" i="117" s="1"/>
  <c r="BI844" i="115"/>
  <c r="BD26" i="115"/>
  <c r="BY119" i="115"/>
  <c r="CG119" i="115"/>
  <c r="CB25" i="115"/>
  <c r="CB53" i="115" s="1"/>
  <c r="BA94" i="117"/>
  <c r="BA80" i="117" s="1"/>
  <c r="BQ315" i="115"/>
  <c r="BY344" i="115"/>
  <c r="BP491" i="115"/>
  <c r="BP493" i="115" s="1"/>
  <c r="CD925" i="115"/>
  <c r="CD922" i="115" s="1"/>
  <c r="CD931" i="115" s="1"/>
  <c r="CE1416" i="115"/>
  <c r="BX1084" i="115"/>
  <c r="BZ1084" i="115" s="1"/>
  <c r="AV18" i="117"/>
  <c r="BR1565" i="115"/>
  <c r="BM343" i="115"/>
  <c r="CG452" i="115"/>
  <c r="CF315" i="115"/>
  <c r="BR1341" i="115"/>
  <c r="BR1343" i="115" s="1"/>
  <c r="BX1559" i="115"/>
  <c r="CJ343" i="115"/>
  <c r="BE162" i="115"/>
  <c r="CG1005" i="115"/>
  <c r="CG1007" i="115" s="1"/>
  <c r="CG1008" i="115" s="1"/>
  <c r="BU452" i="115"/>
  <c r="BM341" i="115"/>
  <c r="CD1089" i="115"/>
  <c r="BX1423" i="115"/>
  <c r="CD734" i="115"/>
  <c r="CG343" i="115"/>
  <c r="AX190" i="117"/>
  <c r="BU451" i="115"/>
  <c r="BP314" i="115"/>
  <c r="CG919" i="115"/>
  <c r="CD1463" i="115"/>
  <c r="CD1469" i="115" s="1"/>
  <c r="V98" i="111"/>
  <c r="BD137" i="117"/>
  <c r="BD138" i="117" s="1"/>
  <c r="CL789" i="115"/>
  <c r="CL793" i="115" s="1"/>
  <c r="BZ1106" i="115"/>
  <c r="BZ1107" i="115" s="1"/>
  <c r="BT314" i="115"/>
  <c r="CC1281" i="115"/>
  <c r="BT1517" i="115"/>
  <c r="BT1519" i="115" s="1"/>
  <c r="BT1521" i="115" s="1"/>
  <c r="CY664" i="115"/>
  <c r="CH1456" i="115"/>
  <c r="CE1418" i="115"/>
  <c r="CG453" i="115"/>
  <c r="BR372" i="115"/>
  <c r="BQ442" i="115"/>
  <c r="CG372" i="115"/>
  <c r="BZ12" i="115"/>
  <c r="BM39" i="117"/>
  <c r="BQ844" i="115"/>
  <c r="CG340" i="115"/>
  <c r="CB1204" i="115"/>
  <c r="CB1205" i="115" s="1"/>
  <c r="BY1521" i="115"/>
  <c r="CJ581" i="115"/>
  <c r="CM1351" i="115"/>
  <c r="CK520" i="115"/>
  <c r="W17" i="123"/>
  <c r="AI17" i="123"/>
  <c r="AG82" i="117"/>
  <c r="BL1281" i="115"/>
  <c r="BL1288" i="115" s="1"/>
  <c r="CC1517" i="115"/>
  <c r="CC1519" i="115" s="1"/>
  <c r="CC1521" i="115" s="1"/>
  <c r="BU453" i="115"/>
  <c r="CI149" i="115"/>
  <c r="BM314" i="115"/>
  <c r="AA7" i="111"/>
  <c r="BQ452" i="115"/>
  <c r="AZ15" i="117"/>
  <c r="AZ223" i="117" s="1"/>
  <c r="W96" i="111"/>
  <c r="CL965" i="115"/>
  <c r="AD79" i="117"/>
  <c r="CD1068" i="115"/>
  <c r="AA83" i="111" s="1"/>
  <c r="AA96" i="111"/>
  <c r="CB581" i="115"/>
  <c r="BU655" i="115"/>
  <c r="BT26" i="115"/>
  <c r="BQ373" i="115"/>
  <c r="BP668" i="115"/>
  <c r="CG353" i="115"/>
  <c r="CC315" i="115"/>
  <c r="BR595" i="115"/>
  <c r="BQ269" i="115"/>
  <c r="CD789" i="115"/>
  <c r="AA17" i="123"/>
  <c r="BU354" i="115"/>
  <c r="AX51" i="117"/>
  <c r="P4" i="123"/>
  <c r="P49" i="123" s="1"/>
  <c r="BU372" i="115"/>
  <c r="BQ353" i="115"/>
  <c r="BQ453" i="115"/>
  <c r="BQ354" i="115"/>
  <c r="CA1416" i="115"/>
  <c r="BR757" i="115"/>
  <c r="CM132" i="115"/>
  <c r="BT759" i="115"/>
  <c r="BN351" i="115"/>
  <c r="BX141" i="115"/>
  <c r="BX145" i="115" s="1"/>
  <c r="D137" i="123"/>
  <c r="D108" i="123"/>
  <c r="P74" i="123"/>
  <c r="P97" i="123" s="1"/>
  <c r="X78" i="123"/>
  <c r="CU664" i="115"/>
  <c r="CN53" i="115"/>
  <c r="BD15" i="117"/>
  <c r="BD16" i="117" s="1"/>
  <c r="CF952" i="115"/>
  <c r="CF867" i="115"/>
  <c r="CF868" i="115" s="1"/>
  <c r="CG917" i="115"/>
  <c r="CJ844" i="115"/>
  <c r="CJ952" i="115"/>
  <c r="CG546" i="115"/>
  <c r="BA149" i="117"/>
  <c r="CK844" i="115"/>
  <c r="CK952" i="115"/>
  <c r="CK907" i="115"/>
  <c r="CK878" i="115"/>
  <c r="CK879" i="115" s="1"/>
  <c r="CK944" i="115" s="1"/>
  <c r="BX343" i="115"/>
  <c r="BP344" i="115"/>
  <c r="AK82" i="117"/>
  <c r="D131" i="123"/>
  <c r="P109" i="123"/>
  <c r="P110" i="123" s="1"/>
  <c r="BM315" i="115"/>
  <c r="DF49" i="117"/>
  <c r="BN19" i="115"/>
  <c r="BN666" i="115" s="1"/>
  <c r="BP315" i="115"/>
  <c r="BX360" i="115"/>
  <c r="BL316" i="115"/>
  <c r="BF190" i="117"/>
  <c r="CH843" i="115"/>
  <c r="CH844" i="115" s="1"/>
  <c r="CC342" i="115"/>
  <c r="BQ144" i="115"/>
  <c r="CD372" i="115"/>
  <c r="CC354" i="115"/>
  <c r="BT162" i="115"/>
  <c r="BI138" i="117"/>
  <c r="BZ1463" i="115"/>
  <c r="BZ1469" i="115" s="1"/>
  <c r="CF360" i="115"/>
  <c r="BL442" i="115"/>
  <c r="BL388" i="115"/>
  <c r="CE149" i="115"/>
  <c r="CC373" i="115"/>
  <c r="CC453" i="115"/>
  <c r="BQ162" i="115"/>
  <c r="BL360" i="115"/>
  <c r="BL451" i="115"/>
  <c r="BY957" i="115"/>
  <c r="BL373" i="115"/>
  <c r="BQ1478" i="115"/>
  <c r="BQ1479" i="115" s="1"/>
  <c r="CM662" i="115"/>
  <c r="BL453" i="115"/>
  <c r="L4" i="123"/>
  <c r="L49" i="123" s="1"/>
  <c r="BL452" i="115"/>
  <c r="BY315" i="115"/>
  <c r="CJ1478" i="115"/>
  <c r="CJ1479" i="115" s="1"/>
  <c r="CC353" i="115"/>
  <c r="AT51" i="117"/>
  <c r="CJ502" i="115"/>
  <c r="BL353" i="115"/>
  <c r="CL1347" i="115"/>
  <c r="CG924" i="115"/>
  <c r="CG874" i="115" s="1"/>
  <c r="BU728" i="115"/>
  <c r="BY736" i="115" s="1"/>
  <c r="BV19" i="115"/>
  <c r="BT122" i="115"/>
  <c r="BA76" i="117"/>
  <c r="AW53" i="117"/>
  <c r="AW52" i="117" s="1"/>
  <c r="CC364" i="115"/>
  <c r="CF318" i="115"/>
  <c r="CM841" i="115"/>
  <c r="CC491" i="115"/>
  <c r="CF492" i="115" s="1"/>
  <c r="CC275" i="115"/>
  <c r="DV67" i="117" s="1"/>
  <c r="CC1478" i="115"/>
  <c r="CC1479" i="115" s="1"/>
  <c r="BT318" i="115"/>
  <c r="BU745" i="115"/>
  <c r="BQ318" i="115"/>
  <c r="CH1348" i="115"/>
  <c r="BV830" i="115"/>
  <c r="BT144" i="115"/>
  <c r="CF745" i="115"/>
  <c r="CD543" i="115"/>
  <c r="CE1436" i="115"/>
  <c r="BB79" i="117"/>
  <c r="BU1129" i="115"/>
  <c r="CC274" i="115"/>
  <c r="DV71" i="117" s="1"/>
  <c r="BE229" i="115"/>
  <c r="CC223" i="115"/>
  <c r="DV62" i="117" s="1"/>
  <c r="BZ892" i="115"/>
  <c r="AK27" i="117"/>
  <c r="BU1281" i="115"/>
  <c r="BU381" i="115"/>
  <c r="BW23" i="115"/>
  <c r="CD1114" i="115"/>
  <c r="CD1116" i="115" s="1"/>
  <c r="CA18" i="115"/>
  <c r="CG1350" i="115"/>
  <c r="CG1352" i="115" s="1"/>
  <c r="BR734" i="115"/>
  <c r="BU343" i="115"/>
  <c r="CK162" i="115"/>
  <c r="CK1478" i="115"/>
  <c r="CK1445" i="115" s="1"/>
  <c r="CC1481" i="115"/>
  <c r="CC1483" i="115" s="1"/>
  <c r="DV42" i="117" s="1"/>
  <c r="CL154" i="115"/>
  <c r="CL156" i="115" s="1"/>
  <c r="CL158" i="115" s="1"/>
  <c r="CJ1116" i="115"/>
  <c r="CD1046" i="115"/>
  <c r="CG1116" i="115"/>
  <c r="CG1118" i="115"/>
  <c r="BR40" i="115"/>
  <c r="AL27" i="117" s="1"/>
  <c r="AS76" i="117"/>
  <c r="BT1116" i="115"/>
  <c r="CC224" i="115"/>
  <c r="CF228" i="115" s="1"/>
  <c r="AD51" i="117"/>
  <c r="AD76" i="117" s="1"/>
  <c r="BN830" i="115"/>
  <c r="BN832" i="115" s="1"/>
  <c r="CC316" i="115"/>
  <c r="AA41" i="111"/>
  <c r="AA91" i="111" s="1"/>
  <c r="BY1559" i="115"/>
  <c r="BX1479" i="115"/>
  <c r="AO27" i="117"/>
  <c r="W41" i="111"/>
  <c r="W91" i="111" s="1"/>
  <c r="AH54" i="117"/>
  <c r="BN1114" i="115"/>
  <c r="BN1116" i="115" s="1"/>
  <c r="BN1046" i="115"/>
  <c r="BI1479" i="115"/>
  <c r="CK502" i="115"/>
  <c r="AG27" i="117"/>
  <c r="CF166" i="115"/>
  <c r="CC225" i="115"/>
  <c r="BU1517" i="115"/>
  <c r="BU1519" i="115" s="1"/>
  <c r="CI841" i="115"/>
  <c r="BW88" i="115"/>
  <c r="Z41" i="111"/>
  <c r="Z91" i="111" s="1"/>
  <c r="BZ1114" i="115"/>
  <c r="BZ1116" i="115" s="1"/>
  <c r="BU1118" i="115"/>
  <c r="BU1116" i="115"/>
  <c r="BP318" i="115"/>
  <c r="CD335" i="115"/>
  <c r="BQ138" i="117"/>
  <c r="BT745" i="115"/>
  <c r="BA53" i="117"/>
  <c r="CG166" i="115"/>
  <c r="AH69" i="117"/>
  <c r="BN1463" i="115"/>
  <c r="BN1469" i="115" s="1"/>
  <c r="CG973" i="115"/>
  <c r="CG980" i="115" s="1"/>
  <c r="CG981" i="115" s="1"/>
  <c r="CG491" i="115"/>
  <c r="CG492" i="115" s="1"/>
  <c r="AP64" i="117"/>
  <c r="AL51" i="117"/>
  <c r="BJ309" i="115"/>
  <c r="BJ311" i="115" s="1"/>
  <c r="CG364" i="115"/>
  <c r="BY353" i="115"/>
  <c r="BM740" i="115"/>
  <c r="BM744" i="115" s="1"/>
  <c r="BM745" i="115" s="1"/>
  <c r="BJ194" i="117"/>
  <c r="BJ104" i="117" s="1"/>
  <c r="BD192" i="117"/>
  <c r="BD102" i="117" s="1"/>
  <c r="BP973" i="115"/>
  <c r="BP980" i="115" s="1"/>
  <c r="BP981" i="115" s="1"/>
  <c r="CG224" i="115"/>
  <c r="CG228" i="115" s="1"/>
  <c r="CG223" i="115"/>
  <c r="CG227" i="115" s="1"/>
  <c r="DS15" i="117"/>
  <c r="DS18" i="117" s="1"/>
  <c r="CC745" i="115"/>
  <c r="AV216" i="117"/>
  <c r="AJ53" i="117"/>
  <c r="AX63" i="117"/>
  <c r="BI316" i="115"/>
  <c r="BP223" i="115"/>
  <c r="DI62" i="117" s="1"/>
  <c r="AG80" i="117"/>
  <c r="CL118" i="115"/>
  <c r="AW216" i="117"/>
  <c r="CL352" i="115"/>
  <c r="CL451" i="115" s="1"/>
  <c r="BV269" i="115"/>
  <c r="BR1089" i="115"/>
  <c r="CN49" i="115"/>
  <c r="BP965" i="115"/>
  <c r="BP967" i="115" s="1"/>
  <c r="BP968" i="115" s="1"/>
  <c r="BN1341" i="115"/>
  <c r="BN1343" i="115" s="1"/>
  <c r="CC1306" i="115"/>
  <c r="BQ141" i="115"/>
  <c r="BH1481" i="115"/>
  <c r="BH1482" i="115" s="1"/>
  <c r="CG20" i="115"/>
  <c r="CG26" i="115" s="1"/>
  <c r="BV1558" i="115"/>
  <c r="BV1559" i="115" s="1"/>
  <c r="CJ53" i="115"/>
  <c r="CM88" i="115"/>
  <c r="CH24" i="115"/>
  <c r="CH25" i="115" s="1"/>
  <c r="CJ49" i="115"/>
  <c r="CF792" i="115"/>
  <c r="CF793" i="115" s="1"/>
  <c r="CG799" i="115" s="1"/>
  <c r="CG666" i="115"/>
  <c r="CG672" i="115" s="1"/>
  <c r="DC72" i="117"/>
  <c r="BZ269" i="115"/>
  <c r="BU162" i="115"/>
  <c r="BA61" i="117"/>
  <c r="CG907" i="115"/>
  <c r="BQ695" i="115"/>
  <c r="BN334" i="115"/>
  <c r="CB275" i="115"/>
  <c r="DU67" i="117" s="1"/>
  <c r="AX194" i="117"/>
  <c r="AW194" i="117" s="1"/>
  <c r="AW104" i="117" s="1"/>
  <c r="BU316" i="115"/>
  <c r="BY162" i="115"/>
  <c r="CB223" i="115"/>
  <c r="DU62" i="117" s="1"/>
  <c r="AD69" i="117"/>
  <c r="BY273" i="115"/>
  <c r="CJ318" i="115"/>
  <c r="Z16" i="111"/>
  <c r="X7" i="111"/>
  <c r="AL63" i="117"/>
  <c r="BY1478" i="115"/>
  <c r="BY1479" i="115" s="1"/>
  <c r="CB224" i="115"/>
  <c r="CN314" i="115"/>
  <c r="D4" i="123"/>
  <c r="D102" i="123" s="1"/>
  <c r="BL671" i="115"/>
  <c r="BB148" i="117"/>
  <c r="CB973" i="115"/>
  <c r="CB980" i="115" s="1"/>
  <c r="CJ452" i="115"/>
  <c r="BR1463" i="115"/>
  <c r="BM671" i="115"/>
  <c r="BY318" i="115"/>
  <c r="BP340" i="115"/>
  <c r="BV790" i="115"/>
  <c r="BV793" i="115" s="1"/>
  <c r="CF342" i="115"/>
  <c r="CK314" i="115"/>
  <c r="CB491" i="115"/>
  <c r="CB274" i="115"/>
  <c r="DU71" i="117" s="1"/>
  <c r="BY274" i="115"/>
  <c r="DR71" i="117" s="1"/>
  <c r="CB316" i="115"/>
  <c r="Y17" i="117"/>
  <c r="CB162" i="115"/>
  <c r="AW61" i="117"/>
  <c r="EA15" i="117"/>
  <c r="EA18" i="117" s="1"/>
  <c r="BE124" i="115"/>
  <c r="CB1129" i="115"/>
  <c r="BN333" i="115"/>
  <c r="DK66" i="117"/>
  <c r="BM340" i="115"/>
  <c r="CC736" i="115"/>
  <c r="BZ1036" i="115"/>
  <c r="BR258" i="115"/>
  <c r="CD602" i="115"/>
  <c r="CD614" i="115" s="1"/>
  <c r="BT316" i="115"/>
  <c r="BV1255" i="115"/>
  <c r="CB314" i="115"/>
  <c r="CF1116" i="115"/>
  <c r="CF1119" i="115" s="1"/>
  <c r="BR970" i="115"/>
  <c r="BR971" i="115" s="1"/>
  <c r="BE61" i="117"/>
  <c r="BJ1397" i="115"/>
  <c r="BQ1064" i="115"/>
  <c r="BQ1204" i="115" s="1"/>
  <c r="BQ1205" i="115" s="1"/>
  <c r="BM1517" i="115"/>
  <c r="BM1519" i="115" s="1"/>
  <c r="BM1521" i="115" s="1"/>
  <c r="Y16" i="111"/>
  <c r="BL162" i="115"/>
  <c r="BP442" i="115"/>
  <c r="CL1133" i="115"/>
  <c r="BM1398" i="115"/>
  <c r="BN1398" i="115" s="1"/>
  <c r="BM317" i="115"/>
  <c r="Y67" i="111"/>
  <c r="CB264" i="115"/>
  <c r="BZ595" i="115"/>
  <c r="BJ1107" i="115"/>
  <c r="BJ1109" i="115" s="1"/>
  <c r="BV1084" i="115"/>
  <c r="CH150" i="115"/>
  <c r="CH502" i="115" s="1"/>
  <c r="CH503" i="115" s="1"/>
  <c r="BU797" i="115"/>
  <c r="W10" i="111"/>
  <c r="BT797" i="115"/>
  <c r="BX341" i="115"/>
  <c r="BI360" i="115"/>
  <c r="BV1133" i="115"/>
  <c r="CA1351" i="115"/>
  <c r="CH1094" i="115"/>
  <c r="BJ1089" i="115"/>
  <c r="CC1118" i="115"/>
  <c r="CC1116" i="115"/>
  <c r="BH453" i="115"/>
  <c r="BP451" i="115"/>
  <c r="CL543" i="115"/>
  <c r="CL905" i="115"/>
  <c r="CQ905" i="115" s="1"/>
  <c r="DG72" i="117"/>
  <c r="CA88" i="115"/>
  <c r="BL1478" i="115"/>
  <c r="BL1479" i="115" s="1"/>
  <c r="CH19" i="115"/>
  <c r="CF451" i="115"/>
  <c r="BA218" i="117"/>
  <c r="BA227" i="117" s="1"/>
  <c r="BM162" i="115"/>
  <c r="CJ453" i="115"/>
  <c r="CF442" i="115"/>
  <c r="CD352" i="115"/>
  <c r="CD452" i="115" s="1"/>
  <c r="CJ545" i="115"/>
  <c r="CL545" i="115" s="1"/>
  <c r="BY452" i="115"/>
  <c r="Z36" i="111"/>
  <c r="Z29" i="111" s="1"/>
  <c r="BS149" i="115"/>
  <c r="BQ225" i="115"/>
  <c r="BQ223" i="115"/>
  <c r="DJ62" i="117" s="1"/>
  <c r="BY844" i="115"/>
  <c r="BX956" i="115"/>
  <c r="CF581" i="115"/>
  <c r="CL1084" i="115"/>
  <c r="BY372" i="115"/>
  <c r="BX734" i="115"/>
  <c r="BD141" i="115"/>
  <c r="CF1350" i="115"/>
  <c r="CF1352" i="115" s="1"/>
  <c r="CB745" i="115"/>
  <c r="BN267" i="115"/>
  <c r="BN270" i="115" s="1"/>
  <c r="DG73" i="117" s="1"/>
  <c r="BM270" i="115"/>
  <c r="DF73" i="117" s="1"/>
  <c r="BN757" i="115"/>
  <c r="BQ273" i="115"/>
  <c r="BU793" i="115"/>
  <c r="BU799" i="115" s="1"/>
  <c r="BY342" i="115"/>
  <c r="BM316" i="115"/>
  <c r="BM1478" i="115"/>
  <c r="BM1479" i="115" s="1"/>
  <c r="CJ442" i="115"/>
  <c r="CJ1005" i="115"/>
  <c r="BU734" i="115"/>
  <c r="CF353" i="115"/>
  <c r="BP1479" i="115"/>
  <c r="BZ952" i="115"/>
  <c r="CG711" i="115"/>
  <c r="CK967" i="115"/>
  <c r="CK968" i="115" s="1"/>
  <c r="BY1005" i="115"/>
  <c r="BZ1490" i="115"/>
  <c r="CA1407" i="115"/>
  <c r="BI916" i="115"/>
  <c r="CH665" i="115"/>
  <c r="CH268" i="115"/>
  <c r="BT725" i="115"/>
  <c r="BT735" i="115" s="1"/>
  <c r="BV757" i="115"/>
  <c r="CN926" i="115"/>
  <c r="CK924" i="115"/>
  <c r="BT1094" i="115"/>
  <c r="BV1094" i="115" s="1"/>
  <c r="AK15" i="117"/>
  <c r="CB699" i="115"/>
  <c r="BX1609" i="115"/>
  <c r="BQ758" i="115"/>
  <c r="BQ1481" i="115"/>
  <c r="BQ1483" i="115" s="1"/>
  <c r="DJ42" i="117" s="1"/>
  <c r="BY956" i="115"/>
  <c r="P57" i="123"/>
  <c r="CF453" i="115"/>
  <c r="CL334" i="115"/>
  <c r="CQ334" i="115" s="1"/>
  <c r="BP316" i="115"/>
  <c r="DN25" i="117"/>
  <c r="DB7" i="117"/>
  <c r="BV352" i="115"/>
  <c r="BV353" i="115" s="1"/>
  <c r="CJ360" i="115"/>
  <c r="CJ354" i="115"/>
  <c r="BD55" i="117" s="1"/>
  <c r="BP162" i="115"/>
  <c r="CB736" i="115"/>
  <c r="BY451" i="115"/>
  <c r="BH1281" i="115"/>
  <c r="BH1288" i="115" s="1"/>
  <c r="BH1301" i="115" s="1"/>
  <c r="CB965" i="115"/>
  <c r="CB967" i="115" s="1"/>
  <c r="CB968" i="115" s="1"/>
  <c r="CJ55" i="115"/>
  <c r="BV1343" i="115"/>
  <c r="BM1118" i="115"/>
  <c r="BM1116" i="115"/>
  <c r="AG61" i="117"/>
  <c r="BL315" i="115"/>
  <c r="AZ138" i="117"/>
  <c r="BM1483" i="115"/>
  <c r="DF42" i="117" s="1"/>
  <c r="CG360" i="115"/>
  <c r="CF746" i="115"/>
  <c r="CJ372" i="115"/>
  <c r="CD892" i="115"/>
  <c r="CF372" i="115"/>
  <c r="BJ141" i="115"/>
  <c r="BF216" i="117"/>
  <c r="CL1255" i="115"/>
  <c r="BY354" i="115"/>
  <c r="AS55" i="117" s="1"/>
  <c r="BZ514" i="115"/>
  <c r="DS40" i="117"/>
  <c r="CB957" i="115"/>
  <c r="CF452" i="115"/>
  <c r="BJ841" i="115"/>
  <c r="BJ844" i="115" s="1"/>
  <c r="BT1064" i="115"/>
  <c r="BT758" i="115"/>
  <c r="BT734" i="115"/>
  <c r="BQ146" i="115"/>
  <c r="BT119" i="115"/>
  <c r="BY141" i="115"/>
  <c r="BV489" i="115"/>
  <c r="BV488" i="115"/>
  <c r="BT1482" i="115"/>
  <c r="AH51" i="117"/>
  <c r="CJ353" i="115"/>
  <c r="AG76" i="117"/>
  <c r="BY453" i="115"/>
  <c r="BZ1530" i="115"/>
  <c r="BQ671" i="115"/>
  <c r="CB956" i="115"/>
  <c r="BB13" i="117"/>
  <c r="BB14" i="117" s="1"/>
  <c r="AV82" i="117"/>
  <c r="BQ759" i="115"/>
  <c r="BZ843" i="115"/>
  <c r="BZ844" i="115" s="1"/>
  <c r="CJ671" i="115"/>
  <c r="BU758" i="115"/>
  <c r="BJ1343" i="115"/>
  <c r="BY1134" i="115"/>
  <c r="BT146" i="115"/>
  <c r="BM381" i="115"/>
  <c r="BM1281" i="115"/>
  <c r="BZ547" i="115"/>
  <c r="BH251" i="115"/>
  <c r="BJ251" i="115" s="1"/>
  <c r="BJ234" i="115"/>
  <c r="BT1332" i="115"/>
  <c r="CJ124" i="115"/>
  <c r="V36" i="111"/>
  <c r="V29" i="111" s="1"/>
  <c r="BB63" i="117"/>
  <c r="CF235" i="115"/>
  <c r="BQ5" i="117"/>
  <c r="BQ270" i="115"/>
  <c r="DJ73" i="117" s="1"/>
  <c r="BQ264" i="115"/>
  <c r="BQ1423" i="115"/>
  <c r="BR1422" i="115"/>
  <c r="CK49" i="115"/>
  <c r="CK20" i="115"/>
  <c r="BI23" i="117"/>
  <c r="BI242" i="117" s="1"/>
  <c r="AB39" i="123"/>
  <c r="BN484" i="115"/>
  <c r="BN646" i="115"/>
  <c r="BN485" i="115"/>
  <c r="CK55" i="115"/>
  <c r="X109" i="123"/>
  <c r="X110" i="123" s="1"/>
  <c r="X56" i="123"/>
  <c r="X57" i="123" s="1"/>
  <c r="EM41" i="117"/>
  <c r="BQ973" i="115"/>
  <c r="BQ980" i="115" s="1"/>
  <c r="BQ275" i="115"/>
  <c r="DJ67" i="117" s="1"/>
  <c r="BQ491" i="115"/>
  <c r="BT493" i="115" s="1"/>
  <c r="BT497" i="115" s="1"/>
  <c r="AK53" i="117"/>
  <c r="BT166" i="115"/>
  <c r="BQ224" i="115"/>
  <c r="BT228" i="115" s="1"/>
  <c r="BY1480" i="115"/>
  <c r="AF61" i="117"/>
  <c r="DE7" i="117"/>
  <c r="AO82" i="117"/>
  <c r="DJ49" i="117"/>
  <c r="BQ1306" i="115"/>
  <c r="BR1305" i="115"/>
  <c r="BR1306" i="115" s="1"/>
  <c r="CD150" i="115"/>
  <c r="CI88" i="115"/>
  <c r="BH1116" i="115"/>
  <c r="BH1118" i="115"/>
  <c r="DA12" i="117" s="1"/>
  <c r="DA14" i="117" s="1"/>
  <c r="AZ175" i="117"/>
  <c r="CH543" i="115"/>
  <c r="BD82" i="117"/>
  <c r="AZ82" i="117"/>
  <c r="BH1478" i="115"/>
  <c r="BH1479" i="115" s="1"/>
  <c r="BH162" i="115"/>
  <c r="BI162" i="115"/>
  <c r="CE132" i="115"/>
  <c r="CI132" i="115"/>
  <c r="AC18" i="117"/>
  <c r="BX472" i="115"/>
  <c r="BX476" i="115"/>
  <c r="BZ1468" i="115"/>
  <c r="BQ1169" i="115"/>
  <c r="BQ1170" i="115" s="1"/>
  <c r="BQ1158" i="115"/>
  <c r="BT430" i="115"/>
  <c r="BT434" i="115" s="1"/>
  <c r="CJ1397" i="115"/>
  <c r="CJ1398" i="115"/>
  <c r="CJ1305" i="115"/>
  <c r="CJ1306" i="115" s="1"/>
  <c r="CB1478" i="115"/>
  <c r="CB1445" i="115" s="1"/>
  <c r="CC162" i="115"/>
  <c r="AT79" i="117"/>
  <c r="AP79" i="117"/>
  <c r="BM952" i="115"/>
  <c r="BM951" i="115" s="1"/>
  <c r="BM955" i="115" s="1"/>
  <c r="BM844" i="115"/>
  <c r="BX1118" i="115"/>
  <c r="BX1116" i="115"/>
  <c r="BY672" i="115"/>
  <c r="BM122" i="115"/>
  <c r="AN59" i="117"/>
  <c r="BT264" i="115"/>
  <c r="BQ12" i="117"/>
  <c r="BJ174" i="117"/>
  <c r="CG1336" i="115"/>
  <c r="CJ1331" i="115"/>
  <c r="BP5" i="117"/>
  <c r="AV53" i="117"/>
  <c r="AV52" i="117" s="1"/>
  <c r="CF655" i="115"/>
  <c r="BN40" i="115"/>
  <c r="CG736" i="115"/>
  <c r="BD18" i="117"/>
  <c r="BP122" i="115"/>
  <c r="BV595" i="115"/>
  <c r="BT655" i="115"/>
  <c r="BJ25" i="115"/>
  <c r="CD267" i="115"/>
  <c r="CC264" i="115"/>
  <c r="CC270" i="115"/>
  <c r="DV73" i="117" s="1"/>
  <c r="BA137" i="117"/>
  <c r="X30" i="111"/>
  <c r="BR1468" i="115"/>
  <c r="BZ120" i="115"/>
  <c r="AS94" i="117"/>
  <c r="AW80" i="117" s="1"/>
  <c r="BV337" i="115"/>
  <c r="CD1341" i="115"/>
  <c r="CD1343" i="115" s="1"/>
  <c r="BU344" i="115"/>
  <c r="CB364" i="115"/>
  <c r="CC166" i="115"/>
  <c r="CB1481" i="115"/>
  <c r="CB1483" i="115" s="1"/>
  <c r="DU42" i="117" s="1"/>
  <c r="BE1129" i="115"/>
  <c r="BV31" i="115"/>
  <c r="CL1519" i="115"/>
  <c r="H108" i="123"/>
  <c r="BF63" i="117"/>
  <c r="CJ799" i="115"/>
  <c r="CD1132" i="115"/>
  <c r="CD1134" i="115" s="1"/>
  <c r="BZ488" i="115"/>
  <c r="CG270" i="115"/>
  <c r="BN118" i="115"/>
  <c r="BN119" i="115" s="1"/>
  <c r="CH970" i="115"/>
  <c r="CH971" i="115" s="1"/>
  <c r="CJ1134" i="115"/>
  <c r="BZ31" i="115"/>
  <c r="BD119" i="115"/>
  <c r="BB183" i="117"/>
  <c r="CG314" i="115"/>
  <c r="CB273" i="115"/>
  <c r="CB225" i="115"/>
  <c r="CH595" i="115"/>
  <c r="CJ1484" i="115"/>
  <c r="BZ990" i="115"/>
  <c r="BL53" i="115"/>
  <c r="BN1094" i="115"/>
  <c r="BJ235" i="115"/>
  <c r="CI1300" i="115"/>
  <c r="BN1306" i="115"/>
  <c r="CB1281" i="115"/>
  <c r="CB1288" i="115" s="1"/>
  <c r="CB381" i="115"/>
  <c r="AS18" i="117"/>
  <c r="Z85" i="111"/>
  <c r="Z96" i="111" s="1"/>
  <c r="BH364" i="115"/>
  <c r="BU491" i="115"/>
  <c r="BU492" i="115" s="1"/>
  <c r="BL314" i="115"/>
  <c r="BI314" i="115"/>
  <c r="BH273" i="115"/>
  <c r="BH224" i="115"/>
  <c r="BH228" i="115" s="1"/>
  <c r="BH166" i="115"/>
  <c r="BH973" i="115"/>
  <c r="BH980" i="115" s="1"/>
  <c r="BR104" i="117"/>
  <c r="BH223" i="115"/>
  <c r="DA62" i="117" s="1"/>
  <c r="BL799" i="115"/>
  <c r="CK318" i="115"/>
  <c r="BH225" i="115"/>
  <c r="BH229" i="115" s="1"/>
  <c r="BH274" i="115"/>
  <c r="DA71" i="117" s="1"/>
  <c r="BI166" i="115"/>
  <c r="CK317" i="115"/>
  <c r="BD76" i="117"/>
  <c r="T137" i="123"/>
  <c r="L133" i="123"/>
  <c r="BS665" i="115"/>
  <c r="AN61" i="117"/>
  <c r="X74" i="123"/>
  <c r="X97" i="123" s="1"/>
  <c r="BZ686" i="115"/>
  <c r="BX793" i="115"/>
  <c r="BX554" i="115" s="1"/>
  <c r="CC360" i="115"/>
  <c r="L80" i="123"/>
  <c r="AX69" i="117"/>
  <c r="BR793" i="115"/>
  <c r="BV686" i="115"/>
  <c r="CL12" i="115"/>
  <c r="BT699" i="115"/>
  <c r="AH79" i="117"/>
  <c r="CH905" i="115"/>
  <c r="CI905" i="115" s="1"/>
  <c r="BX344" i="115"/>
  <c r="H133" i="123"/>
  <c r="AG84" i="117"/>
  <c r="CK275" i="115"/>
  <c r="CK793" i="115"/>
  <c r="CN799" i="115" s="1"/>
  <c r="BT691" i="115"/>
  <c r="AT69" i="117"/>
  <c r="BA102" i="117"/>
  <c r="AJ61" i="117"/>
  <c r="BP12" i="117"/>
  <c r="CN317" i="115"/>
  <c r="CK224" i="115"/>
  <c r="CN228" i="115" s="1"/>
  <c r="CK119" i="115"/>
  <c r="CN123" i="115" s="1"/>
  <c r="AN52" i="117"/>
  <c r="BT1444" i="115"/>
  <c r="BF134" i="117"/>
  <c r="CB451" i="115"/>
  <c r="CB372" i="115"/>
  <c r="CB442" i="115"/>
  <c r="CB1005" i="115"/>
  <c r="CK122" i="115"/>
  <c r="CB452" i="115"/>
  <c r="CW1198" i="115"/>
  <c r="CW1199" i="115" s="1"/>
  <c r="CZ1105" i="115" s="1"/>
  <c r="CB360" i="115"/>
  <c r="BP144" i="115"/>
  <c r="BX317" i="115"/>
  <c r="BU317" i="115"/>
  <c r="CA1300" i="115"/>
  <c r="CJ955" i="115"/>
  <c r="BT442" i="115"/>
  <c r="BT457" i="115"/>
  <c r="BT353" i="115"/>
  <c r="BT354" i="115"/>
  <c r="AN55" i="117" s="1"/>
  <c r="BT453" i="115"/>
  <c r="BT360" i="115"/>
  <c r="BT451" i="115"/>
  <c r="BU360" i="115"/>
  <c r="CB354" i="115"/>
  <c r="CB453" i="115"/>
  <c r="BT372" i="115"/>
  <c r="BF54" i="117"/>
  <c r="EE49" i="117" s="1"/>
  <c r="CL1046" i="115"/>
  <c r="AC41" i="111"/>
  <c r="AC91" i="111" s="1"/>
  <c r="BF242" i="117"/>
  <c r="CD916" i="115"/>
  <c r="CE916" i="115" s="1"/>
  <c r="CC919" i="115"/>
  <c r="BH1204" i="115"/>
  <c r="BH1205" i="115" s="1"/>
  <c r="CG122" i="115"/>
  <c r="CK491" i="115"/>
  <c r="CN493" i="115" s="1"/>
  <c r="BP119" i="115"/>
  <c r="CG735" i="115"/>
  <c r="BW132" i="115"/>
  <c r="CC343" i="115"/>
  <c r="BY144" i="115"/>
  <c r="DH1211" i="115"/>
  <c r="DI1211" i="115" s="1"/>
  <c r="DL1211" i="115" s="1"/>
  <c r="DM1211" i="115" s="1"/>
  <c r="DP1211" i="115" s="1"/>
  <c r="DQ1211" i="115" s="1"/>
  <c r="BJ1530" i="115"/>
  <c r="AJ94" i="117"/>
  <c r="AJ80" i="117" s="1"/>
  <c r="BX162" i="115"/>
  <c r="CK223" i="115"/>
  <c r="CN227" i="115" s="1"/>
  <c r="H74" i="123"/>
  <c r="H97" i="123" s="1"/>
  <c r="BU341" i="115"/>
  <c r="CM1418" i="115"/>
  <c r="BJ31" i="115"/>
  <c r="BR157" i="115"/>
  <c r="BQ365" i="115"/>
  <c r="BF64" i="117"/>
  <c r="AZ218" i="117"/>
  <c r="AZ227" i="117" s="1"/>
  <c r="BV150" i="115"/>
  <c r="BQ122" i="115"/>
  <c r="BZ1417" i="115"/>
  <c r="BI145" i="115"/>
  <c r="BJ514" i="115"/>
  <c r="BP124" i="115"/>
  <c r="CE841" i="115"/>
  <c r="CK274" i="115"/>
  <c r="CK225" i="115"/>
  <c r="CK1481" i="115"/>
  <c r="CF844" i="115"/>
  <c r="CN55" i="115"/>
  <c r="CJ666" i="115"/>
  <c r="CJ571" i="115" s="1"/>
  <c r="BZ150" i="115"/>
  <c r="BZ1478" i="115" s="1"/>
  <c r="BZ1445" i="115" s="1"/>
  <c r="BM49" i="115"/>
  <c r="CI120" i="115"/>
  <c r="AC32" i="111"/>
  <c r="BL1064" i="115"/>
  <c r="BV829" i="115"/>
  <c r="CE88" i="115"/>
  <c r="AN94" i="117"/>
  <c r="BY32" i="115"/>
  <c r="CD157" i="115"/>
  <c r="CD158" i="115" s="1"/>
  <c r="CC365" i="115"/>
  <c r="CF169" i="115"/>
  <c r="AJ82" i="117"/>
  <c r="AO146" i="117"/>
  <c r="AO154" i="117" s="1"/>
  <c r="BS1351" i="115"/>
  <c r="BX119" i="115"/>
  <c r="BZ154" i="115"/>
  <c r="BZ156" i="115" s="1"/>
  <c r="BZ158" i="115" s="1"/>
  <c r="BN1133" i="115"/>
  <c r="CH1599" i="115"/>
  <c r="CH1565" i="115" s="1"/>
  <c r="BV1300" i="115"/>
  <c r="CI840" i="115"/>
  <c r="DC40" i="117"/>
  <c r="CB141" i="115"/>
  <c r="BJ1463" i="115"/>
  <c r="BJ1469" i="115" s="1"/>
  <c r="CK273" i="115"/>
  <c r="CK260" i="115"/>
  <c r="CF341" i="115"/>
  <c r="BM666" i="115"/>
  <c r="BV40" i="115"/>
  <c r="CH1255" i="115"/>
  <c r="BR150" i="115"/>
  <c r="BJ963" i="115"/>
  <c r="BH965" i="115"/>
  <c r="AL69" i="117"/>
  <c r="DG7" i="117"/>
  <c r="CN166" i="115"/>
  <c r="CA132" i="115"/>
  <c r="BT1479" i="115"/>
  <c r="CB144" i="115"/>
  <c r="CK671" i="115"/>
  <c r="CK973" i="115"/>
  <c r="CK980" i="115" s="1"/>
  <c r="CN981" i="115" s="1"/>
  <c r="BS905" i="115"/>
  <c r="BJ154" i="115"/>
  <c r="BJ156" i="115" s="1"/>
  <c r="BJ158" i="115" s="1"/>
  <c r="BJ1490" i="115"/>
  <c r="CJ20" i="115"/>
  <c r="CJ26" i="115" s="1"/>
  <c r="BZ1094" i="115"/>
  <c r="BN514" i="115"/>
  <c r="BM20" i="115"/>
  <c r="BM26" i="115" s="1"/>
  <c r="BT1134" i="115"/>
  <c r="BQ1281" i="115"/>
  <c r="BQ381" i="115"/>
  <c r="CK1204" i="115"/>
  <c r="CK1205" i="115" s="1"/>
  <c r="BV1604" i="115"/>
  <c r="BT1612" i="115"/>
  <c r="BF174" i="117"/>
  <c r="CD59" i="115"/>
  <c r="L33" i="123"/>
  <c r="AT22" i="117"/>
  <c r="BZ59" i="115"/>
  <c r="BZ1557" i="115"/>
  <c r="Z56" i="111"/>
  <c r="CH1353" i="115"/>
  <c r="CC499" i="115"/>
  <c r="CK1430" i="115"/>
  <c r="CL1417" i="115"/>
  <c r="CQ1417" i="115" s="1"/>
  <c r="BM55" i="115"/>
  <c r="AG18" i="117"/>
  <c r="CF1430" i="115"/>
  <c r="CF1429" i="115" s="1"/>
  <c r="BV1485" i="115"/>
  <c r="BV1486" i="115"/>
  <c r="CL930" i="115"/>
  <c r="CK1423" i="115"/>
  <c r="CL1422" i="115"/>
  <c r="CQ1422" i="115" s="1"/>
  <c r="BL20" i="115"/>
  <c r="BL666" i="115"/>
  <c r="BL554" i="115" s="1"/>
  <c r="AH94" i="117"/>
  <c r="AH80" i="117" s="1"/>
  <c r="AF27" i="117"/>
  <c r="BH1134" i="115"/>
  <c r="AR27" i="117"/>
  <c r="CL1093" i="115"/>
  <c r="CJ1094" i="115"/>
  <c r="CL1094" i="115" s="1"/>
  <c r="AW134" i="117"/>
  <c r="AW101" i="117" s="1"/>
  <c r="AO15" i="117"/>
  <c r="AO16" i="117" s="1"/>
  <c r="BY53" i="115"/>
  <c r="BU53" i="115"/>
  <c r="BM1306" i="115"/>
  <c r="EM84" i="117"/>
  <c r="CJ655" i="115"/>
  <c r="BY1326" i="115"/>
  <c r="BY1328" i="115" s="1"/>
  <c r="BY397" i="115"/>
  <c r="BZ397" i="115" s="1"/>
  <c r="BZ1315" i="115" s="1"/>
  <c r="CK264" i="115"/>
  <c r="BN843" i="115"/>
  <c r="BN844" i="115" s="1"/>
  <c r="BL957" i="115"/>
  <c r="BW236" i="115"/>
  <c r="BA27" i="117"/>
  <c r="CO1397" i="115"/>
  <c r="CO1398" i="115"/>
  <c r="BQ1444" i="115"/>
  <c r="BH452" i="115"/>
  <c r="BY122" i="115"/>
  <c r="CK340" i="115"/>
  <c r="CL150" i="115"/>
  <c r="BX1281" i="115"/>
  <c r="BX1288" i="115" s="1"/>
  <c r="BP138" i="117"/>
  <c r="AH63" i="117"/>
  <c r="BY734" i="115"/>
  <c r="EA40" i="117"/>
  <c r="AZ18" i="117"/>
  <c r="CF55" i="115"/>
  <c r="BF25" i="115"/>
  <c r="AO94" i="117"/>
  <c r="BU124" i="115"/>
  <c r="BV120" i="115"/>
  <c r="BU119" i="115"/>
  <c r="CK655" i="115"/>
  <c r="BM365" i="115"/>
  <c r="BN157" i="115"/>
  <c r="BM169" i="115"/>
  <c r="BP169" i="115"/>
  <c r="BZ1423" i="115"/>
  <c r="BF79" i="117"/>
  <c r="BH353" i="115"/>
  <c r="BP354" i="115"/>
  <c r="AJ55" i="117" s="1"/>
  <c r="CJ696" i="115"/>
  <c r="AL13" i="117"/>
  <c r="BP343" i="115"/>
  <c r="BP453" i="115"/>
  <c r="BY314" i="115"/>
  <c r="BH442" i="115"/>
  <c r="BP372" i="115"/>
  <c r="CL267" i="115"/>
  <c r="CL270" i="115" s="1"/>
  <c r="EE73" i="117" s="1"/>
  <c r="BP452" i="115"/>
  <c r="BR1084" i="115"/>
  <c r="BH372" i="115"/>
  <c r="CJ119" i="115"/>
  <c r="CH352" i="115"/>
  <c r="CH442" i="115" s="1"/>
  <c r="BL844" i="115"/>
  <c r="CL1485" i="115"/>
  <c r="BX381" i="115"/>
  <c r="CC930" i="115"/>
  <c r="CC934" i="115" s="1"/>
  <c r="BN970" i="115"/>
  <c r="BN971" i="115" s="1"/>
  <c r="BN31" i="115"/>
  <c r="BS31" i="115" s="1"/>
  <c r="AR18" i="117"/>
  <c r="CB55" i="115"/>
  <c r="BX55" i="115"/>
  <c r="CJ122" i="115"/>
  <c r="CB1336" i="115"/>
  <c r="CC1331" i="115"/>
  <c r="CC1332" i="115" s="1"/>
  <c r="AV94" i="117"/>
  <c r="CC124" i="115"/>
  <c r="CB124" i="115"/>
  <c r="CB119" i="115"/>
  <c r="BU1336" i="115"/>
  <c r="BU1332" i="115"/>
  <c r="BX1331" i="115"/>
  <c r="BZ1331" i="115" s="1"/>
  <c r="CB122" i="115"/>
  <c r="CF499" i="115"/>
  <c r="BQ360" i="115"/>
  <c r="BE170" i="115"/>
  <c r="BT385" i="115"/>
  <c r="BN311" i="115"/>
  <c r="DC15" i="117"/>
  <c r="DC18" i="117" s="1"/>
  <c r="CK124" i="115"/>
  <c r="BT1129" i="115"/>
  <c r="CJ691" i="115"/>
  <c r="BN1530" i="115"/>
  <c r="BZ1353" i="115"/>
  <c r="CL843" i="115"/>
  <c r="CQ843" i="115" s="1"/>
  <c r="CC926" i="115"/>
  <c r="AZ61" i="117"/>
  <c r="BI315" i="115"/>
  <c r="CJ270" i="115"/>
  <c r="CJ264" i="115"/>
  <c r="AJ59" i="117"/>
  <c r="BP1517" i="115"/>
  <c r="BP1519" i="115" s="1"/>
  <c r="BW1300" i="115"/>
  <c r="BS1300" i="115"/>
  <c r="BZ267" i="115"/>
  <c r="BY270" i="115"/>
  <c r="DR73" i="117" s="1"/>
  <c r="BZ1255" i="115"/>
  <c r="Z30" i="111"/>
  <c r="BN1417" i="115"/>
  <c r="BT169" i="115"/>
  <c r="BT365" i="115"/>
  <c r="BN137" i="117"/>
  <c r="CG759" i="115"/>
  <c r="CH757" i="115"/>
  <c r="Y18" i="117"/>
  <c r="CE1300" i="115"/>
  <c r="BS1418" i="115"/>
  <c r="BP235" i="115"/>
  <c r="BP141" i="115"/>
  <c r="BH354" i="115"/>
  <c r="BD94" i="117"/>
  <c r="BR830" i="115"/>
  <c r="BR832" i="115" s="1"/>
  <c r="BX354" i="115"/>
  <c r="CD1353" i="115"/>
  <c r="BN1300" i="115"/>
  <c r="CL243" i="115"/>
  <c r="CH1490" i="115"/>
  <c r="EA43" i="117" s="1"/>
  <c r="AF18" i="117"/>
  <c r="BP55" i="115"/>
  <c r="BI484" i="115"/>
  <c r="BL480" i="115"/>
  <c r="BI646" i="115"/>
  <c r="BI485" i="115"/>
  <c r="CC1276" i="115"/>
  <c r="BV1353" i="115"/>
  <c r="Y36" i="111"/>
  <c r="BV1490" i="115"/>
  <c r="BQ27" i="117"/>
  <c r="CB235" i="115"/>
  <c r="BW110" i="115"/>
  <c r="CH40" i="115"/>
  <c r="AR76" i="117"/>
  <c r="CE842" i="115"/>
  <c r="BI318" i="115"/>
  <c r="BF191" i="117"/>
  <c r="BD61" i="117"/>
  <c r="BP671" i="115"/>
  <c r="BU1444" i="115"/>
  <c r="H113" i="123"/>
  <c r="AT64" i="117"/>
  <c r="BF238" i="117"/>
  <c r="AP83" i="117"/>
  <c r="BE138" i="117"/>
  <c r="BF186" i="117"/>
  <c r="BF188" i="117" s="1"/>
  <c r="BF205" i="117" s="1"/>
  <c r="BF164" i="117"/>
  <c r="BF166" i="117" s="1"/>
  <c r="BF118" i="117" s="1"/>
  <c r="BL318" i="115"/>
  <c r="H131" i="123"/>
  <c r="BP381" i="115"/>
  <c r="BP1281" i="115"/>
  <c r="BP1288" i="115" s="1"/>
  <c r="AZ59" i="117"/>
  <c r="AW18" i="117"/>
  <c r="BU224" i="115"/>
  <c r="BU228" i="115" s="1"/>
  <c r="M70" i="123"/>
  <c r="M73" i="123" s="1"/>
  <c r="M96" i="123" s="1"/>
  <c r="BJ595" i="115"/>
  <c r="BY364" i="115"/>
  <c r="BY360" i="115"/>
  <c r="BY225" i="115"/>
  <c r="BY1481" i="115"/>
  <c r="BY1482" i="115" s="1"/>
  <c r="CG671" i="115"/>
  <c r="BF31" i="115"/>
  <c r="AJ27" i="117"/>
  <c r="BJ1422" i="115"/>
  <c r="BI1423" i="115"/>
  <c r="CB1331" i="115"/>
  <c r="BY1336" i="115"/>
  <c r="CJ1457" i="115"/>
  <c r="CJ1456" i="115"/>
  <c r="CJ1451" i="115"/>
  <c r="W36" i="111"/>
  <c r="W29" i="111" s="1"/>
  <c r="DG40" i="117"/>
  <c r="BL699" i="115"/>
  <c r="CG740" i="115"/>
  <c r="CG744" i="115" s="1"/>
  <c r="CG745" i="115" s="1"/>
  <c r="BR1530" i="115"/>
  <c r="CL31" i="115"/>
  <c r="D11" i="123"/>
  <c r="D56" i="123" s="1"/>
  <c r="D57" i="123" s="1"/>
  <c r="BY224" i="115"/>
  <c r="CA916" i="115"/>
  <c r="CF919" i="115"/>
  <c r="BX372" i="115"/>
  <c r="BU1064" i="115"/>
  <c r="BV723" i="115"/>
  <c r="BZ732" i="115"/>
  <c r="BV732" i="115"/>
  <c r="BU270" i="115"/>
  <c r="DN73" i="117" s="1"/>
  <c r="BU264" i="115"/>
  <c r="BV267" i="115"/>
  <c r="BV270" i="115" s="1"/>
  <c r="DO73" i="117" s="1"/>
  <c r="CL25" i="115"/>
  <c r="BB174" i="117"/>
  <c r="CP1604" i="115"/>
  <c r="BP1423" i="115"/>
  <c r="BW15" i="115"/>
  <c r="CB499" i="115"/>
  <c r="CF26" i="115"/>
  <c r="BZ1341" i="115"/>
  <c r="BZ1343" i="115" s="1"/>
  <c r="BY223" i="115"/>
  <c r="DR62" i="117" s="1"/>
  <c r="BY973" i="115"/>
  <c r="BY980" i="115" s="1"/>
  <c r="BX452" i="115"/>
  <c r="BD1134" i="115"/>
  <c r="AV27" i="117"/>
  <c r="CD40" i="115"/>
  <c r="BX965" i="115"/>
  <c r="BZ963" i="115"/>
  <c r="CB1276" i="115"/>
  <c r="CD1106" i="115"/>
  <c r="CD1107" i="115" s="1"/>
  <c r="CB1202" i="115"/>
  <c r="CB1203" i="115" s="1"/>
  <c r="CF933" i="115"/>
  <c r="CC933" i="115"/>
  <c r="CD929" i="115"/>
  <c r="V30" i="111"/>
  <c r="CF1064" i="115"/>
  <c r="CD1276" i="115"/>
  <c r="DS16" i="117"/>
  <c r="BZ1604" i="115"/>
  <c r="BE15" i="117"/>
  <c r="BE65" i="117" s="1"/>
  <c r="EE50" i="117"/>
  <c r="AC86" i="111"/>
  <c r="BO1300" i="115"/>
  <c r="BL491" i="115"/>
  <c r="BM493" i="115" s="1"/>
  <c r="BM497" i="115" s="1"/>
  <c r="BX1305" i="115"/>
  <c r="BX1306" i="115" s="1"/>
  <c r="CB315" i="115"/>
  <c r="AT83" i="117"/>
  <c r="CC1134" i="115"/>
  <c r="CB166" i="115"/>
  <c r="BR514" i="115"/>
  <c r="CF50" i="115"/>
  <c r="BV1106" i="115"/>
  <c r="BV1107" i="115" s="1"/>
  <c r="BZ1300" i="115"/>
  <c r="BY491" i="115"/>
  <c r="BX736" i="115"/>
  <c r="BU1445" i="115"/>
  <c r="BX442" i="115"/>
  <c r="BY758" i="115"/>
  <c r="BR1132" i="115"/>
  <c r="BP1134" i="115"/>
  <c r="BP1331" i="115"/>
  <c r="BM1336" i="115"/>
  <c r="BL1336" i="115"/>
  <c r="BM1331" i="115"/>
  <c r="BM1332" i="115" s="1"/>
  <c r="BJ1417" i="115"/>
  <c r="X36" i="111"/>
  <c r="BV1530" i="115"/>
  <c r="DK40" i="117"/>
  <c r="BS1407" i="115"/>
  <c r="DL40" i="117" s="1"/>
  <c r="BR1490" i="115"/>
  <c r="BV514" i="115"/>
  <c r="CG225" i="115"/>
  <c r="CG275" i="115"/>
  <c r="CG274" i="115"/>
  <c r="CG260" i="115"/>
  <c r="CG273" i="115"/>
  <c r="CG1481" i="115"/>
  <c r="CG1482" i="115" s="1"/>
  <c r="CB1134" i="115"/>
  <c r="BY1306" i="115"/>
  <c r="BZ1305" i="115"/>
  <c r="BZ1306" i="115" s="1"/>
  <c r="CG1521" i="115"/>
  <c r="CG1134" i="115"/>
  <c r="BM166" i="115"/>
  <c r="CI842" i="115"/>
  <c r="BU225" i="115"/>
  <c r="BU229" i="115" s="1"/>
  <c r="CH1089" i="115"/>
  <c r="BX451" i="115"/>
  <c r="BX453" i="115"/>
  <c r="BI655" i="115"/>
  <c r="CB1397" i="115"/>
  <c r="CB1305" i="115"/>
  <c r="CB1306" i="115" s="1"/>
  <c r="CB1398" i="115"/>
  <c r="BB137" i="117"/>
  <c r="AR25" i="117"/>
  <c r="BJ1084" i="115"/>
  <c r="EA66" i="117"/>
  <c r="CH263" i="115"/>
  <c r="CH255" i="115"/>
  <c r="CH262" i="115" s="1"/>
  <c r="CH258" i="115"/>
  <c r="AC85" i="111"/>
  <c r="AC137" i="111" s="1"/>
  <c r="CL1106" i="115"/>
  <c r="CL1107" i="115" s="1"/>
  <c r="CJ1202" i="115"/>
  <c r="BB230" i="117"/>
  <c r="BF230" i="117"/>
  <c r="BF195" i="117"/>
  <c r="BF105" i="117" s="1"/>
  <c r="AV76" i="117"/>
  <c r="AK61" i="117"/>
  <c r="BJ196" i="117"/>
  <c r="BJ106" i="117" s="1"/>
  <c r="T74" i="123"/>
  <c r="T97" i="123" s="1"/>
  <c r="CI1437" i="115"/>
  <c r="AA20" i="111"/>
  <c r="BR662" i="115"/>
  <c r="BW662" i="115" s="1"/>
  <c r="DO66" i="117"/>
  <c r="BV258" i="115"/>
  <c r="BV970" i="115"/>
  <c r="BV971" i="115" s="1"/>
  <c r="BP1118" i="115"/>
  <c r="BP1116" i="115"/>
  <c r="BZ352" i="115"/>
  <c r="BJ352" i="115"/>
  <c r="BJ453" i="115" s="1"/>
  <c r="BX50" i="115"/>
  <c r="BX26" i="115"/>
  <c r="AZ94" i="117"/>
  <c r="CF119" i="115"/>
  <c r="CF124" i="115"/>
  <c r="CG124" i="115"/>
  <c r="CI1351" i="115"/>
  <c r="CE1351" i="115"/>
  <c r="CF269" i="115"/>
  <c r="CG269" i="115"/>
  <c r="BF1133" i="115"/>
  <c r="BF1134" i="115" s="1"/>
  <c r="CL1089" i="115"/>
  <c r="BI1064" i="115"/>
  <c r="BL27" i="117"/>
  <c r="CF1423" i="115"/>
  <c r="BP692" i="115"/>
  <c r="BT697" i="115"/>
  <c r="BP698" i="115"/>
  <c r="BP697" i="115"/>
  <c r="BR488" i="115"/>
  <c r="BR489" i="115"/>
  <c r="BY655" i="115"/>
  <c r="CK1118" i="115"/>
  <c r="CK1116" i="115"/>
  <c r="CK736" i="115"/>
  <c r="AC83" i="111"/>
  <c r="AC98" i="111" s="1"/>
  <c r="AS27" i="117"/>
  <c r="BZ40" i="115"/>
  <c r="BI365" i="115"/>
  <c r="AT45" i="117"/>
  <c r="CE1240" i="115"/>
  <c r="BH1517" i="115"/>
  <c r="BH1519" i="115" s="1"/>
  <c r="AB59" i="117"/>
  <c r="AB85" i="117" s="1"/>
  <c r="BM53" i="115"/>
  <c r="CL1487" i="115"/>
  <c r="CC758" i="115"/>
  <c r="CG758" i="115"/>
  <c r="CF759" i="115"/>
  <c r="CC759" i="115"/>
  <c r="DW69" i="117"/>
  <c r="BV1088" i="115"/>
  <c r="BT1089" i="115"/>
  <c r="BV1089" i="115" s="1"/>
  <c r="BR484" i="115"/>
  <c r="BR485" i="115"/>
  <c r="BR646" i="115"/>
  <c r="CB1480" i="115"/>
  <c r="BX1480" i="115"/>
  <c r="BE18" i="117"/>
  <c r="CK381" i="115"/>
  <c r="CK1281" i="115"/>
  <c r="BE27" i="117"/>
  <c r="CL40" i="115"/>
  <c r="BL169" i="115"/>
  <c r="CD514" i="115"/>
  <c r="AB85" i="111"/>
  <c r="BH53" i="115"/>
  <c r="BP1202" i="115"/>
  <c r="BP1203" i="115" s="1"/>
  <c r="BR1106" i="115"/>
  <c r="BR1107" i="115" s="1"/>
  <c r="BL1423" i="115"/>
  <c r="BM1134" i="115"/>
  <c r="CF1158" i="115"/>
  <c r="CF1169" i="115"/>
  <c r="CF1171" i="115" s="1"/>
  <c r="EA69" i="117"/>
  <c r="BQ1517" i="115"/>
  <c r="BQ1519" i="115" s="1"/>
  <c r="AK59" i="117"/>
  <c r="CB1423" i="115"/>
  <c r="CH1046" i="115"/>
  <c r="AB41" i="111"/>
  <c r="AB91" i="111" s="1"/>
  <c r="CH1114" i="115"/>
  <c r="BB54" i="117"/>
  <c r="CH1458" i="115"/>
  <c r="BE26" i="115"/>
  <c r="BY275" i="115"/>
  <c r="DR67" i="117" s="1"/>
  <c r="AS53" i="117"/>
  <c r="AS52" i="117" s="1"/>
  <c r="BX955" i="115"/>
  <c r="CC699" i="115"/>
  <c r="CC691" i="115"/>
  <c r="CD692" i="115"/>
  <c r="DM64" i="117"/>
  <c r="CL19" i="115"/>
  <c r="CN919" i="115"/>
  <c r="CH1347" i="115"/>
  <c r="BZ308" i="115"/>
  <c r="BQ274" i="115"/>
  <c r="DJ71" i="117" s="1"/>
  <c r="CA662" i="115"/>
  <c r="AN82" i="117"/>
  <c r="BE76" i="117"/>
  <c r="AT84" i="117"/>
  <c r="BH491" i="115"/>
  <c r="BH275" i="115"/>
  <c r="DA67" i="117" s="1"/>
  <c r="AB53" i="117"/>
  <c r="BV596" i="115"/>
  <c r="CF343" i="115"/>
  <c r="BD244" i="117"/>
  <c r="BZ307" i="115"/>
  <c r="CE840" i="115"/>
  <c r="CM840" i="115"/>
  <c r="BH177" i="117"/>
  <c r="BH178" i="117" s="1"/>
  <c r="BH193" i="117" s="1"/>
  <c r="BH103" i="117" s="1"/>
  <c r="BH107" i="117" s="1"/>
  <c r="BY1444" i="115"/>
  <c r="CG926" i="115"/>
  <c r="BM698" i="115"/>
  <c r="AT14" i="117"/>
  <c r="CM680" i="115"/>
  <c r="BP364" i="115"/>
  <c r="BU166" i="115"/>
  <c r="BZ335" i="115"/>
  <c r="AR82" i="117"/>
  <c r="AD80" i="117"/>
  <c r="CJ315" i="115"/>
  <c r="BQ745" i="115"/>
  <c r="AP63" i="117"/>
  <c r="BN192" i="117"/>
  <c r="BN102" i="117" s="1"/>
  <c r="CG318" i="115"/>
  <c r="AG52" i="117"/>
  <c r="CG315" i="115"/>
  <c r="CD596" i="115"/>
  <c r="BU1481" i="115"/>
  <c r="BU1482" i="115" s="1"/>
  <c r="AF84" i="117"/>
  <c r="BY1350" i="115"/>
  <c r="BZ1347" i="115"/>
  <c r="BM385" i="115"/>
  <c r="BM430" i="115"/>
  <c r="CH602" i="115"/>
  <c r="CH614" i="115" s="1"/>
  <c r="CH596" i="115"/>
  <c r="BQ166" i="115"/>
  <c r="BP224" i="115"/>
  <c r="BP1481" i="115"/>
  <c r="BP1482" i="115" s="1"/>
  <c r="BP273" i="115"/>
  <c r="BP275" i="115"/>
  <c r="DI67" i="117" s="1"/>
  <c r="BP274" i="115"/>
  <c r="DI71" i="117" s="1"/>
  <c r="BP166" i="115"/>
  <c r="BP225" i="115"/>
  <c r="CF430" i="115"/>
  <c r="CF385" i="115"/>
  <c r="CF457" i="115"/>
  <c r="CF366" i="115"/>
  <c r="CF1482" i="115"/>
  <c r="CF1483" i="115"/>
  <c r="AF53" i="117"/>
  <c r="AF52" i="117" s="1"/>
  <c r="CJ314" i="115"/>
  <c r="BL223" i="115"/>
  <c r="DE62" i="117" s="1"/>
  <c r="BS598" i="115"/>
  <c r="CJ162" i="115"/>
  <c r="BL274" i="115"/>
  <c r="DE71" i="117" s="1"/>
  <c r="BL275" i="115"/>
  <c r="DE67" i="117" s="1"/>
  <c r="BL224" i="115"/>
  <c r="BM228" i="115" s="1"/>
  <c r="BL225" i="115"/>
  <c r="AH84" i="117"/>
  <c r="BA184" i="117"/>
  <c r="BL973" i="115"/>
  <c r="BL980" i="115" s="1"/>
  <c r="BL55" i="115"/>
  <c r="BH55" i="115"/>
  <c r="AB18" i="117"/>
  <c r="AB67" i="117" s="1"/>
  <c r="BU1134" i="115"/>
  <c r="BV1132" i="115"/>
  <c r="CJ166" i="115"/>
  <c r="CG502" i="115"/>
  <c r="BH119" i="115"/>
  <c r="BI123" i="115" s="1"/>
  <c r="AB94" i="117"/>
  <c r="BI124" i="115"/>
  <c r="BH124" i="115"/>
  <c r="CF672" i="115"/>
  <c r="CC672" i="115"/>
  <c r="BR1255" i="115"/>
  <c r="AZ52" i="117"/>
  <c r="CJ1558" i="115"/>
  <c r="CJ1559" i="115" s="1"/>
  <c r="CJ1565" i="115"/>
  <c r="CJ275" i="115"/>
  <c r="BD53" i="117"/>
  <c r="CJ364" i="115"/>
  <c r="CJ273" i="115"/>
  <c r="CJ274" i="115"/>
  <c r="CJ973" i="115"/>
  <c r="CJ980" i="115" s="1"/>
  <c r="CK166" i="115"/>
  <c r="CJ1481" i="115"/>
  <c r="CJ223" i="115"/>
  <c r="CB476" i="115"/>
  <c r="CB472" i="115"/>
  <c r="CF967" i="115"/>
  <c r="CF968" i="115" s="1"/>
  <c r="CH965" i="115"/>
  <c r="CH967" i="115" s="1"/>
  <c r="CH968" i="115" s="1"/>
  <c r="AG15" i="117"/>
  <c r="AG16" i="117" s="1"/>
  <c r="BQ53" i="115"/>
  <c r="BS236" i="115"/>
  <c r="BN150" i="115"/>
  <c r="BS88" i="115"/>
  <c r="BZ336" i="115"/>
  <c r="BY343" i="115"/>
  <c r="CB343" i="115"/>
  <c r="DN7" i="117"/>
  <c r="AO61" i="117"/>
  <c r="AS61" i="117"/>
  <c r="BA146" i="117"/>
  <c r="CL665" i="115"/>
  <c r="BV1437" i="115"/>
  <c r="BV1468" i="115"/>
  <c r="CN360" i="115"/>
  <c r="CK353" i="115"/>
  <c r="CK442" i="115"/>
  <c r="CK372" i="115"/>
  <c r="CK360" i="115"/>
  <c r="CK354" i="115"/>
  <c r="CK1005" i="115"/>
  <c r="CK451" i="115"/>
  <c r="CK453" i="115"/>
  <c r="CK452" i="115"/>
  <c r="CN146" i="115"/>
  <c r="CK141" i="115"/>
  <c r="CN145" i="115" s="1"/>
  <c r="CN1064" i="115"/>
  <c r="BP952" i="115"/>
  <c r="BP844" i="115"/>
  <c r="BX314" i="115"/>
  <c r="BV307" i="115"/>
  <c r="BZ1554" i="115"/>
  <c r="BZ1558" i="115"/>
  <c r="CJ225" i="115"/>
  <c r="CA664" i="115"/>
  <c r="BZ687" i="115"/>
  <c r="CA687" i="115" s="1"/>
  <c r="BZ1272" i="115"/>
  <c r="CG1129" i="115"/>
  <c r="CF1129" i="115"/>
  <c r="CH309" i="115"/>
  <c r="CJ316" i="115"/>
  <c r="CG162" i="115"/>
  <c r="CF502" i="115"/>
  <c r="CF503" i="115" s="1"/>
  <c r="CF1478" i="115"/>
  <c r="CF162" i="115"/>
  <c r="BM797" i="115"/>
  <c r="BM793" i="115"/>
  <c r="BM799" i="115" s="1"/>
  <c r="BN790" i="115"/>
  <c r="BN793" i="115" s="1"/>
  <c r="AK94" i="117"/>
  <c r="BQ124" i="115"/>
  <c r="BT124" i="115"/>
  <c r="BR120" i="115"/>
  <c r="BZ334" i="115"/>
  <c r="CB341" i="115"/>
  <c r="BY341" i="115"/>
  <c r="CC318" i="115"/>
  <c r="CB318" i="115"/>
  <c r="DK16" i="117"/>
  <c r="DW51" i="117"/>
  <c r="AA88" i="111"/>
  <c r="AC16" i="111"/>
  <c r="CD709" i="115"/>
  <c r="CL1341" i="115"/>
  <c r="CL1343" i="115" s="1"/>
  <c r="AL64" i="117"/>
  <c r="BX1336" i="115"/>
  <c r="BY1331" i="115"/>
  <c r="BY1332" i="115" s="1"/>
  <c r="H137" i="123"/>
  <c r="H84" i="123"/>
  <c r="DO16" i="117"/>
  <c r="BL927" i="115"/>
  <c r="BN925" i="115"/>
  <c r="BM926" i="115"/>
  <c r="BL926" i="115"/>
  <c r="CG55" i="115"/>
  <c r="CF1558" i="115"/>
  <c r="CF1559" i="115" s="1"/>
  <c r="CF1565" i="115"/>
  <c r="EE15" i="117"/>
  <c r="EE18" i="117" s="1"/>
  <c r="BR175" i="117"/>
  <c r="DH507" i="115"/>
  <c r="DI507" i="115" s="1"/>
  <c r="DL507" i="115" s="1"/>
  <c r="DM507" i="115" s="1"/>
  <c r="DP507" i="115" s="1"/>
  <c r="DQ507" i="115" s="1"/>
  <c r="CK144" i="115"/>
  <c r="DU41" i="117"/>
  <c r="CH119" i="115"/>
  <c r="CC952" i="115"/>
  <c r="CC951" i="115" s="1"/>
  <c r="CD843" i="115"/>
  <c r="CC844" i="115"/>
  <c r="AA19" i="111"/>
  <c r="CD1468" i="115"/>
  <c r="CI1436" i="115"/>
  <c r="AP13" i="117"/>
  <c r="AP14" i="117" s="1"/>
  <c r="BW18" i="115"/>
  <c r="BZ333" i="115"/>
  <c r="CB340" i="115"/>
  <c r="BY340" i="115"/>
  <c r="BN1487" i="115"/>
  <c r="BN1490" i="115"/>
  <c r="BN1486" i="115"/>
  <c r="BN1485" i="115"/>
  <c r="DM12" i="117"/>
  <c r="BZ309" i="115"/>
  <c r="BY316" i="115"/>
  <c r="CB735" i="115"/>
  <c r="CN124" i="115"/>
  <c r="CL120" i="115"/>
  <c r="CQ120" i="115" s="1"/>
  <c r="BE94" i="117"/>
  <c r="EE69" i="117"/>
  <c r="X133" i="123"/>
  <c r="X80" i="123"/>
  <c r="BP27" i="117"/>
  <c r="BH646" i="115"/>
  <c r="BH485" i="115"/>
  <c r="BH484" i="115"/>
  <c r="BI480" i="115"/>
  <c r="BV646" i="115"/>
  <c r="BV485" i="115"/>
  <c r="H11" i="123"/>
  <c r="BV484" i="115"/>
  <c r="DW40" i="117"/>
  <c r="AA36" i="111"/>
  <c r="CI1407" i="115"/>
  <c r="CH514" i="115"/>
  <c r="CD1530" i="115"/>
  <c r="CE1407" i="115"/>
  <c r="CH1530" i="115"/>
  <c r="CH310" i="115"/>
  <c r="CJ317" i="115"/>
  <c r="CC55" i="115"/>
  <c r="DV41" i="117"/>
  <c r="BT381" i="115"/>
  <c r="BT1281" i="115"/>
  <c r="BT1288" i="115" s="1"/>
  <c r="CL581" i="115"/>
  <c r="BF137" i="117"/>
  <c r="BT967" i="115"/>
  <c r="BT968" i="115" s="1"/>
  <c r="BV965" i="115"/>
  <c r="BV967" i="115" s="1"/>
  <c r="BV968" i="115" s="1"/>
  <c r="CN1073" i="115"/>
  <c r="CN1077" i="115" s="1"/>
  <c r="BI250" i="115"/>
  <c r="CD1554" i="115"/>
  <c r="CD1558" i="115"/>
  <c r="CD1559" i="115" s="1"/>
  <c r="AC80" i="117"/>
  <c r="AA47" i="111"/>
  <c r="CD1517" i="115"/>
  <c r="CD1519" i="115" s="1"/>
  <c r="AX59" i="117"/>
  <c r="CF122" i="115"/>
  <c r="CD118" i="115"/>
  <c r="CC119" i="115"/>
  <c r="CC122" i="115"/>
  <c r="BY1276" i="115"/>
  <c r="BU20" i="115"/>
  <c r="BU666" i="115"/>
  <c r="BQ119" i="115"/>
  <c r="DO15" i="117"/>
  <c r="DO18" i="117" s="1"/>
  <c r="AT63" i="117"/>
  <c r="CN671" i="115"/>
  <c r="CK740" i="115"/>
  <c r="CK744" i="115" s="1"/>
  <c r="CJ699" i="115"/>
  <c r="CN758" i="115"/>
  <c r="CK759" i="115"/>
  <c r="CJ759" i="115"/>
  <c r="CL757" i="115"/>
  <c r="CJ758" i="115"/>
  <c r="DV43" i="117"/>
  <c r="D60" i="123"/>
  <c r="CG1444" i="115"/>
  <c r="AP153" i="117"/>
  <c r="BU973" i="115"/>
  <c r="BU980" i="115" s="1"/>
  <c r="BU981" i="115" s="1"/>
  <c r="BU275" i="115"/>
  <c r="DN67" i="117" s="1"/>
  <c r="CK341" i="115"/>
  <c r="CE665" i="115"/>
  <c r="BR596" i="115"/>
  <c r="BE216" i="117"/>
  <c r="AK76" i="117"/>
  <c r="BR770" i="115"/>
  <c r="BW598" i="115"/>
  <c r="BP1445" i="115"/>
  <c r="BJ216" i="117"/>
  <c r="BL166" i="115"/>
  <c r="BR191" i="117"/>
  <c r="BU274" i="115"/>
  <c r="DN71" i="117" s="1"/>
  <c r="BU223" i="115"/>
  <c r="BU227" i="115" s="1"/>
  <c r="CJ491" i="115"/>
  <c r="CJ224" i="115"/>
  <c r="CJ260" i="115"/>
  <c r="D113" i="123"/>
  <c r="AT153" i="117"/>
  <c r="AO53" i="117"/>
  <c r="BU314" i="115"/>
  <c r="BZ20" i="115"/>
  <c r="BN596" i="115"/>
  <c r="AX128" i="117"/>
  <c r="CE663" i="115"/>
  <c r="CK344" i="115"/>
  <c r="CN344" i="115"/>
  <c r="BI797" i="115"/>
  <c r="BL797" i="115"/>
  <c r="BJ790" i="115"/>
  <c r="BJ793" i="115" s="1"/>
  <c r="BU318" i="115"/>
  <c r="BX318" i="115"/>
  <c r="BL235" i="115"/>
  <c r="BL234" i="115" s="1"/>
  <c r="BL251" i="115" s="1"/>
  <c r="BM12" i="117"/>
  <c r="CK1276" i="115"/>
  <c r="EE40" i="117"/>
  <c r="AC36" i="111"/>
  <c r="CL1490" i="115"/>
  <c r="CL1353" i="115"/>
  <c r="CM1407" i="115"/>
  <c r="CL1530" i="115"/>
  <c r="CL514" i="115"/>
  <c r="CH1422" i="115"/>
  <c r="CG1423" i="115"/>
  <c r="BE141" i="115"/>
  <c r="BE146" i="115"/>
  <c r="BL1517" i="115"/>
  <c r="BL1519" i="115" s="1"/>
  <c r="AF59" i="117"/>
  <c r="CN735" i="115"/>
  <c r="CJ735" i="115"/>
  <c r="BI343" i="115"/>
  <c r="BH2" i="115"/>
  <c r="BF3" i="115"/>
  <c r="BZ998" i="115"/>
  <c r="BX1000" i="115"/>
  <c r="BJ333" i="115"/>
  <c r="BI340" i="115"/>
  <c r="BL340" i="115"/>
  <c r="BH146" i="115"/>
  <c r="BL270" i="115"/>
  <c r="DE73" i="117" s="1"/>
  <c r="BL264" i="115"/>
  <c r="BL343" i="115"/>
  <c r="CL1272" i="115"/>
  <c r="CN340" i="115"/>
  <c r="CL333" i="115"/>
  <c r="CQ333" i="115" s="1"/>
  <c r="BE144" i="115"/>
  <c r="BH144" i="115"/>
  <c r="BZ951" i="115"/>
  <c r="BY955" i="115"/>
  <c r="CK699" i="115"/>
  <c r="CK691" i="115"/>
  <c r="CL692" i="115"/>
  <c r="DC16" i="117"/>
  <c r="BX124" i="115"/>
  <c r="AR94" i="117"/>
  <c r="BY124" i="115"/>
  <c r="CJ141" i="115"/>
  <c r="CK146" i="115"/>
  <c r="CD12" i="115"/>
  <c r="BY1064" i="115"/>
  <c r="BZ1132" i="115"/>
  <c r="BX1134" i="115"/>
  <c r="CL728" i="115"/>
  <c r="CL734" i="115"/>
  <c r="CK343" i="115"/>
  <c r="CN343" i="115"/>
  <c r="CL336" i="115"/>
  <c r="CQ336" i="115" s="1"/>
  <c r="BJ484" i="115"/>
  <c r="BJ646" i="115"/>
  <c r="BJ485" i="115"/>
  <c r="BX758" i="115"/>
  <c r="BY759" i="115"/>
  <c r="BZ757" i="115"/>
  <c r="BX759" i="115"/>
  <c r="CB758" i="115"/>
  <c r="BA105" i="117"/>
  <c r="D133" i="123"/>
  <c r="D80" i="123"/>
  <c r="BV308" i="115"/>
  <c r="BU315" i="115"/>
  <c r="BX315" i="115"/>
  <c r="BB164" i="117"/>
  <c r="BB166" i="117" s="1"/>
  <c r="BB118" i="117" s="1"/>
  <c r="BB238" i="117"/>
  <c r="BB186" i="117"/>
  <c r="BB188" i="117" s="1"/>
  <c r="BB205" i="117" s="1"/>
  <c r="BF69" i="117"/>
  <c r="CD243" i="115"/>
  <c r="CD970" i="115"/>
  <c r="CD971" i="115" s="1"/>
  <c r="BQ693" i="115"/>
  <c r="BQ735" i="115"/>
  <c r="BU735" i="115"/>
  <c r="BP1396" i="115"/>
  <c r="BQ1396" i="115" s="1"/>
  <c r="BN1396" i="115"/>
  <c r="BR843" i="115"/>
  <c r="BR844" i="115" s="1"/>
  <c r="BX1129" i="115"/>
  <c r="BY1129" i="115"/>
  <c r="CN499" i="115"/>
  <c r="CK1558" i="115"/>
  <c r="CK1559" i="115" s="1"/>
  <c r="CK1565" i="115"/>
  <c r="CN342" i="115"/>
  <c r="CL335" i="115"/>
  <c r="CQ335" i="115" s="1"/>
  <c r="BJ150" i="115"/>
  <c r="BJ1478" i="115" s="1"/>
  <c r="BM146" i="115"/>
  <c r="BM141" i="115"/>
  <c r="BP146" i="115"/>
  <c r="BQ926" i="115"/>
  <c r="BP926" i="115"/>
  <c r="BR925" i="115"/>
  <c r="BW925" i="115" s="1"/>
  <c r="BP927" i="115"/>
  <c r="BT927" i="115"/>
  <c r="Z83" i="111"/>
  <c r="Z98" i="111" s="1"/>
  <c r="BV309" i="115"/>
  <c r="BX316" i="115"/>
  <c r="BX264" i="115"/>
  <c r="BX270" i="115"/>
  <c r="DQ73" i="117" s="1"/>
  <c r="CD269" i="115"/>
  <c r="AL45" i="117"/>
  <c r="BS1240" i="115"/>
  <c r="BF224" i="115"/>
  <c r="BF225" i="115"/>
  <c r="BF223" i="115"/>
  <c r="CL1132" i="115"/>
  <c r="CK1134" i="115"/>
  <c r="EE66" i="117"/>
  <c r="CL970" i="115"/>
  <c r="DK69" i="117"/>
  <c r="BZ413" i="115"/>
  <c r="CB655" i="115"/>
  <c r="CD595" i="115"/>
  <c r="BI26" i="115"/>
  <c r="BJ335" i="115"/>
  <c r="BI342" i="115"/>
  <c r="BL342" i="115"/>
  <c r="BN963" i="115"/>
  <c r="BL965" i="115"/>
  <c r="BV157" i="115"/>
  <c r="BU365" i="115"/>
  <c r="BX169" i="115"/>
  <c r="BU169" i="115"/>
  <c r="BZ485" i="115"/>
  <c r="BZ646" i="115"/>
  <c r="L11" i="123"/>
  <c r="BZ484" i="115"/>
  <c r="BL1134" i="115"/>
  <c r="BN1132" i="115"/>
  <c r="CH1417" i="115"/>
  <c r="CG1430" i="115"/>
  <c r="CG1479" i="115"/>
  <c r="CG1558" i="115"/>
  <c r="CG1559" i="115" s="1"/>
  <c r="CG1565" i="115"/>
  <c r="CB1609" i="115"/>
  <c r="CD1604" i="115"/>
  <c r="CP1390" i="115"/>
  <c r="BI93" i="117"/>
  <c r="BI79" i="117" s="1"/>
  <c r="CS1198" i="115"/>
  <c r="BM36" i="117"/>
  <c r="BI15" i="117"/>
  <c r="BF118" i="115"/>
  <c r="BF119" i="115" s="1"/>
  <c r="BH122" i="115"/>
  <c r="BE119" i="115"/>
  <c r="BR735" i="115"/>
  <c r="BJ27" i="117"/>
  <c r="AP15" i="117"/>
  <c r="Y50" i="111"/>
  <c r="BN25" i="115"/>
  <c r="AJ2" i="123"/>
  <c r="BR5" i="117"/>
  <c r="BJ101" i="117"/>
  <c r="CP1599" i="115"/>
  <c r="CP1565" i="115" s="1"/>
  <c r="CP1566" i="115" s="1"/>
  <c r="BV1517" i="115"/>
  <c r="BV1519" i="115" s="1"/>
  <c r="Y47" i="111"/>
  <c r="AP59" i="117"/>
  <c r="AP85" i="117" s="1"/>
  <c r="BI799" i="115"/>
  <c r="CK1521" i="115"/>
  <c r="BV101" i="117"/>
  <c r="BH10" i="117"/>
  <c r="BJ175" i="117"/>
  <c r="BM234" i="115"/>
  <c r="BV922" i="115"/>
  <c r="BV931" i="115" s="1"/>
  <c r="BV930" i="115" s="1"/>
  <c r="BU935" i="115"/>
  <c r="BT930" i="115"/>
  <c r="BU934" i="115" s="1"/>
  <c r="CU1299" i="115"/>
  <c r="M149" i="123"/>
  <c r="BR134" i="117"/>
  <c r="BR138" i="117" s="1"/>
  <c r="BR270" i="115"/>
  <c r="DK73" i="117" s="1"/>
  <c r="BR264" i="115"/>
  <c r="BX957" i="115"/>
  <c r="BU956" i="115"/>
  <c r="BV952" i="115"/>
  <c r="BT956" i="115"/>
  <c r="X83" i="111"/>
  <c r="X98" i="111" s="1"/>
  <c r="Y83" i="111"/>
  <c r="Y98" i="111" s="1"/>
  <c r="AB83" i="111"/>
  <c r="DF64" i="117"/>
  <c r="CL711" i="115"/>
  <c r="CL716" i="115"/>
  <c r="BI1119" i="115"/>
  <c r="DB11" i="117" s="1"/>
  <c r="DB13" i="117" s="1"/>
  <c r="DI44" i="115"/>
  <c r="DM44" i="115" s="1"/>
  <c r="DQ44" i="115" s="1"/>
  <c r="M150" i="123"/>
  <c r="AX196" i="117"/>
  <c r="AX176" i="117"/>
  <c r="BR192" i="117"/>
  <c r="BR102" i="117" s="1"/>
  <c r="BJ192" i="117"/>
  <c r="BJ102" i="117" s="1"/>
  <c r="BB220" i="117"/>
  <c r="BF229" i="117" s="1"/>
  <c r="AS16" i="117"/>
  <c r="BB216" i="117"/>
  <c r="BB105" i="117"/>
  <c r="CI663" i="115"/>
  <c r="CM663" i="115"/>
  <c r="BB128" i="117"/>
  <c r="P113" i="123"/>
  <c r="P60" i="123"/>
  <c r="AW76" i="117"/>
  <c r="AX216" i="117"/>
  <c r="CK1469" i="115"/>
  <c r="CK1444" i="115"/>
  <c r="BI491" i="115"/>
  <c r="BI364" i="115"/>
  <c r="AC53" i="117"/>
  <c r="BI1481" i="115"/>
  <c r="BI225" i="115"/>
  <c r="BI273" i="115"/>
  <c r="BI223" i="115"/>
  <c r="BI973" i="115"/>
  <c r="BI275" i="115"/>
  <c r="DB67" i="117" s="1"/>
  <c r="BI274" i="115"/>
  <c r="DB71" i="117" s="1"/>
  <c r="BI224" i="115"/>
  <c r="AX64" i="117"/>
  <c r="AX218" i="117"/>
  <c r="BB64" i="117"/>
  <c r="BU273" i="115"/>
  <c r="BU364" i="115"/>
  <c r="BN191" i="117"/>
  <c r="BL101" i="117"/>
  <c r="AZ55" i="117"/>
  <c r="AZ207" i="117"/>
  <c r="CG145" i="115"/>
  <c r="CE1437" i="115"/>
  <c r="BR269" i="115"/>
  <c r="CJ1352" i="115"/>
  <c r="CL1350" i="115"/>
  <c r="CL1352" i="115" s="1"/>
  <c r="CF1398" i="115"/>
  <c r="CF1305" i="115"/>
  <c r="CF1306" i="115" s="1"/>
  <c r="CF1397" i="115"/>
  <c r="BP269" i="115"/>
  <c r="BM269" i="115"/>
  <c r="BU1350" i="115"/>
  <c r="BU1352" i="115" s="1"/>
  <c r="CL1468" i="115"/>
  <c r="CL1437" i="115"/>
  <c r="CQ1437" i="115" s="1"/>
  <c r="AC19" i="111"/>
  <c r="AC22" i="111" s="1"/>
  <c r="CM1436" i="115"/>
  <c r="BL655" i="115"/>
  <c r="BN595" i="115"/>
  <c r="AD27" i="117"/>
  <c r="BJ137" i="117"/>
  <c r="BJ138" i="117" s="1"/>
  <c r="AB17" i="123"/>
  <c r="BP1205" i="115"/>
  <c r="AX14" i="117"/>
  <c r="CL1599" i="115"/>
  <c r="CK1452" i="115"/>
  <c r="CK1480" i="115"/>
  <c r="BN1109" i="115"/>
  <c r="BN1209" i="115"/>
  <c r="DG19" i="117"/>
  <c r="BQ1129" i="115"/>
  <c r="BP1129" i="115"/>
  <c r="BQ1350" i="115"/>
  <c r="BQ1352" i="115" s="1"/>
  <c r="BD216" i="117"/>
  <c r="CB696" i="115"/>
  <c r="BX691" i="115"/>
  <c r="BZ692" i="115"/>
  <c r="BX699" i="115"/>
  <c r="BX696" i="115"/>
  <c r="BL691" i="115"/>
  <c r="BN692" i="115"/>
  <c r="CL596" i="115"/>
  <c r="CL602" i="115"/>
  <c r="CB1469" i="115"/>
  <c r="CB1444" i="115"/>
  <c r="BL1481" i="115"/>
  <c r="BL273" i="115"/>
  <c r="CF1469" i="115"/>
  <c r="CF1444" i="115"/>
  <c r="BS664" i="115"/>
  <c r="BW664" i="115"/>
  <c r="BA16" i="117"/>
  <c r="BI101" i="117"/>
  <c r="X60" i="123"/>
  <c r="X113" i="123"/>
  <c r="BP1444" i="115"/>
  <c r="BP1469" i="115"/>
  <c r="BX273" i="115"/>
  <c r="BX275" i="115"/>
  <c r="DQ67" i="117" s="1"/>
  <c r="BX364" i="115"/>
  <c r="BX491" i="115"/>
  <c r="BX1481" i="115"/>
  <c r="BX166" i="115"/>
  <c r="AR53" i="117"/>
  <c r="BX274" i="115"/>
  <c r="DQ71" i="117" s="1"/>
  <c r="BX224" i="115"/>
  <c r="BY166" i="115"/>
  <c r="BX973" i="115"/>
  <c r="BX980" i="115" s="1"/>
  <c r="BX225" i="115"/>
  <c r="BN1347" i="115"/>
  <c r="AV207" i="117"/>
  <c r="AV120" i="117"/>
  <c r="CD223" i="115"/>
  <c r="DW62" i="117" s="1"/>
  <c r="CD491" i="115"/>
  <c r="CD1481" i="115"/>
  <c r="CD1482" i="115" s="1"/>
  <c r="CD225" i="115"/>
  <c r="P8" i="123"/>
  <c r="AX53" i="117"/>
  <c r="CD274" i="115"/>
  <c r="DW71" i="117" s="1"/>
  <c r="CD364" i="115"/>
  <c r="CD224" i="115"/>
  <c r="AA9" i="111"/>
  <c r="AA13" i="111" s="1"/>
  <c r="CD273" i="115"/>
  <c r="CD275" i="115"/>
  <c r="DW67" i="117" s="1"/>
  <c r="CD973" i="115"/>
  <c r="CD980" i="115" s="1"/>
  <c r="BM770" i="115"/>
  <c r="BM779" i="115" s="1"/>
  <c r="BY745" i="115"/>
  <c r="BX745" i="115"/>
  <c r="BJ666" i="115"/>
  <c r="BJ20" i="115"/>
  <c r="CA663" i="115"/>
  <c r="AP128" i="117"/>
  <c r="AN76" i="117"/>
  <c r="AJ76" i="117"/>
  <c r="AZ76" i="117"/>
  <c r="BN1350" i="115"/>
  <c r="BN1352" i="115" s="1"/>
  <c r="BM1352" i="115"/>
  <c r="BL102" i="117"/>
  <c r="BE104" i="117"/>
  <c r="BF194" i="117"/>
  <c r="AW178" i="117"/>
  <c r="BV692" i="115"/>
  <c r="BU691" i="115"/>
  <c r="BU699" i="115"/>
  <c r="BY696" i="115"/>
  <c r="CD1347" i="115"/>
  <c r="CC1350" i="115"/>
  <c r="CM842" i="115"/>
  <c r="AX105" i="117"/>
  <c r="AX153" i="117"/>
  <c r="CI664" i="115"/>
  <c r="CD687" i="115"/>
  <c r="CE664" i="115"/>
  <c r="CF926" i="115"/>
  <c r="CF927" i="115"/>
  <c r="BV740" i="115"/>
  <c r="BV744" i="115" s="1"/>
  <c r="CA665" i="115"/>
  <c r="BW665" i="115"/>
  <c r="BQ919" i="115"/>
  <c r="BR916" i="115"/>
  <c r="BB194" i="117"/>
  <c r="CL687" i="115"/>
  <c r="CQ687" i="115" s="1"/>
  <c r="CM664" i="115"/>
  <c r="BJ596" i="115"/>
  <c r="CL916" i="115"/>
  <c r="BX922" i="115"/>
  <c r="BX931" i="115" s="1"/>
  <c r="BX927" i="115"/>
  <c r="CB927" i="115"/>
  <c r="BX926" i="115"/>
  <c r="BZ925" i="115"/>
  <c r="BY926" i="115"/>
  <c r="BJ195" i="117"/>
  <c r="BJ105" i="117" s="1"/>
  <c r="CD20" i="115"/>
  <c r="CD49" i="115"/>
  <c r="CD666" i="115"/>
  <c r="CE19" i="115"/>
  <c r="CA905" i="115"/>
  <c r="BW905" i="115"/>
  <c r="CG691" i="115"/>
  <c r="CG699" i="115"/>
  <c r="CK696" i="115"/>
  <c r="CG696" i="115"/>
  <c r="AH64" i="117"/>
  <c r="AD64" i="117"/>
  <c r="CF698" i="115"/>
  <c r="CF754" i="115"/>
  <c r="CF615" i="115" s="1"/>
  <c r="CJ930" i="115"/>
  <c r="CJ938" i="115" s="1"/>
  <c r="CJ939" i="115" s="1"/>
  <c r="CJ935" i="115"/>
  <c r="CK935" i="115"/>
  <c r="AZ228" i="117"/>
  <c r="BY698" i="115"/>
  <c r="BY754" i="115"/>
  <c r="BY615" i="115" s="1"/>
  <c r="L60" i="123"/>
  <c r="L113" i="123"/>
  <c r="BF14" i="117"/>
  <c r="BA104" i="117"/>
  <c r="BR105" i="117"/>
  <c r="CE905" i="115"/>
  <c r="CD1486" i="115"/>
  <c r="CD1485" i="115"/>
  <c r="CD1490" i="115"/>
  <c r="CD1487" i="115"/>
  <c r="AC16" i="117"/>
  <c r="AC17" i="117" s="1"/>
  <c r="AC65" i="117"/>
  <c r="CL235" i="115"/>
  <c r="AT178" i="117"/>
  <c r="W30" i="111"/>
  <c r="BS1416" i="115"/>
  <c r="CJ269" i="115"/>
  <c r="CK269" i="115"/>
  <c r="CB317" i="115"/>
  <c r="BZ310" i="115"/>
  <c r="BY317" i="115"/>
  <c r="CD24" i="115"/>
  <c r="CD25" i="115" s="1"/>
  <c r="CC792" i="115"/>
  <c r="CC25" i="115"/>
  <c r="CH545" i="115"/>
  <c r="BN12" i="117"/>
  <c r="BN221" i="117" s="1"/>
  <c r="BL404" i="115"/>
  <c r="BN402" i="115"/>
  <c r="BN404" i="115" s="1"/>
  <c r="BP402" i="115" s="1"/>
  <c r="BI1315" i="115"/>
  <c r="BI416" i="115"/>
  <c r="BJ397" i="115"/>
  <c r="BJ1315" i="115" s="1"/>
  <c r="BU499" i="115"/>
  <c r="BT499" i="115"/>
  <c r="CC1064" i="115"/>
  <c r="CC50" i="115"/>
  <c r="AP51" i="117"/>
  <c r="BV1463" i="115"/>
  <c r="BW149" i="115"/>
  <c r="H4" i="123"/>
  <c r="CA149" i="115"/>
  <c r="Y7" i="111"/>
  <c r="BI1134" i="115"/>
  <c r="BJ1132" i="115"/>
  <c r="CC967" i="115"/>
  <c r="BZ1281" i="115"/>
  <c r="BZ1288" i="115" s="1"/>
  <c r="BY1288" i="115"/>
  <c r="CR615" i="115"/>
  <c r="BJ832" i="115"/>
  <c r="BV1272" i="115"/>
  <c r="CF1521" i="115"/>
  <c r="CC234" i="115"/>
  <c r="EI83" i="117"/>
  <c r="CB934" i="115"/>
  <c r="AA16" i="111"/>
  <c r="AB16" i="111"/>
  <c r="BU1276" i="115"/>
  <c r="AL18" i="117"/>
  <c r="X52" i="111"/>
  <c r="D25" i="123"/>
  <c r="CU87" i="115"/>
  <c r="BB244" i="117" l="1"/>
  <c r="AL82" i="117"/>
  <c r="CG1158" i="115"/>
  <c r="CJ1158" i="115"/>
  <c r="BY1158" i="115"/>
  <c r="CC1158" i="115"/>
  <c r="BM366" i="115"/>
  <c r="BJ372" i="115"/>
  <c r="BZ365" i="115"/>
  <c r="BJ365" i="115"/>
  <c r="BR388" i="115"/>
  <c r="BQ389" i="115"/>
  <c r="BZ381" i="115"/>
  <c r="BP373" i="115"/>
  <c r="BU388" i="115"/>
  <c r="BT389" i="115"/>
  <c r="BJ381" i="115"/>
  <c r="BL377" i="115"/>
  <c r="BL457" i="115"/>
  <c r="DE57" i="117" s="1"/>
  <c r="DQ1224" i="115"/>
  <c r="DP1224" i="115"/>
  <c r="DR44" i="115"/>
  <c r="DQ271" i="115"/>
  <c r="DR6" i="115"/>
  <c r="BM554" i="115"/>
  <c r="BM555" i="115" s="1"/>
  <c r="BN554" i="115"/>
  <c r="BN555" i="115" s="1"/>
  <c r="BL555" i="115"/>
  <c r="AJ101" i="123"/>
  <c r="AJ48" i="123"/>
  <c r="AG138" i="111"/>
  <c r="AH2" i="111"/>
  <c r="AH147" i="111"/>
  <c r="DM1224" i="115"/>
  <c r="DL1224" i="115"/>
  <c r="DN44" i="115"/>
  <c r="DL7" i="115"/>
  <c r="DM7" i="115"/>
  <c r="DN7" i="115"/>
  <c r="CQ140" i="115"/>
  <c r="BU554" i="115"/>
  <c r="BU555" i="115" s="1"/>
  <c r="BQ244" i="117"/>
  <c r="BT170" i="115"/>
  <c r="BR158" i="115"/>
  <c r="BN158" i="115"/>
  <c r="BV158" i="115"/>
  <c r="BZ554" i="115"/>
  <c r="BZ555" i="115" s="1"/>
  <c r="BX555" i="115"/>
  <c r="BY555" i="115"/>
  <c r="CM140" i="115"/>
  <c r="BW142" i="115"/>
  <c r="BR141" i="115"/>
  <c r="CL971" i="115"/>
  <c r="BP360" i="115"/>
  <c r="BB35" i="117"/>
  <c r="AW35" i="117"/>
  <c r="BF35" i="117"/>
  <c r="CB5" i="117"/>
  <c r="BY251" i="115"/>
  <c r="AJ91" i="123"/>
  <c r="AJ145" i="123"/>
  <c r="CC5" i="117"/>
  <c r="CD5" i="117"/>
  <c r="AV2" i="123"/>
  <c r="DI1224" i="115"/>
  <c r="DH1274" i="115"/>
  <c r="DI1274" i="115" s="1"/>
  <c r="DH1224" i="115"/>
  <c r="DJ44" i="115"/>
  <c r="DH1379" i="115"/>
  <c r="DI1379" i="115" s="1"/>
  <c r="DH1377" i="115"/>
  <c r="DI1377" i="115" s="1"/>
  <c r="CL234" i="115"/>
  <c r="CJ251" i="115"/>
  <c r="CJ250" i="115" s="1"/>
  <c r="EC42" i="117"/>
  <c r="DH1285" i="115"/>
  <c r="DI1285" i="115" s="1"/>
  <c r="DH1384" i="115"/>
  <c r="DI1384" i="115" s="1"/>
  <c r="BR779" i="115"/>
  <c r="CK251" i="115"/>
  <c r="BT696" i="115"/>
  <c r="CB234" i="115"/>
  <c r="CD234" i="115" s="1"/>
  <c r="CD711" i="115"/>
  <c r="BT234" i="115"/>
  <c r="BT251" i="115" s="1"/>
  <c r="BT250" i="115" s="1"/>
  <c r="BX234" i="115"/>
  <c r="BZ234" i="115" s="1"/>
  <c r="CH711" i="115"/>
  <c r="BQ251" i="115"/>
  <c r="CG251" i="115"/>
  <c r="BU251" i="115"/>
  <c r="CH269" i="115"/>
  <c r="BW1417" i="115"/>
  <c r="CX1434" i="115"/>
  <c r="CX1440" i="115" s="1"/>
  <c r="CX1441" i="115" s="1"/>
  <c r="CE142" i="115"/>
  <c r="CA142" i="115"/>
  <c r="BN225" i="115"/>
  <c r="CH223" i="115"/>
  <c r="EA62" i="117" s="1"/>
  <c r="CD312" i="115"/>
  <c r="CI1422" i="115"/>
  <c r="BM452" i="115"/>
  <c r="BM360" i="115"/>
  <c r="BM372" i="115"/>
  <c r="BM451" i="115"/>
  <c r="BM353" i="115"/>
  <c r="BM457" i="115"/>
  <c r="DF57" i="117" s="1"/>
  <c r="BM453" i="115"/>
  <c r="L151" i="123"/>
  <c r="CH952" i="115"/>
  <c r="CD1423" i="115"/>
  <c r="BW118" i="115"/>
  <c r="BM354" i="115"/>
  <c r="CJ956" i="115"/>
  <c r="CD735" i="115"/>
  <c r="Y9" i="111"/>
  <c r="Y13" i="111" s="1"/>
  <c r="AP61" i="117"/>
  <c r="CE1422" i="115"/>
  <c r="AA34" i="111"/>
  <c r="AA35" i="111" s="1"/>
  <c r="AA26" i="111" s="1"/>
  <c r="BS1417" i="115"/>
  <c r="CA596" i="115"/>
  <c r="AT61" i="117"/>
  <c r="CF1301" i="115"/>
  <c r="CF1179" i="115" s="1"/>
  <c r="BF20" i="115"/>
  <c r="CK430" i="115"/>
  <c r="CK435" i="115" s="1"/>
  <c r="DH435" i="115" s="1"/>
  <c r="DI435" i="115" s="1"/>
  <c r="DL435" i="115" s="1"/>
  <c r="DM435" i="115" s="1"/>
  <c r="DP435" i="115" s="1"/>
  <c r="DQ435" i="115" s="1"/>
  <c r="BQ390" i="115"/>
  <c r="BN1331" i="115"/>
  <c r="BQ457" i="115"/>
  <c r="DJ57" i="117" s="1"/>
  <c r="BQ385" i="115"/>
  <c r="BH26" i="115"/>
  <c r="BH32" i="115" s="1"/>
  <c r="BH1246" i="115" s="1"/>
  <c r="CV1394" i="115"/>
  <c r="W9" i="111"/>
  <c r="W78" i="111" s="1"/>
  <c r="CJ746" i="115"/>
  <c r="BV223" i="115"/>
  <c r="DO62" i="117" s="1"/>
  <c r="CA1417" i="115"/>
  <c r="AP53" i="117"/>
  <c r="AP52" i="117" s="1"/>
  <c r="BV274" i="115"/>
  <c r="DO71" i="117" s="1"/>
  <c r="BJ1134" i="115"/>
  <c r="BV973" i="115"/>
  <c r="BV980" i="115" s="1"/>
  <c r="BI402" i="115"/>
  <c r="BI404" i="115" s="1"/>
  <c r="BI396" i="115" s="1"/>
  <c r="BI398" i="115" s="1"/>
  <c r="BJ398" i="115" s="1"/>
  <c r="BV364" i="115"/>
  <c r="BV1119" i="115"/>
  <c r="BV235" i="115"/>
  <c r="AX18" i="117"/>
  <c r="DW25" i="117" s="1"/>
  <c r="BZ614" i="115"/>
  <c r="CB799" i="115"/>
  <c r="X102" i="123"/>
  <c r="X103" i="123" s="1"/>
  <c r="BQ446" i="115"/>
  <c r="BY616" i="115"/>
  <c r="CG554" i="115"/>
  <c r="CG555" i="115" s="1"/>
  <c r="BM145" i="115"/>
  <c r="CA118" i="115"/>
  <c r="CC981" i="115"/>
  <c r="CH581" i="115"/>
  <c r="T17" i="123" s="1"/>
  <c r="T62" i="123" s="1"/>
  <c r="BV55" i="115"/>
  <c r="CJ1159" i="115"/>
  <c r="BZ119" i="115"/>
  <c r="CL1444" i="115"/>
  <c r="AC17" i="111" s="1"/>
  <c r="BX1204" i="115"/>
  <c r="BX1205" i="115" s="1"/>
  <c r="AS25" i="117"/>
  <c r="W83" i="111"/>
  <c r="W98" i="111" s="1"/>
  <c r="CM141" i="115"/>
  <c r="CQ141" i="115"/>
  <c r="CR1397" i="115"/>
  <c r="BN1423" i="115"/>
  <c r="BS25" i="115"/>
  <c r="AH115" i="123"/>
  <c r="AH16" i="123"/>
  <c r="AH61" i="123" s="1"/>
  <c r="AH64" i="123" s="1"/>
  <c r="BV53" i="115"/>
  <c r="DW19" i="117"/>
  <c r="AF65" i="117"/>
  <c r="BN274" i="115"/>
  <c r="DG71" i="117" s="1"/>
  <c r="CJ1169" i="115"/>
  <c r="CJ1170" i="115" s="1"/>
  <c r="CR1398" i="115"/>
  <c r="BW31" i="115"/>
  <c r="H26" i="123" s="1"/>
  <c r="Y52" i="111"/>
  <c r="Y65" i="111" s="1"/>
  <c r="CD1480" i="115"/>
  <c r="BN973" i="115"/>
  <c r="BN980" i="115" s="1"/>
  <c r="P151" i="123"/>
  <c r="BF244" i="117"/>
  <c r="AC4" i="123"/>
  <c r="BP244" i="117"/>
  <c r="AB16" i="117"/>
  <c r="AB17" i="117" s="1"/>
  <c r="DA32" i="117" s="1"/>
  <c r="BZ235" i="115"/>
  <c r="BE39" i="117"/>
  <c r="AC97" i="123"/>
  <c r="BV5" i="117"/>
  <c r="CP1568" i="115"/>
  <c r="CT1569" i="115" s="1"/>
  <c r="CT1567" i="115"/>
  <c r="H25" i="123"/>
  <c r="AP18" i="117"/>
  <c r="CT1394" i="115"/>
  <c r="CT1395" i="115" s="1"/>
  <c r="CT1398" i="115" s="1"/>
  <c r="CS1395" i="115"/>
  <c r="AC151" i="123"/>
  <c r="Z27" i="111"/>
  <c r="BB61" i="117"/>
  <c r="BF61" i="117"/>
  <c r="BQ366" i="115"/>
  <c r="S17" i="123"/>
  <c r="S16" i="123" s="1"/>
  <c r="BQ430" i="115"/>
  <c r="BQ434" i="115" s="1"/>
  <c r="CG520" i="115"/>
  <c r="BY1246" i="115"/>
  <c r="BZ5" i="117"/>
  <c r="EY5" i="117" s="1"/>
  <c r="CJ1445" i="115"/>
  <c r="BH50" i="115"/>
  <c r="BL50" i="115"/>
  <c r="O17" i="123"/>
  <c r="O16" i="123" s="1"/>
  <c r="O61" i="123" s="1"/>
  <c r="O64" i="123" s="1"/>
  <c r="BJ952" i="115"/>
  <c r="BX5" i="117"/>
  <c r="EW5" i="117" s="1"/>
  <c r="BY5" i="117"/>
  <c r="EX5" i="117" s="1"/>
  <c r="CC389" i="115"/>
  <c r="D26" i="123"/>
  <c r="BV275" i="115"/>
  <c r="DO67" i="117" s="1"/>
  <c r="BV1481" i="115"/>
  <c r="BV1482" i="115" s="1"/>
  <c r="BV224" i="115"/>
  <c r="CK366" i="115"/>
  <c r="CK384" i="115" s="1"/>
  <c r="H8" i="123"/>
  <c r="H30" i="123" s="1"/>
  <c r="CL452" i="115"/>
  <c r="BV225" i="115"/>
  <c r="BV273" i="115"/>
  <c r="BN273" i="115"/>
  <c r="L5" i="123"/>
  <c r="P5" i="123"/>
  <c r="D5" i="123"/>
  <c r="CH666" i="115"/>
  <c r="CI666" i="115" s="1"/>
  <c r="BB53" i="117"/>
  <c r="H5" i="123"/>
  <c r="BV20" i="115"/>
  <c r="BV26" i="115" s="1"/>
  <c r="BY1301" i="115"/>
  <c r="BI388" i="115"/>
  <c r="BT1301" i="115"/>
  <c r="CP1307" i="115"/>
  <c r="CR1307" i="115"/>
  <c r="CD388" i="115"/>
  <c r="BR353" i="115"/>
  <c r="BI373" i="115"/>
  <c r="CI154" i="115"/>
  <c r="AC19" i="117"/>
  <c r="AC21" i="117" s="1"/>
  <c r="AC24" i="117" s="1"/>
  <c r="CH699" i="115"/>
  <c r="BR442" i="115"/>
  <c r="BN224" i="115"/>
  <c r="BP1301" i="115"/>
  <c r="BM123" i="115"/>
  <c r="CB1301" i="115"/>
  <c r="CJ388" i="115"/>
  <c r="CG1301" i="115"/>
  <c r="CG1409" i="115" s="1"/>
  <c r="CG1410" i="115" s="1"/>
  <c r="CO1307" i="115"/>
  <c r="CJ1301" i="115"/>
  <c r="CD1150" i="115"/>
  <c r="CH1481" i="115"/>
  <c r="CH1483" i="115" s="1"/>
  <c r="BU5" i="117"/>
  <c r="BU132" i="117" s="1"/>
  <c r="AH53" i="117"/>
  <c r="DG64" i="117" s="1"/>
  <c r="BN275" i="115"/>
  <c r="DG67" i="117" s="1"/>
  <c r="BN223" i="115"/>
  <c r="DG62" i="117" s="1"/>
  <c r="CL1064" i="115"/>
  <c r="CL1065" i="115" s="1"/>
  <c r="CL1311" i="115" s="1"/>
  <c r="CL1312" i="115" s="1"/>
  <c r="BX1301" i="115"/>
  <c r="CD337" i="115"/>
  <c r="CF388" i="115"/>
  <c r="AB9" i="111"/>
  <c r="AB78" i="111" s="1"/>
  <c r="BN364" i="115"/>
  <c r="BN1481" i="115"/>
  <c r="BN1482" i="115" s="1"/>
  <c r="CK457" i="115"/>
  <c r="CK385" i="115"/>
  <c r="BL1301" i="115"/>
  <c r="BL1179" i="115" s="1"/>
  <c r="BL389" i="115"/>
  <c r="BL385" i="115"/>
  <c r="BL366" i="115"/>
  <c r="BL390" i="115"/>
  <c r="BL430" i="115"/>
  <c r="AY247" i="117"/>
  <c r="CC457" i="115"/>
  <c r="CC1150" i="115"/>
  <c r="CG430" i="115"/>
  <c r="CG431" i="115" s="1"/>
  <c r="CG1150" i="115"/>
  <c r="BF228" i="117"/>
  <c r="CJ366" i="115"/>
  <c r="CJ1150" i="115"/>
  <c r="BH430" i="115"/>
  <c r="BH433" i="115" s="1"/>
  <c r="T49" i="123"/>
  <c r="X50" i="123" s="1"/>
  <c r="CG457" i="115"/>
  <c r="BY385" i="115"/>
  <c r="CB430" i="115"/>
  <c r="CB435" i="115" s="1"/>
  <c r="CB1150" i="115"/>
  <c r="CK1150" i="115"/>
  <c r="BR965" i="115"/>
  <c r="BR967" i="115" s="1"/>
  <c r="BR968" i="115" s="1"/>
  <c r="BZ1064" i="115"/>
  <c r="BZ1065" i="115" s="1"/>
  <c r="BZ1311" i="115" s="1"/>
  <c r="BZ1312" i="115" s="1"/>
  <c r="BP39" i="117"/>
  <c r="BV381" i="115"/>
  <c r="BT145" i="115"/>
  <c r="BT799" i="115"/>
  <c r="BR381" i="115"/>
  <c r="CH1109" i="115"/>
  <c r="BQ39" i="117"/>
  <c r="CH1209" i="115"/>
  <c r="BH1483" i="115"/>
  <c r="DA42" i="117" s="1"/>
  <c r="EA19" i="117"/>
  <c r="BM25" i="117"/>
  <c r="X38" i="117"/>
  <c r="X19" i="117"/>
  <c r="X21" i="117" s="1"/>
  <c r="X24" i="117" s="1"/>
  <c r="Y19" i="117"/>
  <c r="Y21" i="117" s="1"/>
  <c r="Y24" i="117" s="1"/>
  <c r="AM24" i="117"/>
  <c r="DL35" i="117"/>
  <c r="AK85" i="117"/>
  <c r="DJ14" i="117"/>
  <c r="AT82" i="117"/>
  <c r="AF85" i="117"/>
  <c r="AL85" i="117"/>
  <c r="CL938" i="115"/>
  <c r="CL939" i="115" s="1"/>
  <c r="CQ930" i="115"/>
  <c r="CH100" i="115"/>
  <c r="CG105" i="115"/>
  <c r="CK105" i="115"/>
  <c r="CJ105" i="115"/>
  <c r="CD100" i="115"/>
  <c r="CC105" i="115"/>
  <c r="CF234" i="115"/>
  <c r="BZ38" i="115"/>
  <c r="CF105" i="115"/>
  <c r="CB105" i="115"/>
  <c r="CH225" i="115"/>
  <c r="CQ100" i="115"/>
  <c r="BR1481" i="115"/>
  <c r="BR1482" i="115" s="1"/>
  <c r="BB102" i="117"/>
  <c r="CR616" i="115"/>
  <c r="AN85" i="117"/>
  <c r="AJ85" i="117"/>
  <c r="AO85" i="117"/>
  <c r="BB85" i="117"/>
  <c r="DC49" i="117"/>
  <c r="CF695" i="115"/>
  <c r="AP82" i="117"/>
  <c r="BR25" i="117"/>
  <c r="BZ691" i="115"/>
  <c r="CB555" i="115"/>
  <c r="CC695" i="115"/>
  <c r="CF616" i="115"/>
  <c r="BN25" i="117"/>
  <c r="CL614" i="115"/>
  <c r="CO695" i="115"/>
  <c r="CH696" i="115"/>
  <c r="BY901" i="115"/>
  <c r="BJ1521" i="115"/>
  <c r="X151" i="123"/>
  <c r="BQ1119" i="115"/>
  <c r="BR225" i="115"/>
  <c r="CH1469" i="115"/>
  <c r="CF1476" i="115"/>
  <c r="BR274" i="115"/>
  <c r="DK71" i="117" s="1"/>
  <c r="BV666" i="115"/>
  <c r="CH735" i="115"/>
  <c r="BZ1134" i="115"/>
  <c r="BT5" i="117"/>
  <c r="BZ1559" i="115"/>
  <c r="BF76" i="117"/>
  <c r="BW154" i="115"/>
  <c r="CN934" i="115"/>
  <c r="CD547" i="115"/>
  <c r="BR452" i="115"/>
  <c r="BR451" i="115"/>
  <c r="AC55" i="117"/>
  <c r="AC81" i="117" s="1"/>
  <c r="BR453" i="115"/>
  <c r="BA138" i="117"/>
  <c r="BB138" i="117" s="1"/>
  <c r="CC520" i="115"/>
  <c r="DS43" i="117"/>
  <c r="BR1521" i="115"/>
  <c r="BJ264" i="115"/>
  <c r="CB123" i="115"/>
  <c r="CD545" i="115"/>
  <c r="BN1118" i="115"/>
  <c r="BQ1482" i="115"/>
  <c r="BN101" i="117"/>
  <c r="BN352" i="115"/>
  <c r="BN453" i="115" s="1"/>
  <c r="BR1134" i="115"/>
  <c r="BA55" i="117"/>
  <c r="CP1558" i="115"/>
  <c r="CP1559" i="115" s="1"/>
  <c r="CP1562" i="115" s="1"/>
  <c r="CA25" i="115"/>
  <c r="BS284" i="115"/>
  <c r="CY687" i="115"/>
  <c r="AV107" i="117"/>
  <c r="DJ25" i="117"/>
  <c r="BR973" i="115"/>
  <c r="BR980" i="115" s="1"/>
  <c r="CN672" i="115"/>
  <c r="BR223" i="115"/>
  <c r="DK62" i="117" s="1"/>
  <c r="CH491" i="115"/>
  <c r="CH364" i="115"/>
  <c r="AA52" i="111"/>
  <c r="AA65" i="111" s="1"/>
  <c r="BX901" i="115"/>
  <c r="CP53" i="115"/>
  <c r="CQ25" i="115"/>
  <c r="BV1064" i="115"/>
  <c r="BV1065" i="115" s="1"/>
  <c r="BV1311" i="115" s="1"/>
  <c r="BV1312" i="115" s="1"/>
  <c r="CQ31" i="115"/>
  <c r="CP55" i="115"/>
  <c r="BZ1517" i="115"/>
  <c r="BZ1519" i="115" s="1"/>
  <c r="CM118" i="115"/>
  <c r="CQ118" i="115"/>
  <c r="D8" i="123"/>
  <c r="BR273" i="115"/>
  <c r="AX82" i="117"/>
  <c r="BR364" i="115"/>
  <c r="CH260" i="115"/>
  <c r="T8" i="123"/>
  <c r="CH973" i="115"/>
  <c r="CH980" i="115" s="1"/>
  <c r="CH981" i="115" s="1"/>
  <c r="AR65" i="117"/>
  <c r="BT123" i="115"/>
  <c r="L18" i="123"/>
  <c r="CB492" i="115"/>
  <c r="DE11" i="117"/>
  <c r="DE13" i="117" s="1"/>
  <c r="AT59" i="117"/>
  <c r="AT85" i="117" s="1"/>
  <c r="BH1307" i="115"/>
  <c r="BR275" i="115"/>
  <c r="DK67" i="117" s="1"/>
  <c r="X9" i="111"/>
  <c r="X13" i="111" s="1"/>
  <c r="BJ1281" i="115"/>
  <c r="BJ1288" i="115" s="1"/>
  <c r="BJ1301" i="115" s="1"/>
  <c r="BJ1307" i="115" s="1"/>
  <c r="CP735" i="115"/>
  <c r="CH273" i="115"/>
  <c r="CH274" i="115"/>
  <c r="EA71" i="117" s="1"/>
  <c r="CL736" i="115"/>
  <c r="CP736" i="115"/>
  <c r="CN1204" i="115"/>
  <c r="CN1205" i="115" s="1"/>
  <c r="CP1064" i="115"/>
  <c r="CP1065" i="115" s="1"/>
  <c r="CP1311" i="115" s="1"/>
  <c r="CP1312" i="115" s="1"/>
  <c r="BS154" i="115"/>
  <c r="CE31" i="115"/>
  <c r="CO50" i="115"/>
  <c r="BR224" i="115"/>
  <c r="CF1332" i="115"/>
  <c r="CH1332" i="115" s="1"/>
  <c r="CH1334" i="115" s="1"/>
  <c r="CH1336" i="115" s="1"/>
  <c r="CL311" i="115"/>
  <c r="CL312" i="115" s="1"/>
  <c r="CC377" i="115"/>
  <c r="CH224" i="115"/>
  <c r="CH275" i="115"/>
  <c r="EA67" i="117" s="1"/>
  <c r="BH1521" i="115"/>
  <c r="DA44" i="117"/>
  <c r="BY1119" i="115"/>
  <c r="AL53" i="117"/>
  <c r="DK64" i="117" s="1"/>
  <c r="CC1482" i="115"/>
  <c r="BQ981" i="115"/>
  <c r="CQ665" i="115"/>
  <c r="CP493" i="115"/>
  <c r="CP497" i="115" s="1"/>
  <c r="CO494" i="115"/>
  <c r="CM916" i="115"/>
  <c r="CQ916" i="115"/>
  <c r="CQ19" i="115"/>
  <c r="CP49" i="115"/>
  <c r="CQ692" i="115"/>
  <c r="CP696" i="115"/>
  <c r="CQ150" i="115"/>
  <c r="CQ154" i="115"/>
  <c r="CK957" i="115"/>
  <c r="CO957" i="115"/>
  <c r="CP1077" i="115"/>
  <c r="CP1078" i="115" s="1"/>
  <c r="AB115" i="123"/>
  <c r="AB62" i="123"/>
  <c r="AB137" i="123"/>
  <c r="AB84" i="123"/>
  <c r="BE67" i="117"/>
  <c r="CL442" i="115"/>
  <c r="CK588" i="115"/>
  <c r="CK571" i="115"/>
  <c r="BT981" i="115"/>
  <c r="BP745" i="115"/>
  <c r="AN67" i="117"/>
  <c r="CH1281" i="115"/>
  <c r="CH1288" i="115" s="1"/>
  <c r="CL567" i="115"/>
  <c r="CJ572" i="115"/>
  <c r="DA1105" i="115"/>
  <c r="X5" i="123"/>
  <c r="BZ655" i="115"/>
  <c r="CL967" i="115"/>
  <c r="CL968" i="115" s="1"/>
  <c r="AK146" i="117"/>
  <c r="BH389" i="115"/>
  <c r="AO67" i="117"/>
  <c r="CG373" i="115"/>
  <c r="CH373" i="115" s="1"/>
  <c r="CG388" i="115"/>
  <c r="BE52" i="117"/>
  <c r="CG389" i="115"/>
  <c r="AC10" i="111"/>
  <c r="AB10" i="111"/>
  <c r="AK67" i="117"/>
  <c r="P50" i="123"/>
  <c r="BH366" i="115"/>
  <c r="CH372" i="115"/>
  <c r="CF1007" i="115"/>
  <c r="CF1008" i="115" s="1"/>
  <c r="P102" i="123"/>
  <c r="T103" i="123" s="1"/>
  <c r="CL844" i="115"/>
  <c r="CM844" i="115" s="1"/>
  <c r="CJ554" i="115"/>
  <c r="CJ555" i="115" s="1"/>
  <c r="CL699" i="115"/>
  <c r="AA10" i="111"/>
  <c r="AV138" i="117"/>
  <c r="CL453" i="115"/>
  <c r="CK26" i="115"/>
  <c r="CO54" i="115" s="1"/>
  <c r="BZ53" i="115"/>
  <c r="CJ50" i="115"/>
  <c r="BU1521" i="115"/>
  <c r="CD581" i="115"/>
  <c r="AL76" i="117"/>
  <c r="CL353" i="115"/>
  <c r="BV1134" i="115"/>
  <c r="AF55" i="117"/>
  <c r="AJ81" i="117" s="1"/>
  <c r="BW352" i="115"/>
  <c r="CL354" i="115"/>
  <c r="Z50" i="111"/>
  <c r="Z63" i="111" s="1"/>
  <c r="BB76" i="117"/>
  <c r="BD65" i="117"/>
  <c r="CH655" i="115"/>
  <c r="CM31" i="115"/>
  <c r="BX799" i="115"/>
  <c r="BY145" i="115"/>
  <c r="BT32" i="115"/>
  <c r="CC390" i="115"/>
  <c r="BT901" i="115"/>
  <c r="BW25" i="115"/>
  <c r="BT373" i="115"/>
  <c r="BN409" i="115"/>
  <c r="BN413" i="115" s="1"/>
  <c r="BN1326" i="115" s="1"/>
  <c r="BN1328" i="115" s="1"/>
  <c r="CJ957" i="115"/>
  <c r="AW77" i="117"/>
  <c r="BN138" i="117"/>
  <c r="BB18" i="117"/>
  <c r="BT390" i="115"/>
  <c r="CL1119" i="115"/>
  <c r="X157" i="123" s="1"/>
  <c r="AC52" i="111"/>
  <c r="AC65" i="111" s="1"/>
  <c r="CL273" i="115"/>
  <c r="X50" i="111"/>
  <c r="X63" i="111" s="1"/>
  <c r="BV372" i="115"/>
  <c r="AZ16" i="117"/>
  <c r="AW55" i="117"/>
  <c r="AW81" i="117" s="1"/>
  <c r="BR655" i="115"/>
  <c r="CH55" i="115"/>
  <c r="CH264" i="115"/>
  <c r="DM25" i="117"/>
  <c r="CN957" i="115"/>
  <c r="BN49" i="115"/>
  <c r="BL446" i="115"/>
  <c r="BI956" i="115"/>
  <c r="CE352" i="115"/>
  <c r="BQ492" i="115"/>
  <c r="BL956" i="115"/>
  <c r="BL812" i="115"/>
  <c r="BM807" i="115"/>
  <c r="BM811" i="115" s="1"/>
  <c r="BE80" i="117"/>
  <c r="AX76" i="117"/>
  <c r="AH76" i="117"/>
  <c r="CG32" i="115"/>
  <c r="BY123" i="115"/>
  <c r="BY430" i="115"/>
  <c r="BY433" i="115" s="1"/>
  <c r="T5" i="123"/>
  <c r="AB52" i="111"/>
  <c r="AB65" i="111" s="1"/>
  <c r="BV832" i="115"/>
  <c r="CA832" i="115" s="1"/>
  <c r="CB1007" i="115"/>
  <c r="CI31" i="115"/>
  <c r="CL502" i="115"/>
  <c r="CB228" i="115"/>
  <c r="CF53" i="115"/>
  <c r="AV146" i="117"/>
  <c r="BP492" i="115"/>
  <c r="CA19" i="115"/>
  <c r="BD81" i="117"/>
  <c r="AA98" i="111"/>
  <c r="BQ377" i="115"/>
  <c r="BF175" i="117"/>
  <c r="BF222" i="117" s="1"/>
  <c r="AV235" i="117"/>
  <c r="BX1119" i="115"/>
  <c r="CG123" i="115"/>
  <c r="BI1179" i="115"/>
  <c r="BJ1119" i="115"/>
  <c r="DC11" i="117" s="1"/>
  <c r="DC13" i="117" s="1"/>
  <c r="BJ1118" i="115"/>
  <c r="DC12" i="117" s="1"/>
  <c r="DC14" i="117" s="1"/>
  <c r="BU123" i="115"/>
  <c r="CG547" i="115"/>
  <c r="CG549" i="115" s="1"/>
  <c r="BH373" i="115"/>
  <c r="BD32" i="115"/>
  <c r="CG1169" i="115"/>
  <c r="CG1171" i="115" s="1"/>
  <c r="CG1159" i="115" s="1"/>
  <c r="BZ49" i="115"/>
  <c r="H18" i="123"/>
  <c r="BH388" i="115"/>
  <c r="CH792" i="115"/>
  <c r="CH793" i="115" s="1"/>
  <c r="BN27" i="117"/>
  <c r="BR373" i="115"/>
  <c r="CJ227" i="115"/>
  <c r="BQ228" i="115"/>
  <c r="BT1204" i="115"/>
  <c r="BT1205" i="115" s="1"/>
  <c r="DB44" i="117"/>
  <c r="BU373" i="115"/>
  <c r="BU493" i="115"/>
  <c r="BU494" i="115" s="1"/>
  <c r="AZ80" i="117"/>
  <c r="AV15" i="117"/>
  <c r="AZ65" i="117" s="1"/>
  <c r="CB26" i="115"/>
  <c r="BQ1445" i="115"/>
  <c r="CG798" i="115"/>
  <c r="AB50" i="111"/>
  <c r="AB63" i="111" s="1"/>
  <c r="CF390" i="115"/>
  <c r="BN20" i="115"/>
  <c r="CD1444" i="115"/>
  <c r="AA17" i="111" s="1"/>
  <c r="EM83" i="117"/>
  <c r="CH235" i="115"/>
  <c r="AB35" i="123"/>
  <c r="CF373" i="115"/>
  <c r="CF377" i="115" s="1"/>
  <c r="CJ123" i="115"/>
  <c r="CH1558" i="115"/>
  <c r="CH1559" i="115" s="1"/>
  <c r="CB520" i="115"/>
  <c r="N17" i="123"/>
  <c r="CL119" i="115"/>
  <c r="CL696" i="115"/>
  <c r="BS1422" i="115"/>
  <c r="CJ373" i="115"/>
  <c r="BB15" i="117"/>
  <c r="BB223" i="117" s="1"/>
  <c r="BV1118" i="115"/>
  <c r="BV442" i="115"/>
  <c r="BV354" i="115"/>
  <c r="AP55" i="117" s="1"/>
  <c r="CF493" i="115"/>
  <c r="CF497" i="115" s="1"/>
  <c r="AO55" i="117"/>
  <c r="AA27" i="111"/>
  <c r="CH1478" i="115"/>
  <c r="CH1445" i="115" s="1"/>
  <c r="AB18" i="111" s="1"/>
  <c r="AA16" i="123"/>
  <c r="AA62" i="123"/>
  <c r="AA115" i="123"/>
  <c r="BM229" i="115"/>
  <c r="BV1209" i="115"/>
  <c r="CL520" i="115"/>
  <c r="X17" i="123"/>
  <c r="CD453" i="115"/>
  <c r="BV451" i="115"/>
  <c r="CL53" i="115"/>
  <c r="DS19" i="117"/>
  <c r="BV1332" i="115"/>
  <c r="BV1334" i="115" s="1"/>
  <c r="BV1336" i="115" s="1"/>
  <c r="BZ1209" i="115"/>
  <c r="CL269" i="115"/>
  <c r="CF520" i="115"/>
  <c r="AZ39" i="117" s="1"/>
  <c r="R17" i="123"/>
  <c r="CC493" i="115"/>
  <c r="BZ1119" i="115"/>
  <c r="CK1479" i="115"/>
  <c r="AI16" i="123"/>
  <c r="AI115" i="123"/>
  <c r="AI62" i="123"/>
  <c r="CJ520" i="115"/>
  <c r="V17" i="123"/>
  <c r="CK50" i="115"/>
  <c r="CC227" i="115"/>
  <c r="BT1119" i="115"/>
  <c r="DM11" i="117" s="1"/>
  <c r="DM13" i="117" s="1"/>
  <c r="BR1119" i="115"/>
  <c r="DK11" i="117" s="1"/>
  <c r="DK13" i="117" s="1"/>
  <c r="BJ1479" i="115"/>
  <c r="CG956" i="115"/>
  <c r="CL274" i="115"/>
  <c r="EE71" i="117" s="1"/>
  <c r="CG901" i="115"/>
  <c r="BZ1109" i="115"/>
  <c r="CF957" i="115"/>
  <c r="CG50" i="115"/>
  <c r="CK123" i="115"/>
  <c r="CM692" i="115"/>
  <c r="BP696" i="115"/>
  <c r="BL229" i="115"/>
  <c r="DO19" i="117"/>
  <c r="BV1109" i="115"/>
  <c r="CD451" i="115"/>
  <c r="BV452" i="115"/>
  <c r="AK55" i="117"/>
  <c r="W16" i="123"/>
  <c r="W62" i="123"/>
  <c r="W115" i="123"/>
  <c r="CC1288" i="115"/>
  <c r="CD1281" i="115"/>
  <c r="CD1288" i="115" s="1"/>
  <c r="L102" i="123"/>
  <c r="CL924" i="115"/>
  <c r="CK874" i="115"/>
  <c r="BE149" i="117"/>
  <c r="BA176" i="117"/>
  <c r="CG875" i="115"/>
  <c r="CG942" i="115" s="1"/>
  <c r="CG366" i="115"/>
  <c r="CG390" i="115"/>
  <c r="BN337" i="115"/>
  <c r="CG385" i="115"/>
  <c r="BY1445" i="115"/>
  <c r="CL1134" i="115"/>
  <c r="BE78" i="117"/>
  <c r="BQ145" i="115"/>
  <c r="EE19" i="117"/>
  <c r="BY1315" i="115"/>
  <c r="CG493" i="115"/>
  <c r="CG497" i="115" s="1"/>
  <c r="CN50" i="115"/>
  <c r="BA52" i="117"/>
  <c r="BA77" i="117" s="1"/>
  <c r="BZ1118" i="115"/>
  <c r="DG49" i="117"/>
  <c r="CK503" i="115"/>
  <c r="BY416" i="115"/>
  <c r="CA844" i="115"/>
  <c r="CC228" i="115"/>
  <c r="AO78" i="117"/>
  <c r="BI1307" i="115"/>
  <c r="BV453" i="115"/>
  <c r="BY1169" i="115"/>
  <c r="BY1171" i="115" s="1"/>
  <c r="BZ55" i="115"/>
  <c r="CJ1203" i="115"/>
  <c r="CL491" i="115"/>
  <c r="BT229" i="115"/>
  <c r="BF192" i="117"/>
  <c r="BF102" i="117" s="1"/>
  <c r="CL260" i="115"/>
  <c r="CL973" i="115"/>
  <c r="CL980" i="115" s="1"/>
  <c r="CD373" i="115"/>
  <c r="BP227" i="115"/>
  <c r="CF554" i="115"/>
  <c r="BT227" i="115"/>
  <c r="AC9" i="111"/>
  <c r="CC446" i="115"/>
  <c r="CL275" i="115"/>
  <c r="EE67" i="117" s="1"/>
  <c r="BT435" i="115"/>
  <c r="BT388" i="115"/>
  <c r="DV64" i="117"/>
  <c r="CD354" i="115"/>
  <c r="M95" i="123"/>
  <c r="AS65" i="117"/>
  <c r="CL223" i="115"/>
  <c r="EE62" i="117" s="1"/>
  <c r="BA78" i="117"/>
  <c r="CH1350" i="115"/>
  <c r="CH1352" i="115" s="1"/>
  <c r="CC1445" i="115"/>
  <c r="CD353" i="115"/>
  <c r="CL224" i="115"/>
  <c r="X8" i="123"/>
  <c r="BF101" i="117"/>
  <c r="CC366" i="115"/>
  <c r="BF53" i="117"/>
  <c r="EE64" i="117" s="1"/>
  <c r="AN78" i="117"/>
  <c r="CL364" i="115"/>
  <c r="CL1481" i="115"/>
  <c r="CM154" i="115"/>
  <c r="BY799" i="115"/>
  <c r="BY366" i="115"/>
  <c r="DI64" i="117"/>
  <c r="CF389" i="115"/>
  <c r="CN503" i="115"/>
  <c r="D49" i="123"/>
  <c r="CC385" i="115"/>
  <c r="BY457" i="115"/>
  <c r="AH82" i="117"/>
  <c r="CD442" i="115"/>
  <c r="CF431" i="115"/>
  <c r="BT492" i="115"/>
  <c r="CF227" i="115"/>
  <c r="AJ52" i="117"/>
  <c r="AN77" i="117" s="1"/>
  <c r="X10" i="111"/>
  <c r="CF229" i="115"/>
  <c r="BZ1444" i="115"/>
  <c r="CC430" i="115"/>
  <c r="CC432" i="115" s="1"/>
  <c r="CL225" i="115"/>
  <c r="BN1119" i="115"/>
  <c r="CG1119" i="115"/>
  <c r="BN381" i="115"/>
  <c r="BV1281" i="115"/>
  <c r="BV1288" i="115" s="1"/>
  <c r="BU1288" i="115"/>
  <c r="BU1119" i="115"/>
  <c r="CD381" i="115"/>
  <c r="DN12" i="117"/>
  <c r="CJ1119" i="115"/>
  <c r="CL951" i="115"/>
  <c r="CQ951" i="115" s="1"/>
  <c r="CA150" i="115"/>
  <c r="CF931" i="115"/>
  <c r="CG935" i="115" s="1"/>
  <c r="CF924" i="115"/>
  <c r="CF874" i="115" s="1"/>
  <c r="BH457" i="115"/>
  <c r="CB366" i="115"/>
  <c r="CC492" i="115"/>
  <c r="AX104" i="117"/>
  <c r="BH390" i="115"/>
  <c r="CC229" i="115"/>
  <c r="CB981" i="115"/>
  <c r="CI150" i="115"/>
  <c r="BR1469" i="115"/>
  <c r="BR1444" i="115"/>
  <c r="BQ227" i="115"/>
  <c r="BH385" i="115"/>
  <c r="CI692" i="115"/>
  <c r="CJ698" i="115"/>
  <c r="CB493" i="115"/>
  <c r="CB497" i="115" s="1"/>
  <c r="BD146" i="117"/>
  <c r="X27" i="111"/>
  <c r="CB170" i="115"/>
  <c r="CM19" i="115"/>
  <c r="CC1119" i="115"/>
  <c r="CI19" i="115"/>
  <c r="CL264" i="115"/>
  <c r="CH20" i="115"/>
  <c r="CI20" i="115" s="1"/>
  <c r="BH227" i="115"/>
  <c r="BX735" i="115"/>
  <c r="CJ901" i="115"/>
  <c r="CH49" i="115"/>
  <c r="AB55" i="117"/>
  <c r="AB81" i="117" s="1"/>
  <c r="BF18" i="117"/>
  <c r="CJ672" i="115"/>
  <c r="BY1007" i="115"/>
  <c r="CM665" i="115"/>
  <c r="AD57" i="111"/>
  <c r="CK672" i="115"/>
  <c r="BT431" i="115"/>
  <c r="BF218" i="117"/>
  <c r="BN235" i="115"/>
  <c r="CJ1007" i="115"/>
  <c r="CJ1008" i="115" s="1"/>
  <c r="AR55" i="117"/>
  <c r="AR81" i="117" s="1"/>
  <c r="CM905" i="115"/>
  <c r="BV1350" i="115"/>
  <c r="BV1352" i="115" s="1"/>
  <c r="BT433" i="115"/>
  <c r="T18" i="123"/>
  <c r="CN170" i="115"/>
  <c r="AH27" i="117"/>
  <c r="AZ78" i="117"/>
  <c r="CL55" i="115"/>
  <c r="BR1064" i="115"/>
  <c r="AW67" i="117"/>
  <c r="DC19" i="117"/>
  <c r="BJ1209" i="115"/>
  <c r="CL20" i="115"/>
  <c r="CA31" i="115"/>
  <c r="BY390" i="115"/>
  <c r="BY389" i="115"/>
  <c r="BM1288" i="115"/>
  <c r="BN1281" i="115"/>
  <c r="BN1288" i="115" s="1"/>
  <c r="DF12" i="117"/>
  <c r="BM1119" i="115"/>
  <c r="BR55" i="115"/>
  <c r="CD965" i="115"/>
  <c r="CD967" i="115" s="1"/>
  <c r="CD968" i="115" s="1"/>
  <c r="AV55" i="117"/>
  <c r="CL666" i="115"/>
  <c r="CQ666" i="115" s="1"/>
  <c r="CM25" i="115"/>
  <c r="BT698" i="115"/>
  <c r="BH1119" i="115"/>
  <c r="DA11" i="117" s="1"/>
  <c r="DA13" i="117" s="1"/>
  <c r="BH1179" i="115"/>
  <c r="BH1252" i="115"/>
  <c r="CD1118" i="115"/>
  <c r="BN264" i="115"/>
  <c r="CD1109" i="115"/>
  <c r="CE154" i="115"/>
  <c r="CL1521" i="115"/>
  <c r="CD55" i="115"/>
  <c r="BY388" i="115"/>
  <c r="BY373" i="115"/>
  <c r="BZ372" i="115"/>
  <c r="CL49" i="115"/>
  <c r="CB1482" i="115"/>
  <c r="BZ491" i="115"/>
  <c r="CB698" i="115"/>
  <c r="CB754" i="115"/>
  <c r="CB615" i="115" s="1"/>
  <c r="CH740" i="115"/>
  <c r="CH744" i="115" s="1"/>
  <c r="CI665" i="115"/>
  <c r="CD1209" i="115"/>
  <c r="BB175" i="117"/>
  <c r="AS80" i="117"/>
  <c r="CB145" i="115"/>
  <c r="BL919" i="115"/>
  <c r="BI919" i="115"/>
  <c r="BJ916" i="115"/>
  <c r="AO17" i="117"/>
  <c r="CJ1332" i="115"/>
  <c r="CL1332" i="115" s="1"/>
  <c r="CL1331" i="115"/>
  <c r="DB25" i="117"/>
  <c r="AC146" i="117"/>
  <c r="CC170" i="115"/>
  <c r="CC1169" i="115"/>
  <c r="CC1171" i="115" s="1"/>
  <c r="DS41" i="117"/>
  <c r="CB385" i="115"/>
  <c r="DU64" i="117"/>
  <c r="CN492" i="115"/>
  <c r="CR500" i="115" s="1"/>
  <c r="BN1134" i="115"/>
  <c r="CN695" i="115"/>
  <c r="CL952" i="115"/>
  <c r="AC67" i="117"/>
  <c r="CK956" i="115"/>
  <c r="BJ23" i="117"/>
  <c r="BJ242" i="117" s="1"/>
  <c r="BR1423" i="115"/>
  <c r="BW1422" i="115"/>
  <c r="BH250" i="115"/>
  <c r="AW146" i="117"/>
  <c r="BY227" i="115"/>
  <c r="BA67" i="117"/>
  <c r="CJ695" i="115"/>
  <c r="CF32" i="115"/>
  <c r="BH1203" i="115"/>
  <c r="BT754" i="115"/>
  <c r="CN956" i="115"/>
  <c r="CC145" i="115"/>
  <c r="CI916" i="115"/>
  <c r="CB457" i="115"/>
  <c r="BV655" i="115"/>
  <c r="BX1517" i="115"/>
  <c r="BX1519" i="115" s="1"/>
  <c r="AR59" i="117"/>
  <c r="AR85" i="117" s="1"/>
  <c r="AK52" i="117"/>
  <c r="AK77" i="117" s="1"/>
  <c r="DJ64" i="117"/>
  <c r="BP126" i="117"/>
  <c r="BP172" i="117" s="1"/>
  <c r="BP216" i="117" s="1"/>
  <c r="EO5" i="117"/>
  <c r="BP132" i="117"/>
  <c r="BQ493" i="115"/>
  <c r="BT494" i="115" s="1"/>
  <c r="BN951" i="115"/>
  <c r="AW235" i="117"/>
  <c r="CB227" i="115"/>
  <c r="DB45" i="117"/>
  <c r="BN952" i="115"/>
  <c r="CJ754" i="115"/>
  <c r="BT695" i="115"/>
  <c r="CB390" i="115"/>
  <c r="DR25" i="117"/>
  <c r="AS67" i="117"/>
  <c r="AS146" i="117"/>
  <c r="AS154" i="117" s="1"/>
  <c r="AT18" i="117"/>
  <c r="Z52" i="111"/>
  <c r="Z65" i="111" s="1"/>
  <c r="CB1479" i="115"/>
  <c r="BA103" i="117"/>
  <c r="CD270" i="115"/>
  <c r="DW73" i="117" s="1"/>
  <c r="CD264" i="115"/>
  <c r="BX54" i="115"/>
  <c r="BM956" i="115"/>
  <c r="CK492" i="115"/>
  <c r="CK170" i="115"/>
  <c r="CK1203" i="115"/>
  <c r="CF901" i="115"/>
  <c r="BQ123" i="115"/>
  <c r="AT94" i="117"/>
  <c r="AX80" i="117" s="1"/>
  <c r="AD15" i="117"/>
  <c r="AD16" i="117" s="1"/>
  <c r="AD17" i="117" s="1"/>
  <c r="V50" i="111"/>
  <c r="V63" i="111" s="1"/>
  <c r="AZ222" i="117"/>
  <c r="CD1478" i="115"/>
  <c r="CE120" i="115"/>
  <c r="AK78" i="117"/>
  <c r="EP5" i="117"/>
  <c r="BQ132" i="117"/>
  <c r="BQ126" i="117"/>
  <c r="BQ172" i="117" s="1"/>
  <c r="BQ216" i="117" s="1"/>
  <c r="BZ549" i="115"/>
  <c r="CL740" i="115"/>
  <c r="CL744" i="115" s="1"/>
  <c r="BZ273" i="115"/>
  <c r="CE158" i="115"/>
  <c r="BZ1481" i="115"/>
  <c r="CE1481" i="115" s="1"/>
  <c r="L8" i="123"/>
  <c r="BZ225" i="115"/>
  <c r="CM843" i="115"/>
  <c r="Z9" i="111"/>
  <c r="Z78" i="111" s="1"/>
  <c r="BG118" i="117"/>
  <c r="BZ223" i="115"/>
  <c r="DS62" i="117" s="1"/>
  <c r="BZ364" i="115"/>
  <c r="BZ274" i="115"/>
  <c r="DS71" i="117" s="1"/>
  <c r="CA154" i="115"/>
  <c r="BZ224" i="115"/>
  <c r="D109" i="123"/>
  <c r="D110" i="123" s="1"/>
  <c r="AT53" i="117"/>
  <c r="BZ275" i="115"/>
  <c r="DS67" i="117" s="1"/>
  <c r="Z31" i="111"/>
  <c r="BZ973" i="115"/>
  <c r="BZ980" i="115" s="1"/>
  <c r="CD981" i="115" s="1"/>
  <c r="CK799" i="115"/>
  <c r="DM57" i="117"/>
  <c r="BJ452" i="115"/>
  <c r="BW150" i="115"/>
  <c r="BV1478" i="115"/>
  <c r="BV1445" i="115" s="1"/>
  <c r="CK981" i="115"/>
  <c r="CK554" i="115"/>
  <c r="CG1483" i="115"/>
  <c r="BR12" i="117"/>
  <c r="BR221" i="117" s="1"/>
  <c r="BV230" i="117" s="1"/>
  <c r="CN229" i="115"/>
  <c r="AN80" i="117"/>
  <c r="BJ655" i="115"/>
  <c r="CE1417" i="115"/>
  <c r="BS832" i="115"/>
  <c r="BM50" i="115"/>
  <c r="BY34" i="115"/>
  <c r="CK1483" i="115"/>
  <c r="CK1482" i="115"/>
  <c r="CL381" i="115"/>
  <c r="CB373" i="115"/>
  <c r="BP123" i="115"/>
  <c r="BH967" i="115"/>
  <c r="BH968" i="115" s="1"/>
  <c r="BJ965" i="115"/>
  <c r="BJ967" i="115" s="1"/>
  <c r="BJ968" i="115" s="1"/>
  <c r="AD18" i="117"/>
  <c r="V52" i="111"/>
  <c r="V65" i="111" s="1"/>
  <c r="CB389" i="115"/>
  <c r="BR365" i="115"/>
  <c r="BT1159" i="115"/>
  <c r="BT1169" i="115"/>
  <c r="BT1170" i="115" s="1"/>
  <c r="BT1158" i="115"/>
  <c r="BR53" i="115"/>
  <c r="BP388" i="115"/>
  <c r="BZ1480" i="115"/>
  <c r="CB388" i="115"/>
  <c r="BR1281" i="115"/>
  <c r="BR1288" i="115" s="1"/>
  <c r="BQ1288" i="115"/>
  <c r="BL1204" i="115"/>
  <c r="BL1205" i="115" s="1"/>
  <c r="BN1064" i="115"/>
  <c r="BR1478" i="115"/>
  <c r="BZ1479" i="115"/>
  <c r="BJ274" i="115"/>
  <c r="DC71" i="117" s="1"/>
  <c r="AD53" i="117"/>
  <c r="V9" i="111"/>
  <c r="BJ275" i="115"/>
  <c r="DC67" i="117" s="1"/>
  <c r="BJ225" i="115"/>
  <c r="BJ223" i="115"/>
  <c r="DC62" i="117" s="1"/>
  <c r="BJ364" i="115"/>
  <c r="BJ224" i="115"/>
  <c r="BJ973" i="115"/>
  <c r="BJ980" i="115" s="1"/>
  <c r="BJ981" i="115" s="1"/>
  <c r="BJ273" i="115"/>
  <c r="BJ1481" i="115"/>
  <c r="BJ1482" i="115" s="1"/>
  <c r="AP27" i="117"/>
  <c r="CD365" i="115"/>
  <c r="CE150" i="115"/>
  <c r="BL227" i="115"/>
  <c r="CI352" i="115"/>
  <c r="BH1159" i="115"/>
  <c r="BH1158" i="115"/>
  <c r="BH1169" i="115"/>
  <c r="BH1170" i="115" s="1"/>
  <c r="CL1423" i="115"/>
  <c r="AC34" i="111"/>
  <c r="AC33" i="111" s="1"/>
  <c r="CL1484" i="115"/>
  <c r="EE42" i="117" s="1"/>
  <c r="CK1429" i="115"/>
  <c r="CL1429" i="115" s="1"/>
  <c r="CL1430" i="115"/>
  <c r="BL23" i="117"/>
  <c r="BL242" i="117" s="1"/>
  <c r="BM672" i="115"/>
  <c r="BL672" i="115"/>
  <c r="AG146" i="117"/>
  <c r="DF25" i="117"/>
  <c r="AG67" i="117"/>
  <c r="AT190" i="117"/>
  <c r="BM170" i="115"/>
  <c r="AW138" i="117"/>
  <c r="CP1609" i="115"/>
  <c r="BW120" i="115"/>
  <c r="AD83" i="111"/>
  <c r="BL26" i="115"/>
  <c r="L131" i="123"/>
  <c r="L78" i="123"/>
  <c r="BW596" i="115"/>
  <c r="AF78" i="117"/>
  <c r="BV1609" i="115"/>
  <c r="BT366" i="115"/>
  <c r="AC31" i="111"/>
  <c r="CM352" i="115"/>
  <c r="CH452" i="115"/>
  <c r="CH453" i="115"/>
  <c r="DO43" i="117"/>
  <c r="W52" i="111"/>
  <c r="X76" i="111" s="1"/>
  <c r="AH18" i="117"/>
  <c r="AL67" i="117" s="1"/>
  <c r="BN55" i="115"/>
  <c r="CD235" i="115"/>
  <c r="X18" i="123"/>
  <c r="BR119" i="115"/>
  <c r="CH354" i="115"/>
  <c r="CM150" i="115"/>
  <c r="CU282" i="115"/>
  <c r="BP234" i="115"/>
  <c r="BR235" i="115"/>
  <c r="BP1521" i="115"/>
  <c r="CC549" i="115"/>
  <c r="CD549" i="115" s="1"/>
  <c r="BN365" i="115"/>
  <c r="BV119" i="115"/>
  <c r="CA120" i="115"/>
  <c r="AP94" i="117"/>
  <c r="BD67" i="117"/>
  <c r="AZ67" i="117"/>
  <c r="AZ146" i="117"/>
  <c r="Y29" i="111"/>
  <c r="Y31" i="111"/>
  <c r="BZ1301" i="115"/>
  <c r="BZ1252" i="115" s="1"/>
  <c r="BZ311" i="115"/>
  <c r="BZ312" i="115" s="1"/>
  <c r="CH353" i="115"/>
  <c r="CH451" i="115"/>
  <c r="AE89" i="111"/>
  <c r="BX1332" i="115"/>
  <c r="BZ1332" i="115" s="1"/>
  <c r="BZ1334" i="115" s="1"/>
  <c r="BZ1336" i="115" s="1"/>
  <c r="Y38" i="117"/>
  <c r="CL1478" i="115"/>
  <c r="CL1479" i="115" s="1"/>
  <c r="AJ67" i="117"/>
  <c r="AF146" i="117"/>
  <c r="DE25" i="117"/>
  <c r="Z15" i="117"/>
  <c r="Z17" i="117" s="1"/>
  <c r="BJ53" i="115"/>
  <c r="BB27" i="117"/>
  <c r="BT957" i="115"/>
  <c r="BP951" i="115"/>
  <c r="BP955" i="115" s="1"/>
  <c r="BZ270" i="115"/>
  <c r="DS73" i="117" s="1"/>
  <c r="BZ264" i="115"/>
  <c r="DQ25" i="117"/>
  <c r="AR146" i="117"/>
  <c r="AR67" i="117"/>
  <c r="AV67" i="117"/>
  <c r="CP1397" i="115"/>
  <c r="BX123" i="115"/>
  <c r="CJ500" i="115"/>
  <c r="BE16" i="117"/>
  <c r="Z18" i="117"/>
  <c r="BJ55" i="115"/>
  <c r="BP145" i="115"/>
  <c r="BS662" i="115"/>
  <c r="BQ1203" i="115"/>
  <c r="AC96" i="111"/>
  <c r="AC116" i="111" s="1"/>
  <c r="CK145" i="115"/>
  <c r="BY1483" i="115"/>
  <c r="DR42" i="117" s="1"/>
  <c r="BV264" i="115"/>
  <c r="CG229" i="115"/>
  <c r="CD930" i="115"/>
  <c r="BF15" i="117"/>
  <c r="BF223" i="117" s="1"/>
  <c r="AC50" i="111"/>
  <c r="AC63" i="111" s="1"/>
  <c r="BU1204" i="115"/>
  <c r="BU1205" i="115" s="1"/>
  <c r="AC138" i="111"/>
  <c r="CB1158" i="115"/>
  <c r="CB1169" i="115"/>
  <c r="AX27" i="117"/>
  <c r="AL94" i="117"/>
  <c r="CJ389" i="115"/>
  <c r="BP1332" i="115"/>
  <c r="BR1332" i="115" s="1"/>
  <c r="BR1331" i="115"/>
  <c r="CF1204" i="115"/>
  <c r="CH1064" i="115"/>
  <c r="CD1331" i="115"/>
  <c r="CB1332" i="115"/>
  <c r="CD1332" i="115" s="1"/>
  <c r="BV725" i="115"/>
  <c r="BZ734" i="115"/>
  <c r="BV728" i="115"/>
  <c r="BZ736" i="115" s="1"/>
  <c r="BV734" i="115"/>
  <c r="CJ745" i="115"/>
  <c r="BY981" i="115"/>
  <c r="CH716" i="115"/>
  <c r="CJ390" i="115"/>
  <c r="BB218" i="117"/>
  <c r="X31" i="111"/>
  <c r="X29" i="111"/>
  <c r="BP1169" i="115"/>
  <c r="BP1170" i="115" s="1"/>
  <c r="BP1159" i="115"/>
  <c r="BP1158" i="115"/>
  <c r="CB229" i="115"/>
  <c r="BZ1609" i="115"/>
  <c r="BJ1423" i="115"/>
  <c r="BX227" i="115"/>
  <c r="CA352" i="115"/>
  <c r="CL1109" i="115"/>
  <c r="CL1118" i="115"/>
  <c r="CL1209" i="115"/>
  <c r="V31" i="111"/>
  <c r="V27" i="111"/>
  <c r="BX967" i="115"/>
  <c r="BX968" i="115" s="1"/>
  <c r="BZ965" i="115"/>
  <c r="BZ967" i="115" s="1"/>
  <c r="BZ968" i="115" s="1"/>
  <c r="BX373" i="115"/>
  <c r="BX388" i="115"/>
  <c r="CJ1476" i="115"/>
  <c r="CJ1458" i="115"/>
  <c r="BD80" i="117"/>
  <c r="DN64" i="117"/>
  <c r="BP956" i="115"/>
  <c r="CH311" i="115"/>
  <c r="CH312" i="115" s="1"/>
  <c r="CD1521" i="115"/>
  <c r="EA49" i="117"/>
  <c r="BB82" i="117"/>
  <c r="BM1159" i="115"/>
  <c r="BM1158" i="115"/>
  <c r="BM1169" i="115"/>
  <c r="BM1170" i="115" s="1"/>
  <c r="DK19" i="117"/>
  <c r="BR1109" i="115"/>
  <c r="BR1209" i="115"/>
  <c r="BR1118" i="115"/>
  <c r="AT27" i="117"/>
  <c r="BP699" i="115"/>
  <c r="BP16" i="115"/>
  <c r="BZ353" i="115"/>
  <c r="BZ452" i="115"/>
  <c r="BZ354" i="115"/>
  <c r="BZ442" i="115"/>
  <c r="BZ451" i="115"/>
  <c r="CH1116" i="115"/>
  <c r="CH1118" i="115"/>
  <c r="BQ1521" i="115"/>
  <c r="CF1173" i="115"/>
  <c r="CF1176" i="115" s="1"/>
  <c r="CF1175" i="115"/>
  <c r="BF82" i="117"/>
  <c r="BV311" i="115"/>
  <c r="BE32" i="115"/>
  <c r="BI1204" i="115"/>
  <c r="BP1119" i="115"/>
  <c r="AB137" i="111"/>
  <c r="AB96" i="111"/>
  <c r="AB116" i="111" s="1"/>
  <c r="BF27" i="117"/>
  <c r="CK1288" i="115"/>
  <c r="CL1281" i="115"/>
  <c r="CL1288" i="115" s="1"/>
  <c r="BJ1064" i="115"/>
  <c r="BZ453" i="115"/>
  <c r="DI12" i="117"/>
  <c r="CH381" i="115"/>
  <c r="CF1159" i="115"/>
  <c r="CN54" i="115"/>
  <c r="CJ32" i="115"/>
  <c r="BE146" i="117"/>
  <c r="DS7" i="117"/>
  <c r="AX61" i="117"/>
  <c r="CK1119" i="115"/>
  <c r="CJ54" i="115"/>
  <c r="BX32" i="115"/>
  <c r="BJ353" i="115"/>
  <c r="BJ451" i="115"/>
  <c r="BJ442" i="115"/>
  <c r="BJ354" i="115"/>
  <c r="AJ78" i="117"/>
  <c r="BM227" i="115"/>
  <c r="DE64" i="117"/>
  <c r="AT16" i="117"/>
  <c r="AA29" i="111"/>
  <c r="BA224" i="117"/>
  <c r="BJ337" i="115"/>
  <c r="BI493" i="115"/>
  <c r="BI497" i="115" s="1"/>
  <c r="BQ956" i="115"/>
  <c r="CD699" i="115"/>
  <c r="AW78" i="117"/>
  <c r="DR64" i="117"/>
  <c r="BU1483" i="115"/>
  <c r="DN42" i="117" s="1"/>
  <c r="BP957" i="115"/>
  <c r="CC754" i="115"/>
  <c r="CC615" i="115" s="1"/>
  <c r="CC698" i="115"/>
  <c r="CD691" i="115"/>
  <c r="BR1350" i="115"/>
  <c r="BR1352" i="115" s="1"/>
  <c r="BL228" i="115"/>
  <c r="CG955" i="115"/>
  <c r="DA64" i="117"/>
  <c r="AB78" i="117"/>
  <c r="AB52" i="117"/>
  <c r="AB77" i="117" s="1"/>
  <c r="BP457" i="115"/>
  <c r="CJ981" i="115"/>
  <c r="BP390" i="115"/>
  <c r="BP385" i="115"/>
  <c r="CK227" i="115"/>
  <c r="BP430" i="115"/>
  <c r="BP366" i="115"/>
  <c r="BP799" i="115"/>
  <c r="BI955" i="115"/>
  <c r="BJ951" i="115"/>
  <c r="BL955" i="115"/>
  <c r="BP389" i="115"/>
  <c r="BR952" i="115"/>
  <c r="BW952" i="115" s="1"/>
  <c r="BZ337" i="115"/>
  <c r="BY1352" i="115"/>
  <c r="BZ1350" i="115"/>
  <c r="BZ1352" i="115" s="1"/>
  <c r="BM433" i="115"/>
  <c r="BM434" i="115"/>
  <c r="BM435" i="115"/>
  <c r="CF434" i="115"/>
  <c r="CF435" i="115"/>
  <c r="CF433" i="115"/>
  <c r="BP170" i="115"/>
  <c r="BQ170" i="115"/>
  <c r="CF384" i="115"/>
  <c r="CF369" i="115"/>
  <c r="BP229" i="115"/>
  <c r="BQ229" i="115"/>
  <c r="BP228" i="115"/>
  <c r="BP1483" i="115"/>
  <c r="DI42" i="117" s="1"/>
  <c r="AO52" i="117"/>
  <c r="AG65" i="117"/>
  <c r="AS78" i="117"/>
  <c r="AG17" i="117"/>
  <c r="AT65" i="117"/>
  <c r="DN62" i="117"/>
  <c r="AV59" i="117"/>
  <c r="CB1517" i="115"/>
  <c r="CB1519" i="115" s="1"/>
  <c r="CJ457" i="115"/>
  <c r="AZ77" i="117"/>
  <c r="BS120" i="115"/>
  <c r="CJ385" i="115"/>
  <c r="BS925" i="115"/>
  <c r="CE843" i="115"/>
  <c r="CD844" i="115"/>
  <c r="CI843" i="115"/>
  <c r="CK389" i="115"/>
  <c r="CL372" i="115"/>
  <c r="CK373" i="115"/>
  <c r="CK388" i="115"/>
  <c r="CK390" i="115"/>
  <c r="BM32" i="115"/>
  <c r="BR27" i="117"/>
  <c r="AO80" i="117"/>
  <c r="AK80" i="117"/>
  <c r="CJ430" i="115"/>
  <c r="CJ433" i="115" s="1"/>
  <c r="CJ145" i="115"/>
  <c r="BJ25" i="117"/>
  <c r="CC123" i="115"/>
  <c r="CF123" i="115"/>
  <c r="BF138" i="117"/>
  <c r="AA31" i="111"/>
  <c r="AA23" i="111" s="1"/>
  <c r="AB126" i="111"/>
  <c r="DM14" i="117"/>
  <c r="CC956" i="115"/>
  <c r="CG957" i="115"/>
  <c r="CC957" i="115"/>
  <c r="CD952" i="115"/>
  <c r="CF956" i="115"/>
  <c r="CK229" i="115"/>
  <c r="CJ229" i="115"/>
  <c r="DO41" i="117"/>
  <c r="BD78" i="117"/>
  <c r="BD52" i="117"/>
  <c r="BD77" i="117" s="1"/>
  <c r="CN745" i="115"/>
  <c r="BI25" i="117"/>
  <c r="BU672" i="115"/>
  <c r="BX672" i="115"/>
  <c r="BU26" i="115"/>
  <c r="BY50" i="115"/>
  <c r="CI118" i="115"/>
  <c r="CE118" i="115"/>
  <c r="CD119" i="115"/>
  <c r="DW41" i="117"/>
  <c r="CF1479" i="115"/>
  <c r="CF1445" i="115"/>
  <c r="CK1007" i="115"/>
  <c r="CJ1482" i="115"/>
  <c r="CJ1483" i="115"/>
  <c r="AB80" i="117"/>
  <c r="AF80" i="117"/>
  <c r="CK745" i="115"/>
  <c r="BU170" i="115"/>
  <c r="CJ170" i="115"/>
  <c r="BL250" i="115"/>
  <c r="AP16" i="117"/>
  <c r="H109" i="123"/>
  <c r="H110" i="123" s="1"/>
  <c r="H56" i="123"/>
  <c r="H57" i="123" s="1"/>
  <c r="BF94" i="117"/>
  <c r="BF80" i="117" s="1"/>
  <c r="CM120" i="115"/>
  <c r="BZ1276" i="115"/>
  <c r="BE55" i="117"/>
  <c r="CG503" i="115"/>
  <c r="CJ503" i="115"/>
  <c r="BU1158" i="115"/>
  <c r="BU1159" i="115"/>
  <c r="BU1169" i="115"/>
  <c r="BL397" i="115"/>
  <c r="BL1315" i="115" s="1"/>
  <c r="BM409" i="115"/>
  <c r="BM413" i="115" s="1"/>
  <c r="BL1326" i="115"/>
  <c r="BL1328" i="115" s="1"/>
  <c r="AA22" i="111"/>
  <c r="AA21" i="111"/>
  <c r="BM901" i="115"/>
  <c r="BS150" i="115"/>
  <c r="BN1478" i="115"/>
  <c r="BN1479" i="115" s="1"/>
  <c r="DA25" i="117"/>
  <c r="AB146" i="117"/>
  <c r="AF67" i="117"/>
  <c r="BZ26" i="115"/>
  <c r="CJ492" i="115"/>
  <c r="CK500" i="115" s="1"/>
  <c r="CJ493" i="115"/>
  <c r="CK493" i="115"/>
  <c r="CN494" i="115" s="1"/>
  <c r="BS596" i="115"/>
  <c r="CJ228" i="115"/>
  <c r="CK228" i="115"/>
  <c r="CL337" i="115"/>
  <c r="CQ337" i="115" s="1"/>
  <c r="BW844" i="115"/>
  <c r="BS844" i="115"/>
  <c r="AB31" i="111"/>
  <c r="AB23" i="111" s="1"/>
  <c r="CM1417" i="115"/>
  <c r="CI1417" i="115"/>
  <c r="CH1480" i="115"/>
  <c r="CK1169" i="115"/>
  <c r="CK1170" i="115" s="1"/>
  <c r="CK1158" i="115"/>
  <c r="CK1159" i="115"/>
  <c r="BY1204" i="115"/>
  <c r="BY1205" i="115" s="1"/>
  <c r="CL1276" i="115"/>
  <c r="BL967" i="115"/>
  <c r="BN965" i="115"/>
  <c r="BN967" i="115" s="1"/>
  <c r="BM54" i="115"/>
  <c r="BI54" i="115"/>
  <c r="BI901" i="115"/>
  <c r="BI32" i="115"/>
  <c r="BI1246" i="115" s="1"/>
  <c r="BU697" i="115"/>
  <c r="BQ697" i="115"/>
  <c r="BR693" i="115"/>
  <c r="BQ698" i="115"/>
  <c r="BQ692" i="115"/>
  <c r="AR80" i="117"/>
  <c r="AV80" i="117"/>
  <c r="CK698" i="115"/>
  <c r="CK754" i="115"/>
  <c r="CK615" i="115" s="1"/>
  <c r="BZ1000" i="115"/>
  <c r="BH145" i="115"/>
  <c r="BE145" i="115"/>
  <c r="CD1609" i="115"/>
  <c r="CB409" i="115"/>
  <c r="BZ1326" i="115"/>
  <c r="BZ1328" i="115" s="1"/>
  <c r="BF4" i="115"/>
  <c r="BF238" i="115" s="1"/>
  <c r="BE4" i="115"/>
  <c r="BD4" i="115"/>
  <c r="AB34" i="111"/>
  <c r="CH1484" i="115"/>
  <c r="EA42" i="117" s="1"/>
  <c r="CM1422" i="115"/>
  <c r="CH1423" i="115"/>
  <c r="CG1429" i="115"/>
  <c r="CH1430" i="115"/>
  <c r="L109" i="123"/>
  <c r="L110" i="123" s="1"/>
  <c r="L56" i="123"/>
  <c r="L57" i="123" s="1"/>
  <c r="BH3" i="115"/>
  <c r="BI2" i="115"/>
  <c r="BL1521" i="115"/>
  <c r="EE43" i="117"/>
  <c r="BL1158" i="115"/>
  <c r="BL1169" i="115"/>
  <c r="BV365" i="115"/>
  <c r="CD655" i="115"/>
  <c r="AL61" i="117"/>
  <c r="DK7" i="117"/>
  <c r="BT1396" i="115"/>
  <c r="BR1396" i="115"/>
  <c r="BX1158" i="115"/>
  <c r="BX1159" i="115"/>
  <c r="BX1169" i="115"/>
  <c r="CL691" i="115"/>
  <c r="AC126" i="111"/>
  <c r="AC29" i="111"/>
  <c r="CN497" i="115"/>
  <c r="BM23" i="117"/>
  <c r="BM242" i="117" s="1"/>
  <c r="AD50" i="111"/>
  <c r="BJ15" i="117"/>
  <c r="BJ223" i="117" s="1"/>
  <c r="BL15" i="117"/>
  <c r="BH123" i="115"/>
  <c r="BE123" i="115"/>
  <c r="BR126" i="117"/>
  <c r="BR172" i="117" s="1"/>
  <c r="BR216" i="117" s="1"/>
  <c r="EQ5" i="117"/>
  <c r="BR132" i="117"/>
  <c r="BV1521" i="115"/>
  <c r="Y63" i="111"/>
  <c r="BN53" i="115"/>
  <c r="AH15" i="117"/>
  <c r="AH16" i="117" s="1"/>
  <c r="W50" i="111"/>
  <c r="BM251" i="115"/>
  <c r="BN234" i="115"/>
  <c r="BL493" i="115"/>
  <c r="BL497" i="115" s="1"/>
  <c r="BI229" i="115"/>
  <c r="CA952" i="115"/>
  <c r="AB98" i="111"/>
  <c r="BR101" i="117"/>
  <c r="BB229" i="117"/>
  <c r="BI170" i="115"/>
  <c r="AL55" i="117"/>
  <c r="CD389" i="115"/>
  <c r="CD1483" i="115"/>
  <c r="DW42" i="117" s="1"/>
  <c r="CU1292" i="115"/>
  <c r="BV951" i="115"/>
  <c r="BU955" i="115"/>
  <c r="BT955" i="115"/>
  <c r="BL170" i="115"/>
  <c r="CY1299" i="115"/>
  <c r="AW196" i="117"/>
  <c r="AW106" i="117" s="1"/>
  <c r="AX106" i="117"/>
  <c r="AX177" i="117"/>
  <c r="AS17" i="117"/>
  <c r="AS19" i="117" s="1"/>
  <c r="AS21" i="117" s="1"/>
  <c r="AS24" i="117" s="1"/>
  <c r="BH197" i="117"/>
  <c r="BI1482" i="115"/>
  <c r="BI1483" i="115"/>
  <c r="DB42" i="117" s="1"/>
  <c r="BU457" i="115"/>
  <c r="BU390" i="115"/>
  <c r="BU389" i="115"/>
  <c r="BU430" i="115"/>
  <c r="BU385" i="115"/>
  <c r="BU366" i="115"/>
  <c r="BI980" i="115"/>
  <c r="BL981" i="115" s="1"/>
  <c r="DB62" i="117"/>
  <c r="BI227" i="115"/>
  <c r="AG78" i="117"/>
  <c r="DB64" i="117"/>
  <c r="AC52" i="117"/>
  <c r="AC78" i="117"/>
  <c r="BI228" i="115"/>
  <c r="BI366" i="115"/>
  <c r="BI390" i="115"/>
  <c r="BI457" i="115"/>
  <c r="BI385" i="115"/>
  <c r="BI389" i="115"/>
  <c r="BI430" i="115"/>
  <c r="AD17" i="111"/>
  <c r="CD390" i="115"/>
  <c r="BX981" i="115"/>
  <c r="AD18" i="111"/>
  <c r="CL1565" i="115"/>
  <c r="CL1558" i="115"/>
  <c r="CL1559" i="115" s="1"/>
  <c r="EE41" i="117"/>
  <c r="AD148" i="111"/>
  <c r="AE148" i="111" s="1"/>
  <c r="AF148" i="111" s="1"/>
  <c r="AC149" i="111"/>
  <c r="AC151" i="111" s="1"/>
  <c r="AC152" i="111" s="1"/>
  <c r="CY281" i="115"/>
  <c r="CL1452" i="115"/>
  <c r="CK1456" i="115"/>
  <c r="DH1456" i="115" s="1"/>
  <c r="DI1456" i="115" s="1"/>
  <c r="DL1456" i="115" s="1"/>
  <c r="DM1456" i="115" s="1"/>
  <c r="DP1456" i="115" s="1"/>
  <c r="DQ1456" i="115" s="1"/>
  <c r="CK1451" i="115"/>
  <c r="CK1457" i="115"/>
  <c r="DH1457" i="115" s="1"/>
  <c r="DI1457" i="115" s="1"/>
  <c r="DL1457" i="115" s="1"/>
  <c r="DM1457" i="115" s="1"/>
  <c r="DP1457" i="115" s="1"/>
  <c r="DQ1457" i="115" s="1"/>
  <c r="BN655" i="115"/>
  <c r="CM1437" i="115"/>
  <c r="AC20" i="111"/>
  <c r="CL1480" i="115"/>
  <c r="BJ26" i="115"/>
  <c r="P30" i="123"/>
  <c r="P6" i="123"/>
  <c r="P106" i="123"/>
  <c r="P53" i="123"/>
  <c r="P75" i="123" s="1"/>
  <c r="BX170" i="115"/>
  <c r="BY170" i="115"/>
  <c r="AV78" i="117"/>
  <c r="AR78" i="117"/>
  <c r="DQ64" i="117"/>
  <c r="AR52" i="117"/>
  <c r="BX430" i="115"/>
  <c r="BX457" i="115"/>
  <c r="BX389" i="115"/>
  <c r="BX385" i="115"/>
  <c r="BX390" i="115"/>
  <c r="BX366" i="115"/>
  <c r="CD696" i="115"/>
  <c r="CE692" i="115"/>
  <c r="BZ699" i="115"/>
  <c r="BF104" i="117"/>
  <c r="AF17" i="117"/>
  <c r="BH179" i="117"/>
  <c r="BX754" i="115"/>
  <c r="BX615" i="115" s="1"/>
  <c r="BX616" i="115" s="1"/>
  <c r="BX698" i="115"/>
  <c r="BX695" i="115"/>
  <c r="CB695" i="115"/>
  <c r="CD457" i="115"/>
  <c r="CD430" i="115"/>
  <c r="CD385" i="115"/>
  <c r="AA78" i="111"/>
  <c r="AA8" i="111"/>
  <c r="CC1008" i="115"/>
  <c r="BY229" i="115"/>
  <c r="BX229" i="115"/>
  <c r="BX228" i="115"/>
  <c r="BY228" i="115"/>
  <c r="BX1482" i="115"/>
  <c r="BX1483" i="115"/>
  <c r="DQ42" i="117" s="1"/>
  <c r="BA17" i="117"/>
  <c r="BN699" i="115"/>
  <c r="DW64" i="117"/>
  <c r="AX52" i="117"/>
  <c r="BY492" i="115"/>
  <c r="BX492" i="115"/>
  <c r="BY500" i="115" s="1"/>
  <c r="BY493" i="115"/>
  <c r="BX493" i="115"/>
  <c r="BL1483" i="115"/>
  <c r="DE42" i="117" s="1"/>
  <c r="BL1482" i="115"/>
  <c r="BL754" i="115"/>
  <c r="BN691" i="115"/>
  <c r="BP695" i="115"/>
  <c r="BL698" i="115"/>
  <c r="CG698" i="115"/>
  <c r="CG754" i="115"/>
  <c r="CG615" i="115" s="1"/>
  <c r="CG695" i="115"/>
  <c r="CK695" i="115"/>
  <c r="AN81" i="117"/>
  <c r="CI925" i="115"/>
  <c r="CM925" i="115"/>
  <c r="CU335" i="115"/>
  <c r="CC1352" i="115"/>
  <c r="CD1350" i="115"/>
  <c r="CD1352" i="115" s="1"/>
  <c r="BU754" i="115"/>
  <c r="BV691" i="115"/>
  <c r="BU698" i="115"/>
  <c r="BY695" i="115"/>
  <c r="BU695" i="115"/>
  <c r="BV699" i="115"/>
  <c r="BZ696" i="115"/>
  <c r="CA692" i="115"/>
  <c r="BY770" i="115"/>
  <c r="CJ934" i="115"/>
  <c r="CK934" i="115"/>
  <c r="CF770" i="115"/>
  <c r="CH691" i="115"/>
  <c r="BZ922" i="115"/>
  <c r="CE925" i="115"/>
  <c r="CA925" i="115"/>
  <c r="BX930" i="115"/>
  <c r="BX935" i="115"/>
  <c r="BY935" i="115"/>
  <c r="BI10" i="117"/>
  <c r="BD17" i="117"/>
  <c r="CE20" i="115"/>
  <c r="CD50" i="115"/>
  <c r="CI687" i="115"/>
  <c r="CE687" i="115"/>
  <c r="BH981" i="115"/>
  <c r="CE666" i="115"/>
  <c r="CM687" i="115"/>
  <c r="BB104" i="117"/>
  <c r="BS916" i="115"/>
  <c r="BW916" i="115"/>
  <c r="AR17" i="117"/>
  <c r="AR19" i="117" s="1"/>
  <c r="AR21" i="117" s="1"/>
  <c r="AR24" i="117" s="1"/>
  <c r="DK25" i="117"/>
  <c r="AL146" i="117"/>
  <c r="CC968" i="115"/>
  <c r="BL396" i="115"/>
  <c r="BM402" i="115"/>
  <c r="BM404" i="115" s="1"/>
  <c r="BM396" i="115" s="1"/>
  <c r="BN230" i="117"/>
  <c r="D123" i="123"/>
  <c r="D70" i="123"/>
  <c r="BL10" i="117"/>
  <c r="AP76" i="117"/>
  <c r="AT76" i="117"/>
  <c r="CG53" i="115"/>
  <c r="AW15" i="117"/>
  <c r="CC26" i="115"/>
  <c r="CC53" i="115"/>
  <c r="BH128" i="117"/>
  <c r="CC251" i="115"/>
  <c r="BV1444" i="115"/>
  <c r="BV1469" i="115"/>
  <c r="CD1119" i="115"/>
  <c r="P157" i="123" s="1"/>
  <c r="H49" i="123"/>
  <c r="H102" i="123"/>
  <c r="CC793" i="115"/>
  <c r="CD792" i="115"/>
  <c r="CD793" i="115" s="1"/>
  <c r="CD554" i="115" s="1"/>
  <c r="CF798" i="115"/>
  <c r="W31" i="111"/>
  <c r="W27" i="111"/>
  <c r="CB550" i="115"/>
  <c r="BJ1334" i="115"/>
  <c r="BJ1336" i="115" s="1"/>
  <c r="CU283" i="115"/>
  <c r="BI1169" i="115"/>
  <c r="BI1170" i="115" s="1"/>
  <c r="BI1159" i="115"/>
  <c r="BI1158" i="115"/>
  <c r="CC1204" i="115"/>
  <c r="CD1064" i="115"/>
  <c r="AA50" i="111"/>
  <c r="AX15" i="117"/>
  <c r="CD53" i="115"/>
  <c r="CD26" i="115"/>
  <c r="CE25" i="115"/>
  <c r="CI25" i="115"/>
  <c r="P18" i="123"/>
  <c r="CH53" i="115"/>
  <c r="AT193" i="117"/>
  <c r="AT197" i="117" s="1"/>
  <c r="BV1276" i="115"/>
  <c r="BN1332" i="115"/>
  <c r="BH94" i="117"/>
  <c r="BH80" i="117" s="1"/>
  <c r="BP497" i="115"/>
  <c r="BP494" i="115"/>
  <c r="BJ93" i="117"/>
  <c r="BJ79" i="117" s="1"/>
  <c r="AN17" i="117"/>
  <c r="AN19" i="117" s="1"/>
  <c r="AN21" i="117" s="1"/>
  <c r="AN24" i="117" s="1"/>
  <c r="BM981" i="115"/>
  <c r="Z10" i="111"/>
  <c r="Y10" i="111"/>
  <c r="Y27" i="111"/>
  <c r="DW43" i="117"/>
  <c r="X65" i="111"/>
  <c r="BH398" i="115"/>
  <c r="BH399" i="115" s="1"/>
  <c r="BH1314" i="115" s="1"/>
  <c r="BH1316" i="115" s="1"/>
  <c r="BR402" i="115"/>
  <c r="BR404" i="115" s="1"/>
  <c r="BT402" i="115" s="1"/>
  <c r="BP404" i="115"/>
  <c r="CX1461" i="115"/>
  <c r="DB33" i="117"/>
  <c r="DB32" i="117"/>
  <c r="AC66" i="117"/>
  <c r="AC38" i="117"/>
  <c r="DB24" i="117"/>
  <c r="DS11" i="117" l="1"/>
  <c r="DS13" i="117" s="1"/>
  <c r="L157" i="123"/>
  <c r="H157" i="123"/>
  <c r="EA64" i="117"/>
  <c r="DR1224" i="115"/>
  <c r="AI2" i="111"/>
  <c r="AJ2" i="111" s="1"/>
  <c r="AK2" i="111" s="1"/>
  <c r="AL2" i="111" s="1"/>
  <c r="AM2" i="111" s="1"/>
  <c r="AN2" i="111" s="1"/>
  <c r="AO2" i="111" s="1"/>
  <c r="AP2" i="111" s="1"/>
  <c r="AQ2" i="111" s="1"/>
  <c r="AR2" i="111" s="1"/>
  <c r="AS2" i="111" s="1"/>
  <c r="AI147" i="111"/>
  <c r="AJ147" i="111" s="1"/>
  <c r="AK147" i="111" s="1"/>
  <c r="AL147" i="111" s="1"/>
  <c r="AM147" i="111" s="1"/>
  <c r="AN147" i="111" s="1"/>
  <c r="AO147" i="111" s="1"/>
  <c r="AP147" i="111" s="1"/>
  <c r="AQ147" i="111" s="1"/>
  <c r="AR147" i="111" s="1"/>
  <c r="AH36" i="111"/>
  <c r="AH17" i="111"/>
  <c r="AH52" i="111"/>
  <c r="AH34" i="111"/>
  <c r="AH15" i="111"/>
  <c r="AH51" i="111"/>
  <c r="AH32" i="111"/>
  <c r="AH9" i="111"/>
  <c r="AH50" i="111"/>
  <c r="AH31" i="111"/>
  <c r="AH7" i="111"/>
  <c r="AH47" i="111"/>
  <c r="AH30" i="111"/>
  <c r="AH46" i="111"/>
  <c r="AH20" i="111"/>
  <c r="AH18" i="111"/>
  <c r="AH41" i="111"/>
  <c r="AH19" i="111"/>
  <c r="AH39" i="111"/>
  <c r="BD39" i="123"/>
  <c r="BD137" i="123" s="1"/>
  <c r="BP432" i="115"/>
  <c r="BL436" i="115"/>
  <c r="BP377" i="115"/>
  <c r="BP446" i="115"/>
  <c r="BM384" i="115"/>
  <c r="BM369" i="115"/>
  <c r="BM386" i="115" s="1"/>
  <c r="BT384" i="115"/>
  <c r="BT377" i="115"/>
  <c r="BH1254" i="115"/>
  <c r="BH1256" i="115" s="1"/>
  <c r="DA48" i="117" s="1"/>
  <c r="BV430" i="115"/>
  <c r="BV434" i="115" s="1"/>
  <c r="BJ388" i="115"/>
  <c r="BR390" i="115"/>
  <c r="BQ369" i="115"/>
  <c r="BM388" i="115"/>
  <c r="BL384" i="115"/>
  <c r="BV388" i="115"/>
  <c r="DP7" i="115"/>
  <c r="DQ7" i="115"/>
  <c r="DR7" i="115"/>
  <c r="AG148" i="111"/>
  <c r="AG149" i="111" s="1"/>
  <c r="AG151" i="111" s="1"/>
  <c r="AG152" i="111" s="1"/>
  <c r="AF149" i="111"/>
  <c r="AF151" i="111" s="1"/>
  <c r="AF152" i="111" s="1"/>
  <c r="AV101" i="123"/>
  <c r="AV48" i="123"/>
  <c r="CF5" i="117"/>
  <c r="CH5" i="117"/>
  <c r="AZ2" i="123"/>
  <c r="AZ39" i="123"/>
  <c r="CG5" i="117"/>
  <c r="DB1105" i="115"/>
  <c r="DA1106" i="115"/>
  <c r="DN1224" i="115"/>
  <c r="DJ1384" i="115"/>
  <c r="DL1384" i="115"/>
  <c r="DM1384" i="115" s="1"/>
  <c r="DJ1379" i="115"/>
  <c r="DL1379" i="115"/>
  <c r="DM1379" i="115" s="1"/>
  <c r="DJ1274" i="115"/>
  <c r="DL1274" i="115"/>
  <c r="DM1274" i="115" s="1"/>
  <c r="DJ1285" i="115"/>
  <c r="DL1285" i="115"/>
  <c r="DM1285" i="115" s="1"/>
  <c r="DJ1377" i="115"/>
  <c r="DL1377" i="115"/>
  <c r="DM1377" i="115" s="1"/>
  <c r="CA666" i="115"/>
  <c r="BV554" i="115"/>
  <c r="L19" i="123"/>
  <c r="BY250" i="115"/>
  <c r="CL251" i="115"/>
  <c r="CD132" i="117"/>
  <c r="CD126" i="117"/>
  <c r="CD172" i="117" s="1"/>
  <c r="CD216" i="117" s="1"/>
  <c r="FC5" i="117"/>
  <c r="CC132" i="117"/>
  <c r="CC126" i="117"/>
  <c r="CC172" i="117" s="1"/>
  <c r="CC216" i="117" s="1"/>
  <c r="FB5" i="117"/>
  <c r="CB132" i="117"/>
  <c r="CB126" i="117"/>
  <c r="CB172" i="117" s="1"/>
  <c r="CB216" i="117" s="1"/>
  <c r="FA5" i="117"/>
  <c r="CV1395" i="115"/>
  <c r="CV1398" i="115" s="1"/>
  <c r="CW1394" i="115"/>
  <c r="CZ1394" i="115" s="1"/>
  <c r="AV145" i="123"/>
  <c r="AV91" i="123"/>
  <c r="AV39" i="123"/>
  <c r="DJ1224" i="115"/>
  <c r="DH1396" i="115"/>
  <c r="DI1396" i="115" s="1"/>
  <c r="DH1381" i="115"/>
  <c r="DI1381" i="115" s="1"/>
  <c r="DH1275" i="115"/>
  <c r="DI1275" i="115" s="1"/>
  <c r="DH1383" i="115"/>
  <c r="DI1383" i="115" s="1"/>
  <c r="BY779" i="115"/>
  <c r="CF779" i="115"/>
  <c r="BU250" i="115"/>
  <c r="CB251" i="115"/>
  <c r="CD251" i="115" s="1"/>
  <c r="CG250" i="115"/>
  <c r="BX251" i="115"/>
  <c r="CF251" i="115"/>
  <c r="BQ250" i="115"/>
  <c r="BV234" i="115"/>
  <c r="CK250" i="115"/>
  <c r="Y78" i="111"/>
  <c r="CX1442" i="115"/>
  <c r="BJ396" i="115"/>
  <c r="BJ399" i="115" s="1"/>
  <c r="BJ1314" i="115" s="1"/>
  <c r="BJ1316" i="115" s="1"/>
  <c r="BJ1318" i="115" s="1"/>
  <c r="EQ84" i="117"/>
  <c r="BM373" i="115"/>
  <c r="BM390" i="115"/>
  <c r="BN372" i="115"/>
  <c r="BM431" i="115"/>
  <c r="BM389" i="115"/>
  <c r="AP146" i="117"/>
  <c r="AP154" i="117" s="1"/>
  <c r="CI952" i="115"/>
  <c r="CH520" i="115"/>
  <c r="DO64" i="117"/>
  <c r="CK433" i="115"/>
  <c r="DH433" i="115" s="1"/>
  <c r="DI433" i="115" s="1"/>
  <c r="DL433" i="115" s="1"/>
  <c r="DM433" i="115" s="1"/>
  <c r="DP433" i="115" s="1"/>
  <c r="DQ433" i="115" s="1"/>
  <c r="BR981" i="115"/>
  <c r="CK434" i="115"/>
  <c r="H70" i="123"/>
  <c r="H95" i="123" s="1"/>
  <c r="CK431" i="115"/>
  <c r="AG55" i="117"/>
  <c r="AG81" i="117" s="1"/>
  <c r="Y8" i="111"/>
  <c r="Y79" i="111" s="1"/>
  <c r="BL54" i="115"/>
  <c r="BH34" i="115"/>
  <c r="BH54" i="115"/>
  <c r="BH901" i="115"/>
  <c r="BH56" i="115"/>
  <c r="BF26" i="115"/>
  <c r="BF32" i="115" s="1"/>
  <c r="AA25" i="111"/>
  <c r="AA33" i="111"/>
  <c r="AA24" i="111" s="1"/>
  <c r="BV385" i="115"/>
  <c r="CF1409" i="115"/>
  <c r="CF1410" i="115" s="1"/>
  <c r="BJ50" i="115"/>
  <c r="W8" i="111"/>
  <c r="BT1179" i="115"/>
  <c r="CF1307" i="115"/>
  <c r="CF1252" i="115"/>
  <c r="BQ447" i="115"/>
  <c r="BL433" i="115"/>
  <c r="DO11" i="117"/>
  <c r="DO13" i="117" s="1"/>
  <c r="W12" i="111"/>
  <c r="AX235" i="117"/>
  <c r="DI44" i="117"/>
  <c r="BV251" i="115"/>
  <c r="W13" i="111"/>
  <c r="X14" i="111" s="1"/>
  <c r="AX146" i="117"/>
  <c r="AX67" i="117"/>
  <c r="BP1179" i="115"/>
  <c r="BN385" i="115"/>
  <c r="CA20" i="115"/>
  <c r="BV457" i="115"/>
  <c r="DO57" i="117" s="1"/>
  <c r="BH434" i="115"/>
  <c r="AC87" i="111"/>
  <c r="AC97" i="111" s="1"/>
  <c r="AB8" i="111"/>
  <c r="AB11" i="111" s="1"/>
  <c r="DR44" i="117"/>
  <c r="DQ44" i="117"/>
  <c r="CG63" i="115"/>
  <c r="DE44" i="117"/>
  <c r="BA39" i="117"/>
  <c r="AT25" i="117"/>
  <c r="T115" i="123"/>
  <c r="BZ50" i="115"/>
  <c r="CE119" i="115"/>
  <c r="O62" i="123"/>
  <c r="AB12" i="111"/>
  <c r="BQ384" i="115"/>
  <c r="O114" i="123"/>
  <c r="O117" i="123" s="1"/>
  <c r="CF930" i="115"/>
  <c r="CF938" i="115" s="1"/>
  <c r="CF939" i="115" s="1"/>
  <c r="CN1203" i="115"/>
  <c r="CA119" i="115"/>
  <c r="O115" i="123"/>
  <c r="AB66" i="117"/>
  <c r="AP67" i="117"/>
  <c r="DO25" i="117"/>
  <c r="CH234" i="115"/>
  <c r="BL435" i="115"/>
  <c r="AB38" i="117"/>
  <c r="BL431" i="115"/>
  <c r="BN430" i="115"/>
  <c r="BN434" i="115" s="1"/>
  <c r="BL432" i="115"/>
  <c r="BL434" i="115"/>
  <c r="AH114" i="123"/>
  <c r="AH117" i="123" s="1"/>
  <c r="AH134" i="123" s="1"/>
  <c r="AH138" i="123" s="1"/>
  <c r="BY1307" i="115"/>
  <c r="BY1179" i="115"/>
  <c r="BQ433" i="115"/>
  <c r="BQ432" i="115"/>
  <c r="BY1252" i="115"/>
  <c r="DR45" i="117" s="1"/>
  <c r="BQ435" i="115"/>
  <c r="BI377" i="115"/>
  <c r="DU44" i="117"/>
  <c r="S115" i="123"/>
  <c r="BL1307" i="115"/>
  <c r="CB1307" i="115"/>
  <c r="BX1307" i="115"/>
  <c r="S62" i="123"/>
  <c r="BJ373" i="115"/>
  <c r="CB1252" i="115"/>
  <c r="BU126" i="117"/>
  <c r="BU172" i="117" s="1"/>
  <c r="BU216" i="117" s="1"/>
  <c r="CB1179" i="115"/>
  <c r="BX1252" i="115"/>
  <c r="BX1181" i="115" s="1"/>
  <c r="BX1183" i="115" s="1"/>
  <c r="BX1184" i="115" s="1"/>
  <c r="EU5" i="117"/>
  <c r="BX1179" i="115"/>
  <c r="DA24" i="117"/>
  <c r="BV132" i="117"/>
  <c r="H123" i="123"/>
  <c r="H149" i="123" s="1"/>
  <c r="BT1307" i="115"/>
  <c r="BL1252" i="115"/>
  <c r="DE45" i="117" s="1"/>
  <c r="AB19" i="117"/>
  <c r="AB21" i="117" s="1"/>
  <c r="AB24" i="117" s="1"/>
  <c r="CK369" i="115"/>
  <c r="CL369" i="115" s="1"/>
  <c r="CS1305" i="115"/>
  <c r="CS1397" i="115"/>
  <c r="CT1397" i="115" s="1"/>
  <c r="CS1398" i="115"/>
  <c r="DA33" i="117"/>
  <c r="DM44" i="117"/>
  <c r="BP1252" i="115"/>
  <c r="BD39" i="117"/>
  <c r="BJ250" i="115"/>
  <c r="BQ436" i="115"/>
  <c r="AC18" i="123"/>
  <c r="BF39" i="117"/>
  <c r="AC8" i="123"/>
  <c r="Y76" i="111"/>
  <c r="BV126" i="117"/>
  <c r="BV172" i="117" s="1"/>
  <c r="BV216" i="117" s="1"/>
  <c r="BP1307" i="115"/>
  <c r="CG1179" i="115"/>
  <c r="BQ431" i="115"/>
  <c r="BT1252" i="115"/>
  <c r="AC102" i="123"/>
  <c r="AC103" i="123" s="1"/>
  <c r="AC49" i="123"/>
  <c r="AC50" i="123" s="1"/>
  <c r="CS559" i="115"/>
  <c r="CS564" i="115" s="1"/>
  <c r="BB52" i="117"/>
  <c r="BB77" i="117" s="1"/>
  <c r="BB78" i="117"/>
  <c r="BT1246" i="115"/>
  <c r="X26" i="123"/>
  <c r="CD520" i="115"/>
  <c r="AX39" i="117" s="1"/>
  <c r="BE156" i="117"/>
  <c r="BY126" i="117"/>
  <c r="BY172" i="117" s="1"/>
  <c r="BY216" i="117" s="1"/>
  <c r="BY132" i="117"/>
  <c r="CF1246" i="115"/>
  <c r="L26" i="123"/>
  <c r="T26" i="123"/>
  <c r="BZ132" i="117"/>
  <c r="BZ126" i="117"/>
  <c r="BZ172" i="117" s="1"/>
  <c r="BZ216" i="117" s="1"/>
  <c r="P26" i="123"/>
  <c r="BM1246" i="115"/>
  <c r="BN36" i="117"/>
  <c r="BX1246" i="115"/>
  <c r="CJ1246" i="115"/>
  <c r="CG1246" i="115"/>
  <c r="BX132" i="117"/>
  <c r="BX126" i="117"/>
  <c r="BX172" i="117" s="1"/>
  <c r="BX216" i="117" s="1"/>
  <c r="T106" i="123"/>
  <c r="T104" i="123" s="1"/>
  <c r="X30" i="123"/>
  <c r="H116" i="123"/>
  <c r="D53" i="123"/>
  <c r="D75" i="123" s="1"/>
  <c r="BH435" i="115"/>
  <c r="BV1483" i="115"/>
  <c r="DO42" i="117" s="1"/>
  <c r="H6" i="123"/>
  <c r="H31" i="123" s="1"/>
  <c r="BH431" i="115"/>
  <c r="H106" i="123"/>
  <c r="H128" i="123" s="1"/>
  <c r="H152" i="123" s="1"/>
  <c r="CG435" i="115"/>
  <c r="H53" i="123"/>
  <c r="H75" i="123" s="1"/>
  <c r="H98" i="123" s="1"/>
  <c r="BY432" i="115"/>
  <c r="T9" i="123"/>
  <c r="AB13" i="111"/>
  <c r="AB14" i="111" s="1"/>
  <c r="T53" i="123"/>
  <c r="T75" i="123" s="1"/>
  <c r="CB431" i="115"/>
  <c r="ET5" i="117"/>
  <c r="BA30" i="117"/>
  <c r="H9" i="123"/>
  <c r="T30" i="123"/>
  <c r="BL369" i="115"/>
  <c r="CB434" i="115"/>
  <c r="Z87" i="111"/>
  <c r="Z97" i="111" s="1"/>
  <c r="AH78" i="117"/>
  <c r="L9" i="123"/>
  <c r="L54" i="123" s="1"/>
  <c r="T6" i="123"/>
  <c r="T7" i="123" s="1"/>
  <c r="CB433" i="115"/>
  <c r="BI446" i="115"/>
  <c r="BY434" i="115"/>
  <c r="AC12" i="111"/>
  <c r="CH554" i="115"/>
  <c r="AH52" i="117"/>
  <c r="P9" i="123"/>
  <c r="P54" i="123" s="1"/>
  <c r="X9" i="123"/>
  <c r="X107" i="123" s="1"/>
  <c r="D9" i="123"/>
  <c r="D107" i="123" s="1"/>
  <c r="BR1301" i="115"/>
  <c r="BR1252" i="115" s="1"/>
  <c r="DK45" i="117" s="1"/>
  <c r="CG1307" i="115"/>
  <c r="V19" i="123"/>
  <c r="CJ1146" i="115"/>
  <c r="CB446" i="115"/>
  <c r="CG1252" i="115"/>
  <c r="CG1160" i="115" s="1"/>
  <c r="CG1161" i="115" s="1"/>
  <c r="BU1301" i="115"/>
  <c r="BU1307" i="115" s="1"/>
  <c r="CD1301" i="115"/>
  <c r="S19" i="123"/>
  <c r="CG1146" i="115"/>
  <c r="CJ1252" i="115"/>
  <c r="CJ1179" i="115"/>
  <c r="CJ1409" i="115"/>
  <c r="CJ1410" i="115" s="1"/>
  <c r="CH1482" i="115"/>
  <c r="BN1301" i="115"/>
  <c r="BV1301" i="115"/>
  <c r="BV1307" i="115" s="1"/>
  <c r="CC1301" i="115"/>
  <c r="CC1179" i="115" s="1"/>
  <c r="T50" i="123"/>
  <c r="CH1301" i="115"/>
  <c r="BQ1301" i="115"/>
  <c r="BQ1252" i="115" s="1"/>
  <c r="CI1481" i="115"/>
  <c r="BM1301" i="115"/>
  <c r="BM1307" i="115" s="1"/>
  <c r="CG384" i="115"/>
  <c r="CK1301" i="115"/>
  <c r="CF436" i="115"/>
  <c r="CL1301" i="115"/>
  <c r="CQ1301" i="115" s="1"/>
  <c r="BN1483" i="115"/>
  <c r="DG42" i="117" s="1"/>
  <c r="CL1150" i="115"/>
  <c r="CH388" i="115"/>
  <c r="CG377" i="115"/>
  <c r="CG436" i="115" s="1"/>
  <c r="CD377" i="115"/>
  <c r="N19" i="123"/>
  <c r="CB1146" i="115"/>
  <c r="CR1254" i="115"/>
  <c r="CR1253" i="115" s="1"/>
  <c r="CR1391" i="115" s="1"/>
  <c r="CJ1307" i="115"/>
  <c r="CJ384" i="115"/>
  <c r="BM244" i="117"/>
  <c r="CJ369" i="115"/>
  <c r="CM158" i="115"/>
  <c r="CF432" i="115"/>
  <c r="CH366" i="115"/>
  <c r="CH1150" i="115"/>
  <c r="CG433" i="115"/>
  <c r="CG434" i="115"/>
  <c r="CF446" i="115"/>
  <c r="BJ457" i="115"/>
  <c r="DC57" i="117" s="1"/>
  <c r="AV85" i="117"/>
  <c r="BN39" i="117"/>
  <c r="BP36" i="117"/>
  <c r="BR39" i="117"/>
  <c r="AV39" i="117"/>
  <c r="AW39" i="117"/>
  <c r="DH281" i="115"/>
  <c r="AG38" i="117"/>
  <c r="AG19" i="117"/>
  <c r="AG21" i="117" s="1"/>
  <c r="AG24" i="117" s="1"/>
  <c r="DC24" i="117"/>
  <c r="AD19" i="117"/>
  <c r="AD21" i="117" s="1"/>
  <c r="AD24" i="117" s="1"/>
  <c r="AF66" i="117"/>
  <c r="AF19" i="117"/>
  <c r="AF21" i="117" s="1"/>
  <c r="AF24" i="117" s="1"/>
  <c r="Z19" i="117"/>
  <c r="Z21" i="117" s="1"/>
  <c r="Z24" i="117" s="1"/>
  <c r="AO38" i="117"/>
  <c r="AO19" i="117"/>
  <c r="AO21" i="117" s="1"/>
  <c r="AO24" i="117" s="1"/>
  <c r="BW1481" i="115"/>
  <c r="BZ698" i="115"/>
  <c r="BE238" i="115"/>
  <c r="BE237" i="115"/>
  <c r="BS1481" i="115"/>
  <c r="BR1483" i="115"/>
  <c r="DK42" i="117" s="1"/>
  <c r="CF63" i="115"/>
  <c r="BD238" i="115"/>
  <c r="BD237" i="115"/>
  <c r="BW158" i="115"/>
  <c r="DJ11" i="117"/>
  <c r="DJ13" i="117" s="1"/>
  <c r="BS364" i="115"/>
  <c r="BF237" i="115"/>
  <c r="BZ754" i="115"/>
  <c r="BS158" i="115"/>
  <c r="BT500" i="115"/>
  <c r="DH691" i="115"/>
  <c r="AX85" i="117"/>
  <c r="AZ85" i="117"/>
  <c r="BT132" i="117"/>
  <c r="BT126" i="117"/>
  <c r="BT172" i="117" s="1"/>
  <c r="BT216" i="117" s="1"/>
  <c r="ES5" i="117"/>
  <c r="D6" i="123"/>
  <c r="D31" i="123" s="1"/>
  <c r="CE844" i="115"/>
  <c r="CK616" i="115"/>
  <c r="CF555" i="115"/>
  <c r="BR244" i="117"/>
  <c r="CC616" i="115"/>
  <c r="CJ770" i="115"/>
  <c r="CJ615" i="115"/>
  <c r="CB559" i="115"/>
  <c r="CQ844" i="115"/>
  <c r="CG616" i="115"/>
  <c r="CE691" i="115"/>
  <c r="CG559" i="115"/>
  <c r="CB616" i="115"/>
  <c r="CN562" i="115"/>
  <c r="CK572" i="115"/>
  <c r="CL572" i="115" s="1"/>
  <c r="CU662" i="115"/>
  <c r="CG446" i="115"/>
  <c r="BT446" i="115"/>
  <c r="CG432" i="115"/>
  <c r="BN457" i="115"/>
  <c r="DG57" i="117" s="1"/>
  <c r="X78" i="111"/>
  <c r="BQ500" i="115"/>
  <c r="BP409" i="115"/>
  <c r="BP413" i="115" s="1"/>
  <c r="BV389" i="115"/>
  <c r="CI364" i="115"/>
  <c r="CC63" i="115"/>
  <c r="P17" i="123"/>
  <c r="P16" i="123" s="1"/>
  <c r="P61" i="123" s="1"/>
  <c r="P64" i="123" s="1"/>
  <c r="BZ1521" i="115"/>
  <c r="BJ1254" i="115"/>
  <c r="BW364" i="115"/>
  <c r="BR385" i="115"/>
  <c r="BR430" i="115"/>
  <c r="BR432" i="115" s="1"/>
  <c r="CF562" i="115"/>
  <c r="BR457" i="115"/>
  <c r="DC44" i="117"/>
  <c r="BV981" i="115"/>
  <c r="BR389" i="115"/>
  <c r="DB57" i="117"/>
  <c r="BT432" i="115"/>
  <c r="DG12" i="117"/>
  <c r="DG14" i="117" s="1"/>
  <c r="CU280" i="115"/>
  <c r="BN354" i="115"/>
  <c r="BX56" i="115"/>
  <c r="BW832" i="115"/>
  <c r="BJ1252" i="115"/>
  <c r="CI158" i="115"/>
  <c r="Y12" i="111"/>
  <c r="BN451" i="115"/>
  <c r="BE81" i="117"/>
  <c r="BN353" i="115"/>
  <c r="BY435" i="115"/>
  <c r="CF500" i="115"/>
  <c r="X12" i="111"/>
  <c r="X8" i="111"/>
  <c r="X79" i="111" s="1"/>
  <c r="BN452" i="115"/>
  <c r="Y87" i="111"/>
  <c r="Y97" i="111" s="1"/>
  <c r="V39" i="111"/>
  <c r="V42" i="111" s="1"/>
  <c r="CJ562" i="115"/>
  <c r="CC500" i="115"/>
  <c r="BN442" i="115"/>
  <c r="BS352" i="115"/>
  <c r="BY431" i="115"/>
  <c r="L116" i="123"/>
  <c r="D106" i="123"/>
  <c r="D104" i="123" s="1"/>
  <c r="D129" i="123" s="1"/>
  <c r="BV390" i="115"/>
  <c r="L63" i="123"/>
  <c r="BB67" i="117"/>
  <c r="L20" i="123"/>
  <c r="L118" i="123" s="1"/>
  <c r="L147" i="123" s="1"/>
  <c r="L16" i="123"/>
  <c r="L61" i="123" s="1"/>
  <c r="L64" i="123" s="1"/>
  <c r="D30" i="123"/>
  <c r="CH493" i="115"/>
  <c r="CH497" i="115" s="1"/>
  <c r="AL78" i="117"/>
  <c r="AL52" i="117"/>
  <c r="AP78" i="117"/>
  <c r="CH385" i="115"/>
  <c r="CO500" i="115"/>
  <c r="CL1482" i="115"/>
  <c r="CQ1481" i="115"/>
  <c r="CH390" i="115"/>
  <c r="CH430" i="115"/>
  <c r="CH431" i="115" s="1"/>
  <c r="CH457" i="115"/>
  <c r="BU497" i="115"/>
  <c r="CH389" i="115"/>
  <c r="CG1175" i="115"/>
  <c r="CG34" i="115"/>
  <c r="CG995" i="115" s="1"/>
  <c r="CK54" i="115"/>
  <c r="CM119" i="115"/>
  <c r="CQ119" i="115"/>
  <c r="CK32" i="115"/>
  <c r="CK34" i="115" s="1"/>
  <c r="CO58" i="115" s="1"/>
  <c r="X156" i="123"/>
  <c r="CK901" i="115"/>
  <c r="CL503" i="115"/>
  <c r="CP503" i="115"/>
  <c r="CQ20" i="115"/>
  <c r="CP50" i="115"/>
  <c r="CL981" i="115"/>
  <c r="CP981" i="115"/>
  <c r="CJ559" i="115"/>
  <c r="CK562" i="115"/>
  <c r="CO562" i="115"/>
  <c r="CQ952" i="115"/>
  <c r="CL430" i="115"/>
  <c r="CL434" i="115" s="1"/>
  <c r="CQ364" i="115"/>
  <c r="CQ158" i="115"/>
  <c r="CP695" i="115"/>
  <c r="CQ691" i="115"/>
  <c r="AD89" i="111"/>
  <c r="AD99" i="111" s="1"/>
  <c r="DI736" i="115"/>
  <c r="AB133" i="123"/>
  <c r="AB80" i="123"/>
  <c r="DG177" i="115"/>
  <c r="H20" i="123"/>
  <c r="H65" i="123" s="1"/>
  <c r="H93" i="123" s="1"/>
  <c r="BU500" i="115"/>
  <c r="CL571" i="115"/>
  <c r="CK589" i="115"/>
  <c r="CL588" i="115"/>
  <c r="CL589" i="115" s="1"/>
  <c r="CB54" i="115"/>
  <c r="CB63" i="115"/>
  <c r="CJ590" i="115"/>
  <c r="CJ63" i="115"/>
  <c r="AZ17" i="117"/>
  <c r="AZ38" i="117" s="1"/>
  <c r="CK63" i="115"/>
  <c r="BH384" i="115"/>
  <c r="CB1008" i="115"/>
  <c r="CD1008" i="115" s="1"/>
  <c r="BN50" i="115"/>
  <c r="BN26" i="115"/>
  <c r="BN32" i="115" s="1"/>
  <c r="BH369" i="115"/>
  <c r="H63" i="123"/>
  <c r="AB76" i="111"/>
  <c r="AC76" i="111"/>
  <c r="AX138" i="117"/>
  <c r="AO127" i="117"/>
  <c r="AO130" i="117" s="1"/>
  <c r="AS66" i="117"/>
  <c r="Z74" i="111"/>
  <c r="CM666" i="115"/>
  <c r="CL355" i="115"/>
  <c r="AA76" i="111"/>
  <c r="BB146" i="117"/>
  <c r="BT34" i="115"/>
  <c r="Y74" i="111"/>
  <c r="BF55" i="117"/>
  <c r="AF81" i="117"/>
  <c r="X74" i="111"/>
  <c r="BR446" i="115"/>
  <c r="CG369" i="115"/>
  <c r="BX500" i="115"/>
  <c r="AO81" i="117"/>
  <c r="BA81" i="117"/>
  <c r="CC434" i="115"/>
  <c r="BH446" i="115"/>
  <c r="EE11" i="117"/>
  <c r="EE13" i="117" s="1"/>
  <c r="BL447" i="115"/>
  <c r="BH432" i="115"/>
  <c r="EA25" i="117"/>
  <c r="BE77" i="117"/>
  <c r="P103" i="123"/>
  <c r="CH1174" i="115"/>
  <c r="BH377" i="115"/>
  <c r="CJ377" i="115"/>
  <c r="H156" i="123"/>
  <c r="BR377" i="115"/>
  <c r="BP807" i="115"/>
  <c r="BM812" i="115"/>
  <c r="CG1173" i="115"/>
  <c r="CG1176" i="115" s="1"/>
  <c r="DO12" i="117"/>
  <c r="CJ446" i="115"/>
  <c r="CH1171" i="115"/>
  <c r="CF54" i="115"/>
  <c r="CD493" i="115"/>
  <c r="CD497" i="115" s="1"/>
  <c r="BY369" i="115"/>
  <c r="CC384" i="115"/>
  <c r="AV154" i="117"/>
  <c r="BY384" i="115"/>
  <c r="CC369" i="115"/>
  <c r="L156" i="123"/>
  <c r="CB901" i="115"/>
  <c r="CB32" i="115"/>
  <c r="BD34" i="115"/>
  <c r="CF935" i="115"/>
  <c r="CC494" i="115"/>
  <c r="BB16" i="117"/>
  <c r="DS12" i="117"/>
  <c r="DS14" i="117" s="1"/>
  <c r="BV373" i="115"/>
  <c r="BU377" i="115"/>
  <c r="BU446" i="115"/>
  <c r="AV223" i="117"/>
  <c r="AV65" i="117"/>
  <c r="AV16" i="117"/>
  <c r="DW12" i="117"/>
  <c r="DG11" i="117"/>
  <c r="DG13" i="117" s="1"/>
  <c r="Z76" i="111"/>
  <c r="BY1175" i="115"/>
  <c r="CD446" i="115"/>
  <c r="BA156" i="117"/>
  <c r="CD432" i="115"/>
  <c r="BZ1174" i="115"/>
  <c r="R16" i="123"/>
  <c r="R115" i="123"/>
  <c r="R62" i="123"/>
  <c r="X62" i="123"/>
  <c r="X115" i="123"/>
  <c r="AA61" i="123"/>
  <c r="AA64" i="123" s="1"/>
  <c r="AA81" i="123" s="1"/>
  <c r="AA114" i="123"/>
  <c r="AA117" i="123" s="1"/>
  <c r="AA134" i="123" s="1"/>
  <c r="S61" i="123"/>
  <c r="S64" i="123" s="1"/>
  <c r="S114" i="123"/>
  <c r="S117" i="123" s="1"/>
  <c r="CF494" i="115"/>
  <c r="AS81" i="117"/>
  <c r="CA354" i="115"/>
  <c r="W61" i="123"/>
  <c r="W64" i="123" s="1"/>
  <c r="W81" i="123" s="1"/>
  <c r="W114" i="123"/>
  <c r="W117" i="123" s="1"/>
  <c r="W134" i="123" s="1"/>
  <c r="AI61" i="123"/>
  <c r="AI64" i="123" s="1"/>
  <c r="AI114" i="123"/>
  <c r="AI117" i="123" s="1"/>
  <c r="AI134" i="123" s="1"/>
  <c r="AI138" i="123" s="1"/>
  <c r="N16" i="123"/>
  <c r="N62" i="123"/>
  <c r="N115" i="123"/>
  <c r="CC497" i="115"/>
  <c r="BY1173" i="115"/>
  <c r="BY1176" i="115" s="1"/>
  <c r="CH1479" i="115"/>
  <c r="V16" i="123"/>
  <c r="V62" i="123"/>
  <c r="V115" i="123"/>
  <c r="BV366" i="115"/>
  <c r="DC32" i="117"/>
  <c r="BN244" i="117"/>
  <c r="X6" i="123"/>
  <c r="X51" i="123" s="1"/>
  <c r="X76" i="123" s="1"/>
  <c r="T16" i="123"/>
  <c r="X116" i="123"/>
  <c r="X16" i="123"/>
  <c r="X53" i="123"/>
  <c r="X106" i="123"/>
  <c r="CH924" i="115"/>
  <c r="CH874" i="115"/>
  <c r="CG494" i="115"/>
  <c r="BF78" i="117"/>
  <c r="CH50" i="115"/>
  <c r="BF52" i="117"/>
  <c r="BA235" i="117"/>
  <c r="BA236" i="117" s="1"/>
  <c r="BA177" i="117"/>
  <c r="CK875" i="115"/>
  <c r="CK942" i="115" s="1"/>
  <c r="CL874" i="115"/>
  <c r="CG950" i="115"/>
  <c r="CG953" i="115" s="1"/>
  <c r="CG1606" i="115"/>
  <c r="BA152" i="117"/>
  <c r="AJ77" i="117"/>
  <c r="CC447" i="115"/>
  <c r="BB55" i="117"/>
  <c r="CL1483" i="115"/>
  <c r="BE176" i="117"/>
  <c r="CM1481" i="115"/>
  <c r="CK547" i="115"/>
  <c r="CC433" i="115"/>
  <c r="L30" i="123"/>
  <c r="CH26" i="115"/>
  <c r="CH54" i="115" s="1"/>
  <c r="T20" i="123"/>
  <c r="T118" i="123" s="1"/>
  <c r="T147" i="123" s="1"/>
  <c r="L6" i="123"/>
  <c r="L51" i="123" s="1"/>
  <c r="L76" i="123" s="1"/>
  <c r="CM364" i="115"/>
  <c r="T116" i="123"/>
  <c r="L53" i="123"/>
  <c r="L75" i="123" s="1"/>
  <c r="CC436" i="115"/>
  <c r="T63" i="123"/>
  <c r="CC435" i="115"/>
  <c r="BY1008" i="115"/>
  <c r="L106" i="123"/>
  <c r="CL457" i="115"/>
  <c r="BZ981" i="115"/>
  <c r="CC431" i="115"/>
  <c r="CL366" i="115"/>
  <c r="CK555" i="115"/>
  <c r="AW154" i="117"/>
  <c r="EE25" i="117"/>
  <c r="BI1254" i="115"/>
  <c r="BF146" i="117"/>
  <c r="DN32" i="117"/>
  <c r="BF67" i="117"/>
  <c r="AX55" i="117"/>
  <c r="DN24" i="117"/>
  <c r="BZ1171" i="115"/>
  <c r="DS50" i="117" s="1"/>
  <c r="BY1159" i="115"/>
  <c r="BZ1307" i="115"/>
  <c r="DS44" i="117"/>
  <c r="DN33" i="117"/>
  <c r="AC8" i="111"/>
  <c r="AC79" i="111" s="1"/>
  <c r="AC78" i="111"/>
  <c r="AC13" i="111"/>
  <c r="CD355" i="115"/>
  <c r="DA57" i="117"/>
  <c r="DR57" i="117"/>
  <c r="CL385" i="115"/>
  <c r="AT52" i="117"/>
  <c r="AX77" i="117" s="1"/>
  <c r="AT78" i="117"/>
  <c r="DN14" i="117"/>
  <c r="DS64" i="117"/>
  <c r="AX78" i="117"/>
  <c r="DN11" i="117"/>
  <c r="DN13" i="117" s="1"/>
  <c r="CL1334" i="115"/>
  <c r="CL1336" i="115" s="1"/>
  <c r="CB384" i="115"/>
  <c r="CL554" i="115"/>
  <c r="CB369" i="115"/>
  <c r="BF224" i="117"/>
  <c r="AT80" i="117"/>
  <c r="P156" i="123"/>
  <c r="CM952" i="115"/>
  <c r="CG500" i="115"/>
  <c r="DC33" i="117"/>
  <c r="BB222" i="117"/>
  <c r="BB231" i="117" s="1"/>
  <c r="BR230" i="117"/>
  <c r="BF227" i="117"/>
  <c r="CA1481" i="115"/>
  <c r="CB432" i="115"/>
  <c r="BT770" i="115"/>
  <c r="AV81" i="117"/>
  <c r="CB377" i="115"/>
  <c r="BQ494" i="115"/>
  <c r="BP369" i="115"/>
  <c r="CN563" i="115"/>
  <c r="X20" i="123"/>
  <c r="BP384" i="115"/>
  <c r="BV1479" i="115"/>
  <c r="CL50" i="115"/>
  <c r="BR1065" i="115"/>
  <c r="BR1311" i="115" s="1"/>
  <c r="BR1312" i="115" s="1"/>
  <c r="X87" i="111"/>
  <c r="X97" i="111" s="1"/>
  <c r="CM20" i="115"/>
  <c r="CL26" i="115"/>
  <c r="BZ388" i="115"/>
  <c r="BH1181" i="115"/>
  <c r="BH1183" i="115" s="1"/>
  <c r="DA45" i="117"/>
  <c r="DF14" i="117"/>
  <c r="AW156" i="117"/>
  <c r="BY446" i="115"/>
  <c r="BZ373" i="115"/>
  <c r="AZ81" i="117"/>
  <c r="AO77" i="117"/>
  <c r="CJ56" i="115"/>
  <c r="BQ497" i="115"/>
  <c r="CF34" i="115"/>
  <c r="CB770" i="115"/>
  <c r="DF11" i="117"/>
  <c r="DF13" i="117" s="1"/>
  <c r="BY377" i="115"/>
  <c r="CA158" i="115"/>
  <c r="AT146" i="117"/>
  <c r="AT154" i="117" s="1"/>
  <c r="AT203" i="117" s="1"/>
  <c r="DS25" i="117"/>
  <c r="BX1521" i="115"/>
  <c r="AD65" i="117"/>
  <c r="BP433" i="115"/>
  <c r="BZ550" i="115"/>
  <c r="AT67" i="117"/>
  <c r="CD1479" i="115"/>
  <c r="CD1445" i="115"/>
  <c r="AA18" i="111" s="1"/>
  <c r="CE364" i="115"/>
  <c r="CD1169" i="115"/>
  <c r="AZ231" i="117"/>
  <c r="AZ224" i="117"/>
  <c r="BZ385" i="115"/>
  <c r="BZ390" i="115"/>
  <c r="BZ457" i="115"/>
  <c r="BZ1483" i="115"/>
  <c r="DS42" i="117" s="1"/>
  <c r="CA364" i="115"/>
  <c r="Z12" i="111"/>
  <c r="Z13" i="111"/>
  <c r="AA14" i="111" s="1"/>
  <c r="BZ1482" i="115"/>
  <c r="AA12" i="111"/>
  <c r="Z8" i="111"/>
  <c r="Z79" i="111" s="1"/>
  <c r="BZ430" i="115"/>
  <c r="BZ366" i="115"/>
  <c r="BZ389" i="115"/>
  <c r="AC35" i="111"/>
  <c r="AC26" i="111" s="1"/>
  <c r="AP80" i="117"/>
  <c r="BD30" i="117"/>
  <c r="X63" i="123"/>
  <c r="AD38" i="117"/>
  <c r="AT198" i="117"/>
  <c r="AT207" i="117" s="1"/>
  <c r="BB227" i="117"/>
  <c r="BN981" i="115"/>
  <c r="BQ955" i="115"/>
  <c r="CH355" i="115"/>
  <c r="BR951" i="115"/>
  <c r="BR1445" i="115"/>
  <c r="BR1479" i="115"/>
  <c r="BN1065" i="115"/>
  <c r="BN1311" i="115" s="1"/>
  <c r="BN1312" i="115" s="1"/>
  <c r="W87" i="111"/>
  <c r="W97" i="111" s="1"/>
  <c r="BR366" i="115"/>
  <c r="BN369" i="115"/>
  <c r="BM387" i="115"/>
  <c r="V8" i="111"/>
  <c r="V79" i="111" s="1"/>
  <c r="V78" i="111"/>
  <c r="V13" i="111"/>
  <c r="AD146" i="117"/>
  <c r="DC25" i="117"/>
  <c r="CD366" i="115"/>
  <c r="BJ1483" i="115"/>
  <c r="DC42" i="117" s="1"/>
  <c r="BJ390" i="115"/>
  <c r="BJ366" i="115"/>
  <c r="BJ430" i="115"/>
  <c r="BJ389" i="115"/>
  <c r="BJ385" i="115"/>
  <c r="AD78" i="117"/>
  <c r="DC64" i="117"/>
  <c r="AD52" i="117"/>
  <c r="BY991" i="115"/>
  <c r="BY992" i="115" s="1"/>
  <c r="BY37" i="115"/>
  <c r="BY1553" i="115"/>
  <c r="BY995" i="115"/>
  <c r="BY997" i="115" s="1"/>
  <c r="BY1001" i="115" s="1"/>
  <c r="BP434" i="115"/>
  <c r="CD1334" i="115"/>
  <c r="CD1336" i="115" s="1"/>
  <c r="CG550" i="115"/>
  <c r="BL32" i="115"/>
  <c r="BL901" i="115"/>
  <c r="BP435" i="115"/>
  <c r="BF232" i="117"/>
  <c r="BF16" i="117"/>
  <c r="BT369" i="115"/>
  <c r="BP431" i="115"/>
  <c r="BP436" i="115"/>
  <c r="AZ156" i="117"/>
  <c r="BD156" i="117"/>
  <c r="BN366" i="115"/>
  <c r="CL1445" i="115"/>
  <c r="AC18" i="111" s="1"/>
  <c r="Z39" i="111"/>
  <c r="Z42" i="111" s="1"/>
  <c r="BP251" i="115"/>
  <c r="BR234" i="115"/>
  <c r="AD66" i="117"/>
  <c r="DI57" i="117"/>
  <c r="BJ232" i="117"/>
  <c r="W65" i="111"/>
  <c r="W76" i="111"/>
  <c r="AR154" i="117"/>
  <c r="AV156" i="117"/>
  <c r="CC550" i="115"/>
  <c r="BW119" i="115"/>
  <c r="AH146" i="117"/>
  <c r="DG25" i="117"/>
  <c r="AH67" i="117"/>
  <c r="BF65" i="117"/>
  <c r="AC74" i="111"/>
  <c r="AD74" i="111"/>
  <c r="AL80" i="117"/>
  <c r="AF77" i="117"/>
  <c r="AS77" i="117"/>
  <c r="AT17" i="117"/>
  <c r="DF33" i="117"/>
  <c r="BZ735" i="115"/>
  <c r="BV735" i="115"/>
  <c r="Z38" i="117"/>
  <c r="AD67" i="117"/>
  <c r="EE12" i="117"/>
  <c r="EE14" i="117" s="1"/>
  <c r="CF1205" i="115"/>
  <c r="CF1203" i="115"/>
  <c r="BR1334" i="115"/>
  <c r="BR1336" i="115" s="1"/>
  <c r="BE17" i="117"/>
  <c r="BE66" i="117" s="1"/>
  <c r="BX446" i="115"/>
  <c r="BX377" i="115"/>
  <c r="AB87" i="111"/>
  <c r="AB97" i="111" s="1"/>
  <c r="CH1065" i="115"/>
  <c r="CH1311" i="115" s="1"/>
  <c r="CH1312" i="115" s="1"/>
  <c r="CJ434" i="115"/>
  <c r="AG66" i="117"/>
  <c r="CN56" i="115"/>
  <c r="CJ34" i="115"/>
  <c r="AB138" i="111"/>
  <c r="AB149" i="111"/>
  <c r="AB151" i="111" s="1"/>
  <c r="AB152" i="111" s="1"/>
  <c r="BE34" i="115"/>
  <c r="BJ1065" i="115"/>
  <c r="BJ1311" i="115" s="1"/>
  <c r="BJ1312" i="115" s="1"/>
  <c r="V87" i="111"/>
  <c r="V97" i="111" s="1"/>
  <c r="BP663" i="115"/>
  <c r="BP19" i="115"/>
  <c r="AJ11" i="117"/>
  <c r="AJ14" i="117" s="1"/>
  <c r="DK12" i="117"/>
  <c r="AD55" i="117"/>
  <c r="AD81" i="117" s="1"/>
  <c r="BX34" i="115"/>
  <c r="DI14" i="117"/>
  <c r="DI11" i="117"/>
  <c r="DI13" i="117" s="1"/>
  <c r="EA12" i="117"/>
  <c r="EA14" i="117" s="1"/>
  <c r="T156" i="123"/>
  <c r="CH1119" i="115"/>
  <c r="T157" i="123" s="1"/>
  <c r="AT55" i="117"/>
  <c r="BI1205" i="115"/>
  <c r="BI1203" i="115"/>
  <c r="BS952" i="115"/>
  <c r="CJ435" i="115"/>
  <c r="CD754" i="115"/>
  <c r="CD615" i="115" s="1"/>
  <c r="CD616" i="115" s="1"/>
  <c r="CD698" i="115"/>
  <c r="CJ431" i="115"/>
  <c r="CJ432" i="115"/>
  <c r="AA28" i="111"/>
  <c r="DF32" i="117"/>
  <c r="DF24" i="117"/>
  <c r="CD695" i="115"/>
  <c r="CC770" i="115"/>
  <c r="CF387" i="115"/>
  <c r="CF386" i="115"/>
  <c r="AP81" i="117"/>
  <c r="AP17" i="117"/>
  <c r="AP19" i="117" s="1"/>
  <c r="AP21" i="117" s="1"/>
  <c r="AP24" i="117" s="1"/>
  <c r="AS38" i="117"/>
  <c r="CN500" i="115"/>
  <c r="CI844" i="115"/>
  <c r="CD951" i="115"/>
  <c r="CI951" i="115" s="1"/>
  <c r="CC955" i="115"/>
  <c r="CF955" i="115"/>
  <c r="CB1521" i="115"/>
  <c r="BU1170" i="115"/>
  <c r="BV1169" i="115"/>
  <c r="BV1170" i="115" s="1"/>
  <c r="BI244" i="117"/>
  <c r="BI981" i="115"/>
  <c r="BM1326" i="115"/>
  <c r="BM1328" i="115" s="1"/>
  <c r="BM397" i="115"/>
  <c r="CI119" i="115"/>
  <c r="BJ244" i="117"/>
  <c r="CH1008" i="115"/>
  <c r="CK1008" i="115"/>
  <c r="BQ387" i="115"/>
  <c r="BM34" i="115"/>
  <c r="CL373" i="115"/>
  <c r="CK377" i="115"/>
  <c r="CK446" i="115"/>
  <c r="CK432" i="115"/>
  <c r="DH432" i="115" s="1"/>
  <c r="DI432" i="115" s="1"/>
  <c r="DL432" i="115" s="1"/>
  <c r="DM432" i="115" s="1"/>
  <c r="DP432" i="115" s="1"/>
  <c r="DQ432" i="115" s="1"/>
  <c r="CE952" i="115"/>
  <c r="AS127" i="117"/>
  <c r="AS130" i="117" s="1"/>
  <c r="BU32" i="115"/>
  <c r="BU901" i="115"/>
  <c r="BY54" i="115"/>
  <c r="CL390" i="115"/>
  <c r="CL388" i="115"/>
  <c r="CL389" i="115"/>
  <c r="CK494" i="115"/>
  <c r="CK497" i="115"/>
  <c r="CJ494" i="115"/>
  <c r="CJ497" i="115"/>
  <c r="CL493" i="115"/>
  <c r="CL497" i="115" s="1"/>
  <c r="BZ901" i="115"/>
  <c r="Z51" i="111"/>
  <c r="BZ32" i="115"/>
  <c r="BI34" i="115"/>
  <c r="BM56" i="115"/>
  <c r="BI56" i="115"/>
  <c r="BN968" i="115"/>
  <c r="BL968" i="115"/>
  <c r="CL698" i="115"/>
  <c r="CL754" i="115"/>
  <c r="CL615" i="115" s="1"/>
  <c r="CL616" i="115" s="1"/>
  <c r="CK770" i="115"/>
  <c r="BX1170" i="115"/>
  <c r="BZ1169" i="115"/>
  <c r="BT1397" i="115"/>
  <c r="BU1396" i="115"/>
  <c r="CH1429" i="115"/>
  <c r="CH1476" i="115" s="1"/>
  <c r="CG1476" i="115"/>
  <c r="BD221" i="115"/>
  <c r="BD222" i="115"/>
  <c r="BI3" i="115"/>
  <c r="BJ2" i="115"/>
  <c r="BE221" i="115"/>
  <c r="BE222" i="115"/>
  <c r="AB33" i="111"/>
  <c r="AB24" i="111" s="1"/>
  <c r="AB35" i="111"/>
  <c r="AB26" i="111" s="1"/>
  <c r="AB25" i="111"/>
  <c r="BF222" i="115"/>
  <c r="BF221" i="115"/>
  <c r="CD409" i="115"/>
  <c r="CD413" i="115" s="1"/>
  <c r="CB413" i="115"/>
  <c r="BQ699" i="115"/>
  <c r="BR692" i="115"/>
  <c r="BQ696" i="115"/>
  <c r="BU696" i="115"/>
  <c r="BQ16" i="115"/>
  <c r="BR697" i="115"/>
  <c r="BW693" i="115"/>
  <c r="BS693" i="115"/>
  <c r="BR698" i="115"/>
  <c r="BV697" i="115"/>
  <c r="BN23" i="117"/>
  <c r="BN242" i="117" s="1"/>
  <c r="AE57" i="111"/>
  <c r="BP23" i="117"/>
  <c r="BP242" i="117" s="1"/>
  <c r="BN15" i="117"/>
  <c r="BN223" i="117" s="1"/>
  <c r="BN232" i="117" s="1"/>
  <c r="AE50" i="111"/>
  <c r="CU25" i="115"/>
  <c r="BM15" i="117"/>
  <c r="AH17" i="117"/>
  <c r="AH19" i="117" s="1"/>
  <c r="AH21" i="117" s="1"/>
  <c r="AH24" i="117" s="1"/>
  <c r="AH65" i="117"/>
  <c r="W63" i="111"/>
  <c r="W74" i="111"/>
  <c r="CA951" i="115"/>
  <c r="BM250" i="115"/>
  <c r="BN251" i="115"/>
  <c r="AX178" i="117"/>
  <c r="DR33" i="117"/>
  <c r="DR32" i="117"/>
  <c r="DR24" i="117"/>
  <c r="BI431" i="115"/>
  <c r="BI433" i="115"/>
  <c r="BI435" i="115"/>
  <c r="BI432" i="115"/>
  <c r="BI434" i="115"/>
  <c r="BI384" i="115"/>
  <c r="BI369" i="115"/>
  <c r="CH446" i="115"/>
  <c r="AC77" i="117"/>
  <c r="AG77" i="117"/>
  <c r="AE17" i="111"/>
  <c r="DN57" i="117"/>
  <c r="BU431" i="115"/>
  <c r="BU432" i="115"/>
  <c r="BU433" i="115"/>
  <c r="BU434" i="115"/>
  <c r="BU435" i="115"/>
  <c r="BU384" i="115"/>
  <c r="BU369" i="115"/>
  <c r="CU333" i="115"/>
  <c r="CC1173" i="115"/>
  <c r="CC1176" i="115" s="1"/>
  <c r="CC1175" i="115"/>
  <c r="CC1159" i="115"/>
  <c r="CL1457" i="115"/>
  <c r="CL1456" i="115"/>
  <c r="AE18" i="111"/>
  <c r="BI399" i="115"/>
  <c r="BI1314" i="115" s="1"/>
  <c r="BI1316" i="115" s="1"/>
  <c r="BI1318" i="115" s="1"/>
  <c r="AC21" i="111"/>
  <c r="AC23" i="111"/>
  <c r="CK1458" i="115"/>
  <c r="CK1476" i="115"/>
  <c r="DH1476" i="115" s="1"/>
  <c r="DI1476" i="115" s="1"/>
  <c r="DL1476" i="115" s="1"/>
  <c r="DM1476" i="115" s="1"/>
  <c r="DP1476" i="115" s="1"/>
  <c r="DQ1476" i="115" s="1"/>
  <c r="CL1451" i="115"/>
  <c r="BL770" i="115"/>
  <c r="BL779" i="115" s="1"/>
  <c r="DW57" i="117"/>
  <c r="P128" i="123"/>
  <c r="P152" i="123" s="1"/>
  <c r="P104" i="123"/>
  <c r="BX497" i="115"/>
  <c r="BX494" i="115"/>
  <c r="AR77" i="117"/>
  <c r="AV77" i="117"/>
  <c r="P51" i="123"/>
  <c r="P76" i="123" s="1"/>
  <c r="P31" i="123"/>
  <c r="BN698" i="115"/>
  <c r="BN754" i="115"/>
  <c r="BS691" i="115"/>
  <c r="BR695" i="115"/>
  <c r="BY497" i="115"/>
  <c r="CB494" i="115"/>
  <c r="BY494" i="115"/>
  <c r="BA19" i="117"/>
  <c r="BA133" i="117"/>
  <c r="BA225" i="117"/>
  <c r="BA127" i="117"/>
  <c r="BA130" i="117" s="1"/>
  <c r="BA38" i="117"/>
  <c r="Y14" i="111"/>
  <c r="BX770" i="115"/>
  <c r="AF38" i="117"/>
  <c r="DE33" i="117"/>
  <c r="DE24" i="117"/>
  <c r="DE32" i="117"/>
  <c r="BJ901" i="115"/>
  <c r="V51" i="111"/>
  <c r="BJ32" i="115"/>
  <c r="BJ1246" i="115" s="1"/>
  <c r="CB500" i="115"/>
  <c r="AA79" i="111"/>
  <c r="CD433" i="115"/>
  <c r="CD435" i="115"/>
  <c r="CD434" i="115"/>
  <c r="CD431" i="115"/>
  <c r="Y51" i="111"/>
  <c r="BV32" i="115"/>
  <c r="BV901" i="115"/>
  <c r="CA26" i="115"/>
  <c r="BZ54" i="115"/>
  <c r="DQ57" i="117"/>
  <c r="BX369" i="115"/>
  <c r="BX384" i="115"/>
  <c r="BX434" i="115"/>
  <c r="BX432" i="115"/>
  <c r="BX433" i="115"/>
  <c r="BX435" i="115"/>
  <c r="BX431" i="115"/>
  <c r="P98" i="123"/>
  <c r="BJ10" i="117"/>
  <c r="BJ219" i="117" s="1"/>
  <c r="BJ228" i="117" s="1"/>
  <c r="BU770" i="115"/>
  <c r="BD38" i="117"/>
  <c r="BD133" i="117"/>
  <c r="BD127" i="117"/>
  <c r="BD130" i="117" s="1"/>
  <c r="BD19" i="117"/>
  <c r="BP447" i="115"/>
  <c r="CH931" i="115"/>
  <c r="CH930" i="115" s="1"/>
  <c r="CH938" i="115" s="1"/>
  <c r="CH939" i="115" s="1"/>
  <c r="CI922" i="115"/>
  <c r="CM922" i="115"/>
  <c r="CG770" i="115"/>
  <c r="AR127" i="117"/>
  <c r="AR130" i="117" s="1"/>
  <c r="DQ24" i="117"/>
  <c r="AR38" i="117"/>
  <c r="DQ33" i="117"/>
  <c r="DQ32" i="117"/>
  <c r="CE922" i="115"/>
  <c r="CA922" i="115"/>
  <c r="BZ931" i="115"/>
  <c r="BZ930" i="115" s="1"/>
  <c r="BX934" i="115"/>
  <c r="BY934" i="115"/>
  <c r="CH698" i="115"/>
  <c r="CL695" i="115"/>
  <c r="CM691" i="115"/>
  <c r="CH754" i="115"/>
  <c r="CH615" i="115" s="1"/>
  <c r="CH616" i="115" s="1"/>
  <c r="CH695" i="115"/>
  <c r="CI691" i="115"/>
  <c r="BV695" i="115"/>
  <c r="BW691" i="115"/>
  <c r="BV754" i="115"/>
  <c r="BV698" i="115"/>
  <c r="CA691" i="115"/>
  <c r="BZ695" i="115"/>
  <c r="BT404" i="115"/>
  <c r="BV402" i="115"/>
  <c r="BV404" i="115" s="1"/>
  <c r="BH1318" i="115"/>
  <c r="BH1320" i="115"/>
  <c r="AW65" i="117"/>
  <c r="BA65" i="117"/>
  <c r="AW16" i="117"/>
  <c r="AW223" i="117"/>
  <c r="D95" i="123"/>
  <c r="BL398" i="115"/>
  <c r="BL399" i="115" s="1"/>
  <c r="BL1314" i="115" s="1"/>
  <c r="BL1316" i="115" s="1"/>
  <c r="AR66" i="117"/>
  <c r="AN127" i="117"/>
  <c r="AN130" i="117" s="1"/>
  <c r="DM24" i="117"/>
  <c r="DM33" i="117"/>
  <c r="DM32" i="117"/>
  <c r="AN38" i="117"/>
  <c r="AA63" i="111"/>
  <c r="AA74" i="111"/>
  <c r="AB74" i="111"/>
  <c r="DS45" i="117"/>
  <c r="BZ1267" i="115"/>
  <c r="CD555" i="115"/>
  <c r="CC32" i="115"/>
  <c r="CC54" i="115"/>
  <c r="CG54" i="115"/>
  <c r="CC901" i="115"/>
  <c r="D149" i="123"/>
  <c r="CD901" i="115"/>
  <c r="CD32" i="115"/>
  <c r="AA51" i="111"/>
  <c r="CD54" i="115"/>
  <c r="CE26" i="115"/>
  <c r="CD550" i="115"/>
  <c r="CC799" i="115"/>
  <c r="CF799" i="115"/>
  <c r="CC554" i="115"/>
  <c r="CU336" i="115"/>
  <c r="CU284" i="115"/>
  <c r="BI94" i="117"/>
  <c r="BI80" i="117" s="1"/>
  <c r="H103" i="123"/>
  <c r="L103" i="123"/>
  <c r="CC250" i="115"/>
  <c r="CY87" i="115"/>
  <c r="P20" i="123"/>
  <c r="P116" i="123"/>
  <c r="P63" i="123"/>
  <c r="CD1065" i="115"/>
  <c r="CD1311" i="115" s="1"/>
  <c r="CD1312" i="115" s="1"/>
  <c r="AA87" i="111"/>
  <c r="AA97" i="111" s="1"/>
  <c r="H50" i="123"/>
  <c r="L50" i="123"/>
  <c r="BH51" i="117"/>
  <c r="BH76" i="117" s="1"/>
  <c r="CV1390" i="115"/>
  <c r="CV1302" i="115" s="1"/>
  <c r="BP396" i="115"/>
  <c r="BQ402" i="115"/>
  <c r="BQ404" i="115" s="1"/>
  <c r="BQ396" i="115" s="1"/>
  <c r="AX223" i="117"/>
  <c r="AX16" i="117"/>
  <c r="AX65" i="117"/>
  <c r="BB65" i="117"/>
  <c r="CC1203" i="115"/>
  <c r="CC1205" i="115"/>
  <c r="BN1334" i="115"/>
  <c r="BN1336" i="115" s="1"/>
  <c r="DW11" i="117"/>
  <c r="DW13" i="117" s="1"/>
  <c r="BH11" i="117"/>
  <c r="BH14" i="117" s="1"/>
  <c r="BN396" i="115"/>
  <c r="DL691" i="115" l="1"/>
  <c r="AT2" i="111"/>
  <c r="AT5" i="111" s="1"/>
  <c r="AS5" i="111"/>
  <c r="BD84" i="123"/>
  <c r="BD2" i="123"/>
  <c r="CK5" i="117"/>
  <c r="FJ5" i="117" s="1"/>
  <c r="BQ386" i="115"/>
  <c r="DA47" i="117"/>
  <c r="BH1253" i="115"/>
  <c r="FH74" i="117"/>
  <c r="BV431" i="115"/>
  <c r="BV433" i="115"/>
  <c r="BV435" i="115"/>
  <c r="BR369" i="115"/>
  <c r="FH75" i="117"/>
  <c r="CL5" i="117"/>
  <c r="CJ5" i="117"/>
  <c r="BX436" i="115"/>
  <c r="BH387" i="115"/>
  <c r="BL386" i="115"/>
  <c r="BV432" i="115"/>
  <c r="BH447" i="115"/>
  <c r="BI447" i="115"/>
  <c r="BN390" i="115"/>
  <c r="BN386" i="115"/>
  <c r="BP386" i="115"/>
  <c r="BH436" i="115"/>
  <c r="BJ446" i="115"/>
  <c r="BJ377" i="115"/>
  <c r="BQ449" i="115"/>
  <c r="BT436" i="115"/>
  <c r="BP449" i="115"/>
  <c r="BV384" i="115"/>
  <c r="BX1254" i="115"/>
  <c r="BX1256" i="115" s="1"/>
  <c r="DQ48" i="117" s="1"/>
  <c r="BV377" i="115"/>
  <c r="BY386" i="115"/>
  <c r="EV75" i="117"/>
  <c r="FD74" i="117"/>
  <c r="EZ75" i="117"/>
  <c r="ER75" i="117"/>
  <c r="FD75" i="117"/>
  <c r="EV74" i="117"/>
  <c r="EJ75" i="117"/>
  <c r="ER74" i="117"/>
  <c r="EF74" i="117"/>
  <c r="EZ74" i="117"/>
  <c r="EJ74" i="117"/>
  <c r="EN75" i="117"/>
  <c r="EN74" i="117"/>
  <c r="EF75" i="117"/>
  <c r="AL5" i="111"/>
  <c r="AM5" i="111" s="1"/>
  <c r="AN5" i="111" s="1"/>
  <c r="AO5" i="111" s="1"/>
  <c r="AP5" i="111" s="1"/>
  <c r="AQ5" i="111" s="1"/>
  <c r="AR5" i="111" s="1"/>
  <c r="DN1377" i="115"/>
  <c r="DP1377" i="115"/>
  <c r="DQ1377" i="115" s="1"/>
  <c r="DR1377" i="115" s="1"/>
  <c r="DN1285" i="115"/>
  <c r="DP1285" i="115"/>
  <c r="DQ1285" i="115" s="1"/>
  <c r="DR1285" i="115" s="1"/>
  <c r="DN1274" i="115"/>
  <c r="DP1274" i="115"/>
  <c r="DQ1274" i="115" s="1"/>
  <c r="DR1274" i="115" s="1"/>
  <c r="DN1379" i="115"/>
  <c r="DP1379" i="115"/>
  <c r="DQ1379" i="115" s="1"/>
  <c r="DR1379" i="115" s="1"/>
  <c r="DN1384" i="115"/>
  <c r="DP1384" i="115"/>
  <c r="DQ1384" i="115" s="1"/>
  <c r="DR1384" i="115" s="1"/>
  <c r="AH148" i="111"/>
  <c r="CG132" i="117"/>
  <c r="FF5" i="117"/>
  <c r="CG126" i="117"/>
  <c r="CG172" i="117" s="1"/>
  <c r="CG216" i="117" s="1"/>
  <c r="AZ137" i="123"/>
  <c r="AZ84" i="123"/>
  <c r="AE74" i="111"/>
  <c r="AF74" i="111"/>
  <c r="CZ1395" i="115"/>
  <c r="CZ1397" i="115" s="1"/>
  <c r="DA1394" i="115"/>
  <c r="DD1394" i="115" s="1"/>
  <c r="AZ145" i="123"/>
  <c r="AZ101" i="123"/>
  <c r="AZ48" i="123"/>
  <c r="AZ91" i="123"/>
  <c r="FG5" i="117"/>
  <c r="CH132" i="117"/>
  <c r="CH126" i="117"/>
  <c r="CH172" i="117" s="1"/>
  <c r="CH216" i="117" s="1"/>
  <c r="CF126" i="117"/>
  <c r="CF172" i="117" s="1"/>
  <c r="CF216" i="117" s="1"/>
  <c r="FE5" i="117"/>
  <c r="CF132" i="117"/>
  <c r="DA1202" i="115"/>
  <c r="DA1203" i="115" s="1"/>
  <c r="DJ1383" i="115"/>
  <c r="DL1383" i="115"/>
  <c r="DM1383" i="115" s="1"/>
  <c r="DJ1396" i="115"/>
  <c r="DL1396" i="115"/>
  <c r="DM1396" i="115" s="1"/>
  <c r="DJ1275" i="115"/>
  <c r="DL1275" i="115"/>
  <c r="DM1275" i="115" s="1"/>
  <c r="DJ1381" i="115"/>
  <c r="DL1381" i="115"/>
  <c r="DM1381" i="115" s="1"/>
  <c r="CV1305" i="115"/>
  <c r="CV1306" i="115" s="1"/>
  <c r="CV1307" i="115" s="1"/>
  <c r="CV1254" i="115" s="1"/>
  <c r="CV1253" i="115" s="1"/>
  <c r="BN389" i="115"/>
  <c r="BV555" i="115"/>
  <c r="CV1397" i="115"/>
  <c r="CH251" i="115"/>
  <c r="CF250" i="115"/>
  <c r="CH250" i="115" s="1"/>
  <c r="CL250" i="115"/>
  <c r="CX1394" i="115"/>
  <c r="CX1395" i="115" s="1"/>
  <c r="CX1398" i="115" s="1"/>
  <c r="CW1395" i="115"/>
  <c r="AV84" i="123"/>
  <c r="AV137" i="123"/>
  <c r="DH1287" i="115"/>
  <c r="DI1287" i="115" s="1"/>
  <c r="DH1380" i="115"/>
  <c r="DI1380" i="115" s="1"/>
  <c r="DI735" i="115"/>
  <c r="DH1376" i="115"/>
  <c r="DI1376" i="115" s="1"/>
  <c r="DH1382" i="115"/>
  <c r="DI1382" i="115" s="1"/>
  <c r="DH698" i="115"/>
  <c r="DH754" i="115"/>
  <c r="DH692" i="115"/>
  <c r="DH1283" i="115"/>
  <c r="DI1283" i="115" s="1"/>
  <c r="DI281" i="115"/>
  <c r="DL281" i="115" s="1"/>
  <c r="DH1187" i="115"/>
  <c r="DI1172" i="115"/>
  <c r="DL1172" i="115" s="1"/>
  <c r="DH1203" i="115"/>
  <c r="DH1198" i="115"/>
  <c r="CG779" i="115"/>
  <c r="BX779" i="115"/>
  <c r="CJ779" i="115"/>
  <c r="CK779" i="115"/>
  <c r="CC779" i="115"/>
  <c r="BU779" i="115"/>
  <c r="BT779" i="115"/>
  <c r="CB779" i="115"/>
  <c r="BV250" i="115"/>
  <c r="CB250" i="115"/>
  <c r="BX250" i="115"/>
  <c r="BZ251" i="115"/>
  <c r="BN388" i="115"/>
  <c r="BN373" i="115"/>
  <c r="BM446" i="115"/>
  <c r="BM432" i="115"/>
  <c r="BM377" i="115"/>
  <c r="EU84" i="117"/>
  <c r="H71" i="123"/>
  <c r="BB39" i="117"/>
  <c r="W14" i="111"/>
  <c r="AK81" i="117"/>
  <c r="CF1254" i="115"/>
  <c r="CF1267" i="115"/>
  <c r="CF1273" i="115" s="1"/>
  <c r="CH562" i="115"/>
  <c r="Y28" i="111"/>
  <c r="AC14" i="111"/>
  <c r="CF1261" i="115"/>
  <c r="DY45" i="117"/>
  <c r="BJ54" i="115"/>
  <c r="BK26" i="115"/>
  <c r="BH991" i="115"/>
  <c r="BH992" i="115" s="1"/>
  <c r="BH37" i="115"/>
  <c r="BH58" i="115"/>
  <c r="BN1252" i="115"/>
  <c r="W39" i="111"/>
  <c r="W40" i="111" s="1"/>
  <c r="BN1307" i="115"/>
  <c r="CL1409" i="115"/>
  <c r="CL1410" i="115" s="1"/>
  <c r="W28" i="111"/>
  <c r="BQ456" i="115"/>
  <c r="DJ55" i="117" s="1"/>
  <c r="W79" i="111"/>
  <c r="CF1181" i="115"/>
  <c r="CF1183" i="115" s="1"/>
  <c r="CF1184" i="115" s="1"/>
  <c r="DG44" i="117"/>
  <c r="BQ455" i="115"/>
  <c r="CF1259" i="115"/>
  <c r="CF1160" i="115"/>
  <c r="CF1161" i="115" s="1"/>
  <c r="BU1252" i="115"/>
  <c r="BU1181" i="115" s="1"/>
  <c r="BU1183" i="115" s="1"/>
  <c r="BS1301" i="115"/>
  <c r="DL44" i="117" s="1"/>
  <c r="CE1301" i="115"/>
  <c r="AX154" i="117"/>
  <c r="CG934" i="115"/>
  <c r="BN435" i="115"/>
  <c r="BN431" i="115"/>
  <c r="BY1267" i="115"/>
  <c r="BN433" i="115"/>
  <c r="X54" i="123"/>
  <c r="BY1181" i="115"/>
  <c r="BY1183" i="115" s="1"/>
  <c r="BY1254" i="115"/>
  <c r="AB79" i="111"/>
  <c r="DO44" i="117"/>
  <c r="CD436" i="115"/>
  <c r="BR1267" i="115"/>
  <c r="BR1277" i="115" s="1"/>
  <c r="AB28" i="111"/>
  <c r="AA39" i="111"/>
  <c r="AA38" i="111" s="1"/>
  <c r="AA101" i="111" s="1"/>
  <c r="AA103" i="111" s="1"/>
  <c r="AA104" i="111" s="1"/>
  <c r="AA105" i="111" s="1"/>
  <c r="BV1254" i="115"/>
  <c r="CF447" i="115"/>
  <c r="CF455" i="115" s="1"/>
  <c r="BV1252" i="115"/>
  <c r="BV1267" i="115" s="1"/>
  <c r="BV1277" i="115" s="1"/>
  <c r="CC1307" i="115"/>
  <c r="DI45" i="117"/>
  <c r="BX1267" i="115"/>
  <c r="BL1254" i="115"/>
  <c r="DE47" i="117" s="1"/>
  <c r="CF934" i="115"/>
  <c r="BP1254" i="115"/>
  <c r="CD63" i="115"/>
  <c r="CK56" i="115"/>
  <c r="BT1254" i="115"/>
  <c r="CG1254" i="115"/>
  <c r="BF77" i="117"/>
  <c r="DQ45" i="117"/>
  <c r="H51" i="123"/>
  <c r="L52" i="123" s="1"/>
  <c r="BL387" i="115"/>
  <c r="CH555" i="115"/>
  <c r="T51" i="123"/>
  <c r="T52" i="123" s="1"/>
  <c r="DJ44" i="117"/>
  <c r="CL386" i="115"/>
  <c r="CH384" i="115"/>
  <c r="CJ386" i="115"/>
  <c r="CB1181" i="115"/>
  <c r="CB1183" i="115" s="1"/>
  <c r="CB1184" i="115" s="1"/>
  <c r="CJ387" i="115"/>
  <c r="CB1254" i="115"/>
  <c r="CB1160" i="115"/>
  <c r="BQ1307" i="115"/>
  <c r="L107" i="123"/>
  <c r="CB1267" i="115"/>
  <c r="CB1273" i="115" s="1"/>
  <c r="DU45" i="117"/>
  <c r="BQ1179" i="115"/>
  <c r="CL387" i="115"/>
  <c r="BI436" i="115"/>
  <c r="DZ45" i="117"/>
  <c r="D54" i="123"/>
  <c r="BP1181" i="115"/>
  <c r="BP1183" i="115" s="1"/>
  <c r="DM45" i="117"/>
  <c r="T128" i="123"/>
  <c r="T152" i="123" s="1"/>
  <c r="CK1307" i="115"/>
  <c r="BP1267" i="115"/>
  <c r="BP1277" i="115" s="1"/>
  <c r="CG1259" i="115"/>
  <c r="BM1252" i="115"/>
  <c r="BM1181" i="115" s="1"/>
  <c r="BT1181" i="115"/>
  <c r="BT1183" i="115" s="1"/>
  <c r="CK1179" i="115"/>
  <c r="BM1179" i="115"/>
  <c r="BT1267" i="115"/>
  <c r="CK1252" i="115"/>
  <c r="DK44" i="117"/>
  <c r="X39" i="111"/>
  <c r="X38" i="111" s="1"/>
  <c r="X101" i="111" s="1"/>
  <c r="CG1267" i="115"/>
  <c r="CG1273" i="115" s="1"/>
  <c r="DF44" i="117"/>
  <c r="BW1301" i="115"/>
  <c r="AC6" i="123"/>
  <c r="AC53" i="123"/>
  <c r="AC75" i="123" s="1"/>
  <c r="AC106" i="123"/>
  <c r="AC30" i="123"/>
  <c r="AC16" i="123"/>
  <c r="AC63" i="123"/>
  <c r="AC116" i="123"/>
  <c r="AC20" i="123"/>
  <c r="CT1305" i="115"/>
  <c r="CT1306" i="115" s="1"/>
  <c r="CT1307" i="115" s="1"/>
  <c r="CT1254" i="115" s="1"/>
  <c r="CT1253" i="115" s="1"/>
  <c r="CT1391" i="115" s="1"/>
  <c r="CS1306" i="115"/>
  <c r="CS1307" i="115" s="1"/>
  <c r="CS1254" i="115" s="1"/>
  <c r="CS1253" i="115" s="1"/>
  <c r="CS1391" i="115" s="1"/>
  <c r="H124" i="123"/>
  <c r="BL1181" i="115"/>
  <c r="BL1183" i="115" s="1"/>
  <c r="BR1307" i="115"/>
  <c r="DW44" i="117"/>
  <c r="CL32" i="115"/>
  <c r="CL431" i="115"/>
  <c r="CG1181" i="115"/>
  <c r="CG1183" i="115" s="1"/>
  <c r="CG1184" i="115" s="1"/>
  <c r="CG1261" i="115"/>
  <c r="CA1301" i="115"/>
  <c r="CC1252" i="115"/>
  <c r="CC1181" i="115" s="1"/>
  <c r="CC1183" i="115" s="1"/>
  <c r="Y39" i="111"/>
  <c r="Y38" i="111" s="1"/>
  <c r="Y101" i="111" s="1"/>
  <c r="Y103" i="111" s="1"/>
  <c r="Y104" i="111" s="1"/>
  <c r="Y105" i="111" s="1"/>
  <c r="CD1307" i="115"/>
  <c r="CI1301" i="115"/>
  <c r="CK387" i="115"/>
  <c r="CK386" i="115"/>
  <c r="AC51" i="111"/>
  <c r="AC77" i="111" s="1"/>
  <c r="CK1409" i="115"/>
  <c r="CK1410" i="115" s="1"/>
  <c r="BM1254" i="115"/>
  <c r="L114" i="123"/>
  <c r="L117" i="123" s="1"/>
  <c r="DV44" i="117"/>
  <c r="CD1252" i="115"/>
  <c r="DW45" i="117" s="1"/>
  <c r="CT559" i="115"/>
  <c r="CT564" i="115" s="1"/>
  <c r="CD1246" i="115"/>
  <c r="BU1246" i="115"/>
  <c r="CK1246" i="115"/>
  <c r="BQ36" i="117"/>
  <c r="BZ1246" i="115"/>
  <c r="BL1246" i="115"/>
  <c r="AW116" i="117"/>
  <c r="BL449" i="115"/>
  <c r="BN1246" i="115"/>
  <c r="CG447" i="115"/>
  <c r="CG456" i="115" s="1"/>
  <c r="CB447" i="115"/>
  <c r="CC449" i="115"/>
  <c r="CC1246" i="115"/>
  <c r="CB1246" i="115"/>
  <c r="BP10" i="117"/>
  <c r="BV1246" i="115"/>
  <c r="H104" i="123"/>
  <c r="H105" i="123" s="1"/>
  <c r="D98" i="123"/>
  <c r="T98" i="123"/>
  <c r="T31" i="123"/>
  <c r="P107" i="123"/>
  <c r="H54" i="123"/>
  <c r="H107" i="123"/>
  <c r="CF563" i="115"/>
  <c r="AL77" i="117"/>
  <c r="T107" i="123"/>
  <c r="T54" i="123"/>
  <c r="BR409" i="115"/>
  <c r="BR413" i="115" s="1"/>
  <c r="BR1326" i="115" s="1"/>
  <c r="BR1328" i="115" s="1"/>
  <c r="CL384" i="115"/>
  <c r="EE44" i="117"/>
  <c r="AC39" i="111"/>
  <c r="AC42" i="111" s="1"/>
  <c r="R19" i="123"/>
  <c r="CF1146" i="115"/>
  <c r="CH377" i="115"/>
  <c r="P19" i="123"/>
  <c r="CD1146" i="115"/>
  <c r="CL1307" i="115"/>
  <c r="CJ436" i="115"/>
  <c r="CH1409" i="115"/>
  <c r="CH1410" i="115" s="1"/>
  <c r="CG386" i="115"/>
  <c r="W19" i="123"/>
  <c r="CK1146" i="115"/>
  <c r="BE30" i="117"/>
  <c r="CD384" i="115"/>
  <c r="CB387" i="115"/>
  <c r="DN44" i="117"/>
  <c r="CC386" i="115"/>
  <c r="AB39" i="111"/>
  <c r="AB38" i="111" s="1"/>
  <c r="AB101" i="111" s="1"/>
  <c r="AB103" i="111" s="1"/>
  <c r="AB104" i="111" s="1"/>
  <c r="AB105" i="111" s="1"/>
  <c r="CJ1254" i="115"/>
  <c r="CJ1267" i="115"/>
  <c r="CJ1160" i="115"/>
  <c r="CJ1161" i="115" s="1"/>
  <c r="EC45" i="117"/>
  <c r="CJ1261" i="115"/>
  <c r="CJ1181" i="115"/>
  <c r="CJ1259" i="115"/>
  <c r="BU1179" i="115"/>
  <c r="EA44" i="117"/>
  <c r="CH1252" i="115"/>
  <c r="EA45" i="117" s="1"/>
  <c r="CM1301" i="115"/>
  <c r="CB436" i="115"/>
  <c r="BU1254" i="115"/>
  <c r="DN47" i="117" s="1"/>
  <c r="CL1252" i="115"/>
  <c r="EE45" i="117" s="1"/>
  <c r="CH1307" i="115"/>
  <c r="BT447" i="115"/>
  <c r="CL901" i="115"/>
  <c r="Y11" i="111"/>
  <c r="BZ770" i="115"/>
  <c r="BT37" i="115"/>
  <c r="AZ30" i="117"/>
  <c r="CJ563" i="115"/>
  <c r="AH55" i="117"/>
  <c r="AL81" i="117" s="1"/>
  <c r="BZ615" i="115"/>
  <c r="BZ616" i="115" s="1"/>
  <c r="CH433" i="115"/>
  <c r="CH435" i="115"/>
  <c r="V40" i="111"/>
  <c r="H7" i="123"/>
  <c r="AT38" i="117"/>
  <c r="AT19" i="117"/>
  <c r="AT21" i="117" s="1"/>
  <c r="AT24" i="117" s="1"/>
  <c r="CF56" i="115"/>
  <c r="CO56" i="115"/>
  <c r="BJ1253" i="115"/>
  <c r="CB56" i="115"/>
  <c r="X11" i="111"/>
  <c r="BX58" i="115"/>
  <c r="V38" i="111"/>
  <c r="V101" i="111" s="1"/>
  <c r="BR436" i="115"/>
  <c r="BM10" i="117"/>
  <c r="D51" i="123"/>
  <c r="D76" i="123" s="1"/>
  <c r="CK563" i="115"/>
  <c r="DK57" i="117"/>
  <c r="CK590" i="115"/>
  <c r="CJ616" i="115"/>
  <c r="CP562" i="115"/>
  <c r="CD559" i="115"/>
  <c r="CL590" i="115"/>
  <c r="CF559" i="115"/>
  <c r="CF564" i="115" s="1"/>
  <c r="BL11" i="117"/>
  <c r="CH434" i="115"/>
  <c r="CG1553" i="115"/>
  <c r="CG1561" i="115" s="1"/>
  <c r="CG991" i="115"/>
  <c r="CG992" i="115" s="1"/>
  <c r="BA240" i="117" s="1"/>
  <c r="P115" i="123"/>
  <c r="EA57" i="117"/>
  <c r="CH432" i="115"/>
  <c r="P62" i="123"/>
  <c r="BL455" i="115"/>
  <c r="DE56" i="117" s="1"/>
  <c r="CG37" i="115"/>
  <c r="BR431" i="115"/>
  <c r="BR433" i="115"/>
  <c r="BR435" i="115"/>
  <c r="BR434" i="115"/>
  <c r="DC45" i="117"/>
  <c r="BZ1254" i="115"/>
  <c r="DS47" i="117" s="1"/>
  <c r="AP77" i="117"/>
  <c r="DC47" i="117"/>
  <c r="BJ1256" i="115"/>
  <c r="BB81" i="117"/>
  <c r="L65" i="123"/>
  <c r="L93" i="123" s="1"/>
  <c r="X28" i="111"/>
  <c r="D128" i="123"/>
  <c r="D152" i="123" s="1"/>
  <c r="AZ127" i="117"/>
  <c r="AZ130" i="117" s="1"/>
  <c r="BD131" i="117" s="1"/>
  <c r="CJ447" i="115"/>
  <c r="BL456" i="115"/>
  <c r="DE55" i="117" s="1"/>
  <c r="BO26" i="115"/>
  <c r="W51" i="111"/>
  <c r="W49" i="111" s="1"/>
  <c r="W62" i="111" s="1"/>
  <c r="BD66" i="117"/>
  <c r="BN54" i="115"/>
  <c r="BN901" i="115"/>
  <c r="CC455" i="115"/>
  <c r="CH369" i="115"/>
  <c r="CL433" i="115"/>
  <c r="AS131" i="117"/>
  <c r="CL435" i="115"/>
  <c r="BB156" i="117"/>
  <c r="DH1375" i="115"/>
  <c r="CP54" i="115"/>
  <c r="CQ26" i="115"/>
  <c r="CN564" i="115"/>
  <c r="CO563" i="115"/>
  <c r="CK559" i="115"/>
  <c r="DH1303" i="115"/>
  <c r="DI1303" i="115" s="1"/>
  <c r="DH1299" i="115"/>
  <c r="DH1271" i="115"/>
  <c r="DJ736" i="115"/>
  <c r="DG281" i="115"/>
  <c r="H118" i="123"/>
  <c r="H147" i="123" s="1"/>
  <c r="L21" i="123"/>
  <c r="AZ225" i="117"/>
  <c r="AZ133" i="117"/>
  <c r="AZ139" i="117" s="1"/>
  <c r="AZ19" i="117"/>
  <c r="CL555" i="115"/>
  <c r="BZ1170" i="115"/>
  <c r="AT77" i="117"/>
  <c r="BF156" i="117"/>
  <c r="AC11" i="111"/>
  <c r="BH386" i="115"/>
  <c r="BR447" i="115"/>
  <c r="CH63" i="115"/>
  <c r="CL63" i="115"/>
  <c r="CQ63" i="115" s="1"/>
  <c r="DW14" i="117"/>
  <c r="CL54" i="115"/>
  <c r="BZ369" i="115"/>
  <c r="BF81" i="117"/>
  <c r="AW157" i="117"/>
  <c r="CC456" i="115"/>
  <c r="BT1553" i="115"/>
  <c r="BT1555" i="115" s="1"/>
  <c r="BT1562" i="115" s="1"/>
  <c r="BT993" i="115" s="1"/>
  <c r="DO14" i="117"/>
  <c r="CG387" i="115"/>
  <c r="BT991" i="115"/>
  <c r="BT992" i="115" s="1"/>
  <c r="AW203" i="117"/>
  <c r="CH901" i="115"/>
  <c r="CI26" i="115"/>
  <c r="AB51" i="111"/>
  <c r="AB49" i="111" s="1"/>
  <c r="AB62" i="111" s="1"/>
  <c r="CH32" i="115"/>
  <c r="X21" i="123"/>
  <c r="CM26" i="115"/>
  <c r="BU436" i="115"/>
  <c r="BY387" i="115"/>
  <c r="CD369" i="115"/>
  <c r="CC387" i="115"/>
  <c r="AV157" i="117"/>
  <c r="BP811" i="115"/>
  <c r="BR807" i="115"/>
  <c r="BR811" i="115" s="1"/>
  <c r="AV17" i="117"/>
  <c r="AV19" i="117" s="1"/>
  <c r="AV21" i="117" s="1"/>
  <c r="AV24" i="117" s="1"/>
  <c r="BU447" i="115"/>
  <c r="CB34" i="115"/>
  <c r="BB17" i="117"/>
  <c r="BB133" i="117" s="1"/>
  <c r="BB139" i="117" s="1"/>
  <c r="AV116" i="117"/>
  <c r="AV203" i="117"/>
  <c r="CD447" i="115"/>
  <c r="AV224" i="117"/>
  <c r="AV237" i="117" s="1"/>
  <c r="AV239" i="117" s="1"/>
  <c r="AZ232" i="117"/>
  <c r="BV446" i="115"/>
  <c r="BP387" i="115"/>
  <c r="BD37" i="115"/>
  <c r="P114" i="123"/>
  <c r="P117" i="123" s="1"/>
  <c r="N61" i="123"/>
  <c r="N64" i="123" s="1"/>
  <c r="N114" i="123"/>
  <c r="N117" i="123" s="1"/>
  <c r="V61" i="123"/>
  <c r="V64" i="123" s="1"/>
  <c r="V81" i="123" s="1"/>
  <c r="V114" i="123"/>
  <c r="V117" i="123" s="1"/>
  <c r="V134" i="123" s="1"/>
  <c r="R61" i="123"/>
  <c r="R64" i="123" s="1"/>
  <c r="R114" i="123"/>
  <c r="R117" i="123" s="1"/>
  <c r="X7" i="123"/>
  <c r="X31" i="123"/>
  <c r="X75" i="123"/>
  <c r="X61" i="123"/>
  <c r="X64" i="123" s="1"/>
  <c r="X114" i="123"/>
  <c r="X117" i="123" s="1"/>
  <c r="T61" i="123"/>
  <c r="T64" i="123" s="1"/>
  <c r="T114" i="123"/>
  <c r="T117" i="123" s="1"/>
  <c r="X128" i="123"/>
  <c r="L7" i="123"/>
  <c r="L31" i="123"/>
  <c r="P7" i="123"/>
  <c r="X104" i="123"/>
  <c r="X129" i="123" s="1"/>
  <c r="L98" i="123"/>
  <c r="L104" i="123"/>
  <c r="L129" i="123" s="1"/>
  <c r="L128" i="123"/>
  <c r="L152" i="123" s="1"/>
  <c r="BA237" i="117"/>
  <c r="BA239" i="117" s="1"/>
  <c r="EE57" i="117"/>
  <c r="CK950" i="115"/>
  <c r="CK953" i="115" s="1"/>
  <c r="CK1606" i="115"/>
  <c r="BE152" i="117"/>
  <c r="BA179" i="117"/>
  <c r="T65" i="123"/>
  <c r="T93" i="123" s="1"/>
  <c r="CK549" i="115"/>
  <c r="BE177" i="117"/>
  <c r="BE235" i="117"/>
  <c r="BA196" i="117"/>
  <c r="BA153" i="117"/>
  <c r="CG1609" i="115"/>
  <c r="AX81" i="117"/>
  <c r="BI1256" i="115"/>
  <c r="BI1253" i="115"/>
  <c r="DB47" i="117"/>
  <c r="AC28" i="111"/>
  <c r="BN387" i="115"/>
  <c r="CB386" i="115"/>
  <c r="CL562" i="115"/>
  <c r="DS57" i="117"/>
  <c r="BB224" i="117"/>
  <c r="BF233" i="117" s="1"/>
  <c r="BF231" i="117"/>
  <c r="CF991" i="115"/>
  <c r="CF992" i="115" s="1"/>
  <c r="AZ240" i="117" s="1"/>
  <c r="BF17" i="117"/>
  <c r="W11" i="111"/>
  <c r="CJ58" i="115"/>
  <c r="X118" i="123"/>
  <c r="X147" i="123" s="1"/>
  <c r="BZ432" i="115"/>
  <c r="X65" i="123"/>
  <c r="Z38" i="111"/>
  <c r="Z101" i="111" s="1"/>
  <c r="Z103" i="111" s="1"/>
  <c r="Z104" i="111" s="1"/>
  <c r="Z105" i="111" s="1"/>
  <c r="BZ384" i="115"/>
  <c r="CF37" i="115"/>
  <c r="BZ377" i="115"/>
  <c r="BY436" i="115"/>
  <c r="CF995" i="115"/>
  <c r="BZ446" i="115"/>
  <c r="V28" i="111"/>
  <c r="BY447" i="115"/>
  <c r="CF1553" i="115"/>
  <c r="CF1561" i="115" s="1"/>
  <c r="Z11" i="111"/>
  <c r="Z28" i="111"/>
  <c r="AX156" i="117"/>
  <c r="P52" i="123"/>
  <c r="AA11" i="111"/>
  <c r="Z14" i="111"/>
  <c r="BZ431" i="115"/>
  <c r="BZ433" i="115"/>
  <c r="BZ434" i="115"/>
  <c r="BZ435" i="115"/>
  <c r="BY1561" i="115"/>
  <c r="BY1555" i="115"/>
  <c r="BY1562" i="115" s="1"/>
  <c r="BY993" i="115" s="1"/>
  <c r="AD77" i="117"/>
  <c r="AH77" i="117"/>
  <c r="BJ431" i="115"/>
  <c r="BJ435" i="115"/>
  <c r="BJ433" i="115"/>
  <c r="BJ434" i="115"/>
  <c r="DS24" i="117"/>
  <c r="BJ384" i="115"/>
  <c r="BI13" i="117"/>
  <c r="BR384" i="115"/>
  <c r="BJ432" i="115"/>
  <c r="BQ1181" i="115"/>
  <c r="BQ1183" i="115" s="1"/>
  <c r="DJ45" i="117"/>
  <c r="BQ1267" i="115"/>
  <c r="BY43" i="115"/>
  <c r="BY39" i="115"/>
  <c r="BY1564" i="115"/>
  <c r="BI1320" i="115"/>
  <c r="BT387" i="115"/>
  <c r="BT386" i="115"/>
  <c r="BL34" i="115"/>
  <c r="BL56" i="115"/>
  <c r="Z40" i="111"/>
  <c r="AT66" i="117"/>
  <c r="AT127" i="117"/>
  <c r="AT130" i="117" s="1"/>
  <c r="DS33" i="117"/>
  <c r="BN384" i="115"/>
  <c r="BP250" i="115"/>
  <c r="BR251" i="115"/>
  <c r="AT133" i="117"/>
  <c r="AT139" i="117" s="1"/>
  <c r="AT202" i="117" s="1"/>
  <c r="AT204" i="117" s="1"/>
  <c r="AT206" i="117" s="1"/>
  <c r="AT208" i="117" s="1"/>
  <c r="CY282" i="115"/>
  <c r="DS32" i="117"/>
  <c r="BE127" i="117"/>
  <c r="BE130" i="117" s="1"/>
  <c r="BE131" i="117" s="1"/>
  <c r="BE38" i="117"/>
  <c r="BE19" i="117"/>
  <c r="BE68" i="117" s="1"/>
  <c r="BE133" i="117"/>
  <c r="BE139" i="117" s="1"/>
  <c r="BX447" i="115"/>
  <c r="AT81" i="117"/>
  <c r="EA11" i="117"/>
  <c r="EA13" i="117" s="1"/>
  <c r="DK14" i="117"/>
  <c r="CN58" i="115"/>
  <c r="CJ991" i="115"/>
  <c r="CJ992" i="115" s="1"/>
  <c r="CJ995" i="115"/>
  <c r="CJ37" i="115"/>
  <c r="CJ1553" i="115"/>
  <c r="BX1553" i="115"/>
  <c r="BX995" i="115"/>
  <c r="BX37" i="115"/>
  <c r="BX991" i="115"/>
  <c r="BX992" i="115" s="1"/>
  <c r="AJ128" i="117"/>
  <c r="BP669" i="115"/>
  <c r="AJ16" i="117"/>
  <c r="AJ65" i="117"/>
  <c r="AN65" i="117"/>
  <c r="BT49" i="115"/>
  <c r="BP666" i="115"/>
  <c r="BP20" i="115"/>
  <c r="BP49" i="115"/>
  <c r="BE37" i="115"/>
  <c r="CD770" i="115"/>
  <c r="AP133" i="117"/>
  <c r="AP139" i="117" s="1"/>
  <c r="DO24" i="117"/>
  <c r="DO33" i="117"/>
  <c r="AP38" i="117"/>
  <c r="DO32" i="117"/>
  <c r="AP127" i="117"/>
  <c r="AP130" i="117" s="1"/>
  <c r="CL1008" i="115"/>
  <c r="BU34" i="115"/>
  <c r="BY56" i="115"/>
  <c r="BR387" i="115"/>
  <c r="BR386" i="115"/>
  <c r="CL377" i="115"/>
  <c r="CK436" i="115"/>
  <c r="DH436" i="115" s="1"/>
  <c r="DI436" i="115" s="1"/>
  <c r="DL436" i="115" s="1"/>
  <c r="DM436" i="115" s="1"/>
  <c r="DP436" i="115" s="1"/>
  <c r="DQ436" i="115" s="1"/>
  <c r="BQ409" i="115"/>
  <c r="BQ413" i="115" s="1"/>
  <c r="BP1326" i="115"/>
  <c r="BP1328" i="115" s="1"/>
  <c r="BP397" i="115"/>
  <c r="BP1315" i="115" s="1"/>
  <c r="CK447" i="115"/>
  <c r="BM416" i="115"/>
  <c r="BM1315" i="115"/>
  <c r="BN397" i="115"/>
  <c r="BN1315" i="115" s="1"/>
  <c r="BM398" i="115"/>
  <c r="BN398" i="115" s="1"/>
  <c r="CL432" i="115"/>
  <c r="CL446" i="115"/>
  <c r="BM37" i="115"/>
  <c r="BM991" i="115"/>
  <c r="BM992" i="115" s="1"/>
  <c r="BF34" i="115"/>
  <c r="CE951" i="115"/>
  <c r="Z77" i="111"/>
  <c r="Z49" i="111"/>
  <c r="Z62" i="111" s="1"/>
  <c r="Z64" i="111"/>
  <c r="BZ34" i="115"/>
  <c r="Z53" i="111"/>
  <c r="Z66" i="111" s="1"/>
  <c r="BL128" i="117"/>
  <c r="AK11" i="117"/>
  <c r="AK14" i="117" s="1"/>
  <c r="BQ19" i="115"/>
  <c r="BQ663" i="115"/>
  <c r="BR16" i="115"/>
  <c r="BI37" i="115"/>
  <c r="BM58" i="115"/>
  <c r="BI991" i="115"/>
  <c r="BI992" i="115" s="1"/>
  <c r="BI58" i="115"/>
  <c r="BR696" i="115"/>
  <c r="BS692" i="115"/>
  <c r="BR699" i="115"/>
  <c r="BW692" i="115"/>
  <c r="BV696" i="115"/>
  <c r="BJ1320" i="115"/>
  <c r="CL770" i="115"/>
  <c r="CS615" i="115"/>
  <c r="CS616" i="115" s="1"/>
  <c r="CB397" i="115"/>
  <c r="CB1315" i="115" s="1"/>
  <c r="CB1326" i="115"/>
  <c r="CB1328" i="115" s="1"/>
  <c r="CC409" i="115"/>
  <c r="CC413" i="115" s="1"/>
  <c r="CF409" i="115"/>
  <c r="CD1326" i="115"/>
  <c r="CD1328" i="115" s="1"/>
  <c r="BJ3" i="115"/>
  <c r="BL2" i="115"/>
  <c r="BV1396" i="115"/>
  <c r="BX1396" i="115"/>
  <c r="BQ23" i="117"/>
  <c r="BQ242" i="117" s="1"/>
  <c r="BP15" i="117"/>
  <c r="BN34" i="115"/>
  <c r="W53" i="111"/>
  <c r="W66" i="111" s="1"/>
  <c r="AH66" i="117"/>
  <c r="DG32" i="117"/>
  <c r="DG33" i="117"/>
  <c r="DG24" i="117"/>
  <c r="AH38" i="117"/>
  <c r="CX1445" i="115"/>
  <c r="AF18" i="111" s="1"/>
  <c r="CY1292" i="115"/>
  <c r="BN250" i="115"/>
  <c r="AR131" i="117"/>
  <c r="AX193" i="117"/>
  <c r="BU386" i="115"/>
  <c r="BU387" i="115"/>
  <c r="BV369" i="115"/>
  <c r="CH447" i="115"/>
  <c r="BI387" i="115"/>
  <c r="BJ369" i="115"/>
  <c r="BI386" i="115"/>
  <c r="CL1476" i="115"/>
  <c r="CL1458" i="115"/>
  <c r="AC25" i="111"/>
  <c r="AC24" i="111"/>
  <c r="BA21" i="117"/>
  <c r="BA24" i="117" s="1"/>
  <c r="BA26" i="117" s="1"/>
  <c r="BX386" i="115"/>
  <c r="BX387" i="115"/>
  <c r="Y53" i="111"/>
  <c r="Y66" i="111" s="1"/>
  <c r="BV34" i="115"/>
  <c r="CA32" i="115"/>
  <c r="BZ56" i="115"/>
  <c r="P129" i="123"/>
  <c r="Y64" i="111"/>
  <c r="Y77" i="111"/>
  <c r="Y49" i="111"/>
  <c r="Z75" i="111"/>
  <c r="V77" i="111"/>
  <c r="V64" i="111"/>
  <c r="V49" i="111"/>
  <c r="BJ34" i="115"/>
  <c r="BJ56" i="115"/>
  <c r="V53" i="111"/>
  <c r="V66" i="111" s="1"/>
  <c r="BN56" i="115"/>
  <c r="BN770" i="115"/>
  <c r="BN779" i="115" s="1"/>
  <c r="BA139" i="117"/>
  <c r="CH770" i="115"/>
  <c r="CY335" i="115"/>
  <c r="BD21" i="117"/>
  <c r="BD24" i="117" s="1"/>
  <c r="BD26" i="117" s="1"/>
  <c r="BP455" i="115"/>
  <c r="BP456" i="115"/>
  <c r="BD139" i="117"/>
  <c r="BV770" i="115"/>
  <c r="BL1318" i="115"/>
  <c r="BL1320" i="115"/>
  <c r="T129" i="123"/>
  <c r="T105" i="123"/>
  <c r="AA77" i="111"/>
  <c r="AA49" i="111"/>
  <c r="AA64" i="111"/>
  <c r="AA75" i="111"/>
  <c r="BI51" i="117"/>
  <c r="BI76" i="117" s="1"/>
  <c r="CC56" i="115"/>
  <c r="CC34" i="115"/>
  <c r="CG56" i="115"/>
  <c r="CK995" i="115"/>
  <c r="CK37" i="115"/>
  <c r="CO60" i="115" s="1"/>
  <c r="CK1553" i="115"/>
  <c r="CK991" i="115"/>
  <c r="CK992" i="115" s="1"/>
  <c r="CK58" i="115"/>
  <c r="BR396" i="115"/>
  <c r="BJ94" i="117"/>
  <c r="BJ80" i="117" s="1"/>
  <c r="AA53" i="111"/>
  <c r="AA66" i="111" s="1"/>
  <c r="CD34" i="115"/>
  <c r="CD56" i="115"/>
  <c r="CE32" i="115"/>
  <c r="BH65" i="117"/>
  <c r="BH16" i="117"/>
  <c r="CY283" i="115"/>
  <c r="P65" i="123"/>
  <c r="P118" i="123"/>
  <c r="P21" i="123"/>
  <c r="T21" i="123"/>
  <c r="CC555" i="115"/>
  <c r="CG562" i="115"/>
  <c r="BZ1277" i="115"/>
  <c r="BZ1273" i="115"/>
  <c r="AX17" i="117"/>
  <c r="AX19" i="117" s="1"/>
  <c r="AX21" i="117" s="1"/>
  <c r="AX24" i="117" s="1"/>
  <c r="BA232" i="117"/>
  <c r="AW224" i="117"/>
  <c r="BX402" i="115"/>
  <c r="AX224" i="117"/>
  <c r="BB232" i="117"/>
  <c r="AW17" i="117"/>
  <c r="AW19" i="117" s="1"/>
  <c r="AW21" i="117" s="1"/>
  <c r="AW24" i="117" s="1"/>
  <c r="BU402" i="115"/>
  <c r="BU404" i="115" s="1"/>
  <c r="BT396" i="115"/>
  <c r="DL692" i="115" l="1"/>
  <c r="DL754" i="115"/>
  <c r="DP691" i="115"/>
  <c r="DL698" i="115"/>
  <c r="AU2" i="111"/>
  <c r="AU5" i="111" s="1"/>
  <c r="CK132" i="117"/>
  <c r="BD145" i="123"/>
  <c r="BD101" i="123"/>
  <c r="BD48" i="123"/>
  <c r="BD91" i="123"/>
  <c r="AI148" i="111"/>
  <c r="AJ148" i="111" s="1"/>
  <c r="AK148" i="111" s="1"/>
  <c r="AL148" i="111" s="1"/>
  <c r="AM148" i="111" s="1"/>
  <c r="AN148" i="111" s="1"/>
  <c r="AO148" i="111" s="1"/>
  <c r="AP148" i="111" s="1"/>
  <c r="AQ148" i="111" s="1"/>
  <c r="AR148" i="111" s="1"/>
  <c r="CK126" i="117"/>
  <c r="CK172" i="117" s="1"/>
  <c r="CK216" i="117" s="1"/>
  <c r="DD1395" i="115"/>
  <c r="DD1305" i="115" s="1"/>
  <c r="DD1306" i="115" s="1"/>
  <c r="DE1394" i="115"/>
  <c r="BH449" i="115"/>
  <c r="DQ47" i="117"/>
  <c r="BH455" i="115"/>
  <c r="BX1253" i="115"/>
  <c r="BH456" i="115"/>
  <c r="BJ436" i="115"/>
  <c r="CJ132" i="117"/>
  <c r="FI5" i="117"/>
  <c r="CJ126" i="117"/>
  <c r="CJ172" i="117" s="1"/>
  <c r="CJ216" i="117" s="1"/>
  <c r="CL126" i="117"/>
  <c r="CL172" i="117" s="1"/>
  <c r="CL216" i="117" s="1"/>
  <c r="CL132" i="117"/>
  <c r="FK5" i="117"/>
  <c r="BI456" i="115"/>
  <c r="BI449" i="115"/>
  <c r="BI455" i="115"/>
  <c r="BX449" i="115"/>
  <c r="BY449" i="115"/>
  <c r="BZ436" i="115"/>
  <c r="BJ447" i="115"/>
  <c r="BN377" i="115"/>
  <c r="BN1254" i="115"/>
  <c r="BN1253" i="115" s="1"/>
  <c r="BV436" i="115"/>
  <c r="BU449" i="115"/>
  <c r="BZ387" i="115"/>
  <c r="BR1254" i="115"/>
  <c r="BN446" i="115"/>
  <c r="BN447" i="115" s="1"/>
  <c r="DN1381" i="115"/>
  <c r="DP1381" i="115"/>
  <c r="DQ1381" i="115" s="1"/>
  <c r="DR1381" i="115" s="1"/>
  <c r="DN1275" i="115"/>
  <c r="DP1275" i="115"/>
  <c r="DQ1275" i="115" s="1"/>
  <c r="DR1275" i="115" s="1"/>
  <c r="DN1396" i="115"/>
  <c r="DP1396" i="115"/>
  <c r="DQ1396" i="115" s="1"/>
  <c r="DR1396" i="115" s="1"/>
  <c r="DN1383" i="115"/>
  <c r="DP1383" i="115"/>
  <c r="DQ1383" i="115" s="1"/>
  <c r="DR1383" i="115" s="1"/>
  <c r="CF1277" i="115"/>
  <c r="CZ1398" i="115"/>
  <c r="DH177" i="115"/>
  <c r="DH188" i="115" s="1"/>
  <c r="CZ1305" i="115"/>
  <c r="CZ1306" i="115" s="1"/>
  <c r="CZ1307" i="115" s="1"/>
  <c r="CZ1254" i="115" s="1"/>
  <c r="CZ1256" i="115" s="1"/>
  <c r="CD250" i="115"/>
  <c r="DB1394" i="115"/>
  <c r="DB1395" i="115" s="1"/>
  <c r="DB1398" i="115" s="1"/>
  <c r="DA1395" i="115"/>
  <c r="DM281" i="115"/>
  <c r="DP281" i="115" s="1"/>
  <c r="DJ1287" i="115"/>
  <c r="DL1287" i="115"/>
  <c r="DM1287" i="115" s="1"/>
  <c r="DJ1303" i="115"/>
  <c r="DL1303" i="115"/>
  <c r="DM1303" i="115" s="1"/>
  <c r="DJ1283" i="115"/>
  <c r="DL1283" i="115"/>
  <c r="DM1283" i="115" s="1"/>
  <c r="DL615" i="115"/>
  <c r="DL1203" i="115"/>
  <c r="DL1198" i="115"/>
  <c r="DL1187" i="115"/>
  <c r="DM1172" i="115"/>
  <c r="DP1172" i="115" s="1"/>
  <c r="DJ1382" i="115"/>
  <c r="DL1382" i="115"/>
  <c r="DM1382" i="115" s="1"/>
  <c r="DJ1376" i="115"/>
  <c r="DL1376" i="115"/>
  <c r="DM1376" i="115" s="1"/>
  <c r="DJ1380" i="115"/>
  <c r="DL1380" i="115"/>
  <c r="DM1380" i="115" s="1"/>
  <c r="DH283" i="115"/>
  <c r="BP672" i="115"/>
  <c r="BP554" i="115"/>
  <c r="BM447" i="115"/>
  <c r="CW1397" i="115"/>
  <c r="CX1397" i="115" s="1"/>
  <c r="CW1398" i="115"/>
  <c r="CW1305" i="115"/>
  <c r="DI1299" i="115"/>
  <c r="DI1271" i="115"/>
  <c r="DL1271" i="115" s="1"/>
  <c r="DH1378" i="115"/>
  <c r="DI1378" i="115" s="1"/>
  <c r="DI1375" i="115"/>
  <c r="DL1375" i="115" s="1"/>
  <c r="DH335" i="115"/>
  <c r="DI697" i="115"/>
  <c r="DH699" i="115"/>
  <c r="DH663" i="115"/>
  <c r="DH696" i="115"/>
  <c r="DH304" i="115"/>
  <c r="DH138" i="115"/>
  <c r="DH80" i="115"/>
  <c r="DI79" i="115"/>
  <c r="DI177" i="115" s="1"/>
  <c r="DJ177" i="115" s="1"/>
  <c r="DK177" i="115" s="1"/>
  <c r="DJ735" i="115"/>
  <c r="DH615" i="115"/>
  <c r="DG309" i="115"/>
  <c r="DH309" i="115"/>
  <c r="DI1187" i="115"/>
  <c r="DI1203" i="115"/>
  <c r="DI1198" i="115"/>
  <c r="DJ281" i="115"/>
  <c r="DG176" i="115"/>
  <c r="BZ779" i="115"/>
  <c r="BV779" i="115"/>
  <c r="CH779" i="115"/>
  <c r="CD779" i="115"/>
  <c r="CL779" i="115"/>
  <c r="BZ250" i="115"/>
  <c r="BN432" i="115"/>
  <c r="BM436" i="115"/>
  <c r="CF1256" i="115"/>
  <c r="CF1253" i="115"/>
  <c r="W38" i="111"/>
  <c r="W101" i="111" s="1"/>
  <c r="BN1309" i="115"/>
  <c r="BZ1256" i="115"/>
  <c r="BX1273" i="115"/>
  <c r="BN1267" i="115"/>
  <c r="BN1273" i="115" s="1"/>
  <c r="BH60" i="115"/>
  <c r="BR1273" i="115"/>
  <c r="BH43" i="115"/>
  <c r="DJ56" i="117"/>
  <c r="BH39" i="115"/>
  <c r="BU1267" i="115"/>
  <c r="BU1273" i="115" s="1"/>
  <c r="DN45" i="117"/>
  <c r="DG45" i="117"/>
  <c r="W42" i="111"/>
  <c r="BY1273" i="115"/>
  <c r="BV1253" i="115"/>
  <c r="DO45" i="117"/>
  <c r="BV1273" i="115"/>
  <c r="DO46" i="117"/>
  <c r="AX116" i="117"/>
  <c r="AX157" i="117"/>
  <c r="AX203" i="117"/>
  <c r="CC1254" i="115"/>
  <c r="CC1253" i="115" s="1"/>
  <c r="BV1256" i="115"/>
  <c r="DO48" i="117" s="1"/>
  <c r="DO47" i="117"/>
  <c r="BP1256" i="115"/>
  <c r="DI48" i="117" s="1"/>
  <c r="BP1253" i="115"/>
  <c r="DI47" i="117"/>
  <c r="AA40" i="111"/>
  <c r="BY1277" i="115"/>
  <c r="BY1253" i="115"/>
  <c r="BY1256" i="115"/>
  <c r="DR48" i="117" s="1"/>
  <c r="BL1256" i="115"/>
  <c r="CG1256" i="115"/>
  <c r="CF456" i="115"/>
  <c r="CF449" i="115"/>
  <c r="DR47" i="117"/>
  <c r="BL1253" i="115"/>
  <c r="H76" i="123"/>
  <c r="CH563" i="115"/>
  <c r="BB30" i="117"/>
  <c r="CH559" i="115"/>
  <c r="CH564" i="115" s="1"/>
  <c r="CH1146" i="115"/>
  <c r="AA42" i="111"/>
  <c r="T19" i="123"/>
  <c r="ED45" i="117"/>
  <c r="BX1277" i="115"/>
  <c r="BT1256" i="115"/>
  <c r="DM47" i="117"/>
  <c r="BT1253" i="115"/>
  <c r="BZ1253" i="115"/>
  <c r="AC64" i="111"/>
  <c r="CG1253" i="115"/>
  <c r="AC53" i="111"/>
  <c r="AC66" i="111" s="1"/>
  <c r="AC114" i="111" s="1"/>
  <c r="AC117" i="111" s="1"/>
  <c r="AC118" i="111" s="1"/>
  <c r="DF47" i="117"/>
  <c r="BT1564" i="115"/>
  <c r="X52" i="123"/>
  <c r="BM1256" i="115"/>
  <c r="T76" i="123"/>
  <c r="CB1277" i="115"/>
  <c r="DV45" i="117"/>
  <c r="BQ1254" i="115"/>
  <c r="BQ1253" i="115" s="1"/>
  <c r="DU47" i="117"/>
  <c r="BT1277" i="115"/>
  <c r="CB1253" i="115"/>
  <c r="CB1256" i="115"/>
  <c r="Y42" i="111"/>
  <c r="BT1273" i="115"/>
  <c r="CY140" i="115"/>
  <c r="CK1254" i="115"/>
  <c r="CK1256" i="115" s="1"/>
  <c r="CH1254" i="115"/>
  <c r="CH1253" i="115" s="1"/>
  <c r="DF45" i="117"/>
  <c r="BM1253" i="115"/>
  <c r="AC49" i="111"/>
  <c r="AC62" i="111" s="1"/>
  <c r="CD1267" i="115"/>
  <c r="CL34" i="115"/>
  <c r="CD1254" i="115"/>
  <c r="AC98" i="123"/>
  <c r="CQ32" i="115"/>
  <c r="CL1246" i="115"/>
  <c r="CG1277" i="115"/>
  <c r="CP56" i="115"/>
  <c r="CK1261" i="115"/>
  <c r="BP1273" i="115"/>
  <c r="CK1181" i="115"/>
  <c r="CK1183" i="115" s="1"/>
  <c r="CK1184" i="115" s="1"/>
  <c r="BR1309" i="115"/>
  <c r="CK1259" i="115"/>
  <c r="CK1160" i="115"/>
  <c r="CK1161" i="115" s="1"/>
  <c r="X42" i="111"/>
  <c r="CK1267" i="115"/>
  <c r="X40" i="111"/>
  <c r="Y40" i="111"/>
  <c r="AC21" i="123"/>
  <c r="AC65" i="123"/>
  <c r="AC118" i="123"/>
  <c r="CF39" i="115"/>
  <c r="BX60" i="115"/>
  <c r="CL1254" i="115"/>
  <c r="CL1253" i="115" s="1"/>
  <c r="AC7" i="123"/>
  <c r="AC51" i="123"/>
  <c r="AC31" i="123"/>
  <c r="BT39" i="115"/>
  <c r="BT43" i="115"/>
  <c r="CC1267" i="115"/>
  <c r="CC1277" i="115" s="1"/>
  <c r="CG39" i="115"/>
  <c r="AC61" i="123"/>
  <c r="AC64" i="123" s="1"/>
  <c r="AC114" i="123"/>
  <c r="AC117" i="123" s="1"/>
  <c r="H129" i="123"/>
  <c r="CC1160" i="115"/>
  <c r="CC1161" i="115" s="1"/>
  <c r="AC104" i="123"/>
  <c r="AC128" i="123"/>
  <c r="AC152" i="123" s="1"/>
  <c r="AB42" i="111"/>
  <c r="AC40" i="111"/>
  <c r="AB40" i="111"/>
  <c r="AC38" i="111"/>
  <c r="AC101" i="111" s="1"/>
  <c r="CH449" i="115"/>
  <c r="CG449" i="115"/>
  <c r="CG455" i="115"/>
  <c r="BT128" i="117"/>
  <c r="CK449" i="115"/>
  <c r="CG1564" i="115"/>
  <c r="CG1566" i="115" s="1"/>
  <c r="CG1568" i="115" s="1"/>
  <c r="BU1253" i="115"/>
  <c r="CH436" i="115"/>
  <c r="CL1267" i="115"/>
  <c r="CJ455" i="115"/>
  <c r="CJ449" i="115"/>
  <c r="BT449" i="115"/>
  <c r="CG536" i="115"/>
  <c r="BU1256" i="115"/>
  <c r="DN48" i="117" s="1"/>
  <c r="CH1267" i="115"/>
  <c r="CF536" i="115"/>
  <c r="BT456" i="115"/>
  <c r="DM55" i="117" s="1"/>
  <c r="BT409" i="115"/>
  <c r="BT413" i="115" s="1"/>
  <c r="CD455" i="115"/>
  <c r="CD449" i="115"/>
  <c r="BR449" i="115"/>
  <c r="AH81" i="117"/>
  <c r="CF1564" i="115"/>
  <c r="CF1566" i="115" s="1"/>
  <c r="CF1568" i="115" s="1"/>
  <c r="CG43" i="115"/>
  <c r="CG45" i="115" s="1"/>
  <c r="CG1216" i="115" s="1"/>
  <c r="CG1238" i="115" s="1"/>
  <c r="CH1246" i="115"/>
  <c r="CB449" i="115"/>
  <c r="CB455" i="115"/>
  <c r="CB456" i="115"/>
  <c r="BT455" i="115"/>
  <c r="BR10" i="117"/>
  <c r="CJ1183" i="115"/>
  <c r="CJ1184" i="115" s="1"/>
  <c r="CJ1253" i="115"/>
  <c r="CJ1256" i="115"/>
  <c r="O19" i="123"/>
  <c r="CC1146" i="115"/>
  <c r="CH387" i="115"/>
  <c r="CL436" i="115"/>
  <c r="CD387" i="115"/>
  <c r="X19" i="123"/>
  <c r="CL1146" i="115"/>
  <c r="CJ1277" i="115"/>
  <c r="CJ1273" i="115"/>
  <c r="CJ564" i="115"/>
  <c r="BR23" i="117"/>
  <c r="BR242" i="117" s="1"/>
  <c r="CU337" i="115"/>
  <c r="CU334" i="115"/>
  <c r="BT36" i="117"/>
  <c r="BR36" i="117"/>
  <c r="CG1555" i="115"/>
  <c r="CG1562" i="115" s="1"/>
  <c r="CG993" i="115" s="1"/>
  <c r="BD68" i="117"/>
  <c r="H52" i="123"/>
  <c r="BD141" i="117"/>
  <c r="BA241" i="117"/>
  <c r="BA243" i="117" s="1"/>
  <c r="BA245" i="117" s="1"/>
  <c r="BN10" i="117"/>
  <c r="BN219" i="117" s="1"/>
  <c r="BN228" i="117" s="1"/>
  <c r="CC559" i="115"/>
  <c r="CG564" i="115" s="1"/>
  <c r="CF43" i="115"/>
  <c r="CF45" i="115" s="1"/>
  <c r="W77" i="111"/>
  <c r="BT1561" i="115"/>
  <c r="W75" i="111"/>
  <c r="W64" i="111"/>
  <c r="L66" i="123"/>
  <c r="DC48" i="117"/>
  <c r="CL563" i="115"/>
  <c r="BF30" i="117"/>
  <c r="CJ456" i="115"/>
  <c r="CH386" i="115"/>
  <c r="CY280" i="115"/>
  <c r="AZ21" i="117"/>
  <c r="AZ24" i="117" s="1"/>
  <c r="AZ26" i="117" s="1"/>
  <c r="CD386" i="115"/>
  <c r="DH1393" i="115"/>
  <c r="L119" i="123"/>
  <c r="BZ386" i="115"/>
  <c r="CO564" i="115"/>
  <c r="CK564" i="115"/>
  <c r="CL559" i="115"/>
  <c r="CP563" i="115"/>
  <c r="DG1299" i="115"/>
  <c r="DH392" i="115"/>
  <c r="DH153" i="115"/>
  <c r="BR455" i="115"/>
  <c r="BR456" i="115"/>
  <c r="DK55" i="117" s="1"/>
  <c r="CB58" i="115"/>
  <c r="CM63" i="115"/>
  <c r="CD456" i="115"/>
  <c r="DW55" i="117" s="1"/>
  <c r="CH34" i="115"/>
  <c r="CM32" i="115"/>
  <c r="AB53" i="111"/>
  <c r="AB66" i="111" s="1"/>
  <c r="AB114" i="111" s="1"/>
  <c r="AB117" i="111" s="1"/>
  <c r="AB118" i="111" s="1"/>
  <c r="CH56" i="115"/>
  <c r="CL56" i="115"/>
  <c r="X152" i="123"/>
  <c r="CI32" i="115"/>
  <c r="AB75" i="111"/>
  <c r="AB77" i="111"/>
  <c r="AB64" i="111"/>
  <c r="AC75" i="111"/>
  <c r="X98" i="123"/>
  <c r="BB38" i="117"/>
  <c r="EA32" i="117"/>
  <c r="EA24" i="117"/>
  <c r="BP812" i="115"/>
  <c r="BQ807" i="115"/>
  <c r="BQ811" i="115" s="1"/>
  <c r="EQ83" i="117"/>
  <c r="BB127" i="117"/>
  <c r="BB130" i="117" s="1"/>
  <c r="BB225" i="117"/>
  <c r="BF66" i="117"/>
  <c r="EA33" i="117"/>
  <c r="BB19" i="117"/>
  <c r="BV447" i="115"/>
  <c r="CF1555" i="115"/>
  <c r="CF1562" i="115" s="1"/>
  <c r="CF993" i="115" s="1"/>
  <c r="AZ233" i="117"/>
  <c r="AV133" i="117"/>
  <c r="AV127" i="117"/>
  <c r="AV130" i="117" s="1"/>
  <c r="AV225" i="117"/>
  <c r="AV38" i="117"/>
  <c r="AV66" i="117"/>
  <c r="AZ66" i="117"/>
  <c r="BU455" i="115"/>
  <c r="BU456" i="115"/>
  <c r="BD39" i="115"/>
  <c r="BD43" i="115"/>
  <c r="CB991" i="115"/>
  <c r="CB992" i="115" s="1"/>
  <c r="CB37" i="115"/>
  <c r="CB60" i="115" s="1"/>
  <c r="CB1553" i="115"/>
  <c r="CB995" i="115"/>
  <c r="CF58" i="115"/>
  <c r="X105" i="123"/>
  <c r="L105" i="123"/>
  <c r="P105" i="123"/>
  <c r="BF225" i="117"/>
  <c r="BF19" i="117"/>
  <c r="BF21" i="117" s="1"/>
  <c r="BF24" i="117" s="1"/>
  <c r="BF26" i="117" s="1"/>
  <c r="X66" i="123"/>
  <c r="EE24" i="117"/>
  <c r="BE237" i="117"/>
  <c r="BE239" i="117" s="1"/>
  <c r="BE236" i="117"/>
  <c r="BF127" i="117"/>
  <c r="BF130" i="117" s="1"/>
  <c r="BE178" i="117"/>
  <c r="BE193" i="117" s="1"/>
  <c r="CK1609" i="115"/>
  <c r="BB196" i="117"/>
  <c r="BB197" i="117" s="1"/>
  <c r="BB198" i="117" s="1"/>
  <c r="BA197" i="117"/>
  <c r="BA198" i="117" s="1"/>
  <c r="BA154" i="117"/>
  <c r="CK550" i="115"/>
  <c r="BA171" i="117"/>
  <c r="EE32" i="117"/>
  <c r="BF133" i="117"/>
  <c r="BF139" i="117" s="1"/>
  <c r="BF115" i="117" s="1"/>
  <c r="EE33" i="117"/>
  <c r="BA106" i="117"/>
  <c r="BA107" i="117" s="1"/>
  <c r="BE196" i="117"/>
  <c r="BE106" i="117" s="1"/>
  <c r="BE153" i="117"/>
  <c r="DB48" i="117"/>
  <c r="X93" i="123"/>
  <c r="X119" i="123"/>
  <c r="BM1194" i="115"/>
  <c r="BM1195" i="115" s="1"/>
  <c r="BM1183" i="115"/>
  <c r="BY455" i="115"/>
  <c r="BY456" i="115"/>
  <c r="BZ447" i="115"/>
  <c r="BJ13" i="117"/>
  <c r="BJ222" i="117" s="1"/>
  <c r="BJ231" i="117" s="1"/>
  <c r="BQ1277" i="115"/>
  <c r="BQ1273" i="115"/>
  <c r="BY1566" i="115"/>
  <c r="BY1227" i="115"/>
  <c r="BY1244" i="115" s="1"/>
  <c r="BY41" i="115"/>
  <c r="BY1135" i="115"/>
  <c r="BY1144" i="115" s="1"/>
  <c r="BY45" i="115"/>
  <c r="BN399" i="115"/>
  <c r="BN1314" i="115" s="1"/>
  <c r="BN1316" i="115" s="1"/>
  <c r="BN1318" i="115" s="1"/>
  <c r="AT131" i="117"/>
  <c r="BL37" i="115"/>
  <c r="BL991" i="115"/>
  <c r="BL992" i="115" s="1"/>
  <c r="BL58" i="115"/>
  <c r="BM399" i="115"/>
  <c r="BM1314" i="115" s="1"/>
  <c r="BM1316" i="115" s="1"/>
  <c r="BE141" i="117"/>
  <c r="AT160" i="117"/>
  <c r="BR250" i="115"/>
  <c r="BX455" i="115"/>
  <c r="BX456" i="115"/>
  <c r="BE115" i="117"/>
  <c r="BE202" i="117"/>
  <c r="BE21" i="117"/>
  <c r="BE24" i="117" s="1"/>
  <c r="BE26" i="117" s="1"/>
  <c r="BX1555" i="115"/>
  <c r="BX1562" i="115" s="1"/>
  <c r="BX993" i="115" s="1"/>
  <c r="BX1561" i="115"/>
  <c r="CN60" i="115"/>
  <c r="CJ39" i="115"/>
  <c r="CJ536" i="115"/>
  <c r="CJ1564" i="115"/>
  <c r="CJ1566" i="115" s="1"/>
  <c r="CJ43" i="115"/>
  <c r="CU132" i="115"/>
  <c r="BX43" i="115"/>
  <c r="BX1564" i="115"/>
  <c r="BX39" i="115"/>
  <c r="BD240" i="117"/>
  <c r="CJ60" i="115"/>
  <c r="BT50" i="115"/>
  <c r="BP26" i="115"/>
  <c r="BP50" i="115"/>
  <c r="AJ17" i="117"/>
  <c r="AJ19" i="117" s="1"/>
  <c r="AJ21" i="117" s="1"/>
  <c r="AJ24" i="117" s="1"/>
  <c r="BE39" i="115"/>
  <c r="BE43" i="115"/>
  <c r="BX997" i="115"/>
  <c r="BZ995" i="115"/>
  <c r="CJ1561" i="115"/>
  <c r="CJ1555" i="115"/>
  <c r="CJ1562" i="115" s="1"/>
  <c r="CJ993" i="115" s="1"/>
  <c r="BF37" i="115"/>
  <c r="BU991" i="115"/>
  <c r="BU992" i="115" s="1"/>
  <c r="BU1553" i="115"/>
  <c r="BU37" i="115"/>
  <c r="BY58" i="115"/>
  <c r="BM43" i="115"/>
  <c r="BM39" i="115"/>
  <c r="BM1564" i="115"/>
  <c r="BM1566" i="115" s="1"/>
  <c r="BM1568" i="115" s="1"/>
  <c r="BP398" i="115"/>
  <c r="BP399" i="115" s="1"/>
  <c r="BP1314" i="115" s="1"/>
  <c r="BP1316" i="115" s="1"/>
  <c r="BP1318" i="115" s="1"/>
  <c r="CK456" i="115"/>
  <c r="CK455" i="115"/>
  <c r="CL447" i="115"/>
  <c r="BQ397" i="115"/>
  <c r="BQ1326" i="115"/>
  <c r="BQ1328" i="115" s="1"/>
  <c r="Z55" i="111"/>
  <c r="Z80" i="111" s="1"/>
  <c r="L32" i="123"/>
  <c r="BZ1553" i="115"/>
  <c r="BZ991" i="115"/>
  <c r="BZ992" i="115" s="1"/>
  <c r="BZ37" i="115"/>
  <c r="BP128" i="117"/>
  <c r="BY1396" i="115"/>
  <c r="BZ1396" i="115" s="1"/>
  <c r="BX1397" i="115"/>
  <c r="CT615" i="115"/>
  <c r="CT616" i="115" s="1"/>
  <c r="CU691" i="115"/>
  <c r="BI43" i="115"/>
  <c r="BM60" i="115"/>
  <c r="BI39" i="115"/>
  <c r="BI60" i="115"/>
  <c r="BR663" i="115"/>
  <c r="BR19" i="115"/>
  <c r="BW16" i="115"/>
  <c r="AL11" i="117"/>
  <c r="AL14" i="117" s="1"/>
  <c r="CC397" i="115"/>
  <c r="CC1326" i="115"/>
  <c r="CC1328" i="115" s="1"/>
  <c r="BQ669" i="115"/>
  <c r="AK128" i="117"/>
  <c r="BT669" i="115"/>
  <c r="BL3" i="115"/>
  <c r="BM2" i="115"/>
  <c r="BQ666" i="115"/>
  <c r="BQ554" i="115" s="1"/>
  <c r="BQ49" i="115"/>
  <c r="BQ20" i="115"/>
  <c r="BU49" i="115"/>
  <c r="BH4" i="115"/>
  <c r="BH1527" i="115" s="1"/>
  <c r="BJ4" i="115"/>
  <c r="BI4" i="115"/>
  <c r="BI1527" i="115" s="1"/>
  <c r="CH409" i="115"/>
  <c r="CH413" i="115" s="1"/>
  <c r="CF413" i="115"/>
  <c r="AO65" i="117"/>
  <c r="AK65" i="117"/>
  <c r="AK16" i="117"/>
  <c r="BT23" i="117"/>
  <c r="BT242" i="117" s="1"/>
  <c r="BQ15" i="117"/>
  <c r="BR15" i="117"/>
  <c r="BR223" i="117" s="1"/>
  <c r="BR232" i="117" s="1"/>
  <c r="CY25" i="115"/>
  <c r="BN37" i="115"/>
  <c r="BN991" i="115"/>
  <c r="BN992" i="115" s="1"/>
  <c r="W55" i="111"/>
  <c r="W80" i="111" s="1"/>
  <c r="AX197" i="117"/>
  <c r="AX198" i="117" s="1"/>
  <c r="AX103" i="117"/>
  <c r="AX107" i="117" s="1"/>
  <c r="AW193" i="117"/>
  <c r="BH55" i="117"/>
  <c r="BH81" i="117" s="1"/>
  <c r="CH456" i="115"/>
  <c r="CH455" i="115"/>
  <c r="BJ386" i="115"/>
  <c r="BJ387" i="115"/>
  <c r="CY333" i="115"/>
  <c r="BV386" i="115"/>
  <c r="BV387" i="115"/>
  <c r="V62" i="111"/>
  <c r="W73" i="111"/>
  <c r="BA115" i="117"/>
  <c r="BE142" i="117"/>
  <c r="BA202" i="117"/>
  <c r="BV1553" i="115"/>
  <c r="Y55" i="111"/>
  <c r="Y80" i="111" s="1"/>
  <c r="H32" i="123"/>
  <c r="BV37" i="115"/>
  <c r="BV991" i="115"/>
  <c r="BV992" i="115" s="1"/>
  <c r="CA34" i="115"/>
  <c r="BZ58" i="115"/>
  <c r="BI128" i="117"/>
  <c r="CU693" i="115"/>
  <c r="Y62" i="111"/>
  <c r="Z73" i="111"/>
  <c r="BJ58" i="115"/>
  <c r="BJ991" i="115"/>
  <c r="BJ992" i="115" s="1"/>
  <c r="V55" i="111"/>
  <c r="V80" i="111" s="1"/>
  <c r="BJ37" i="115"/>
  <c r="BN58" i="115"/>
  <c r="BD115" i="117"/>
  <c r="BD202" i="117"/>
  <c r="BD142" i="117"/>
  <c r="BD143" i="117"/>
  <c r="DI55" i="117"/>
  <c r="AZ202" i="117"/>
  <c r="AZ115" i="117"/>
  <c r="DI56" i="117"/>
  <c r="BA66" i="117"/>
  <c r="AW225" i="117"/>
  <c r="AW133" i="117"/>
  <c r="AW127" i="117"/>
  <c r="AW130" i="117" s="1"/>
  <c r="AW66" i="117"/>
  <c r="AW38" i="117"/>
  <c r="BJ51" i="117"/>
  <c r="BJ76" i="117" s="1"/>
  <c r="AB4" i="123"/>
  <c r="AD7" i="111"/>
  <c r="AD10" i="111" s="1"/>
  <c r="BE240" i="117"/>
  <c r="CC991" i="115"/>
  <c r="CC992" i="115" s="1"/>
  <c r="CC1553" i="115"/>
  <c r="CG58" i="115"/>
  <c r="CC37" i="115"/>
  <c r="CC58" i="115"/>
  <c r="CC995" i="115"/>
  <c r="BL94" i="117"/>
  <c r="BL80" i="117" s="1"/>
  <c r="CU109" i="115"/>
  <c r="AX237" i="117"/>
  <c r="AX239" i="117" s="1"/>
  <c r="BB233" i="117"/>
  <c r="CG563" i="115"/>
  <c r="CK1555" i="115"/>
  <c r="CK1562" i="115" s="1"/>
  <c r="CK993" i="115" s="1"/>
  <c r="CK1561" i="115"/>
  <c r="CY131" i="115"/>
  <c r="BL51" i="117"/>
  <c r="BL76" i="117" s="1"/>
  <c r="BM94" i="117"/>
  <c r="BM80" i="117" s="1"/>
  <c r="CY336" i="115"/>
  <c r="AW237" i="117"/>
  <c r="AW239" i="117" s="1"/>
  <c r="BA233" i="117"/>
  <c r="BB115" i="117"/>
  <c r="BB202" i="117"/>
  <c r="CD37" i="115"/>
  <c r="CD1553" i="115"/>
  <c r="CD995" i="115"/>
  <c r="CD991" i="115"/>
  <c r="CD992" i="115" s="1"/>
  <c r="AA55" i="111"/>
  <c r="AA80" i="111" s="1"/>
  <c r="P32" i="123"/>
  <c r="CD58" i="115"/>
  <c r="CE34" i="115"/>
  <c r="AA62" i="111"/>
  <c r="AA73" i="111"/>
  <c r="AB73" i="111"/>
  <c r="BX404" i="115"/>
  <c r="BZ402" i="115"/>
  <c r="BZ404" i="115" s="1"/>
  <c r="DK46" i="117"/>
  <c r="DW33" i="117"/>
  <c r="AX225" i="117"/>
  <c r="DW24" i="117"/>
  <c r="AX127" i="117"/>
  <c r="AX130" i="117" s="1"/>
  <c r="AX133" i="117"/>
  <c r="AX38" i="117"/>
  <c r="AX66" i="117"/>
  <c r="DW32" i="117"/>
  <c r="BB66" i="117"/>
  <c r="DS46" i="117"/>
  <c r="P147" i="123"/>
  <c r="P119" i="123"/>
  <c r="T119" i="123"/>
  <c r="CY284" i="115"/>
  <c r="CI63" i="115"/>
  <c r="CK1564" i="115"/>
  <c r="CK1566" i="115" s="1"/>
  <c r="CO1567" i="115" s="1"/>
  <c r="CK536" i="115"/>
  <c r="CK43" i="115"/>
  <c r="CK39" i="115"/>
  <c r="CK60" i="115"/>
  <c r="BU396" i="115"/>
  <c r="CU118" i="115"/>
  <c r="BH53" i="117"/>
  <c r="P93" i="123"/>
  <c r="P66" i="123"/>
  <c r="T66" i="123"/>
  <c r="DL696" i="115" l="1"/>
  <c r="DP754" i="115"/>
  <c r="DP692" i="115"/>
  <c r="DP698" i="115"/>
  <c r="DL699" i="115"/>
  <c r="DL663" i="115"/>
  <c r="DL16" i="115" s="1"/>
  <c r="AV2" i="111"/>
  <c r="AV5" i="111" s="1"/>
  <c r="DD1397" i="115"/>
  <c r="DD1398" i="115"/>
  <c r="DF1394" i="115"/>
  <c r="DF1395" i="115" s="1"/>
  <c r="DF1398" i="115" s="1"/>
  <c r="DE1395" i="115"/>
  <c r="BR1253" i="115"/>
  <c r="DK47" i="117"/>
  <c r="BR1256" i="115"/>
  <c r="DD700" i="115"/>
  <c r="DE700" i="115" s="1"/>
  <c r="BN1256" i="115"/>
  <c r="DG48" i="117" s="1"/>
  <c r="DG47" i="117"/>
  <c r="BV449" i="115"/>
  <c r="BJ449" i="115"/>
  <c r="BJ455" i="115"/>
  <c r="DC56" i="117" s="1"/>
  <c r="BJ456" i="115"/>
  <c r="DC55" i="117" s="1"/>
  <c r="BZ449" i="115"/>
  <c r="BN449" i="115"/>
  <c r="BN436" i="115"/>
  <c r="BM449" i="115"/>
  <c r="DP699" i="115"/>
  <c r="DH1027" i="115"/>
  <c r="DN1380" i="115"/>
  <c r="DP1380" i="115"/>
  <c r="DQ1380" i="115" s="1"/>
  <c r="DR1380" i="115" s="1"/>
  <c r="DN1376" i="115"/>
  <c r="DP1376" i="115"/>
  <c r="DQ1376" i="115" s="1"/>
  <c r="DR1376" i="115" s="1"/>
  <c r="DN1382" i="115"/>
  <c r="DP1382" i="115"/>
  <c r="DQ1382" i="115" s="1"/>
  <c r="DR1382" i="115" s="1"/>
  <c r="DP1203" i="115"/>
  <c r="DP1187" i="115"/>
  <c r="DQ1172" i="115"/>
  <c r="DP1198" i="115"/>
  <c r="DN1283" i="115"/>
  <c r="DP1283" i="115"/>
  <c r="DQ1283" i="115" s="1"/>
  <c r="DR1283" i="115" s="1"/>
  <c r="DN1303" i="115"/>
  <c r="DP1303" i="115"/>
  <c r="DQ1303" i="115" s="1"/>
  <c r="DR1303" i="115" s="1"/>
  <c r="DN1287" i="115"/>
  <c r="DP1287" i="115"/>
  <c r="DQ1287" i="115" s="1"/>
  <c r="DR1287" i="115" s="1"/>
  <c r="DQ281" i="115"/>
  <c r="DP615" i="115"/>
  <c r="DI188" i="115"/>
  <c r="CZ1253" i="115"/>
  <c r="CZ1391" i="115" s="1"/>
  <c r="DH176" i="115"/>
  <c r="DA1305" i="115"/>
  <c r="DA1398" i="115"/>
  <c r="DA1397" i="115"/>
  <c r="DB1397" i="115" s="1"/>
  <c r="AS46" i="117"/>
  <c r="AW2" i="111"/>
  <c r="DM1271" i="115"/>
  <c r="DP1271" i="115" s="1"/>
  <c r="DL79" i="115"/>
  <c r="DM1375" i="115"/>
  <c r="DP1375" i="115" s="1"/>
  <c r="DM1203" i="115"/>
  <c r="DM1198" i="115"/>
  <c r="DM1187" i="115"/>
  <c r="DJ1378" i="115"/>
  <c r="DL1378" i="115"/>
  <c r="DM1378" i="115" s="1"/>
  <c r="DN281" i="115"/>
  <c r="DL1299" i="115"/>
  <c r="DH282" i="115"/>
  <c r="BM455" i="115"/>
  <c r="DF56" i="117" s="1"/>
  <c r="BQ555" i="115"/>
  <c r="BP555" i="115"/>
  <c r="DH1445" i="115"/>
  <c r="BM456" i="115"/>
  <c r="DF55" i="117" s="1"/>
  <c r="BN455" i="115"/>
  <c r="DG56" i="117" s="1"/>
  <c r="BN456" i="115"/>
  <c r="DG55" i="117" s="1"/>
  <c r="DH1461" i="115"/>
  <c r="DH1434" i="115" s="1"/>
  <c r="DH1390" i="115"/>
  <c r="DH1302" i="115" s="1"/>
  <c r="CB128" i="117"/>
  <c r="CX1305" i="115"/>
  <c r="CX1306" i="115" s="1"/>
  <c r="CW1306" i="115"/>
  <c r="DK1299" i="115"/>
  <c r="DJ1299" i="115"/>
  <c r="DJ1271" i="115"/>
  <c r="DI153" i="115"/>
  <c r="DL153" i="115" s="1"/>
  <c r="EU83" i="117"/>
  <c r="DJ79" i="115"/>
  <c r="DI304" i="115"/>
  <c r="DI138" i="115"/>
  <c r="DH16" i="115"/>
  <c r="DI335" i="115"/>
  <c r="DL335" i="115" s="1"/>
  <c r="DI283" i="115"/>
  <c r="DL283" i="115" s="1"/>
  <c r="DH367" i="115"/>
  <c r="DI392" i="115"/>
  <c r="DL392" i="115" s="1"/>
  <c r="DI1393" i="115"/>
  <c r="DL1393" i="115" s="1"/>
  <c r="DJ697" i="115"/>
  <c r="DK693" i="115"/>
  <c r="DJ1375" i="115"/>
  <c r="DI1390" i="115"/>
  <c r="DI1302" i="115" s="1"/>
  <c r="DK281" i="115"/>
  <c r="DH336" i="115"/>
  <c r="DH307" i="115"/>
  <c r="DI309" i="115"/>
  <c r="DL309" i="115" s="1"/>
  <c r="DH296" i="115"/>
  <c r="DI80" i="115"/>
  <c r="DH308" i="115"/>
  <c r="EY84" i="117"/>
  <c r="CV700" i="115"/>
  <c r="CW700" i="115" s="1"/>
  <c r="DS48" i="117"/>
  <c r="BN1277" i="115"/>
  <c r="BU1277" i="115"/>
  <c r="CC1256" i="115"/>
  <c r="BH1135" i="115"/>
  <c r="BH1227" i="115"/>
  <c r="BH1244" i="115" s="1"/>
  <c r="BH41" i="115"/>
  <c r="BH45" i="115"/>
  <c r="DR46" i="117"/>
  <c r="DV47" i="117"/>
  <c r="BT1566" i="115"/>
  <c r="BT1568" i="115" s="1"/>
  <c r="DU46" i="117"/>
  <c r="DM56" i="117"/>
  <c r="BF72" i="117"/>
  <c r="DU48" i="117"/>
  <c r="BT1135" i="115"/>
  <c r="BT41" i="115"/>
  <c r="DF48" i="117"/>
  <c r="DE48" i="117"/>
  <c r="BQ1256" i="115"/>
  <c r="DJ48" i="117" s="1"/>
  <c r="DW56" i="117"/>
  <c r="DJ47" i="117"/>
  <c r="DM48" i="117"/>
  <c r="DQ46" i="117"/>
  <c r="AC73" i="111"/>
  <c r="CF41" i="115"/>
  <c r="CF1143" i="115" s="1"/>
  <c r="CK1273" i="115"/>
  <c r="CF1135" i="115"/>
  <c r="CK1277" i="115"/>
  <c r="CF1227" i="115"/>
  <c r="CF1244" i="115" s="1"/>
  <c r="CC1273" i="115"/>
  <c r="CD1256" i="115"/>
  <c r="DW48" i="117" s="1"/>
  <c r="CQ34" i="115"/>
  <c r="AC32" i="123" s="1"/>
  <c r="AC34" i="123" s="1"/>
  <c r="CD1253" i="115"/>
  <c r="CK1253" i="115"/>
  <c r="CL1553" i="115"/>
  <c r="CL1561" i="115" s="1"/>
  <c r="BJ1533" i="115"/>
  <c r="BJ1527" i="115"/>
  <c r="DW47" i="117"/>
  <c r="X32" i="123"/>
  <c r="X130" i="123" s="1"/>
  <c r="EA47" i="117"/>
  <c r="CH1256" i="115"/>
  <c r="CP58" i="115"/>
  <c r="CL37" i="115"/>
  <c r="CL995" i="115"/>
  <c r="CL991" i="115"/>
  <c r="CL992" i="115" s="1"/>
  <c r="BF240" i="117" s="1"/>
  <c r="AC55" i="111"/>
  <c r="AC80" i="111" s="1"/>
  <c r="BT1227" i="115"/>
  <c r="BT1244" i="115" s="1"/>
  <c r="CG1135" i="115"/>
  <c r="CG41" i="115"/>
  <c r="BV409" i="115"/>
  <c r="BV413" i="115" s="1"/>
  <c r="AR71" i="117"/>
  <c r="CG1227" i="115"/>
  <c r="CG1244" i="115" s="1"/>
  <c r="BT45" i="115"/>
  <c r="CD1273" i="115"/>
  <c r="CD1277" i="115"/>
  <c r="CG1523" i="115"/>
  <c r="AC52" i="123"/>
  <c r="AC76" i="123"/>
  <c r="AC105" i="123"/>
  <c r="AC129" i="123"/>
  <c r="AC147" i="123"/>
  <c r="AC119" i="123"/>
  <c r="BA29" i="117"/>
  <c r="CL1273" i="115"/>
  <c r="AC66" i="123"/>
  <c r="AC93" i="123"/>
  <c r="CL1256" i="115"/>
  <c r="CJ1567" i="115"/>
  <c r="CL1277" i="115"/>
  <c r="EE47" i="117"/>
  <c r="BQ10" i="117"/>
  <c r="AD5" i="123"/>
  <c r="AE4" i="123"/>
  <c r="BA160" i="117"/>
  <c r="BX11" i="117"/>
  <c r="BX128" i="117"/>
  <c r="BX36" i="117"/>
  <c r="BX23" i="117"/>
  <c r="BX242" i="117" s="1"/>
  <c r="CH1273" i="115"/>
  <c r="CH1277" i="115"/>
  <c r="BU36" i="117"/>
  <c r="CL449" i="115"/>
  <c r="CY662" i="115"/>
  <c r="AB55" i="111"/>
  <c r="AB80" i="111" s="1"/>
  <c r="DG335" i="115"/>
  <c r="BH237" i="115"/>
  <c r="BH238" i="115"/>
  <c r="BJ1540" i="115"/>
  <c r="BJ237" i="115"/>
  <c r="BJ238" i="115"/>
  <c r="BI237" i="115"/>
  <c r="BI238" i="115"/>
  <c r="CH37" i="115"/>
  <c r="CH536" i="115" s="1"/>
  <c r="DK56" i="117"/>
  <c r="CL564" i="115"/>
  <c r="CP564" i="115"/>
  <c r="DH1268" i="115"/>
  <c r="BX15" i="117"/>
  <c r="DG693" i="115"/>
  <c r="DG283" i="115"/>
  <c r="DG307" i="115"/>
  <c r="DH280" i="115"/>
  <c r="DH155" i="115"/>
  <c r="AB49" i="123"/>
  <c r="AB102" i="123"/>
  <c r="BF141" i="117"/>
  <c r="CL58" i="115"/>
  <c r="CH995" i="115"/>
  <c r="CI34" i="115"/>
  <c r="CH58" i="115"/>
  <c r="CM34" i="115"/>
  <c r="T32" i="123"/>
  <c r="T77" i="123" s="1"/>
  <c r="CH1553" i="115"/>
  <c r="CH1555" i="115" s="1"/>
  <c r="CH1562" i="115" s="1"/>
  <c r="CH993" i="115" s="1"/>
  <c r="CH991" i="115"/>
  <c r="CH992" i="115" s="1"/>
  <c r="BF202" i="117"/>
  <c r="EE26" i="117"/>
  <c r="BF131" i="117"/>
  <c r="BF142" i="117"/>
  <c r="BI55" i="117"/>
  <c r="BI81" i="117" s="1"/>
  <c r="EE10" i="117"/>
  <c r="BT812" i="115"/>
  <c r="BQ812" i="115"/>
  <c r="BF68" i="117"/>
  <c r="BB21" i="117"/>
  <c r="BB24" i="117" s="1"/>
  <c r="EA10" i="117"/>
  <c r="EA26" i="117"/>
  <c r="AB5" i="123"/>
  <c r="BD41" i="115"/>
  <c r="BD1135" i="115"/>
  <c r="DN55" i="117"/>
  <c r="CB536" i="115"/>
  <c r="CB1564" i="115"/>
  <c r="CB43" i="115"/>
  <c r="CF60" i="115"/>
  <c r="DN56" i="117"/>
  <c r="AZ131" i="117"/>
  <c r="AV131" i="117"/>
  <c r="BE241" i="117"/>
  <c r="BE243" i="117" s="1"/>
  <c r="BE245" i="117" s="1"/>
  <c r="CB1561" i="115"/>
  <c r="CB1555" i="115"/>
  <c r="CB1562" i="115" s="1"/>
  <c r="CB993" i="115" s="1"/>
  <c r="AV240" i="117"/>
  <c r="AV241" i="117" s="1"/>
  <c r="AV243" i="117" s="1"/>
  <c r="AV139" i="117"/>
  <c r="AZ141" i="117"/>
  <c r="BV456" i="115"/>
  <c r="BV455" i="115"/>
  <c r="BD45" i="115"/>
  <c r="BE179" i="117"/>
  <c r="DV46" i="117"/>
  <c r="BE197" i="117"/>
  <c r="BE198" i="117" s="1"/>
  <c r="BE103" i="117"/>
  <c r="BE107" i="117" s="1"/>
  <c r="BA120" i="117"/>
  <c r="BA207" i="117"/>
  <c r="BB207" i="117"/>
  <c r="BB120" i="117"/>
  <c r="BE154" i="117"/>
  <c r="BA203" i="117"/>
  <c r="BA204" i="117" s="1"/>
  <c r="BA206" i="117" s="1"/>
  <c r="BA116" i="117"/>
  <c r="BA117" i="117" s="1"/>
  <c r="BA119" i="117" s="1"/>
  <c r="BA157" i="117"/>
  <c r="BP1320" i="115"/>
  <c r="BN1320" i="115"/>
  <c r="DR55" i="117"/>
  <c r="DR56" i="117"/>
  <c r="BZ455" i="115"/>
  <c r="BZ456" i="115"/>
  <c r="AS44" i="117"/>
  <c r="BY1216" i="115"/>
  <c r="BY1238" i="115" s="1"/>
  <c r="AS29" i="117"/>
  <c r="BY1523" i="115"/>
  <c r="BY1138" i="115"/>
  <c r="BY1141" i="115"/>
  <c r="BY1142" i="115" s="1"/>
  <c r="BY1139" i="115"/>
  <c r="BY1136" i="115"/>
  <c r="BY1143" i="115"/>
  <c r="BY1223" i="115"/>
  <c r="BY1225" i="115" s="1"/>
  <c r="BY1072" i="115"/>
  <c r="BY1568" i="115"/>
  <c r="BL43" i="115"/>
  <c r="BL39" i="115"/>
  <c r="BL1564" i="115"/>
  <c r="BL1566" i="115" s="1"/>
  <c r="BL1568" i="115" s="1"/>
  <c r="BL60" i="115"/>
  <c r="DQ56" i="117"/>
  <c r="DQ55" i="117"/>
  <c r="BL55" i="117"/>
  <c r="BL81" i="117" s="1"/>
  <c r="CN1567" i="115"/>
  <c r="CJ1568" i="115"/>
  <c r="BX1001" i="115"/>
  <c r="BZ997" i="115"/>
  <c r="BZ1001" i="115" s="1"/>
  <c r="BE41" i="115"/>
  <c r="BE1135" i="115"/>
  <c r="BT54" i="115"/>
  <c r="BP32" i="115"/>
  <c r="BP901" i="115"/>
  <c r="BP54" i="115"/>
  <c r="BX1135" i="115"/>
  <c r="BX1144" i="115" s="1"/>
  <c r="BX1227" i="115"/>
  <c r="BX1244" i="115" s="1"/>
  <c r="BX41" i="115"/>
  <c r="AJ38" i="117"/>
  <c r="DI32" i="117"/>
  <c r="AJ66" i="117"/>
  <c r="AN66" i="117"/>
  <c r="DI24" i="117"/>
  <c r="DI33" i="117"/>
  <c r="AJ127" i="117"/>
  <c r="AJ130" i="117" s="1"/>
  <c r="BX1566" i="115"/>
  <c r="CJ45" i="115"/>
  <c r="CJ41" i="115"/>
  <c r="CJ1227" i="115"/>
  <c r="CJ1244" i="115" s="1"/>
  <c r="CJ1135" i="115"/>
  <c r="CJ1144" i="115" s="1"/>
  <c r="BE45" i="115"/>
  <c r="BX45" i="115"/>
  <c r="BD71" i="117"/>
  <c r="CU133" i="115"/>
  <c r="BP11" i="117"/>
  <c r="BF39" i="115"/>
  <c r="BF43" i="115"/>
  <c r="BQ398" i="115"/>
  <c r="BQ416" i="115"/>
  <c r="BR397" i="115"/>
  <c r="BQ1315" i="115"/>
  <c r="BM1318" i="115"/>
  <c r="BM1320" i="115"/>
  <c r="CL455" i="115"/>
  <c r="CL456" i="115"/>
  <c r="BM1227" i="115"/>
  <c r="BM41" i="115"/>
  <c r="BM1135" i="115"/>
  <c r="BM1144" i="115" s="1"/>
  <c r="BU1564" i="115"/>
  <c r="BU43" i="115"/>
  <c r="BU39" i="115"/>
  <c r="BY60" i="115"/>
  <c r="BU409" i="115"/>
  <c r="BU413" i="115" s="1"/>
  <c r="BT1326" i="115"/>
  <c r="BT1328" i="115" s="1"/>
  <c r="BT397" i="115"/>
  <c r="BM45" i="115"/>
  <c r="BU1561" i="115"/>
  <c r="BU1555" i="115"/>
  <c r="BU1562" i="115" s="1"/>
  <c r="BU993" i="115" s="1"/>
  <c r="BZ1555" i="115"/>
  <c r="BZ1562" i="115" s="1"/>
  <c r="BZ993" i="115" s="1"/>
  <c r="BZ1561" i="115"/>
  <c r="BZ39" i="115"/>
  <c r="BZ43" i="115"/>
  <c r="Z58" i="111"/>
  <c r="BZ1564" i="115"/>
  <c r="BZ1566" i="115" s="1"/>
  <c r="L36" i="123"/>
  <c r="L77" i="123"/>
  <c r="L130" i="123"/>
  <c r="L34" i="123"/>
  <c r="BH629" i="115"/>
  <c r="BH222" i="115"/>
  <c r="BH606" i="115"/>
  <c r="BH836" i="115"/>
  <c r="BH903" i="115"/>
  <c r="BH1539" i="115"/>
  <c r="BH1535" i="115"/>
  <c r="BH415" i="115"/>
  <c r="BH651" i="115"/>
  <c r="BH1534" i="115"/>
  <c r="BH414" i="115"/>
  <c r="BH1541" i="115"/>
  <c r="BH977" i="115"/>
  <c r="DA76" i="117" s="1"/>
  <c r="BH643" i="115"/>
  <c r="BH656" i="115"/>
  <c r="BH1533" i="115"/>
  <c r="BH1536" i="115"/>
  <c r="BH912" i="115"/>
  <c r="BH1548" i="115"/>
  <c r="BH813" i="115"/>
  <c r="BH1537" i="115"/>
  <c r="BH985" i="115"/>
  <c r="BH221" i="115"/>
  <c r="BH823" i="115"/>
  <c r="BH1335" i="115"/>
  <c r="BH1542" i="115"/>
  <c r="BH648" i="115"/>
  <c r="BH1544" i="115"/>
  <c r="BH835" i="115"/>
  <c r="BH803" i="115"/>
  <c r="BH1532" i="115"/>
  <c r="BH1538" i="115"/>
  <c r="BH978" i="115"/>
  <c r="DA79" i="117" s="1"/>
  <c r="BH976" i="115"/>
  <c r="BH1540" i="115"/>
  <c r="BH975" i="115"/>
  <c r="BH974" i="115"/>
  <c r="BH986" i="115"/>
  <c r="BH982" i="115"/>
  <c r="BH983" i="115"/>
  <c r="BH1525" i="115"/>
  <c r="BH984" i="115"/>
  <c r="BN2" i="115"/>
  <c r="BM3" i="115"/>
  <c r="CC1315" i="115"/>
  <c r="CD397" i="115"/>
  <c r="CD1315" i="115" s="1"/>
  <c r="CC416" i="115"/>
  <c r="AK17" i="117"/>
  <c r="AK19" i="117" s="1"/>
  <c r="AK21" i="117" s="1"/>
  <c r="AK24" i="117" s="1"/>
  <c r="BS663" i="115"/>
  <c r="BW663" i="115"/>
  <c r="AL128" i="117"/>
  <c r="BI1227" i="115"/>
  <c r="BI1244" i="115" s="1"/>
  <c r="BI41" i="115"/>
  <c r="BI1135" i="115"/>
  <c r="BI1144" i="115" s="1"/>
  <c r="CF1326" i="115"/>
  <c r="CF1328" i="115" s="1"/>
  <c r="CG409" i="115"/>
  <c r="CG413" i="115" s="1"/>
  <c r="CF397" i="115"/>
  <c r="AP65" i="117"/>
  <c r="AL16" i="117"/>
  <c r="AL65" i="117"/>
  <c r="CJ409" i="115"/>
  <c r="CH1326" i="115"/>
  <c r="CH1328" i="115" s="1"/>
  <c r="BI45" i="115"/>
  <c r="BI1538" i="115"/>
  <c r="BI656" i="115"/>
  <c r="BI643" i="115"/>
  <c r="BI222" i="115"/>
  <c r="BI803" i="115"/>
  <c r="BI977" i="115"/>
  <c r="DB76" i="117" s="1"/>
  <c r="BI415" i="115"/>
  <c r="BI629" i="115"/>
  <c r="BI651" i="115"/>
  <c r="BI912" i="115"/>
  <c r="BI1539" i="115"/>
  <c r="BI823" i="115"/>
  <c r="BI836" i="115"/>
  <c r="BI606" i="115"/>
  <c r="BI978" i="115"/>
  <c r="DB79" i="117" s="1"/>
  <c r="BI648" i="115"/>
  <c r="BI1532" i="115"/>
  <c r="BI813" i="115"/>
  <c r="BI1544" i="115"/>
  <c r="BI903" i="115"/>
  <c r="BI1533" i="115"/>
  <c r="BI835" i="115"/>
  <c r="BI1534" i="115"/>
  <c r="BI985" i="115"/>
  <c r="BI221" i="115"/>
  <c r="BI1542" i="115"/>
  <c r="BI1537" i="115"/>
  <c r="BI1541" i="115"/>
  <c r="BI414" i="115"/>
  <c r="BI1535" i="115"/>
  <c r="BI1536" i="115"/>
  <c r="BI1335" i="115"/>
  <c r="BI975" i="115"/>
  <c r="BI976" i="115"/>
  <c r="BI974" i="115"/>
  <c r="BI984" i="115"/>
  <c r="BI982" i="115"/>
  <c r="BI1548" i="115"/>
  <c r="BI986" i="115"/>
  <c r="BI983" i="115"/>
  <c r="BI1540" i="115"/>
  <c r="BV49" i="115"/>
  <c r="BR20" i="115"/>
  <c r="BR666" i="115"/>
  <c r="BR554" i="115" s="1"/>
  <c r="BW19" i="115"/>
  <c r="BS19" i="115"/>
  <c r="D18" i="123"/>
  <c r="BR49" i="115"/>
  <c r="BJ415" i="115"/>
  <c r="BJ1535" i="115"/>
  <c r="BJ985" i="115"/>
  <c r="BJ977" i="115"/>
  <c r="DC76" i="117" s="1"/>
  <c r="BJ1541" i="115"/>
  <c r="BJ414" i="115"/>
  <c r="BJ1537" i="115"/>
  <c r="BJ903" i="115"/>
  <c r="BJ651" i="115"/>
  <c r="BJ1542" i="115"/>
  <c r="BJ1539" i="115"/>
  <c r="BJ813" i="115"/>
  <c r="BJ1544" i="115"/>
  <c r="BJ978" i="115"/>
  <c r="DC79" i="117" s="1"/>
  <c r="BJ648" i="115"/>
  <c r="BJ1532" i="115"/>
  <c r="BJ835" i="115"/>
  <c r="BJ221" i="115"/>
  <c r="BJ222" i="115"/>
  <c r="BJ643" i="115"/>
  <c r="BJ912" i="115"/>
  <c r="BJ823" i="115"/>
  <c r="BJ974" i="115"/>
  <c r="BJ629" i="115"/>
  <c r="BJ975" i="115"/>
  <c r="BJ836" i="115"/>
  <c r="BJ976" i="115"/>
  <c r="BJ606" i="115"/>
  <c r="BJ803" i="115"/>
  <c r="BJ983" i="115"/>
  <c r="BJ1534" i="115"/>
  <c r="BJ656" i="115"/>
  <c r="BJ986" i="115"/>
  <c r="BJ1335" i="115"/>
  <c r="BJ982" i="115"/>
  <c r="BJ1536" i="115"/>
  <c r="BJ984" i="115"/>
  <c r="BJ1538" i="115"/>
  <c r="BJ1548" i="115"/>
  <c r="BU50" i="115"/>
  <c r="BQ26" i="115"/>
  <c r="BQ50" i="115"/>
  <c r="BT672" i="115"/>
  <c r="BQ672" i="115"/>
  <c r="BI1525" i="115"/>
  <c r="CQ352" i="115"/>
  <c r="BU23" i="117"/>
  <c r="BU242" i="117" s="1"/>
  <c r="BT15" i="117"/>
  <c r="W58" i="111"/>
  <c r="BN43" i="115"/>
  <c r="BN39" i="115"/>
  <c r="BN1564" i="115"/>
  <c r="BN1566" i="115" s="1"/>
  <c r="BN1568" i="115" s="1"/>
  <c r="BT11" i="117"/>
  <c r="CG1217" i="115"/>
  <c r="AZ29" i="117"/>
  <c r="CF1216" i="115"/>
  <c r="CF1238" i="115" s="1"/>
  <c r="CF1523" i="115"/>
  <c r="AW197" i="117"/>
  <c r="AW198" i="117" s="1"/>
  <c r="AW103" i="117"/>
  <c r="AW107" i="117" s="1"/>
  <c r="AX120" i="117"/>
  <c r="AX207" i="117"/>
  <c r="EA56" i="117"/>
  <c r="EA55" i="117"/>
  <c r="H130" i="123"/>
  <c r="H34" i="123"/>
  <c r="H77" i="123"/>
  <c r="V58" i="111"/>
  <c r="BJ39" i="115"/>
  <c r="BJ1525" i="115"/>
  <c r="BN60" i="115"/>
  <c r="BJ43" i="115"/>
  <c r="BJ60" i="115"/>
  <c r="CU692" i="115"/>
  <c r="BJ128" i="117"/>
  <c r="BM128" i="117"/>
  <c r="BI11" i="117"/>
  <c r="BI14" i="117" s="1"/>
  <c r="H36" i="123"/>
  <c r="BV43" i="115"/>
  <c r="BV1564" i="115"/>
  <c r="BV1566" i="115" s="1"/>
  <c r="Y58" i="111"/>
  <c r="BV39" i="115"/>
  <c r="BZ60" i="115"/>
  <c r="CA37" i="115"/>
  <c r="BV1555" i="115"/>
  <c r="BV1562" i="115" s="1"/>
  <c r="BV993" i="115" s="1"/>
  <c r="BV1561" i="115"/>
  <c r="CY693" i="115"/>
  <c r="EE35" i="117"/>
  <c r="BR219" i="117"/>
  <c r="BX396" i="115"/>
  <c r="BY402" i="115"/>
  <c r="BY404" i="115" s="1"/>
  <c r="AX240" i="117"/>
  <c r="AX241" i="117" s="1"/>
  <c r="AX243" i="117" s="1"/>
  <c r="CD536" i="115"/>
  <c r="CD1564" i="115"/>
  <c r="CD1566" i="115" s="1"/>
  <c r="P36" i="123"/>
  <c r="CD43" i="115"/>
  <c r="AA58" i="111"/>
  <c r="CE37" i="115"/>
  <c r="CD60" i="115"/>
  <c r="BG115" i="117"/>
  <c r="CC1561" i="115"/>
  <c r="CC1555" i="115"/>
  <c r="CC1562" i="115" s="1"/>
  <c r="CC993" i="115" s="1"/>
  <c r="CC536" i="115"/>
  <c r="CC1564" i="115"/>
  <c r="CC39" i="115"/>
  <c r="CC43" i="115"/>
  <c r="CC60" i="115"/>
  <c r="CG60" i="115"/>
  <c r="CU110" i="115"/>
  <c r="CK1568" i="115"/>
  <c r="CO1569" i="115" s="1"/>
  <c r="BE71" i="117"/>
  <c r="AX139" i="117"/>
  <c r="AX141" i="117"/>
  <c r="BB141" i="117"/>
  <c r="BI53" i="117"/>
  <c r="BM51" i="117"/>
  <c r="BM76" i="117" s="1"/>
  <c r="AW240" i="117"/>
  <c r="AW241" i="117" s="1"/>
  <c r="AW243" i="117" s="1"/>
  <c r="AW245" i="117" s="1"/>
  <c r="BH52" i="117"/>
  <c r="BH77" i="117" s="1"/>
  <c r="BH78" i="117"/>
  <c r="AX131" i="117"/>
  <c r="BB131" i="117"/>
  <c r="BN94" i="117"/>
  <c r="BN80" i="117" s="1"/>
  <c r="CU119" i="115"/>
  <c r="CU120" i="115"/>
  <c r="BA131" i="117"/>
  <c r="AW131" i="117"/>
  <c r="BV396" i="115"/>
  <c r="CK1227" i="115"/>
  <c r="CK1244" i="115" s="1"/>
  <c r="CK1135" i="115"/>
  <c r="CK1144" i="115" s="1"/>
  <c r="CK41" i="115"/>
  <c r="CB402" i="115"/>
  <c r="CD1561" i="115"/>
  <c r="CD1555" i="115"/>
  <c r="CD1562" i="115" s="1"/>
  <c r="CD993" i="115" s="1"/>
  <c r="CK45" i="115"/>
  <c r="P34" i="123"/>
  <c r="P130" i="123"/>
  <c r="P77" i="123"/>
  <c r="BA141" i="117"/>
  <c r="AW139" i="117"/>
  <c r="CF128" i="117" l="1"/>
  <c r="DP663" i="115"/>
  <c r="CJ128" i="117" s="1"/>
  <c r="DP696" i="115"/>
  <c r="DK48" i="117"/>
  <c r="BB26" i="117"/>
  <c r="DE1398" i="115"/>
  <c r="DE1397" i="115"/>
  <c r="DF1397" i="115" s="1"/>
  <c r="DE1305" i="115"/>
  <c r="CF1136" i="115"/>
  <c r="CF1144" i="115"/>
  <c r="BT1138" i="115"/>
  <c r="DM17" i="117" s="1"/>
  <c r="BT1144" i="115"/>
  <c r="BH1136" i="115"/>
  <c r="BH1144" i="115"/>
  <c r="CG1138" i="115"/>
  <c r="DZ17" i="117" s="1"/>
  <c r="CG1144" i="115"/>
  <c r="DH1077" i="115"/>
  <c r="DH36" i="115"/>
  <c r="DI1027" i="115"/>
  <c r="DL1027" i="115" s="1"/>
  <c r="BJ649" i="115"/>
  <c r="BI649" i="115"/>
  <c r="BH649" i="115"/>
  <c r="DQ1271" i="115"/>
  <c r="DN1378" i="115"/>
  <c r="DP1378" i="115"/>
  <c r="DQ1378" i="115" s="1"/>
  <c r="DR1378" i="115" s="1"/>
  <c r="DQ1375" i="115"/>
  <c r="DR281" i="115"/>
  <c r="DQ1187" i="115"/>
  <c r="DQ1198" i="115"/>
  <c r="DQ1203" i="115"/>
  <c r="DG180" i="115"/>
  <c r="DG178" i="115"/>
  <c r="DH331" i="115"/>
  <c r="DH323" i="115" s="1"/>
  <c r="DH116" i="115"/>
  <c r="DI77" i="115"/>
  <c r="DI176" i="115" s="1"/>
  <c r="DI187" i="115" s="1"/>
  <c r="DH78" i="115"/>
  <c r="DH187" i="115"/>
  <c r="DH178" i="115"/>
  <c r="DL177" i="115"/>
  <c r="DL188" i="115" s="1"/>
  <c r="DJ1390" i="115"/>
  <c r="AC46" i="117"/>
  <c r="AB46" i="117"/>
  <c r="AX2" i="111"/>
  <c r="AW5" i="111"/>
  <c r="DM153" i="115"/>
  <c r="DP153" i="115" s="1"/>
  <c r="AR46" i="117"/>
  <c r="DA1306" i="115"/>
  <c r="DB1305" i="115"/>
  <c r="DB1306" i="115" s="1"/>
  <c r="CF11" i="117"/>
  <c r="DM1299" i="115"/>
  <c r="DN1271" i="115"/>
  <c r="DL1390" i="115"/>
  <c r="DL1302" i="115" s="1"/>
  <c r="BE46" i="117"/>
  <c r="BD46" i="117"/>
  <c r="BA46" i="117"/>
  <c r="DM309" i="115"/>
  <c r="DP309" i="115" s="1"/>
  <c r="DQ309" i="115" s="1"/>
  <c r="DM392" i="115"/>
  <c r="DP392" i="115" s="1"/>
  <c r="DL367" i="115"/>
  <c r="DN1375" i="115"/>
  <c r="DM1390" i="115"/>
  <c r="DM1302" i="115" s="1"/>
  <c r="DM283" i="115"/>
  <c r="DP283" i="115" s="1"/>
  <c r="DO281" i="115"/>
  <c r="DL138" i="115"/>
  <c r="DM79" i="115"/>
  <c r="DL304" i="115"/>
  <c r="DL296" i="115" s="1"/>
  <c r="DL80" i="115"/>
  <c r="AN44" i="117"/>
  <c r="AN46" i="117"/>
  <c r="AZ46" i="117"/>
  <c r="DM1393" i="115"/>
  <c r="DP1393" i="115" s="1"/>
  <c r="DM335" i="115"/>
  <c r="DP335" i="115" s="1"/>
  <c r="DH1432" i="115"/>
  <c r="DH1412" i="115" s="1"/>
  <c r="DH1433" i="115"/>
  <c r="DH1413" i="115" s="1"/>
  <c r="BR555" i="115"/>
  <c r="BT10" i="117"/>
  <c r="DH152" i="115"/>
  <c r="DI152" i="115" s="1"/>
  <c r="DL152" i="115" s="1"/>
  <c r="DI1445" i="115"/>
  <c r="DL1445" i="115" s="1"/>
  <c r="DI1461" i="115"/>
  <c r="DI1434" i="115" s="1"/>
  <c r="BH1139" i="115"/>
  <c r="CW1307" i="115"/>
  <c r="CX1307" i="115"/>
  <c r="EY83" i="117"/>
  <c r="CB11" i="117"/>
  <c r="DJ153" i="115"/>
  <c r="DJ80" i="115"/>
  <c r="DJ138" i="115"/>
  <c r="DI155" i="115"/>
  <c r="DH284" i="115"/>
  <c r="DI280" i="115"/>
  <c r="DI691" i="115"/>
  <c r="DI367" i="115"/>
  <c r="DJ392" i="115"/>
  <c r="DH333" i="115"/>
  <c r="DI308" i="115"/>
  <c r="DL308" i="115" s="1"/>
  <c r="DH295" i="115"/>
  <c r="DJ1302" i="115"/>
  <c r="DJ309" i="115"/>
  <c r="DK309" i="115" s="1"/>
  <c r="DI296" i="115"/>
  <c r="DI282" i="115"/>
  <c r="DL282" i="115" s="1"/>
  <c r="DH792" i="115"/>
  <c r="DH1213" i="115"/>
  <c r="DI307" i="115"/>
  <c r="DL307" i="115" s="1"/>
  <c r="DH294" i="115"/>
  <c r="DI336" i="115"/>
  <c r="DL336" i="115" s="1"/>
  <c r="DJ283" i="115"/>
  <c r="DI1268" i="115"/>
  <c r="DJ1393" i="115"/>
  <c r="DJ335" i="115"/>
  <c r="DK335" i="115" s="1"/>
  <c r="DG46" i="117"/>
  <c r="BX1567" i="115"/>
  <c r="DV48" i="117"/>
  <c r="BH1138" i="115"/>
  <c r="BT1223" i="115"/>
  <c r="BT1225" i="115" s="1"/>
  <c r="BT1242" i="115" s="1"/>
  <c r="BH1223" i="115"/>
  <c r="BH1225" i="115" s="1"/>
  <c r="BH1242" i="115" s="1"/>
  <c r="BH1543" i="115"/>
  <c r="BH1545" i="115"/>
  <c r="DA27" i="117" s="1"/>
  <c r="BH1072" i="115"/>
  <c r="BH1523" i="115"/>
  <c r="BH1524" i="115" s="1"/>
  <c r="BH1547" i="115" s="1"/>
  <c r="AB29" i="117"/>
  <c r="AB28" i="117" s="1"/>
  <c r="BH1216" i="115"/>
  <c r="BH1238" i="115" s="1"/>
  <c r="BT1143" i="115"/>
  <c r="BT1072" i="115"/>
  <c r="BT1073" i="115" s="1"/>
  <c r="BT1077" i="115" s="1"/>
  <c r="CF1072" i="115"/>
  <c r="CF1073" i="115" s="1"/>
  <c r="CF1077" i="115" s="1"/>
  <c r="X34" i="123"/>
  <c r="BT1141" i="115"/>
  <c r="BT1142" i="115" s="1"/>
  <c r="BT1136" i="115"/>
  <c r="BT1139" i="115"/>
  <c r="X77" i="123"/>
  <c r="CL1555" i="115"/>
  <c r="CL1562" i="115" s="1"/>
  <c r="CL993" i="115" s="1"/>
  <c r="BT1523" i="115"/>
  <c r="CP60" i="115"/>
  <c r="BV1326" i="115"/>
  <c r="BV1328" i="115" s="1"/>
  <c r="DH1394" i="115"/>
  <c r="AN29" i="117"/>
  <c r="AN28" i="117" s="1"/>
  <c r="BT1216" i="115"/>
  <c r="BT1238" i="115" s="1"/>
  <c r="CF1138" i="115"/>
  <c r="CF1139" i="115"/>
  <c r="AC77" i="123"/>
  <c r="AZ44" i="117"/>
  <c r="EA48" i="117"/>
  <c r="AC130" i="123"/>
  <c r="CL536" i="115"/>
  <c r="CF1223" i="115"/>
  <c r="CF1225" i="115" s="1"/>
  <c r="CF1242" i="115" s="1"/>
  <c r="BP94" i="117"/>
  <c r="BP80" i="117" s="1"/>
  <c r="CG1143" i="115"/>
  <c r="CG1072" i="115"/>
  <c r="CG1139" i="115"/>
  <c r="CQ37" i="115"/>
  <c r="AC58" i="111"/>
  <c r="AC71" i="111" s="1"/>
  <c r="CL1564" i="115"/>
  <c r="CL1566" i="115" s="1"/>
  <c r="CP1567" i="115" s="1"/>
  <c r="CL43" i="115"/>
  <c r="CY141" i="115"/>
  <c r="CL39" i="115"/>
  <c r="X36" i="123"/>
  <c r="X82" i="123" s="1"/>
  <c r="X99" i="123" s="1"/>
  <c r="CG1136" i="115"/>
  <c r="CG1223" i="115"/>
  <c r="CG1225" i="115" s="1"/>
  <c r="CG1242" i="115" s="1"/>
  <c r="DW46" i="117"/>
  <c r="BA44" i="117"/>
  <c r="EE46" i="117"/>
  <c r="EE48" i="117"/>
  <c r="AC132" i="123"/>
  <c r="AC79" i="123"/>
  <c r="AE102" i="123"/>
  <c r="AE103" i="123" s="1"/>
  <c r="AE49" i="123"/>
  <c r="AE50" i="123" s="1"/>
  <c r="AF4" i="123"/>
  <c r="AE5" i="123"/>
  <c r="BM1244" i="115"/>
  <c r="BY36" i="117"/>
  <c r="BY23" i="117"/>
  <c r="BY242" i="117" s="1"/>
  <c r="EA46" i="117"/>
  <c r="BP1246" i="115"/>
  <c r="BY1242" i="115"/>
  <c r="L38" i="123"/>
  <c r="L136" i="123" s="1"/>
  <c r="P38" i="123"/>
  <c r="P136" i="123" s="1"/>
  <c r="CH1564" i="115"/>
  <c r="CH1566" i="115" s="1"/>
  <c r="CH1568" i="115" s="1"/>
  <c r="DG336" i="115"/>
  <c r="CY337" i="115"/>
  <c r="CY334" i="115"/>
  <c r="BV36" i="117"/>
  <c r="CI37" i="115"/>
  <c r="CL60" i="115"/>
  <c r="CM37" i="115"/>
  <c r="AB58" i="111"/>
  <c r="AB70" i="111" s="1"/>
  <c r="CH39" i="115"/>
  <c r="CH60" i="115"/>
  <c r="T36" i="123"/>
  <c r="CH43" i="115"/>
  <c r="BB240" i="117"/>
  <c r="BV23" i="117"/>
  <c r="BV242" i="117" s="1"/>
  <c r="DH1269" i="115"/>
  <c r="BY15" i="117"/>
  <c r="DG333" i="115"/>
  <c r="DG280" i="115"/>
  <c r="DG308" i="115"/>
  <c r="DG282" i="115"/>
  <c r="AB103" i="123"/>
  <c r="AB50" i="123"/>
  <c r="T130" i="123"/>
  <c r="T34" i="123"/>
  <c r="CH1561" i="115"/>
  <c r="EA35" i="117"/>
  <c r="AV115" i="117"/>
  <c r="AV117" i="117" s="1"/>
  <c r="AV119" i="117" s="1"/>
  <c r="AV202" i="117"/>
  <c r="AV204" i="117" s="1"/>
  <c r="AV206" i="117" s="1"/>
  <c r="AV208" i="117" s="1"/>
  <c r="AV160" i="117"/>
  <c r="AZ142" i="117"/>
  <c r="CB45" i="115"/>
  <c r="DO56" i="117"/>
  <c r="CB1566" i="115"/>
  <c r="CB1567" i="115" s="1"/>
  <c r="DO55" i="117"/>
  <c r="BA208" i="117"/>
  <c r="BA121" i="117"/>
  <c r="BA123" i="117"/>
  <c r="BE116" i="117"/>
  <c r="BE117" i="117" s="1"/>
  <c r="BE119" i="117" s="1"/>
  <c r="BE157" i="117"/>
  <c r="BE203" i="117"/>
  <c r="BE204" i="117" s="1"/>
  <c r="BE206" i="117" s="1"/>
  <c r="BE160" i="117"/>
  <c r="BE120" i="117"/>
  <c r="BE207" i="117"/>
  <c r="DS55" i="117"/>
  <c r="DS56" i="117"/>
  <c r="BY1217" i="115"/>
  <c r="DR17" i="117"/>
  <c r="BY1073" i="115"/>
  <c r="BY1077" i="115" s="1"/>
  <c r="BL1227" i="115"/>
  <c r="BL41" i="115"/>
  <c r="BL1135" i="115"/>
  <c r="BL1144" i="115" s="1"/>
  <c r="BL45" i="115"/>
  <c r="BH632" i="115"/>
  <c r="CJ1138" i="115"/>
  <c r="CJ1139" i="115"/>
  <c r="CJ1136" i="115"/>
  <c r="BT56" i="115"/>
  <c r="BP56" i="115"/>
  <c r="BP34" i="115"/>
  <c r="BX1223" i="115"/>
  <c r="BX1225" i="115" s="1"/>
  <c r="BX1072" i="115"/>
  <c r="BX1143" i="115"/>
  <c r="BX1139" i="115"/>
  <c r="BX1138" i="115"/>
  <c r="BX1136" i="115"/>
  <c r="BX1141" i="115"/>
  <c r="BX1142" i="115" s="1"/>
  <c r="CJ1072" i="115"/>
  <c r="CJ1223" i="115"/>
  <c r="CJ1225" i="115" s="1"/>
  <c r="CJ1242" i="115" s="1"/>
  <c r="CJ1143" i="115"/>
  <c r="BD44" i="117"/>
  <c r="CJ1523" i="115"/>
  <c r="BD29" i="117"/>
  <c r="CJ1216" i="115"/>
  <c r="CJ1238" i="115" s="1"/>
  <c r="AR29" i="117"/>
  <c r="BX1216" i="115"/>
  <c r="BX1238" i="115" s="1"/>
  <c r="BX1523" i="115"/>
  <c r="BX1568" i="115"/>
  <c r="BX1569" i="115" s="1"/>
  <c r="BI815" i="115"/>
  <c r="AR44" i="117"/>
  <c r="CN1569" i="115"/>
  <c r="CJ1569" i="115"/>
  <c r="BJ55" i="117"/>
  <c r="BJ81" i="117" s="1"/>
  <c r="BI824" i="115"/>
  <c r="BI804" i="115"/>
  <c r="BI913" i="115"/>
  <c r="BT1315" i="115"/>
  <c r="BT398" i="115"/>
  <c r="BT399" i="115" s="1"/>
  <c r="BT1314" i="115" s="1"/>
  <c r="BM1072" i="115"/>
  <c r="BM1223" i="115"/>
  <c r="BM1225" i="115" s="1"/>
  <c r="BU1135" i="115"/>
  <c r="BU1144" i="115" s="1"/>
  <c r="BU41" i="115"/>
  <c r="BU1227" i="115"/>
  <c r="AS71" i="117"/>
  <c r="BU45" i="115"/>
  <c r="BF45" i="115"/>
  <c r="BU397" i="115"/>
  <c r="BU1326" i="115"/>
  <c r="BU1328" i="115" s="1"/>
  <c r="BU1566" i="115"/>
  <c r="EE55" i="117"/>
  <c r="BM1139" i="115"/>
  <c r="BM1136" i="115"/>
  <c r="BM1138" i="115"/>
  <c r="EE56" i="117"/>
  <c r="BR1315" i="115"/>
  <c r="BR398" i="115"/>
  <c r="BR399" i="115" s="1"/>
  <c r="BR1314" i="115" s="1"/>
  <c r="BQ399" i="115"/>
  <c r="BQ1314" i="115" s="1"/>
  <c r="BQ1316" i="115" s="1"/>
  <c r="BI632" i="115"/>
  <c r="BM1523" i="115"/>
  <c r="BM1216" i="115"/>
  <c r="BM1238" i="115" s="1"/>
  <c r="AG29" i="117"/>
  <c r="AG28" i="117" s="1"/>
  <c r="BF41" i="115"/>
  <c r="BF1135" i="115"/>
  <c r="Z70" i="111"/>
  <c r="Z95" i="111"/>
  <c r="Z71" i="111"/>
  <c r="Z68" i="111"/>
  <c r="L79" i="123"/>
  <c r="L132" i="123"/>
  <c r="L135" i="123"/>
  <c r="L153" i="123" s="1"/>
  <c r="L40" i="123"/>
  <c r="L85" i="123" s="1"/>
  <c r="L82" i="123"/>
  <c r="L99" i="123" s="1"/>
  <c r="BZ45" i="115"/>
  <c r="BZ1568" i="115"/>
  <c r="BZ1135" i="115"/>
  <c r="BZ1144" i="115" s="1"/>
  <c r="BZ1227" i="115"/>
  <c r="BZ1244" i="115" s="1"/>
  <c r="BZ41" i="115"/>
  <c r="BQ901" i="115"/>
  <c r="BQ54" i="115"/>
  <c r="BQ32" i="115"/>
  <c r="BU54" i="115"/>
  <c r="CF416" i="115"/>
  <c r="CF1315" i="115"/>
  <c r="BI1139" i="115"/>
  <c r="BI1138" i="115"/>
  <c r="BI1136" i="115"/>
  <c r="AO66" i="117"/>
  <c r="AK38" i="117"/>
  <c r="DJ24" i="117"/>
  <c r="DJ33" i="117"/>
  <c r="AK66" i="117"/>
  <c r="DJ32" i="117"/>
  <c r="AK127" i="117"/>
  <c r="AK130" i="117" s="1"/>
  <c r="BN3" i="115"/>
  <c r="BP2" i="115"/>
  <c r="BH657" i="115"/>
  <c r="BH659" i="115"/>
  <c r="AB8" i="117"/>
  <c r="DA31" i="117" s="1"/>
  <c r="BH634" i="115"/>
  <c r="CG397" i="115"/>
  <c r="CG1326" i="115"/>
  <c r="CG1328" i="115" s="1"/>
  <c r="BI1223" i="115"/>
  <c r="BI1225" i="115" s="1"/>
  <c r="BI1072" i="115"/>
  <c r="DA78" i="117"/>
  <c r="BH628" i="115"/>
  <c r="BH630" i="115" s="1"/>
  <c r="BH644" i="115"/>
  <c r="DB77" i="117"/>
  <c r="CJ413" i="115"/>
  <c r="CL409" i="115"/>
  <c r="CL413" i="115" s="1"/>
  <c r="AL17" i="117"/>
  <c r="AL19" i="117" s="1"/>
  <c r="AL21" i="117" s="1"/>
  <c r="AL24" i="117" s="1"/>
  <c r="DC78" i="117"/>
  <c r="AD8" i="117"/>
  <c r="DC31" i="117" s="1"/>
  <c r="BJ634" i="115"/>
  <c r="D63" i="123"/>
  <c r="D20" i="123"/>
  <c r="D116" i="123"/>
  <c r="DB78" i="117"/>
  <c r="BI644" i="115"/>
  <c r="BI628" i="115"/>
  <c r="BI630" i="115" s="1"/>
  <c r="BI1543" i="115"/>
  <c r="AC29" i="117"/>
  <c r="AC28" i="117" s="1"/>
  <c r="BI1523" i="115"/>
  <c r="BI1545" i="115"/>
  <c r="DB27" i="117" s="1"/>
  <c r="BI1216" i="115"/>
  <c r="BI1238" i="115" s="1"/>
  <c r="BJ659" i="115"/>
  <c r="BJ657" i="115"/>
  <c r="DC77" i="117"/>
  <c r="BJ632" i="115"/>
  <c r="BS666" i="115"/>
  <c r="BW666" i="115"/>
  <c r="BI634" i="115"/>
  <c r="BI607" i="115"/>
  <c r="AC8" i="117"/>
  <c r="DB31" i="117" s="1"/>
  <c r="BI657" i="115"/>
  <c r="BI659" i="115"/>
  <c r="BJ628" i="115"/>
  <c r="BJ630" i="115" s="1"/>
  <c r="BJ644" i="115"/>
  <c r="BV50" i="115"/>
  <c r="BR26" i="115"/>
  <c r="BW20" i="115"/>
  <c r="BS20" i="115"/>
  <c r="BR50" i="115"/>
  <c r="DA77" i="117"/>
  <c r="BU15" i="117"/>
  <c r="BN45" i="115"/>
  <c r="W70" i="111"/>
  <c r="W71" i="111"/>
  <c r="W95" i="111"/>
  <c r="W68" i="111"/>
  <c r="BN1135" i="115"/>
  <c r="BN1144" i="115" s="1"/>
  <c r="BN1227" i="115"/>
  <c r="BN41" i="115"/>
  <c r="CF1217" i="115"/>
  <c r="CG1130" i="115"/>
  <c r="CG1137" i="115" s="1"/>
  <c r="AW120" i="117"/>
  <c r="AW207" i="117"/>
  <c r="BR228" i="117"/>
  <c r="BV1227" i="115"/>
  <c r="BV41" i="115"/>
  <c r="BV1135" i="115"/>
  <c r="BV1144" i="115" s="1"/>
  <c r="AT71" i="117"/>
  <c r="H40" i="123"/>
  <c r="H42" i="123" s="1"/>
  <c r="H82" i="123"/>
  <c r="H99" i="123" s="1"/>
  <c r="H135" i="123"/>
  <c r="H153" i="123" s="1"/>
  <c r="Y68" i="111"/>
  <c r="Y95" i="111"/>
  <c r="Y71" i="111"/>
  <c r="Y70" i="111"/>
  <c r="BJ11" i="117"/>
  <c r="CU663" i="115"/>
  <c r="BN128" i="117"/>
  <c r="BV1568" i="115"/>
  <c r="BQ128" i="117"/>
  <c r="BJ45" i="115"/>
  <c r="BI65" i="117"/>
  <c r="BI16" i="117"/>
  <c r="BM11" i="117"/>
  <c r="CY692" i="115"/>
  <c r="BJ1227" i="115"/>
  <c r="BJ1244" i="115" s="1"/>
  <c r="BJ41" i="115"/>
  <c r="BJ1135" i="115"/>
  <c r="BJ1144" i="115" s="1"/>
  <c r="H79" i="123"/>
  <c r="H132" i="123"/>
  <c r="BV45" i="115"/>
  <c r="V70" i="111"/>
  <c r="V68" i="111"/>
  <c r="V95" i="111"/>
  <c r="V71" i="111"/>
  <c r="BM55" i="117"/>
  <c r="BM81" i="117" s="1"/>
  <c r="CD1568" i="115"/>
  <c r="CB404" i="115"/>
  <c r="CD402" i="115"/>
  <c r="CD404" i="115" s="1"/>
  <c r="BE44" i="117"/>
  <c r="BI78" i="117"/>
  <c r="BI52" i="117"/>
  <c r="BI77" i="117" s="1"/>
  <c r="AX202" i="117"/>
  <c r="AX204" i="117" s="1"/>
  <c r="AX206" i="117" s="1"/>
  <c r="AX115" i="117"/>
  <c r="AX117" i="117" s="1"/>
  <c r="AX119" i="117" s="1"/>
  <c r="AX160" i="117"/>
  <c r="AX142" i="117"/>
  <c r="BB142" i="117"/>
  <c r="CC45" i="115"/>
  <c r="AE7" i="111"/>
  <c r="CU149" i="115"/>
  <c r="BN51" i="117"/>
  <c r="BN76" i="117" s="1"/>
  <c r="AA68" i="111"/>
  <c r="AA71" i="111"/>
  <c r="AA95" i="111"/>
  <c r="AA70" i="111"/>
  <c r="AW202" i="117"/>
  <c r="AW204" i="117" s="1"/>
  <c r="AW206" i="117" s="1"/>
  <c r="AW115" i="117"/>
  <c r="AW117" i="117" s="1"/>
  <c r="AW119" i="117" s="1"/>
  <c r="AW160" i="117"/>
  <c r="AZ143" i="117"/>
  <c r="BA142" i="117"/>
  <c r="BX398" i="115"/>
  <c r="BX399" i="115" s="1"/>
  <c r="BX1314" i="115" s="1"/>
  <c r="BX1316" i="115" s="1"/>
  <c r="CK1223" i="115"/>
  <c r="CK1225" i="115" s="1"/>
  <c r="CK1242" i="115" s="1"/>
  <c r="CK1143" i="115"/>
  <c r="CK1072" i="115"/>
  <c r="CU111" i="115"/>
  <c r="AD19" i="111"/>
  <c r="P79" i="123"/>
  <c r="P132" i="123"/>
  <c r="CY109" i="115"/>
  <c r="CC1227" i="115"/>
  <c r="CC1244" i="115" s="1"/>
  <c r="CC1135" i="115"/>
  <c r="CC1144" i="115" s="1"/>
  <c r="CC41" i="115"/>
  <c r="AW71" i="117"/>
  <c r="CC1566" i="115"/>
  <c r="CD45" i="115"/>
  <c r="BE29" i="117"/>
  <c r="CK1523" i="115"/>
  <c r="CK1216" i="115"/>
  <c r="CK1238" i="115" s="1"/>
  <c r="CK1138" i="115"/>
  <c r="CK1136" i="115"/>
  <c r="CK1139" i="115"/>
  <c r="CY118" i="115"/>
  <c r="CK1569" i="115"/>
  <c r="BP51" i="117"/>
  <c r="P82" i="123"/>
  <c r="P99" i="123" s="1"/>
  <c r="P135" i="123"/>
  <c r="P153" i="123" s="1"/>
  <c r="P40" i="123"/>
  <c r="P85" i="123" s="1"/>
  <c r="BY396" i="115"/>
  <c r="DP16" i="115" l="1"/>
  <c r="DM691" i="115"/>
  <c r="DE1306" i="115"/>
  <c r="DE1307" i="115" s="1"/>
  <c r="DE1254" i="115" s="1"/>
  <c r="DF1305" i="115"/>
  <c r="DF1306" i="115" s="1"/>
  <c r="DF1307" i="115" s="1"/>
  <c r="DF1254" i="115" s="1"/>
  <c r="CJ11" i="117"/>
  <c r="DH70" i="115"/>
  <c r="DI36" i="115"/>
  <c r="DJ1027" i="115"/>
  <c r="DI1077" i="115"/>
  <c r="DJ1077" i="115" s="1"/>
  <c r="AI89" i="111" s="1"/>
  <c r="CB36" i="117"/>
  <c r="BI650" i="115"/>
  <c r="CB23" i="117"/>
  <c r="CB242" i="117" s="1"/>
  <c r="DL1077" i="115"/>
  <c r="DL36" i="115"/>
  <c r="DM1027" i="115"/>
  <c r="DM36" i="115" s="1"/>
  <c r="DH324" i="115"/>
  <c r="DH329" i="115" s="1"/>
  <c r="DQ153" i="115"/>
  <c r="DS281" i="115"/>
  <c r="DN1390" i="115"/>
  <c r="DR1271" i="115"/>
  <c r="DP1390" i="115"/>
  <c r="DP1302" i="115" s="1"/>
  <c r="DQ335" i="115"/>
  <c r="DR335" i="115" s="1"/>
  <c r="DQ1393" i="115"/>
  <c r="DM177" i="115"/>
  <c r="DN177" i="115" s="1"/>
  <c r="DO177" i="115" s="1"/>
  <c r="DP79" i="115"/>
  <c r="DQ283" i="115"/>
  <c r="DQ392" i="115"/>
  <c r="DP367" i="115"/>
  <c r="DR309" i="115"/>
  <c r="DP1299" i="115"/>
  <c r="DQ1390" i="115"/>
  <c r="DQ1302" i="115" s="1"/>
  <c r="DR1375" i="115"/>
  <c r="DR1390" i="115" s="1"/>
  <c r="DH189" i="115"/>
  <c r="DH180" i="115"/>
  <c r="DH191" i="115" s="1"/>
  <c r="DI116" i="115"/>
  <c r="DJ77" i="115"/>
  <c r="DJ116" i="115" s="1"/>
  <c r="DL77" i="115"/>
  <c r="DL176" i="115" s="1"/>
  <c r="DL178" i="115" s="1"/>
  <c r="DL180" i="115" s="1"/>
  <c r="DI331" i="115"/>
  <c r="DI323" i="115" s="1"/>
  <c r="DJ323" i="115" s="1"/>
  <c r="DI78" i="115"/>
  <c r="DI178" i="115"/>
  <c r="DJ176" i="115"/>
  <c r="DK176" i="115" s="1"/>
  <c r="DH350" i="115"/>
  <c r="DO1299" i="115"/>
  <c r="AE10" i="111"/>
  <c r="AF10" i="111"/>
  <c r="AD46" i="117"/>
  <c r="AT46" i="117"/>
  <c r="DN1299" i="115"/>
  <c r="DM80" i="115"/>
  <c r="DN153" i="115"/>
  <c r="AY2" i="111"/>
  <c r="AX5" i="111"/>
  <c r="AW46" i="117"/>
  <c r="DM282" i="115"/>
  <c r="DP282" i="115" s="1"/>
  <c r="DL155" i="115"/>
  <c r="DL1322" i="115"/>
  <c r="DL1323" i="115" s="1"/>
  <c r="DL1292" i="115" s="1"/>
  <c r="DM152" i="115"/>
  <c r="DN283" i="115"/>
  <c r="DM336" i="115"/>
  <c r="DP336" i="115" s="1"/>
  <c r="DN1393" i="115"/>
  <c r="DM304" i="115"/>
  <c r="DM296" i="115" s="1"/>
  <c r="DM138" i="115"/>
  <c r="DN79" i="115"/>
  <c r="DN1302" i="115"/>
  <c r="DL1461" i="115"/>
  <c r="DL1434" i="115" s="1"/>
  <c r="DN309" i="115"/>
  <c r="DO309" i="115" s="1"/>
  <c r="DL1268" i="115"/>
  <c r="DM308" i="115"/>
  <c r="DP308" i="115" s="1"/>
  <c r="DL295" i="115"/>
  <c r="DL280" i="115"/>
  <c r="DM1445" i="115"/>
  <c r="DP1445" i="115" s="1"/>
  <c r="DQ1445" i="115" s="1"/>
  <c r="DM367" i="115"/>
  <c r="DN392" i="115"/>
  <c r="AG44" i="117"/>
  <c r="AG46" i="117"/>
  <c r="DL294" i="115"/>
  <c r="DM307" i="115"/>
  <c r="DP307" i="115" s="1"/>
  <c r="DN335" i="115"/>
  <c r="DO335" i="115" s="1"/>
  <c r="DH1414" i="115"/>
  <c r="DI1432" i="115"/>
  <c r="DI1433" i="115"/>
  <c r="DJ1434" i="115"/>
  <c r="DJ1461" i="115"/>
  <c r="DI1322" i="115"/>
  <c r="DI1323" i="115" s="1"/>
  <c r="DJ1445" i="115"/>
  <c r="AI18" i="111" s="1"/>
  <c r="DH1322" i="115"/>
  <c r="DH1323" i="115" s="1"/>
  <c r="DH1292" i="115" s="1"/>
  <c r="DI1269" i="115"/>
  <c r="DL1269" i="115" s="1"/>
  <c r="DJ367" i="115"/>
  <c r="DJ296" i="115"/>
  <c r="FC84" i="117"/>
  <c r="DJ1268" i="115"/>
  <c r="DJ152" i="115"/>
  <c r="DJ282" i="115"/>
  <c r="DI295" i="115"/>
  <c r="DJ308" i="115"/>
  <c r="DK308" i="115" s="1"/>
  <c r="DH908" i="115"/>
  <c r="DK283" i="115"/>
  <c r="DI284" i="115"/>
  <c r="DJ280" i="115"/>
  <c r="DJ336" i="115"/>
  <c r="DK336" i="115" s="1"/>
  <c r="DI1213" i="115"/>
  <c r="DI754" i="115"/>
  <c r="DI698" i="115"/>
  <c r="DI692" i="115"/>
  <c r="DJ691" i="115"/>
  <c r="DH291" i="115"/>
  <c r="DH285" i="115"/>
  <c r="DH1006" i="115"/>
  <c r="DH300" i="115"/>
  <c r="DH793" i="115"/>
  <c r="DI792" i="115"/>
  <c r="DL792" i="115" s="1"/>
  <c r="DH24" i="115"/>
  <c r="DH25" i="115" s="1"/>
  <c r="DH301" i="115"/>
  <c r="DI333" i="115"/>
  <c r="DL333" i="115" s="1"/>
  <c r="DH321" i="115"/>
  <c r="DJ155" i="115"/>
  <c r="DI1394" i="115"/>
  <c r="DL1394" i="115" s="1"/>
  <c r="DH1395" i="115"/>
  <c r="DJ307" i="115"/>
  <c r="DK307" i="115" s="1"/>
  <c r="DI294" i="115"/>
  <c r="DA17" i="117"/>
  <c r="BH1073" i="115"/>
  <c r="BH1077" i="115" s="1"/>
  <c r="BH1217" i="115"/>
  <c r="X132" i="123"/>
  <c r="X79" i="123"/>
  <c r="BH1549" i="115"/>
  <c r="BH1526" i="115"/>
  <c r="DA30" i="117" s="1"/>
  <c r="BH1546" i="115"/>
  <c r="DA29" i="117"/>
  <c r="X40" i="123"/>
  <c r="X85" i="123" s="1"/>
  <c r="X135" i="123"/>
  <c r="X153" i="123" s="1"/>
  <c r="AC95" i="111"/>
  <c r="AC70" i="111"/>
  <c r="BD62" i="117"/>
  <c r="CL45" i="115"/>
  <c r="DY17" i="117"/>
  <c r="CL1135" i="115"/>
  <c r="CH45" i="115"/>
  <c r="BT1217" i="115"/>
  <c r="AC68" i="111"/>
  <c r="T38" i="123"/>
  <c r="CL1568" i="115"/>
  <c r="CP1569" i="115" s="1"/>
  <c r="AC36" i="123"/>
  <c r="AC135" i="123" s="1"/>
  <c r="AC153" i="123" s="1"/>
  <c r="CG1073" i="115"/>
  <c r="CG1077" i="115" s="1"/>
  <c r="CH1077" i="115" s="1"/>
  <c r="CH1072" i="115"/>
  <c r="CH1073" i="115" s="1"/>
  <c r="CL1227" i="115"/>
  <c r="CL1244" i="115" s="1"/>
  <c r="CL41" i="115"/>
  <c r="AB68" i="111"/>
  <c r="AB69" i="111" s="1"/>
  <c r="BQ94" i="117"/>
  <c r="BQ80" i="117" s="1"/>
  <c r="CH41" i="115"/>
  <c r="CH1143" i="115" s="1"/>
  <c r="CY142" i="115"/>
  <c r="BZ15" i="117"/>
  <c r="BZ223" i="117" s="1"/>
  <c r="AF49" i="123"/>
  <c r="AF102" i="123"/>
  <c r="AF103" i="123" s="1"/>
  <c r="AF5" i="123"/>
  <c r="BI1242" i="115"/>
  <c r="BQ1246" i="115"/>
  <c r="BU1244" i="115"/>
  <c r="BV1244" i="115"/>
  <c r="BL1244" i="115"/>
  <c r="DH662" i="115"/>
  <c r="BM1242" i="115"/>
  <c r="BN1244" i="115"/>
  <c r="BU10" i="117"/>
  <c r="BX1242" i="115"/>
  <c r="BZ23" i="117"/>
  <c r="BZ242" i="117" s="1"/>
  <c r="BZ36" i="117"/>
  <c r="L83" i="123"/>
  <c r="T132" i="123"/>
  <c r="T82" i="123"/>
  <c r="T99" i="123" s="1"/>
  <c r="P83" i="123"/>
  <c r="X38" i="123"/>
  <c r="AB95" i="111"/>
  <c r="AB71" i="111"/>
  <c r="BF71" i="117"/>
  <c r="CH1135" i="115"/>
  <c r="CH1144" i="115" s="1"/>
  <c r="CH1227" i="115"/>
  <c r="BU128" i="117"/>
  <c r="T135" i="123"/>
  <c r="T153" i="123" s="1"/>
  <c r="T40" i="123"/>
  <c r="T85" i="123" s="1"/>
  <c r="T79" i="123"/>
  <c r="DG25" i="115"/>
  <c r="DG691" i="115"/>
  <c r="DH669" i="115"/>
  <c r="DH310" i="115"/>
  <c r="AZ71" i="117"/>
  <c r="CF1567" i="115"/>
  <c r="CB1568" i="115"/>
  <c r="CB1569" i="115" s="1"/>
  <c r="AV121" i="117"/>
  <c r="AV123" i="117"/>
  <c r="CB1216" i="115"/>
  <c r="CB1238" i="115" s="1"/>
  <c r="CB1523" i="115"/>
  <c r="AV29" i="117"/>
  <c r="BE121" i="117"/>
  <c r="BE208" i="117"/>
  <c r="BE123" i="117"/>
  <c r="BH631" i="115"/>
  <c r="BI631" i="115"/>
  <c r="BR1316" i="115"/>
  <c r="BR1318" i="115" s="1"/>
  <c r="BY1130" i="115"/>
  <c r="BY1137" i="115" s="1"/>
  <c r="BL1223" i="115"/>
  <c r="BL1225" i="115" s="1"/>
  <c r="BL1072" i="115"/>
  <c r="BN1072" i="115" s="1"/>
  <c r="BL1136" i="115"/>
  <c r="BL1139" i="115"/>
  <c r="BL1138" i="115"/>
  <c r="BL1523" i="115"/>
  <c r="AF29" i="117"/>
  <c r="AF28" i="117" s="1"/>
  <c r="BL1216" i="115"/>
  <c r="BL1238" i="115" s="1"/>
  <c r="BT1316" i="115"/>
  <c r="BT1318" i="115" s="1"/>
  <c r="BH633" i="115"/>
  <c r="BX1217" i="115"/>
  <c r="BI658" i="115"/>
  <c r="BP991" i="115"/>
  <c r="BP992" i="115" s="1"/>
  <c r="BT58" i="115"/>
  <c r="BP58" i="115"/>
  <c r="BP37" i="115"/>
  <c r="CJ1217" i="115"/>
  <c r="CJ1073" i="115"/>
  <c r="CJ1077" i="115" s="1"/>
  <c r="BX1073" i="115"/>
  <c r="BX1077" i="115" s="1"/>
  <c r="BZ1077" i="115" s="1"/>
  <c r="Z89" i="111" s="1"/>
  <c r="Z99" i="111" s="1"/>
  <c r="BZ1072" i="115"/>
  <c r="CY132" i="115"/>
  <c r="DQ17" i="117"/>
  <c r="BI633" i="115"/>
  <c r="AR62" i="117"/>
  <c r="EC17" i="117"/>
  <c r="BJ633" i="115"/>
  <c r="BH1130" i="115"/>
  <c r="BH1137" i="115" s="1"/>
  <c r="BV397" i="115"/>
  <c r="BU416" i="115"/>
  <c r="BU1315" i="115"/>
  <c r="BU398" i="115"/>
  <c r="BV398" i="115" s="1"/>
  <c r="BQ1320" i="115"/>
  <c r="BQ1318" i="115"/>
  <c r="BM1217" i="115"/>
  <c r="DF17" i="117"/>
  <c r="BU1568" i="115"/>
  <c r="BM1073" i="115"/>
  <c r="BM1077" i="115" s="1"/>
  <c r="BI660" i="115"/>
  <c r="BU1223" i="115"/>
  <c r="BU1225" i="115" s="1"/>
  <c r="BU1072" i="115"/>
  <c r="BU1143" i="115"/>
  <c r="BU1523" i="115"/>
  <c r="BU1216" i="115"/>
  <c r="BU1238" i="115" s="1"/>
  <c r="AO29" i="117"/>
  <c r="AO28" i="117" s="1"/>
  <c r="BU1139" i="115"/>
  <c r="BU1141" i="115"/>
  <c r="BU1142" i="115" s="1"/>
  <c r="BU1138" i="115"/>
  <c r="BU1136" i="115"/>
  <c r="BZ1136" i="115"/>
  <c r="BZ1138" i="115"/>
  <c r="BZ1141" i="115"/>
  <c r="BZ1142" i="115" s="1"/>
  <c r="BZ1139" i="115"/>
  <c r="AT29" i="117"/>
  <c r="BZ1216" i="115"/>
  <c r="BZ1238" i="115" s="1"/>
  <c r="BZ1523" i="115"/>
  <c r="AT44" i="117"/>
  <c r="Z60" i="111"/>
  <c r="Z59" i="111" s="1"/>
  <c r="BZ1223" i="115"/>
  <c r="BZ1225" i="115" s="1"/>
  <c r="BZ1143" i="115"/>
  <c r="L43" i="123"/>
  <c r="L141" i="123" s="1"/>
  <c r="L138" i="123"/>
  <c r="Z69" i="111"/>
  <c r="BI1217" i="115"/>
  <c r="AL133" i="117"/>
  <c r="AL139" i="117" s="1"/>
  <c r="DK32" i="117"/>
  <c r="AL38" i="117"/>
  <c r="DK24" i="117"/>
  <c r="AL127" i="117"/>
  <c r="AL130" i="117" s="1"/>
  <c r="AP66" i="117"/>
  <c r="AL66" i="117"/>
  <c r="DK33" i="117"/>
  <c r="DB17" i="117"/>
  <c r="BV54" i="115"/>
  <c r="BS26" i="115"/>
  <c r="X51" i="111"/>
  <c r="BW26" i="115"/>
  <c r="BR32" i="115"/>
  <c r="BR54" i="115"/>
  <c r="BR901" i="115"/>
  <c r="CN409" i="115"/>
  <c r="CP409" i="115" s="1"/>
  <c r="CP413" i="115" s="1"/>
  <c r="CL1326" i="115"/>
  <c r="CL1328" i="115" s="1"/>
  <c r="BQ2" i="115"/>
  <c r="BP3" i="115"/>
  <c r="BI1526" i="115"/>
  <c r="BI1549" i="115"/>
  <c r="BI1524" i="115"/>
  <c r="BI645" i="115"/>
  <c r="D28" i="123"/>
  <c r="D65" i="123"/>
  <c r="H21" i="123"/>
  <c r="D118" i="123"/>
  <c r="CJ1326" i="115"/>
  <c r="CJ1328" i="115" s="1"/>
  <c r="CJ397" i="115"/>
  <c r="CK409" i="115"/>
  <c r="CK413" i="115" s="1"/>
  <c r="BM4" i="115"/>
  <c r="BM1527" i="115" s="1"/>
  <c r="BL4" i="115"/>
  <c r="BL1527" i="115" s="1"/>
  <c r="BN4" i="115"/>
  <c r="BN1527" i="115" s="1"/>
  <c r="CH397" i="115"/>
  <c r="CH1315" i="115" s="1"/>
  <c r="CG416" i="115"/>
  <c r="CG1315" i="115"/>
  <c r="BJ631" i="115"/>
  <c r="BI1073" i="115"/>
  <c r="BI1077" i="115" s="1"/>
  <c r="BJ1072" i="115"/>
  <c r="BQ34" i="115"/>
  <c r="BU56" i="115"/>
  <c r="BQ56" i="115"/>
  <c r="BV15" i="117"/>
  <c r="BV223" i="117" s="1"/>
  <c r="BV232" i="117" s="1"/>
  <c r="CU352" i="115"/>
  <c r="W69" i="111"/>
  <c r="AW208" i="117"/>
  <c r="BN1216" i="115"/>
  <c r="BN1238" i="115" s="1"/>
  <c r="AH29" i="117"/>
  <c r="AH28" i="117" s="1"/>
  <c r="BN1523" i="115"/>
  <c r="W60" i="111"/>
  <c r="W59" i="111" s="1"/>
  <c r="BN1223" i="115"/>
  <c r="BN1225" i="115" s="1"/>
  <c r="BN1136" i="115"/>
  <c r="BN1138" i="115"/>
  <c r="BN1139" i="115"/>
  <c r="CU1351" i="115"/>
  <c r="DH386" i="115"/>
  <c r="CF1130" i="115"/>
  <c r="CF1137" i="115" s="1"/>
  <c r="BP76" i="117"/>
  <c r="BJ1138" i="115"/>
  <c r="BJ1136" i="115"/>
  <c r="BK1135" i="115"/>
  <c r="BO1135" i="115"/>
  <c r="BJ1139" i="115"/>
  <c r="AB18" i="123"/>
  <c r="BV1136" i="115"/>
  <c r="BV1138" i="115"/>
  <c r="BV1141" i="115"/>
  <c r="BV1142" i="115" s="1"/>
  <c r="BV1139" i="115"/>
  <c r="CA1135" i="115"/>
  <c r="V69" i="111"/>
  <c r="BJ1223" i="115"/>
  <c r="BJ1225" i="115" s="1"/>
  <c r="V60" i="111"/>
  <c r="V59" i="111" s="1"/>
  <c r="BN11" i="117"/>
  <c r="BZ1569" i="115"/>
  <c r="CA1568" i="115"/>
  <c r="BQ11" i="117"/>
  <c r="BJ220" i="117"/>
  <c r="BJ229" i="117" s="1"/>
  <c r="BJ14" i="117"/>
  <c r="H138" i="123"/>
  <c r="H43" i="123"/>
  <c r="H85" i="123"/>
  <c r="BV1223" i="115"/>
  <c r="BV1225" i="115" s="1"/>
  <c r="Y60" i="111"/>
  <c r="Y59" i="111" s="1"/>
  <c r="BV1143" i="115"/>
  <c r="AP29" i="117"/>
  <c r="AP28" i="117" s="1"/>
  <c r="BV1523" i="115"/>
  <c r="BV1216" i="115"/>
  <c r="BV1238" i="115" s="1"/>
  <c r="BJ1545" i="115"/>
  <c r="DC27" i="117" s="1"/>
  <c r="BJ1216" i="115"/>
  <c r="BJ1238" i="115" s="1"/>
  <c r="BJ1523" i="115"/>
  <c r="BJ1543" i="115"/>
  <c r="AD29" i="117"/>
  <c r="AD28" i="117" s="1"/>
  <c r="BR128" i="117"/>
  <c r="CY663" i="115"/>
  <c r="Y69" i="111"/>
  <c r="BX1320" i="115"/>
  <c r="BX1318" i="115"/>
  <c r="P138" i="123"/>
  <c r="P43" i="123"/>
  <c r="P141" i="123" s="1"/>
  <c r="AD30" i="111"/>
  <c r="CC1138" i="115"/>
  <c r="CC1136" i="115"/>
  <c r="CC1139" i="115"/>
  <c r="AX161" i="117"/>
  <c r="CC402" i="115"/>
  <c r="CC404" i="115" s="1"/>
  <c r="CB396" i="115"/>
  <c r="BP55" i="117"/>
  <c r="ED17" i="117"/>
  <c r="CK1217" i="115"/>
  <c r="AW44" i="117"/>
  <c r="AW121" i="117"/>
  <c r="AW123" i="117"/>
  <c r="AX121" i="117"/>
  <c r="AX123" i="117"/>
  <c r="EI63" i="117"/>
  <c r="AX29" i="117"/>
  <c r="CD1523" i="115"/>
  <c r="CD1216" i="115"/>
  <c r="CD1238" i="115" s="1"/>
  <c r="EI62" i="117"/>
  <c r="EI61" i="117"/>
  <c r="AX208" i="117"/>
  <c r="AX211" i="117"/>
  <c r="CD1569" i="115"/>
  <c r="CE1568" i="115"/>
  <c r="CH1569" i="115"/>
  <c r="BH56" i="117"/>
  <c r="BH84" i="117" s="1"/>
  <c r="BE62" i="117"/>
  <c r="CC1568" i="115"/>
  <c r="BA71" i="117"/>
  <c r="CC1223" i="115"/>
  <c r="CC1225" i="115" s="1"/>
  <c r="CC1143" i="115"/>
  <c r="CC1072" i="115"/>
  <c r="BQ51" i="117"/>
  <c r="CC1216" i="115"/>
  <c r="CC1238" i="115" s="1"/>
  <c r="CC1523" i="115"/>
  <c r="AW29" i="117"/>
  <c r="BY398" i="115"/>
  <c r="BZ398" i="115" s="1"/>
  <c r="BZ396" i="115"/>
  <c r="CK1073" i="115"/>
  <c r="CK1077" i="115" s="1"/>
  <c r="CL1072" i="115"/>
  <c r="BJ53" i="117"/>
  <c r="AB8" i="123"/>
  <c r="AB9" i="123"/>
  <c r="AD9" i="111"/>
  <c r="AA69" i="111"/>
  <c r="BT1130" i="115"/>
  <c r="BT1137" i="115" s="1"/>
  <c r="CF402" i="115"/>
  <c r="AD20" i="111"/>
  <c r="AD21" i="111" s="1"/>
  <c r="DN691" i="115" l="1"/>
  <c r="DM698" i="115"/>
  <c r="P143" i="123"/>
  <c r="P144" i="123"/>
  <c r="L143" i="123"/>
  <c r="L144" i="123"/>
  <c r="DM692" i="115"/>
  <c r="DM754" i="115"/>
  <c r="DQ691" i="115"/>
  <c r="DF1253" i="115"/>
  <c r="DF1391" i="115" s="1"/>
  <c r="DF1256" i="115"/>
  <c r="DE1256" i="115"/>
  <c r="DE1253" i="115"/>
  <c r="DE1391" i="115" s="1"/>
  <c r="DJ36" i="115"/>
  <c r="DI70" i="115"/>
  <c r="CC36" i="117"/>
  <c r="CC23" i="117"/>
  <c r="CC242" i="117" s="1"/>
  <c r="CQ1135" i="115"/>
  <c r="CL1144" i="115"/>
  <c r="DM1077" i="115"/>
  <c r="DN1077" i="115" s="1"/>
  <c r="AJ89" i="111" s="1"/>
  <c r="DN1027" i="115"/>
  <c r="CF23" i="117"/>
  <c r="CF242" i="117" s="1"/>
  <c r="CF36" i="117"/>
  <c r="DL70" i="115"/>
  <c r="DP1027" i="115"/>
  <c r="DQ282" i="115"/>
  <c r="DQ1299" i="115"/>
  <c r="DP177" i="115"/>
  <c r="DP188" i="115" s="1"/>
  <c r="DR153" i="115"/>
  <c r="DS309" i="115"/>
  <c r="DS335" i="115"/>
  <c r="DM188" i="115"/>
  <c r="DQ307" i="115"/>
  <c r="DR1445" i="115"/>
  <c r="AK18" i="111" s="1"/>
  <c r="DQ308" i="115"/>
  <c r="DQ336" i="115"/>
  <c r="DP152" i="115"/>
  <c r="DR1302" i="115"/>
  <c r="DR392" i="115"/>
  <c r="DQ367" i="115"/>
  <c r="DR283" i="115"/>
  <c r="DP138" i="115"/>
  <c r="DP132" i="115" s="1"/>
  <c r="DP304" i="115"/>
  <c r="DP296" i="115" s="1"/>
  <c r="DQ79" i="115"/>
  <c r="DP80" i="115"/>
  <c r="DR1393" i="115"/>
  <c r="DQ698" i="115"/>
  <c r="M10" i="111"/>
  <c r="DJ178" i="115"/>
  <c r="DK178" i="115" s="1"/>
  <c r="DI180" i="115"/>
  <c r="DH358" i="115"/>
  <c r="DI324" i="115"/>
  <c r="DI350" i="115"/>
  <c r="DI358" i="115" s="1"/>
  <c r="DJ78" i="115"/>
  <c r="DL331" i="115"/>
  <c r="DL323" i="115" s="1"/>
  <c r="DL350" i="115" s="1"/>
  <c r="DL189" i="115"/>
  <c r="DH799" i="115"/>
  <c r="DH749" i="115"/>
  <c r="DM77" i="115"/>
  <c r="DL187" i="115"/>
  <c r="DL78" i="115"/>
  <c r="DL116" i="115"/>
  <c r="DI189" i="115"/>
  <c r="DN80" i="115"/>
  <c r="AZ2" i="111"/>
  <c r="AY5" i="111"/>
  <c r="DN138" i="115"/>
  <c r="DN367" i="115"/>
  <c r="DM1269" i="115"/>
  <c r="DP1269" i="115" s="1"/>
  <c r="DN296" i="115"/>
  <c r="DN36" i="115"/>
  <c r="CG36" i="117"/>
  <c r="CG23" i="117"/>
  <c r="CG242" i="117" s="1"/>
  <c r="AP44" i="117"/>
  <c r="AT62" i="117" s="1"/>
  <c r="AP46" i="117"/>
  <c r="AH44" i="117"/>
  <c r="AH46" i="117"/>
  <c r="AO44" i="117"/>
  <c r="AS62" i="117" s="1"/>
  <c r="AO46" i="117"/>
  <c r="DM1268" i="115"/>
  <c r="DM699" i="115"/>
  <c r="DM696" i="115"/>
  <c r="DN336" i="115"/>
  <c r="DO336" i="115" s="1"/>
  <c r="DM155" i="115"/>
  <c r="DL1213" i="115"/>
  <c r="DL301" i="115"/>
  <c r="DO283" i="115"/>
  <c r="DM1322" i="115"/>
  <c r="DM1323" i="115" s="1"/>
  <c r="DN152" i="115"/>
  <c r="AF44" i="117"/>
  <c r="AF46" i="117"/>
  <c r="BF46" i="117"/>
  <c r="DL793" i="115"/>
  <c r="DL749" i="115" s="1"/>
  <c r="DM792" i="115"/>
  <c r="DL24" i="115"/>
  <c r="DL25" i="115" s="1"/>
  <c r="DM294" i="115"/>
  <c r="DN307" i="115"/>
  <c r="DO307" i="115" s="1"/>
  <c r="DN1445" i="115"/>
  <c r="DL1432" i="115"/>
  <c r="DL1412" i="115" s="1"/>
  <c r="DL1433" i="115"/>
  <c r="DL1413" i="115" s="1"/>
  <c r="DM615" i="115"/>
  <c r="DM1394" i="115"/>
  <c r="DP1394" i="115" s="1"/>
  <c r="DL1395" i="115"/>
  <c r="DM333" i="115"/>
  <c r="DP333" i="115" s="1"/>
  <c r="DL300" i="115"/>
  <c r="DM70" i="115"/>
  <c r="DM280" i="115"/>
  <c r="DL284" i="115"/>
  <c r="DM295" i="115"/>
  <c r="DN308" i="115"/>
  <c r="DO308" i="115" s="1"/>
  <c r="DM1461" i="115"/>
  <c r="DM1434" i="115" s="1"/>
  <c r="DN754" i="115"/>
  <c r="DN698" i="115"/>
  <c r="DO691" i="115"/>
  <c r="DN282" i="115"/>
  <c r="DJ1433" i="115"/>
  <c r="DI1413" i="115"/>
  <c r="DJ1432" i="115"/>
  <c r="DJ1440" i="115" s="1"/>
  <c r="DJ1441" i="115" s="1"/>
  <c r="DI1412" i="115"/>
  <c r="DJ1412" i="115" s="1"/>
  <c r="X138" i="123"/>
  <c r="DJ1442" i="115"/>
  <c r="DJ1322" i="115"/>
  <c r="DG1292" i="115"/>
  <c r="DJ1323" i="115"/>
  <c r="DI1292" i="115"/>
  <c r="DL1369" i="115" s="1"/>
  <c r="DH1369" i="115"/>
  <c r="DJ1269" i="115"/>
  <c r="DJ1213" i="115"/>
  <c r="DI1006" i="115"/>
  <c r="CB15" i="117"/>
  <c r="AJ4" i="123"/>
  <c r="DH334" i="115"/>
  <c r="DI386" i="115"/>
  <c r="DL386" i="115" s="1"/>
  <c r="DI310" i="115"/>
  <c r="DL310" i="115" s="1"/>
  <c r="DH297" i="115"/>
  <c r="DH311" i="115"/>
  <c r="DI662" i="115"/>
  <c r="DH15" i="115"/>
  <c r="DJ295" i="115"/>
  <c r="DI301" i="115"/>
  <c r="DH1397" i="115"/>
  <c r="DH1304" i="115" s="1"/>
  <c r="DH1398" i="115"/>
  <c r="DH1305" i="115"/>
  <c r="DH53" i="115"/>
  <c r="DK691" i="115"/>
  <c r="DJ754" i="115"/>
  <c r="DJ698" i="115"/>
  <c r="DI300" i="115"/>
  <c r="DJ294" i="115"/>
  <c r="DJ1394" i="115"/>
  <c r="DJ1395" i="115" s="1"/>
  <c r="DJ1398" i="115" s="1"/>
  <c r="DI1395" i="115"/>
  <c r="DI793" i="115"/>
  <c r="DI24" i="115"/>
  <c r="DI25" i="115" s="1"/>
  <c r="DI699" i="115"/>
  <c r="DI663" i="115"/>
  <c r="DL669" i="115" s="1"/>
  <c r="DI696" i="115"/>
  <c r="DJ692" i="115"/>
  <c r="DK282" i="115"/>
  <c r="DJ350" i="115"/>
  <c r="DH327" i="115"/>
  <c r="DJ792" i="115"/>
  <c r="DK280" i="115"/>
  <c r="DJ284" i="115"/>
  <c r="DH911" i="115"/>
  <c r="DH909" i="115"/>
  <c r="DI908" i="115"/>
  <c r="DI321" i="115"/>
  <c r="DJ333" i="115"/>
  <c r="DI615" i="115"/>
  <c r="DI291" i="115"/>
  <c r="DI285" i="115"/>
  <c r="DH348" i="115"/>
  <c r="BJ1077" i="115"/>
  <c r="V89" i="111" s="1"/>
  <c r="V99" i="111" s="1"/>
  <c r="CX1435" i="115"/>
  <c r="X43" i="123"/>
  <c r="X87" i="123" s="1"/>
  <c r="CL1139" i="115"/>
  <c r="T83" i="123"/>
  <c r="BF44" i="117"/>
  <c r="BF29" i="117"/>
  <c r="CL1216" i="115"/>
  <c r="CL1238" i="115" s="1"/>
  <c r="CL1523" i="115"/>
  <c r="CL1569" i="115"/>
  <c r="CH1523" i="115"/>
  <c r="BB29" i="117"/>
  <c r="CH1216" i="115"/>
  <c r="CH1238" i="115" s="1"/>
  <c r="AC69" i="111"/>
  <c r="CL1136" i="115"/>
  <c r="CL1138" i="115"/>
  <c r="CM1135" i="115"/>
  <c r="AC82" i="123"/>
  <c r="AC99" i="123" s="1"/>
  <c r="BR94" i="117"/>
  <c r="BR80" i="117" s="1"/>
  <c r="AC60" i="111"/>
  <c r="AC108" i="111" s="1"/>
  <c r="AC124" i="111" s="1"/>
  <c r="AC130" i="111" s="1"/>
  <c r="AC40" i="123"/>
  <c r="AC138" i="123" s="1"/>
  <c r="AB60" i="111"/>
  <c r="AB59" i="111" s="1"/>
  <c r="T136" i="123"/>
  <c r="AB89" i="111"/>
  <c r="AB99" i="111" s="1"/>
  <c r="CH1078" i="115"/>
  <c r="AB84" i="111"/>
  <c r="CL1223" i="115"/>
  <c r="CL1225" i="115" s="1"/>
  <c r="CL1242" i="115" s="1"/>
  <c r="CL1143" i="115"/>
  <c r="CH1223" i="115"/>
  <c r="CH1225" i="115" s="1"/>
  <c r="CH1242" i="115" s="1"/>
  <c r="CY120" i="115"/>
  <c r="DG337" i="115"/>
  <c r="AF50" i="123"/>
  <c r="BV10" i="117"/>
  <c r="BV219" i="117" s="1"/>
  <c r="BV228" i="117" s="1"/>
  <c r="BJ1242" i="115"/>
  <c r="BZ1242" i="115"/>
  <c r="BX10" i="117"/>
  <c r="CC1242" i="115"/>
  <c r="BU1242" i="115"/>
  <c r="BY128" i="117"/>
  <c r="BV128" i="117"/>
  <c r="BV1242" i="115"/>
  <c r="BN1242" i="115"/>
  <c r="BL1242" i="115"/>
  <c r="BZ232" i="117"/>
  <c r="BR1246" i="115"/>
  <c r="CH1244" i="115"/>
  <c r="X136" i="123"/>
  <c r="X83" i="123"/>
  <c r="CH1138" i="115"/>
  <c r="EA17" i="117" s="1"/>
  <c r="DH118" i="115"/>
  <c r="T43" i="123"/>
  <c r="T141" i="123" s="1"/>
  <c r="CH1136" i="115"/>
  <c r="CH1139" i="115"/>
  <c r="BL237" i="115"/>
  <c r="BL238" i="115"/>
  <c r="BM238" i="115"/>
  <c r="BM237" i="115"/>
  <c r="CP1326" i="115"/>
  <c r="CP1328" i="115" s="1"/>
  <c r="CR409" i="115"/>
  <c r="CT409" i="115" s="1"/>
  <c r="CT413" i="115" s="1"/>
  <c r="BN1545" i="115"/>
  <c r="BN238" i="115"/>
  <c r="BN237" i="115"/>
  <c r="BV11" i="117"/>
  <c r="BU11" i="117"/>
  <c r="BT51" i="117"/>
  <c r="BT76" i="117" s="1"/>
  <c r="T138" i="123"/>
  <c r="DG284" i="115"/>
  <c r="DG692" i="115"/>
  <c r="BY11" i="117"/>
  <c r="CY110" i="115"/>
  <c r="AB106" i="123"/>
  <c r="AB53" i="123"/>
  <c r="AB107" i="123"/>
  <c r="AB54" i="123"/>
  <c r="AB16" i="123"/>
  <c r="AB116" i="123"/>
  <c r="AB63" i="123"/>
  <c r="CF1569" i="115"/>
  <c r="CB1217" i="115"/>
  <c r="BR1320" i="115"/>
  <c r="BT1320" i="115"/>
  <c r="BL1217" i="115"/>
  <c r="CL1077" i="115"/>
  <c r="AC89" i="111" s="1"/>
  <c r="AC99" i="111" s="1"/>
  <c r="BU399" i="115"/>
  <c r="BU1314" i="115" s="1"/>
  <c r="BU1316" i="115" s="1"/>
  <c r="BL1073" i="115"/>
  <c r="BL1077" i="115" s="1"/>
  <c r="BN1077" i="115" s="1"/>
  <c r="W89" i="111" s="1"/>
  <c r="W99" i="111" s="1"/>
  <c r="DE17" i="117"/>
  <c r="BN1543" i="115"/>
  <c r="CJ1130" i="115"/>
  <c r="CJ1137" i="115" s="1"/>
  <c r="Z84" i="111"/>
  <c r="Z90" i="111" s="1"/>
  <c r="BZ1073" i="115"/>
  <c r="BZ1078" i="115" s="1"/>
  <c r="BT60" i="115"/>
  <c r="BP1564" i="115"/>
  <c r="BP1566" i="115" s="1"/>
  <c r="BP60" i="115"/>
  <c r="BP39" i="115"/>
  <c r="BP43" i="115"/>
  <c r="CY133" i="115"/>
  <c r="BX1130" i="115"/>
  <c r="BX1137" i="115" s="1"/>
  <c r="BY1569" i="115"/>
  <c r="DN17" i="117"/>
  <c r="BU1073" i="115"/>
  <c r="BU1077" i="115" s="1"/>
  <c r="BV1077" i="115" s="1"/>
  <c r="Y89" i="111" s="1"/>
  <c r="Y99" i="111" s="1"/>
  <c r="BV1072" i="115"/>
  <c r="BN1073" i="115"/>
  <c r="W84" i="111"/>
  <c r="BV1315" i="115"/>
  <c r="BV399" i="115"/>
  <c r="BV1314" i="115" s="1"/>
  <c r="BM1130" i="115"/>
  <c r="BM1137" i="115" s="1"/>
  <c r="BU1217" i="115"/>
  <c r="DA9" i="117"/>
  <c r="DA8" i="117"/>
  <c r="L87" i="123"/>
  <c r="BZ1217" i="115"/>
  <c r="DS9" i="117"/>
  <c r="DS17" i="117"/>
  <c r="BL978" i="115"/>
  <c r="BL415" i="115"/>
  <c r="BL1532" i="115"/>
  <c r="BL1535" i="115"/>
  <c r="BL836" i="115"/>
  <c r="BL912" i="115"/>
  <c r="BL643" i="115"/>
  <c r="BL1544" i="115"/>
  <c r="BL606" i="115"/>
  <c r="BL782" i="115" s="1"/>
  <c r="BL1533" i="115"/>
  <c r="BL977" i="115"/>
  <c r="BL1541" i="115"/>
  <c r="BL1542" i="115"/>
  <c r="BL985" i="115"/>
  <c r="BL813" i="115"/>
  <c r="BL815" i="115" s="1"/>
  <c r="BL903" i="115"/>
  <c r="BL823" i="115"/>
  <c r="BL824" i="115" s="1"/>
  <c r="BL609" i="115"/>
  <c r="BL1536" i="115"/>
  <c r="BL803" i="115"/>
  <c r="BL804" i="115" s="1"/>
  <c r="BL222" i="115"/>
  <c r="BL1537" i="115"/>
  <c r="BL1539" i="115"/>
  <c r="BL651" i="115"/>
  <c r="BL414" i="115"/>
  <c r="BL648" i="115"/>
  <c r="BL835" i="115"/>
  <c r="BL1534" i="115"/>
  <c r="BL976" i="115"/>
  <c r="BL1538" i="115"/>
  <c r="BL629" i="115"/>
  <c r="BL221" i="115"/>
  <c r="BL1548" i="115"/>
  <c r="BL1540" i="115"/>
  <c r="BL656" i="115"/>
  <c r="BL982" i="115"/>
  <c r="BL986" i="115"/>
  <c r="BL1335" i="115"/>
  <c r="BL1525" i="115"/>
  <c r="BL760" i="115"/>
  <c r="BL984" i="115"/>
  <c r="BL974" i="115"/>
  <c r="BL774" i="115"/>
  <c r="BL975" i="115"/>
  <c r="BL983" i="115"/>
  <c r="BL1543" i="115"/>
  <c r="BL1545" i="115"/>
  <c r="BL1526" i="115"/>
  <c r="BL1524" i="115"/>
  <c r="BL1549" i="115"/>
  <c r="D147" i="123"/>
  <c r="H119" i="123"/>
  <c r="CN413" i="115"/>
  <c r="CO409" i="115" s="1"/>
  <c r="V84" i="111"/>
  <c r="BJ1073" i="115"/>
  <c r="BM1335" i="115"/>
  <c r="BM1549" i="115"/>
  <c r="BM986" i="115"/>
  <c r="BM975" i="115"/>
  <c r="BM1524" i="115"/>
  <c r="BM1526" i="115"/>
  <c r="BM982" i="115"/>
  <c r="BM1540" i="115"/>
  <c r="BM1536" i="115"/>
  <c r="BM1543" i="115"/>
  <c r="BM974" i="115"/>
  <c r="BM977" i="115"/>
  <c r="BM1545" i="115"/>
  <c r="BM760" i="115"/>
  <c r="BM978" i="115"/>
  <c r="BM415" i="115"/>
  <c r="BM903" i="115"/>
  <c r="BM1542" i="115"/>
  <c r="BM985" i="115"/>
  <c r="BM813" i="115"/>
  <c r="BM835" i="115"/>
  <c r="BM648" i="115"/>
  <c r="BM983" i="115"/>
  <c r="BM1534" i="115"/>
  <c r="BM609" i="115"/>
  <c r="BM1525" i="115"/>
  <c r="BM1537" i="115"/>
  <c r="BM803" i="115"/>
  <c r="BM1541" i="115"/>
  <c r="BM643" i="115"/>
  <c r="BM1532" i="115"/>
  <c r="BM414" i="115"/>
  <c r="BM1539" i="115"/>
  <c r="BM629" i="115"/>
  <c r="BM1533" i="115"/>
  <c r="BM651" i="115"/>
  <c r="BM836" i="115"/>
  <c r="BM976" i="115"/>
  <c r="BM222" i="115"/>
  <c r="BM606" i="115"/>
  <c r="BM782" i="115" s="1"/>
  <c r="BM1535" i="115"/>
  <c r="BM1544" i="115"/>
  <c r="BM823" i="115"/>
  <c r="BM656" i="115"/>
  <c r="BM221" i="115"/>
  <c r="BM1548" i="115"/>
  <c r="BM1538" i="115"/>
  <c r="BM774" i="115"/>
  <c r="BM984" i="115"/>
  <c r="BM912" i="115"/>
  <c r="H28" i="123"/>
  <c r="DB30" i="117"/>
  <c r="BR34" i="115"/>
  <c r="BV56" i="115"/>
  <c r="BW32" i="115"/>
  <c r="BR56" i="115"/>
  <c r="BS32" i="115"/>
  <c r="X53" i="111"/>
  <c r="X66" i="111" s="1"/>
  <c r="H66" i="123"/>
  <c r="D93" i="123"/>
  <c r="CK1326" i="115"/>
  <c r="CK1328" i="115" s="1"/>
  <c r="CK397" i="115"/>
  <c r="D73" i="123"/>
  <c r="D96" i="123" s="1"/>
  <c r="D126" i="123"/>
  <c r="D150" i="123" s="1"/>
  <c r="BR2" i="115"/>
  <c r="BQ3" i="115"/>
  <c r="CJ416" i="115"/>
  <c r="CJ1315" i="115"/>
  <c r="X64" i="111"/>
  <c r="X77" i="111"/>
  <c r="Y75" i="111"/>
  <c r="X49" i="111"/>
  <c r="X75" i="111"/>
  <c r="BU58" i="115"/>
  <c r="BQ991" i="115"/>
  <c r="BQ992" i="115" s="1"/>
  <c r="BQ58" i="115"/>
  <c r="BQ37" i="115"/>
  <c r="BN609" i="115"/>
  <c r="BN835" i="115"/>
  <c r="BN648" i="115"/>
  <c r="BN1541" i="115"/>
  <c r="BN643" i="115"/>
  <c r="BN1532" i="115"/>
  <c r="BN221" i="115"/>
  <c r="BN1542" i="115"/>
  <c r="BN1533" i="115"/>
  <c r="BN651" i="115"/>
  <c r="BN606" i="115"/>
  <c r="BN782" i="115" s="1"/>
  <c r="BN823" i="115"/>
  <c r="BN1539" i="115"/>
  <c r="BN977" i="115"/>
  <c r="BN978" i="115"/>
  <c r="BN985" i="115"/>
  <c r="BN415" i="115"/>
  <c r="BN836" i="115"/>
  <c r="BN222" i="115"/>
  <c r="BN1544" i="115"/>
  <c r="BN803" i="115"/>
  <c r="BN976" i="115"/>
  <c r="BN1534" i="115"/>
  <c r="BN414" i="115"/>
  <c r="BN1537" i="115"/>
  <c r="BN903" i="115"/>
  <c r="BN986" i="115"/>
  <c r="BN912" i="115"/>
  <c r="BN813" i="115"/>
  <c r="BN629" i="115"/>
  <c r="BN1535" i="115"/>
  <c r="BN984" i="115"/>
  <c r="BN1536" i="115"/>
  <c r="BN974" i="115"/>
  <c r="BN1335" i="115"/>
  <c r="BN982" i="115"/>
  <c r="BN656" i="115"/>
  <c r="BN975" i="115"/>
  <c r="BN983" i="115"/>
  <c r="BN1548" i="115"/>
  <c r="BN760" i="115"/>
  <c r="BN1538" i="115"/>
  <c r="BN1540" i="115"/>
  <c r="BN774" i="115"/>
  <c r="BN1525" i="115"/>
  <c r="BI1547" i="115"/>
  <c r="BI1546" i="115" s="1"/>
  <c r="DB29" i="117"/>
  <c r="BI1130" i="115"/>
  <c r="BI1137" i="115" s="1"/>
  <c r="BN55" i="117"/>
  <c r="BN81" i="117" s="1"/>
  <c r="AH74" i="111"/>
  <c r="BN1524" i="115"/>
  <c r="BN1526" i="115"/>
  <c r="BN1549" i="115"/>
  <c r="DG17" i="117"/>
  <c r="BN1217" i="115"/>
  <c r="BT94" i="117"/>
  <c r="BT80" i="117" s="1"/>
  <c r="BY399" i="115"/>
  <c r="BY1314" i="115" s="1"/>
  <c r="BY1316" i="115" s="1"/>
  <c r="BY1320" i="115" s="1"/>
  <c r="BQ76" i="117"/>
  <c r="BP81" i="117"/>
  <c r="BJ1549" i="115"/>
  <c r="BJ1526" i="115"/>
  <c r="BJ1524" i="115"/>
  <c r="BJ16" i="117"/>
  <c r="BJ65" i="117"/>
  <c r="BR11" i="117"/>
  <c r="BV1217" i="115"/>
  <c r="BN220" i="117"/>
  <c r="BN229" i="117" s="1"/>
  <c r="BJ1217" i="115"/>
  <c r="DC17" i="117"/>
  <c r="H87" i="123"/>
  <c r="H140" i="123"/>
  <c r="L44" i="123"/>
  <c r="DO17" i="117"/>
  <c r="BJ52" i="117"/>
  <c r="BJ77" i="117" s="1"/>
  <c r="BJ78" i="117"/>
  <c r="BJ56" i="117"/>
  <c r="BJ84" i="117" s="1"/>
  <c r="AB10" i="123"/>
  <c r="AD8" i="111"/>
  <c r="AD11" i="111" s="1"/>
  <c r="AD12" i="111"/>
  <c r="CC1073" i="115"/>
  <c r="CC1077" i="115" s="1"/>
  <c r="P87" i="123"/>
  <c r="P44" i="123"/>
  <c r="CK1130" i="115"/>
  <c r="CK1137" i="115" s="1"/>
  <c r="CC396" i="115"/>
  <c r="DM8" i="117"/>
  <c r="DM9" i="117"/>
  <c r="CX1463" i="115"/>
  <c r="CX1462" i="115" s="1"/>
  <c r="BR51" i="117"/>
  <c r="CY149" i="115"/>
  <c r="L10" i="111" s="1"/>
  <c r="CF404" i="115"/>
  <c r="CF406" i="115" s="1"/>
  <c r="CH402" i="115"/>
  <c r="CH404" i="115" s="1"/>
  <c r="AB6" i="123"/>
  <c r="EI68" i="117"/>
  <c r="CC1217" i="115"/>
  <c r="CC1569" i="115"/>
  <c r="CG1569" i="115"/>
  <c r="BI56" i="117"/>
  <c r="BI84" i="117" s="1"/>
  <c r="EI64" i="117"/>
  <c r="AC84" i="111"/>
  <c r="CL1073" i="115"/>
  <c r="BZ399" i="115"/>
  <c r="BZ1314" i="115" s="1"/>
  <c r="BZ1316" i="115" s="1"/>
  <c r="CD1217" i="115"/>
  <c r="AE19" i="111"/>
  <c r="CU1436" i="115"/>
  <c r="BQ55" i="117"/>
  <c r="AW62" i="117"/>
  <c r="BA62" i="117"/>
  <c r="CB398" i="115"/>
  <c r="CB399" i="115" s="1"/>
  <c r="CB1314" i="115" s="1"/>
  <c r="CB1316" i="115" s="1"/>
  <c r="DV17" i="117"/>
  <c r="AD27" i="111"/>
  <c r="AD22" i="111"/>
  <c r="DQ754" i="115" l="1"/>
  <c r="DN692" i="115"/>
  <c r="DM663" i="115"/>
  <c r="DP669" i="115" s="1"/>
  <c r="P89" i="123"/>
  <c r="P90" i="123"/>
  <c r="L89" i="123"/>
  <c r="L90" i="123"/>
  <c r="T143" i="123"/>
  <c r="T144" i="123"/>
  <c r="X89" i="123"/>
  <c r="X90" i="123"/>
  <c r="DR691" i="115"/>
  <c r="DQ692" i="115"/>
  <c r="AJ57" i="111"/>
  <c r="EE9" i="117"/>
  <c r="AL18" i="111"/>
  <c r="AM18" i="111" s="1"/>
  <c r="AN18" i="111" s="1"/>
  <c r="AO18" i="111" s="1"/>
  <c r="AP18" i="111" s="1"/>
  <c r="AQ18" i="111" s="1"/>
  <c r="AR18" i="111" s="1"/>
  <c r="AS18" i="111" s="1"/>
  <c r="AJ18" i="111"/>
  <c r="CD36" i="117"/>
  <c r="AI57" i="111"/>
  <c r="CD23" i="117"/>
  <c r="CD242" i="117" s="1"/>
  <c r="AV35" i="123"/>
  <c r="AV133" i="123" s="1"/>
  <c r="DJ70" i="115"/>
  <c r="DQ1027" i="115"/>
  <c r="DP1077" i="115"/>
  <c r="DP36" i="115"/>
  <c r="BN649" i="115"/>
  <c r="BL649" i="115"/>
  <c r="BM649" i="115"/>
  <c r="DR1299" i="115"/>
  <c r="DS1299" i="115"/>
  <c r="DQ177" i="115"/>
  <c r="DR177" i="115" s="1"/>
  <c r="DS177" i="115" s="1"/>
  <c r="DR367" i="115"/>
  <c r="DQ1269" i="115"/>
  <c r="DR282" i="115"/>
  <c r="DS282" i="115" s="1"/>
  <c r="DP295" i="115"/>
  <c r="DQ1394" i="115"/>
  <c r="DP1395" i="115"/>
  <c r="DQ80" i="115"/>
  <c r="DP294" i="115"/>
  <c r="DS691" i="115"/>
  <c r="DR754" i="115"/>
  <c r="DR698" i="115"/>
  <c r="DR692" i="115"/>
  <c r="DP280" i="115"/>
  <c r="DQ333" i="115"/>
  <c r="DN792" i="115"/>
  <c r="DN24" i="115" s="1"/>
  <c r="DN25" i="115" s="1"/>
  <c r="AJ50" i="111" s="1"/>
  <c r="DP792" i="115"/>
  <c r="DP155" i="115"/>
  <c r="DP1268" i="115"/>
  <c r="DM176" i="115"/>
  <c r="DN176" i="115" s="1"/>
  <c r="DO176" i="115" s="1"/>
  <c r="DP77" i="115"/>
  <c r="DQ615" i="115"/>
  <c r="DQ304" i="115"/>
  <c r="DQ294" i="115" s="1"/>
  <c r="DR79" i="115"/>
  <c r="DQ138" i="115"/>
  <c r="DS283" i="115"/>
  <c r="DQ152" i="115"/>
  <c r="DP1322" i="115"/>
  <c r="DP1323" i="115" s="1"/>
  <c r="DP1292" i="115" s="1"/>
  <c r="DR336" i="115"/>
  <c r="DS336" i="115" s="1"/>
  <c r="DP1461" i="115"/>
  <c r="DP1434" i="115" s="1"/>
  <c r="DR308" i="115"/>
  <c r="DR307" i="115"/>
  <c r="DI191" i="115"/>
  <c r="DJ180" i="115"/>
  <c r="DK180" i="115" s="1"/>
  <c r="DL191" i="115"/>
  <c r="DL358" i="115"/>
  <c r="DJ324" i="115"/>
  <c r="DI329" i="115"/>
  <c r="DL321" i="115"/>
  <c r="DL324" i="115"/>
  <c r="DM116" i="115"/>
  <c r="DN77" i="115"/>
  <c r="FC83" i="117"/>
  <c r="DM331" i="115"/>
  <c r="DM323" i="115" s="1"/>
  <c r="DM350" i="115" s="1"/>
  <c r="DM78" i="115"/>
  <c r="DN78" i="115" s="1"/>
  <c r="DI799" i="115"/>
  <c r="DI749" i="115"/>
  <c r="FG84" i="117"/>
  <c r="DI118" i="115"/>
  <c r="DH120" i="115"/>
  <c r="CG128" i="117"/>
  <c r="BA2" i="111"/>
  <c r="AZ5" i="111"/>
  <c r="DN70" i="115"/>
  <c r="DG310" i="115"/>
  <c r="DN1269" i="115"/>
  <c r="DN1322" i="115"/>
  <c r="CH36" i="117"/>
  <c r="CH23" i="117"/>
  <c r="CH242" i="117" s="1"/>
  <c r="AZ35" i="123"/>
  <c r="CF15" i="117"/>
  <c r="DL1397" i="115"/>
  <c r="DL1304" i="115" s="1"/>
  <c r="DL1398" i="115"/>
  <c r="DL1305" i="115"/>
  <c r="BB44" i="117"/>
  <c r="BB46" i="117"/>
  <c r="DL291" i="115"/>
  <c r="DL285" i="115"/>
  <c r="DN1394" i="115"/>
  <c r="DN1395" i="115" s="1"/>
  <c r="DN1398" i="115" s="1"/>
  <c r="DM1395" i="115"/>
  <c r="DL1414" i="115"/>
  <c r="DM793" i="115"/>
  <c r="DM24" i="115"/>
  <c r="DM25" i="115" s="1"/>
  <c r="DN1268" i="115"/>
  <c r="DL908" i="115"/>
  <c r="DL1006" i="115"/>
  <c r="DN1434" i="115"/>
  <c r="DM1432" i="115"/>
  <c r="DM1433" i="115"/>
  <c r="DL53" i="115"/>
  <c r="DN155" i="115"/>
  <c r="DM669" i="115"/>
  <c r="DN663" i="115"/>
  <c r="DL297" i="115"/>
  <c r="DM310" i="115"/>
  <c r="DP310" i="115" s="1"/>
  <c r="DP311" i="115" s="1"/>
  <c r="DL311" i="115"/>
  <c r="DN295" i="115"/>
  <c r="DM301" i="115"/>
  <c r="DM284" i="115"/>
  <c r="DN280" i="115"/>
  <c r="DN333" i="115"/>
  <c r="DN1323" i="115"/>
  <c r="DM1292" i="115"/>
  <c r="DL662" i="115"/>
  <c r="DM386" i="115"/>
  <c r="DP386" i="115" s="1"/>
  <c r="DO282" i="115"/>
  <c r="DN615" i="115"/>
  <c r="DN1461" i="115"/>
  <c r="DM300" i="115"/>
  <c r="DN294" i="115"/>
  <c r="DL799" i="115"/>
  <c r="DM1213" i="115"/>
  <c r="DP1213" i="115" s="1"/>
  <c r="DN699" i="115"/>
  <c r="DO692" i="115"/>
  <c r="DJ1413" i="115"/>
  <c r="DJ1465" i="115" s="1"/>
  <c r="DI1414" i="115"/>
  <c r="DJ1464" i="115"/>
  <c r="DJ1324" i="115"/>
  <c r="X141" i="123"/>
  <c r="DF76" i="117"/>
  <c r="DE79" i="117"/>
  <c r="DI1369" i="115"/>
  <c r="DK1292" i="115"/>
  <c r="DJ1292" i="115"/>
  <c r="DG79" i="117"/>
  <c r="DF79" i="117"/>
  <c r="DE76" i="117"/>
  <c r="DG76" i="117"/>
  <c r="CC128" i="117"/>
  <c r="AC85" i="123"/>
  <c r="V90" i="111"/>
  <c r="BJ1078" i="115"/>
  <c r="CC15" i="117"/>
  <c r="CB10" i="117"/>
  <c r="CX1443" i="115"/>
  <c r="AJ102" i="123"/>
  <c r="AN103" i="123" s="1"/>
  <c r="AJ49" i="123"/>
  <c r="AN50" i="123" s="1"/>
  <c r="AJ5" i="123"/>
  <c r="DK692" i="115"/>
  <c r="DJ699" i="115"/>
  <c r="DI1397" i="115"/>
  <c r="DI1305" i="115"/>
  <c r="DJ1305" i="115" s="1"/>
  <c r="DI1398" i="115"/>
  <c r="DI297" i="115"/>
  <c r="DJ310" i="115"/>
  <c r="DI311" i="115"/>
  <c r="DI909" i="115"/>
  <c r="DJ908" i="115"/>
  <c r="DI911" i="115"/>
  <c r="DJ24" i="115"/>
  <c r="DJ25" i="115" s="1"/>
  <c r="AI50" i="111" s="1"/>
  <c r="AI74" i="111" s="1"/>
  <c r="DJ793" i="115"/>
  <c r="DJ749" i="115" s="1"/>
  <c r="DJ663" i="115"/>
  <c r="DI669" i="115"/>
  <c r="DI16" i="115"/>
  <c r="DJ662" i="115"/>
  <c r="DI15" i="115"/>
  <c r="DH356" i="115"/>
  <c r="DK333" i="115"/>
  <c r="DI53" i="115"/>
  <c r="DJ615" i="115"/>
  <c r="DH318" i="115"/>
  <c r="DH312" i="115"/>
  <c r="DI334" i="115"/>
  <c r="DL334" i="115" s="1"/>
  <c r="DH322" i="115"/>
  <c r="DH337" i="115"/>
  <c r="DH344" i="115" s="1"/>
  <c r="DJ321" i="115"/>
  <c r="DI327" i="115"/>
  <c r="DI348" i="115"/>
  <c r="DK284" i="115"/>
  <c r="DH1306" i="115"/>
  <c r="DH302" i="115"/>
  <c r="DH351" i="115"/>
  <c r="DH298" i="115"/>
  <c r="CX1415" i="115"/>
  <c r="CX1467" i="115" s="1"/>
  <c r="EE17" i="117"/>
  <c r="CL1217" i="115"/>
  <c r="CH1217" i="115"/>
  <c r="AB108" i="111"/>
  <c r="AB124" i="111" s="1"/>
  <c r="AB130" i="111" s="1"/>
  <c r="AB131" i="111" s="1"/>
  <c r="AC59" i="111"/>
  <c r="AC43" i="123"/>
  <c r="AC141" i="123" s="1"/>
  <c r="CT1326" i="115"/>
  <c r="CT1328" i="115" s="1"/>
  <c r="CV409" i="115"/>
  <c r="CX409" i="115" s="1"/>
  <c r="CX413" i="115" s="1"/>
  <c r="CZ409" i="115" s="1"/>
  <c r="AB90" i="111"/>
  <c r="AB110" i="111" s="1"/>
  <c r="CY119" i="115"/>
  <c r="DH140" i="115"/>
  <c r="DG334" i="115"/>
  <c r="DG109" i="115"/>
  <c r="BY10" i="117"/>
  <c r="DG662" i="115"/>
  <c r="DG663" i="115"/>
  <c r="BZ128" i="117"/>
  <c r="BU51" i="117"/>
  <c r="BU76" i="117" s="1"/>
  <c r="T44" i="123"/>
  <c r="T88" i="123" s="1"/>
  <c r="T87" i="123"/>
  <c r="T90" i="123" s="1"/>
  <c r="X44" i="123"/>
  <c r="X88" i="123" s="1"/>
  <c r="DG27" i="117"/>
  <c r="CR413" i="115"/>
  <c r="CS409" i="115" s="1"/>
  <c r="CS413" i="115" s="1"/>
  <c r="BM913" i="115"/>
  <c r="BM824" i="115"/>
  <c r="CQ1238" i="115"/>
  <c r="AC45" i="123" s="1"/>
  <c r="BZ11" i="117"/>
  <c r="BZ220" i="117" s="1"/>
  <c r="CO413" i="115"/>
  <c r="CY111" i="115"/>
  <c r="AB7" i="123"/>
  <c r="AB51" i="123"/>
  <c r="AB52" i="123" s="1"/>
  <c r="AB55" i="123"/>
  <c r="AB108" i="123"/>
  <c r="AB104" i="123"/>
  <c r="AB114" i="123"/>
  <c r="AB61" i="123"/>
  <c r="AC90" i="111"/>
  <c r="AC110" i="111" s="1"/>
  <c r="AC111" i="111" s="1"/>
  <c r="AC112" i="111" s="1"/>
  <c r="CB1130" i="115"/>
  <c r="CB1137" i="115" s="1"/>
  <c r="CL1078" i="115"/>
  <c r="BY1318" i="115"/>
  <c r="BV1316" i="115"/>
  <c r="BV1318" i="115" s="1"/>
  <c r="BN1078" i="115"/>
  <c r="W90" i="111"/>
  <c r="BL1130" i="115"/>
  <c r="BL1137" i="115" s="1"/>
  <c r="BT1567" i="115"/>
  <c r="BP1568" i="115"/>
  <c r="BP45" i="115"/>
  <c r="AN71" i="117"/>
  <c r="BP1135" i="115"/>
  <c r="BP1144" i="115" s="1"/>
  <c r="AJ71" i="117"/>
  <c r="BP41" i="115"/>
  <c r="BP1227" i="115"/>
  <c r="BM815" i="115"/>
  <c r="BU1318" i="115"/>
  <c r="BU1320" i="115"/>
  <c r="BU1130" i="115"/>
  <c r="BU1137" i="115" s="1"/>
  <c r="Y84" i="111"/>
  <c r="Y90" i="111" s="1"/>
  <c r="BV1073" i="115"/>
  <c r="BV1078" i="115" s="1"/>
  <c r="BM632" i="115"/>
  <c r="DF8" i="117"/>
  <c r="DF9" i="117"/>
  <c r="L45" i="123"/>
  <c r="BZ1130" i="115"/>
  <c r="BZ1137" i="115" s="1"/>
  <c r="L154" i="123"/>
  <c r="L100" i="123"/>
  <c r="DG78" i="117"/>
  <c r="DF78" i="117"/>
  <c r="X73" i="111"/>
  <c r="X62" i="111"/>
  <c r="Y73" i="111"/>
  <c r="X55" i="111"/>
  <c r="X80" i="111" s="1"/>
  <c r="BW34" i="115"/>
  <c r="BV58" i="115"/>
  <c r="BR991" i="115"/>
  <c r="BR992" i="115" s="1"/>
  <c r="D32" i="123"/>
  <c r="BS34" i="115"/>
  <c r="BR37" i="115"/>
  <c r="BR58" i="115"/>
  <c r="BM657" i="115"/>
  <c r="BM659" i="115"/>
  <c r="DF77" i="117"/>
  <c r="DE29" i="117"/>
  <c r="BL1547" i="115"/>
  <c r="DE78" i="117"/>
  <c r="BL644" i="115"/>
  <c r="BL628" i="115"/>
  <c r="BL630" i="115" s="1"/>
  <c r="BN659" i="115"/>
  <c r="BN657" i="115"/>
  <c r="BR3" i="115"/>
  <c r="BT2" i="115"/>
  <c r="BM610" i="115"/>
  <c r="DF27" i="117"/>
  <c r="CN397" i="115"/>
  <c r="CN1326" i="115"/>
  <c r="CN1328" i="115" s="1"/>
  <c r="DE30" i="117"/>
  <c r="BL632" i="115"/>
  <c r="BL913" i="115"/>
  <c r="BL914" i="115"/>
  <c r="DB8" i="117"/>
  <c r="DB9" i="117"/>
  <c r="BM628" i="115"/>
  <c r="BM630" i="115" s="1"/>
  <c r="BM644" i="115"/>
  <c r="DF30" i="117"/>
  <c r="DE27" i="117"/>
  <c r="BL657" i="115"/>
  <c r="BL658" i="115" s="1"/>
  <c r="BL659" i="115"/>
  <c r="BL660" i="115" s="1"/>
  <c r="DE77" i="117"/>
  <c r="AH8" i="117"/>
  <c r="BN634" i="115"/>
  <c r="BN644" i="115"/>
  <c r="BN628" i="115"/>
  <c r="BN630" i="115" s="1"/>
  <c r="BQ43" i="115"/>
  <c r="BQ1564" i="115"/>
  <c r="BQ1566" i="115" s="1"/>
  <c r="BU60" i="115"/>
  <c r="BQ39" i="115"/>
  <c r="BQ60" i="115"/>
  <c r="H126" i="123"/>
  <c r="H150" i="123" s="1"/>
  <c r="H73" i="123"/>
  <c r="H96" i="123" s="1"/>
  <c r="BM1547" i="115"/>
  <c r="DF29" i="117"/>
  <c r="DG77" i="117"/>
  <c r="BN632" i="115"/>
  <c r="CK416" i="115"/>
  <c r="CL397" i="115"/>
  <c r="CL1315" i="115" s="1"/>
  <c r="CK1315" i="115"/>
  <c r="AG8" i="117"/>
  <c r="BM634" i="115"/>
  <c r="BM607" i="115"/>
  <c r="BM804" i="115"/>
  <c r="BL634" i="115"/>
  <c r="AF8" i="117"/>
  <c r="BL608" i="115"/>
  <c r="BL607" i="115"/>
  <c r="CY352" i="115"/>
  <c r="CU1294" i="115"/>
  <c r="DG30" i="117"/>
  <c r="DG29" i="117"/>
  <c r="BN1547" i="115"/>
  <c r="BN1130" i="115"/>
  <c r="BN1137" i="115" s="1"/>
  <c r="BU94" i="117"/>
  <c r="BU80" i="117" s="1"/>
  <c r="BV220" i="117"/>
  <c r="BR76" i="117"/>
  <c r="BQ81" i="117"/>
  <c r="EA8" i="117"/>
  <c r="T45" i="123"/>
  <c r="CH1130" i="115"/>
  <c r="CH1137" i="115" s="1"/>
  <c r="H143" i="123"/>
  <c r="H154" i="123"/>
  <c r="BJ1130" i="115"/>
  <c r="BJ1137" i="115" s="1"/>
  <c r="H89" i="123"/>
  <c r="H100" i="123"/>
  <c r="BR220" i="117"/>
  <c r="DC29" i="117"/>
  <c r="DC28" i="117" s="1"/>
  <c r="BJ1547" i="115"/>
  <c r="BJ1546" i="115" s="1"/>
  <c r="DC30" i="117"/>
  <c r="L142" i="123"/>
  <c r="L88" i="123"/>
  <c r="H45" i="123"/>
  <c r="BV1130" i="115"/>
  <c r="BV1137" i="115" s="1"/>
  <c r="CA1238" i="115"/>
  <c r="X100" i="123"/>
  <c r="AC131" i="111"/>
  <c r="G34" i="111"/>
  <c r="X45" i="123"/>
  <c r="CM1238" i="115"/>
  <c r="CL1130" i="115"/>
  <c r="CL1137" i="115" s="1"/>
  <c r="AB12" i="123"/>
  <c r="BJ57" i="117"/>
  <c r="CB1318" i="115"/>
  <c r="CB1320" i="115"/>
  <c r="CG402" i="115"/>
  <c r="CG404" i="115" s="1"/>
  <c r="CG406" i="115" s="1"/>
  <c r="CF396" i="115"/>
  <c r="EI57" i="117"/>
  <c r="CD1130" i="115"/>
  <c r="CD1137" i="115" s="1"/>
  <c r="P45" i="123"/>
  <c r="CE1238" i="115"/>
  <c r="CI1238" i="115"/>
  <c r="P100" i="123"/>
  <c r="BZ1320" i="115"/>
  <c r="BZ1318" i="115"/>
  <c r="AB11" i="123"/>
  <c r="CC1130" i="115"/>
  <c r="CC1137" i="115" s="1"/>
  <c r="EI69" i="117"/>
  <c r="CD396" i="115"/>
  <c r="CC398" i="115"/>
  <c r="CD398" i="115" s="1"/>
  <c r="BH57" i="117"/>
  <c r="CJ402" i="115"/>
  <c r="AE30" i="111"/>
  <c r="CU1416" i="115"/>
  <c r="P88" i="123"/>
  <c r="P142" i="123"/>
  <c r="DM16" i="115" l="1"/>
  <c r="AC143" i="123"/>
  <c r="AC144" i="123"/>
  <c r="X143" i="123"/>
  <c r="X144" i="123"/>
  <c r="DQ663" i="115"/>
  <c r="CK128" i="117" s="1"/>
  <c r="DQ696" i="115"/>
  <c r="DQ699" i="115"/>
  <c r="AJ74" i="111"/>
  <c r="DQ155" i="115"/>
  <c r="AV80" i="123"/>
  <c r="DR1027" i="115"/>
  <c r="DQ1077" i="115"/>
  <c r="DR1077" i="115" s="1"/>
  <c r="AK89" i="111" s="1"/>
  <c r="DQ36" i="115"/>
  <c r="DP70" i="115"/>
  <c r="CJ23" i="117"/>
  <c r="CJ242" i="117" s="1"/>
  <c r="CJ36" i="117"/>
  <c r="BM650" i="115"/>
  <c r="BL645" i="115"/>
  <c r="BL650" i="115"/>
  <c r="DN793" i="115"/>
  <c r="DN749" i="115" s="1"/>
  <c r="DQ188" i="115"/>
  <c r="DR138" i="115"/>
  <c r="DP300" i="115"/>
  <c r="DR1269" i="115"/>
  <c r="DR80" i="115"/>
  <c r="DP176" i="115"/>
  <c r="DP187" i="115" s="1"/>
  <c r="DP301" i="115"/>
  <c r="DL327" i="115"/>
  <c r="DM178" i="115"/>
  <c r="DN178" i="115" s="1"/>
  <c r="DO178" i="115" s="1"/>
  <c r="DL348" i="115"/>
  <c r="DQ295" i="115"/>
  <c r="DL329" i="115"/>
  <c r="DP1369" i="115"/>
  <c r="DM187" i="115"/>
  <c r="DQ296" i="115"/>
  <c r="DR615" i="115"/>
  <c r="DR699" i="115"/>
  <c r="DS692" i="115"/>
  <c r="DR663" i="115"/>
  <c r="DQ16" i="115"/>
  <c r="DQ669" i="115"/>
  <c r="DP1432" i="115"/>
  <c r="DP1412" i="115" s="1"/>
  <c r="DP1433" i="115"/>
  <c r="DP1413" i="115" s="1"/>
  <c r="DQ132" i="115"/>
  <c r="DP1305" i="115"/>
  <c r="DP1398" i="115"/>
  <c r="DP1397" i="115"/>
  <c r="DP1304" i="115" s="1"/>
  <c r="DP312" i="115"/>
  <c r="DR1394" i="115"/>
  <c r="DR1395" i="115" s="1"/>
  <c r="DR1398" i="115" s="1"/>
  <c r="DQ1395" i="115"/>
  <c r="DQ1213" i="115"/>
  <c r="DQ386" i="115"/>
  <c r="DQ310" i="115"/>
  <c r="DP297" i="115"/>
  <c r="DS307" i="115"/>
  <c r="DR294" i="115"/>
  <c r="DQ300" i="115"/>
  <c r="DS308" i="115"/>
  <c r="DQ1461" i="115"/>
  <c r="DQ1434" i="115" s="1"/>
  <c r="DQ1322" i="115"/>
  <c r="DQ1323" i="115" s="1"/>
  <c r="DR152" i="115"/>
  <c r="DP78" i="115"/>
  <c r="DP331" i="115"/>
  <c r="DQ77" i="115"/>
  <c r="DP116" i="115"/>
  <c r="DP110" i="115" s="1"/>
  <c r="DQ1268" i="115"/>
  <c r="DP24" i="115"/>
  <c r="DP25" i="115" s="1"/>
  <c r="DP793" i="115"/>
  <c r="DQ792" i="115"/>
  <c r="DR792" i="115" s="1"/>
  <c r="DR333" i="115"/>
  <c r="DQ280" i="115"/>
  <c r="DP284" i="115"/>
  <c r="FG83" i="117"/>
  <c r="DN116" i="115"/>
  <c r="DM324" i="115"/>
  <c r="DM321" i="115"/>
  <c r="DN323" i="115"/>
  <c r="DM799" i="115"/>
  <c r="DM749" i="115"/>
  <c r="DI140" i="115"/>
  <c r="DH142" i="115"/>
  <c r="DL118" i="115"/>
  <c r="DJ118" i="115"/>
  <c r="DK118" i="115" s="1"/>
  <c r="DI120" i="115"/>
  <c r="BF62" i="117"/>
  <c r="EA9" i="117"/>
  <c r="DN1324" i="115"/>
  <c r="CH128" i="117"/>
  <c r="DB409" i="115"/>
  <c r="DB413" i="115" s="1"/>
  <c r="CZ413" i="115"/>
  <c r="BB2" i="111"/>
  <c r="BA5" i="111"/>
  <c r="DG311" i="115"/>
  <c r="DJ311" i="115"/>
  <c r="DK311" i="115" s="1"/>
  <c r="DK310" i="115"/>
  <c r="DN1213" i="115"/>
  <c r="DM1006" i="115"/>
  <c r="DM358" i="115"/>
  <c r="DN16" i="115"/>
  <c r="CG11" i="117"/>
  <c r="AZ133" i="123"/>
  <c r="AZ80" i="123"/>
  <c r="CH15" i="117"/>
  <c r="CH223" i="117" s="1"/>
  <c r="CG15" i="117"/>
  <c r="DL1306" i="115"/>
  <c r="DN1442" i="115"/>
  <c r="DM662" i="115"/>
  <c r="DL15" i="115"/>
  <c r="DM291" i="115"/>
  <c r="DM285" i="115"/>
  <c r="DL318" i="115"/>
  <c r="DL312" i="115"/>
  <c r="DM53" i="115"/>
  <c r="DL322" i="115"/>
  <c r="DM334" i="115"/>
  <c r="DP334" i="115" s="1"/>
  <c r="DP337" i="115" s="1"/>
  <c r="DL337" i="115"/>
  <c r="DO25" i="115"/>
  <c r="DN53" i="115"/>
  <c r="DO333" i="115"/>
  <c r="DN310" i="115"/>
  <c r="DM297" i="115"/>
  <c r="DM311" i="115"/>
  <c r="DP318" i="115" s="1"/>
  <c r="DM1413" i="115"/>
  <c r="DN1413" i="115" s="1"/>
  <c r="DN1433" i="115"/>
  <c r="DM1369" i="115"/>
  <c r="DO1292" i="115"/>
  <c r="DN1292" i="115"/>
  <c r="DN284" i="115"/>
  <c r="DO280" i="115"/>
  <c r="DL302" i="115"/>
  <c r="DL351" i="115"/>
  <c r="DL298" i="115"/>
  <c r="DO663" i="115"/>
  <c r="DN1432" i="115"/>
  <c r="DN1440" i="115" s="1"/>
  <c r="DN1441" i="115" s="1"/>
  <c r="DM1412" i="115"/>
  <c r="DL1466" i="115"/>
  <c r="DL911" i="115"/>
  <c r="DM908" i="115"/>
  <c r="DL909" i="115"/>
  <c r="DM1398" i="115"/>
  <c r="DM1397" i="115"/>
  <c r="DM1305" i="115"/>
  <c r="DN1305" i="115" s="1"/>
  <c r="CX1326" i="115"/>
  <c r="CX1328" i="115" s="1"/>
  <c r="DK662" i="115"/>
  <c r="DJ911" i="115"/>
  <c r="CD15" i="117"/>
  <c r="CD223" i="117" s="1"/>
  <c r="CC10" i="117"/>
  <c r="DJ16" i="115"/>
  <c r="CC11" i="117"/>
  <c r="DK663" i="115"/>
  <c r="CD128" i="117"/>
  <c r="AJ50" i="123"/>
  <c r="AV49" i="123"/>
  <c r="AZ49" i="123" s="1"/>
  <c r="BD49" i="123" s="1"/>
  <c r="AJ103" i="123"/>
  <c r="AV102" i="123"/>
  <c r="AZ102" i="123" s="1"/>
  <c r="BD102" i="123" s="1"/>
  <c r="DH109" i="115"/>
  <c r="DG140" i="115"/>
  <c r="DH303" i="115"/>
  <c r="DI356" i="115"/>
  <c r="DH359" i="115"/>
  <c r="DH338" i="115"/>
  <c r="DJ15" i="115"/>
  <c r="DI318" i="115"/>
  <c r="DI312" i="115"/>
  <c r="DJ1397" i="115"/>
  <c r="DI1304" i="115"/>
  <c r="DH328" i="115"/>
  <c r="DH349" i="115"/>
  <c r="DH325" i="115"/>
  <c r="DJ348" i="115"/>
  <c r="DJ334" i="115"/>
  <c r="DI322" i="115"/>
  <c r="DI337" i="115"/>
  <c r="DI344" i="115" s="1"/>
  <c r="DK25" i="115"/>
  <c r="DJ53" i="115"/>
  <c r="DJ297" i="115"/>
  <c r="DI302" i="115"/>
  <c r="DI351" i="115"/>
  <c r="DI298" i="115"/>
  <c r="AB111" i="111"/>
  <c r="AB112" i="111" s="1"/>
  <c r="AC154" i="123"/>
  <c r="AC87" i="123"/>
  <c r="AC44" i="123"/>
  <c r="AC88" i="123" s="1"/>
  <c r="CV413" i="115"/>
  <c r="CW409" i="115" s="1"/>
  <c r="BX94" i="117"/>
  <c r="DG131" i="115"/>
  <c r="T142" i="123"/>
  <c r="X142" i="123"/>
  <c r="DG118" i="115"/>
  <c r="CS397" i="115"/>
  <c r="CS1326" i="115"/>
  <c r="CS1328" i="115" s="1"/>
  <c r="BZ229" i="117"/>
  <c r="BX51" i="117"/>
  <c r="BP1244" i="115"/>
  <c r="BZ10" i="117"/>
  <c r="BZ219" i="117" s="1"/>
  <c r="T100" i="123"/>
  <c r="T89" i="123"/>
  <c r="DG28" i="117"/>
  <c r="CR397" i="115"/>
  <c r="CR1326" i="115"/>
  <c r="CR1328" i="115" s="1"/>
  <c r="BH85" i="117"/>
  <c r="BV51" i="117"/>
  <c r="BV76" i="117" s="1"/>
  <c r="CO397" i="115"/>
  <c r="CO1315" i="115" s="1"/>
  <c r="CO1326" i="115"/>
  <c r="CO1328" i="115" s="1"/>
  <c r="BX55" i="117"/>
  <c r="AB56" i="123"/>
  <c r="AB57" i="123" s="1"/>
  <c r="AB109" i="123"/>
  <c r="AB110" i="123" s="1"/>
  <c r="AB105" i="123"/>
  <c r="BM631" i="115"/>
  <c r="BV1320" i="115"/>
  <c r="DE8" i="117"/>
  <c r="DE9" i="117"/>
  <c r="BP1223" i="115"/>
  <c r="BP1225" i="115" s="1"/>
  <c r="BP1072" i="115"/>
  <c r="BT1569" i="115"/>
  <c r="BP1136" i="115"/>
  <c r="BP1139" i="115"/>
  <c r="BP1138" i="115"/>
  <c r="BP1216" i="115"/>
  <c r="BP1238" i="115" s="1"/>
  <c r="BP1523" i="115"/>
  <c r="AJ29" i="117"/>
  <c r="AJ28" i="117" s="1"/>
  <c r="BM645" i="115"/>
  <c r="DN9" i="117"/>
  <c r="DN8" i="117"/>
  <c r="DS8" i="117"/>
  <c r="BN631" i="115"/>
  <c r="BM1546" i="115"/>
  <c r="AO71" i="117"/>
  <c r="BQ41" i="115"/>
  <c r="BQ1135" i="115"/>
  <c r="BQ1144" i="115" s="1"/>
  <c r="BQ1227" i="115"/>
  <c r="AK71" i="117"/>
  <c r="BQ1568" i="115"/>
  <c r="BN633" i="115"/>
  <c r="BP4" i="115"/>
  <c r="BP1527" i="115" s="1"/>
  <c r="BR4" i="115"/>
  <c r="BR1527" i="115" s="1"/>
  <c r="BQ4" i="115"/>
  <c r="BQ1527" i="115" s="1"/>
  <c r="D130" i="123"/>
  <c r="D34" i="123"/>
  <c r="D77" i="123"/>
  <c r="DF31" i="117"/>
  <c r="BL631" i="115"/>
  <c r="BQ45" i="115"/>
  <c r="DG31" i="117"/>
  <c r="BL1546" i="115"/>
  <c r="DE31" i="117"/>
  <c r="BS37" i="115"/>
  <c r="D36" i="123"/>
  <c r="BW37" i="115"/>
  <c r="BR39" i="115"/>
  <c r="BR43" i="115"/>
  <c r="BR1564" i="115"/>
  <c r="BR1566" i="115" s="1"/>
  <c r="X58" i="111"/>
  <c r="BV60" i="115"/>
  <c r="BR60" i="115"/>
  <c r="BM660" i="115"/>
  <c r="BL633" i="115"/>
  <c r="BM633" i="115"/>
  <c r="CN1315" i="115"/>
  <c r="CN416" i="115"/>
  <c r="BT3" i="115"/>
  <c r="BU2" i="115"/>
  <c r="BM658" i="115"/>
  <c r="BR55" i="117"/>
  <c r="BR81" i="117" s="1"/>
  <c r="BI57" i="117"/>
  <c r="DG9" i="117"/>
  <c r="DG8" i="117"/>
  <c r="BN1546" i="115"/>
  <c r="BT55" i="117"/>
  <c r="BT81" i="117" s="1"/>
  <c r="BV94" i="117"/>
  <c r="BV80" i="117" s="1"/>
  <c r="BR229" i="117"/>
  <c r="BV229" i="117"/>
  <c r="H46" i="123"/>
  <c r="DC9" i="117"/>
  <c r="DC8" i="117"/>
  <c r="DO8" i="117"/>
  <c r="DO9" i="117"/>
  <c r="EE8" i="117"/>
  <c r="BH83" i="117"/>
  <c r="BH249" i="117"/>
  <c r="BJ83" i="117"/>
  <c r="BJ249" i="117"/>
  <c r="CJ404" i="115"/>
  <c r="CJ406" i="115" s="1"/>
  <c r="CL402" i="115"/>
  <c r="CL404" i="115" s="1"/>
  <c r="CN402" i="115" s="1"/>
  <c r="CD399" i="115"/>
  <c r="CD1314" i="115" s="1"/>
  <c r="CD1316" i="115" s="1"/>
  <c r="DW8" i="117"/>
  <c r="AE22" i="111"/>
  <c r="AE27" i="111"/>
  <c r="CC399" i="115"/>
  <c r="CC1314" i="115" s="1"/>
  <c r="CC1316" i="115" s="1"/>
  <c r="CF398" i="115"/>
  <c r="CF399" i="115" s="1"/>
  <c r="CF1314" i="115" s="1"/>
  <c r="CF1316" i="115" s="1"/>
  <c r="CG396" i="115"/>
  <c r="AC89" i="123" l="1"/>
  <c r="AC90" i="123"/>
  <c r="DR1213" i="115"/>
  <c r="CK11" i="117"/>
  <c r="DR36" i="115"/>
  <c r="CJ15" i="117"/>
  <c r="DR155" i="115"/>
  <c r="CK36" i="117"/>
  <c r="CK23" i="117"/>
  <c r="CK242" i="117" s="1"/>
  <c r="DQ70" i="115"/>
  <c r="DS663" i="115"/>
  <c r="CL128" i="117"/>
  <c r="FK84" i="117"/>
  <c r="DL356" i="115"/>
  <c r="DP178" i="115"/>
  <c r="DP189" i="115" s="1"/>
  <c r="DQ301" i="115"/>
  <c r="DP53" i="115"/>
  <c r="DP285" i="115"/>
  <c r="DQ176" i="115"/>
  <c r="DR176" i="115" s="1"/>
  <c r="DS176" i="115" s="1"/>
  <c r="DR1322" i="115"/>
  <c r="DM189" i="115"/>
  <c r="DM180" i="115"/>
  <c r="DN180" i="115" s="1"/>
  <c r="DO180" i="115" s="1"/>
  <c r="DR295" i="115"/>
  <c r="DQ78" i="115"/>
  <c r="DP1306" i="115"/>
  <c r="DQ1432" i="115"/>
  <c r="DQ1433" i="115"/>
  <c r="DR132" i="115"/>
  <c r="DQ136" i="115"/>
  <c r="DP302" i="115"/>
  <c r="DP298" i="115"/>
  <c r="DP1414" i="115"/>
  <c r="DP323" i="115"/>
  <c r="DP324" i="115"/>
  <c r="DP321" i="115"/>
  <c r="DR296" i="115"/>
  <c r="DR310" i="115"/>
  <c r="DQ311" i="115"/>
  <c r="DR16" i="115"/>
  <c r="DQ297" i="115"/>
  <c r="DQ1398" i="115"/>
  <c r="DQ1305" i="115"/>
  <c r="DR1305" i="115" s="1"/>
  <c r="DQ1397" i="115"/>
  <c r="DP908" i="115"/>
  <c r="DQ334" i="115"/>
  <c r="DQ337" i="115" s="1"/>
  <c r="DQ344" i="115" s="1"/>
  <c r="DP322" i="115"/>
  <c r="DP338" i="115"/>
  <c r="DP662" i="115"/>
  <c r="DP1006" i="115"/>
  <c r="DP291" i="115"/>
  <c r="DR280" i="115"/>
  <c r="DQ284" i="115"/>
  <c r="DS333" i="115"/>
  <c r="DR24" i="115"/>
  <c r="DR25" i="115" s="1"/>
  <c r="AK50" i="111" s="1"/>
  <c r="AK74" i="111" s="1"/>
  <c r="DR793" i="115"/>
  <c r="DR749" i="115" s="1"/>
  <c r="DQ793" i="115"/>
  <c r="DQ24" i="115"/>
  <c r="DQ25" i="115" s="1"/>
  <c r="DP749" i="115"/>
  <c r="DP799" i="115"/>
  <c r="DR1268" i="115"/>
  <c r="DR77" i="115"/>
  <c r="DQ116" i="115"/>
  <c r="DQ331" i="115"/>
  <c r="DR1323" i="115"/>
  <c r="DQ1292" i="115"/>
  <c r="DR1461" i="115"/>
  <c r="DR1434" i="115"/>
  <c r="DM329" i="115"/>
  <c r="DM327" i="115"/>
  <c r="DN324" i="115"/>
  <c r="DM348" i="115"/>
  <c r="DN350" i="115"/>
  <c r="DN321" i="115"/>
  <c r="DB1326" i="115"/>
  <c r="DB1328" i="115" s="1"/>
  <c r="DD409" i="115"/>
  <c r="DL120" i="115"/>
  <c r="DL124" i="115" s="1"/>
  <c r="DM118" i="115"/>
  <c r="DP118" i="115" s="1"/>
  <c r="DH124" i="115"/>
  <c r="DJ120" i="115"/>
  <c r="DI124" i="115"/>
  <c r="DJ140" i="115"/>
  <c r="DI142" i="115"/>
  <c r="DI146" i="115" s="1"/>
  <c r="BC2" i="111"/>
  <c r="BB5" i="111"/>
  <c r="CZ397" i="115"/>
  <c r="DA409" i="115"/>
  <c r="DJ312" i="115"/>
  <c r="DN311" i="115"/>
  <c r="DO311" i="115" s="1"/>
  <c r="DO310" i="115"/>
  <c r="CH11" i="117"/>
  <c r="CH220" i="117" s="1"/>
  <c r="CF10" i="117"/>
  <c r="CD232" i="117"/>
  <c r="CH232" i="117"/>
  <c r="DM911" i="115"/>
  <c r="DN908" i="115"/>
  <c r="DM909" i="115"/>
  <c r="DL303" i="115"/>
  <c r="DO284" i="115"/>
  <c r="DM318" i="115"/>
  <c r="DM312" i="115"/>
  <c r="DL344" i="115"/>
  <c r="AJ44" i="117"/>
  <c r="AN62" i="117" s="1"/>
  <c r="AJ46" i="117"/>
  <c r="DL109" i="115"/>
  <c r="DN1412" i="115"/>
  <c r="DN1464" i="115" s="1"/>
  <c r="DM1414" i="115"/>
  <c r="DL359" i="115"/>
  <c r="DM302" i="115"/>
  <c r="DN297" i="115"/>
  <c r="DM351" i="115"/>
  <c r="DM298" i="115"/>
  <c r="DL338" i="115"/>
  <c r="DN662" i="115"/>
  <c r="DM15" i="115"/>
  <c r="DM322" i="115"/>
  <c r="DN334" i="115"/>
  <c r="DM337" i="115"/>
  <c r="DM344" i="115" s="1"/>
  <c r="DM1304" i="115"/>
  <c r="DN1397" i="115"/>
  <c r="DN1465" i="115"/>
  <c r="DL328" i="115"/>
  <c r="DL349" i="115"/>
  <c r="DL325" i="115"/>
  <c r="CZ1326" i="115"/>
  <c r="CZ1328" i="115" s="1"/>
  <c r="CW413" i="115"/>
  <c r="CD10" i="117"/>
  <c r="CD11" i="117"/>
  <c r="CD220" i="117" s="1"/>
  <c r="DH330" i="115"/>
  <c r="DI359" i="115"/>
  <c r="BX80" i="117"/>
  <c r="BZ228" i="117"/>
  <c r="BX76" i="117"/>
  <c r="DH110" i="115"/>
  <c r="DH111" i="115" s="1"/>
  <c r="DH131" i="115"/>
  <c r="DJ351" i="115"/>
  <c r="DJ298" i="115"/>
  <c r="DI338" i="115"/>
  <c r="DI328" i="115"/>
  <c r="DJ322" i="115"/>
  <c r="DI349" i="115"/>
  <c r="DI325" i="115"/>
  <c r="DH357" i="115"/>
  <c r="DH113" i="115"/>
  <c r="DK334" i="115"/>
  <c r="DJ337" i="115"/>
  <c r="DK337" i="115" s="1"/>
  <c r="DH352" i="115"/>
  <c r="DI109" i="115"/>
  <c r="DI303" i="115"/>
  <c r="DJ1304" i="115"/>
  <c r="DJ1306" i="115" s="1"/>
  <c r="DI1306" i="115"/>
  <c r="AC100" i="123"/>
  <c r="AC142" i="123"/>
  <c r="CV397" i="115"/>
  <c r="CV1326" i="115"/>
  <c r="CV1328" i="115" s="1"/>
  <c r="DG110" i="115"/>
  <c r="BZ94" i="117"/>
  <c r="BY94" i="117"/>
  <c r="BY51" i="117"/>
  <c r="CS1315" i="115"/>
  <c r="CT397" i="115"/>
  <c r="CT1315" i="115" s="1"/>
  <c r="CS416" i="115"/>
  <c r="BX81" i="117"/>
  <c r="BQ1244" i="115"/>
  <c r="BP1242" i="115"/>
  <c r="D38" i="123"/>
  <c r="D136" i="123" s="1"/>
  <c r="H38" i="123"/>
  <c r="BP238" i="115"/>
  <c r="BP237" i="115"/>
  <c r="BQ238" i="115"/>
  <c r="BQ237" i="115"/>
  <c r="BR1525" i="115"/>
  <c r="BR238" i="115"/>
  <c r="BR237" i="115"/>
  <c r="CR1315" i="115"/>
  <c r="CR416" i="115"/>
  <c r="BI83" i="117"/>
  <c r="BI85" i="117"/>
  <c r="CP397" i="115"/>
  <c r="CP1315" i="115" s="1"/>
  <c r="CO416" i="115"/>
  <c r="CN404" i="115"/>
  <c r="CN406" i="115" s="1"/>
  <c r="CP402" i="115"/>
  <c r="CP404" i="115" s="1"/>
  <c r="CR402" i="115" s="1"/>
  <c r="DG352" i="115"/>
  <c r="BY55" i="117"/>
  <c r="DK141" i="115"/>
  <c r="DH146" i="115"/>
  <c r="BP1217" i="115"/>
  <c r="BP1073" i="115"/>
  <c r="BP1077" i="115" s="1"/>
  <c r="DI17" i="117"/>
  <c r="BR1568" i="115"/>
  <c r="BQ1523" i="115"/>
  <c r="BQ1545" i="115"/>
  <c r="AK29" i="117"/>
  <c r="AK28" i="117" s="1"/>
  <c r="BQ1216" i="115"/>
  <c r="BQ1238" i="115" s="1"/>
  <c r="BQ1543" i="115"/>
  <c r="BR45" i="115"/>
  <c r="D135" i="123"/>
  <c r="D153" i="123" s="1"/>
  <c r="D82" i="123"/>
  <c r="D99" i="123" s="1"/>
  <c r="D40" i="123"/>
  <c r="D42" i="123" s="1"/>
  <c r="BU1569" i="115"/>
  <c r="AP71" i="117"/>
  <c r="AL71" i="117"/>
  <c r="BR1227" i="115"/>
  <c r="BR41" i="115"/>
  <c r="BR1135" i="115"/>
  <c r="BR1144" i="115" s="1"/>
  <c r="BQ1537" i="115"/>
  <c r="BQ912" i="115"/>
  <c r="BQ1532" i="115"/>
  <c r="BQ606" i="115"/>
  <c r="BQ782" i="115" s="1"/>
  <c r="BQ803" i="115"/>
  <c r="BQ984" i="115"/>
  <c r="BQ1541" i="115"/>
  <c r="BQ903" i="115"/>
  <c r="BQ1539" i="115"/>
  <c r="BQ983" i="115"/>
  <c r="BQ978" i="115"/>
  <c r="BQ975" i="115"/>
  <c r="BQ222" i="115"/>
  <c r="BQ835" i="115"/>
  <c r="BQ609" i="115"/>
  <c r="BQ823" i="115"/>
  <c r="BQ415" i="115"/>
  <c r="BQ651" i="115"/>
  <c r="BQ982" i="115"/>
  <c r="BQ1542" i="115"/>
  <c r="BQ760" i="115"/>
  <c r="BQ648" i="115"/>
  <c r="BQ221" i="115"/>
  <c r="BQ656" i="115"/>
  <c r="BQ774" i="115"/>
  <c r="BQ1335" i="115"/>
  <c r="BQ813" i="115"/>
  <c r="BQ985" i="115"/>
  <c r="BQ1535" i="115"/>
  <c r="BQ976" i="115"/>
  <c r="BQ629" i="115"/>
  <c r="BQ986" i="115"/>
  <c r="BQ836" i="115"/>
  <c r="BQ977" i="115"/>
  <c r="BQ414" i="115"/>
  <c r="BQ974" i="115"/>
  <c r="BQ643" i="115"/>
  <c r="BQ1544" i="115"/>
  <c r="BQ1533" i="115"/>
  <c r="BQ1534" i="115"/>
  <c r="BQ1536" i="115"/>
  <c r="BQ1548" i="115"/>
  <c r="BQ1538" i="115"/>
  <c r="BQ1540" i="115"/>
  <c r="BQ1525" i="115"/>
  <c r="BR1535" i="115"/>
  <c r="BR609" i="115"/>
  <c r="BR643" i="115"/>
  <c r="BR813" i="115"/>
  <c r="BR414" i="115"/>
  <c r="BR222" i="115"/>
  <c r="BR984" i="115"/>
  <c r="BR760" i="115"/>
  <c r="BR975" i="115"/>
  <c r="BR1541" i="115"/>
  <c r="BR982" i="115"/>
  <c r="BR983" i="115"/>
  <c r="BR1537" i="115"/>
  <c r="BR1539" i="115"/>
  <c r="BR978" i="115"/>
  <c r="BR1544" i="115"/>
  <c r="BR774" i="115"/>
  <c r="BR974" i="115"/>
  <c r="BR221" i="115"/>
  <c r="BR912" i="115"/>
  <c r="BS912" i="115" s="1"/>
  <c r="BR1542" i="115"/>
  <c r="BR976" i="115"/>
  <c r="BR985" i="115"/>
  <c r="BR836" i="115"/>
  <c r="BR629" i="115"/>
  <c r="BR656" i="115"/>
  <c r="BR986" i="115"/>
  <c r="BR903" i="115"/>
  <c r="BR648" i="115"/>
  <c r="BR977" i="115"/>
  <c r="BR835" i="115"/>
  <c r="BR803" i="115"/>
  <c r="BR415" i="115"/>
  <c r="BR823" i="115"/>
  <c r="BR1335" i="115"/>
  <c r="BR651" i="115"/>
  <c r="BR1532" i="115"/>
  <c r="BR606" i="115"/>
  <c r="BR1533" i="115"/>
  <c r="BR1534" i="115"/>
  <c r="BR1536" i="115"/>
  <c r="BR1538" i="115"/>
  <c r="BR1548" i="115"/>
  <c r="BR1540" i="115"/>
  <c r="BQ1139" i="115"/>
  <c r="BQ1138" i="115"/>
  <c r="BQ1136" i="115"/>
  <c r="BU3" i="115"/>
  <c r="BV2" i="115"/>
  <c r="D79" i="123"/>
  <c r="D132" i="123"/>
  <c r="BP978" i="115"/>
  <c r="BP1535" i="115"/>
  <c r="BP1335" i="115"/>
  <c r="BP1537" i="115"/>
  <c r="BP1542" i="115"/>
  <c r="BP983" i="115"/>
  <c r="BP813" i="115"/>
  <c r="BP815" i="115" s="1"/>
  <c r="BP221" i="115"/>
  <c r="BP414" i="115"/>
  <c r="BP629" i="115"/>
  <c r="BP803" i="115"/>
  <c r="BP804" i="115" s="1"/>
  <c r="BP835" i="115"/>
  <c r="BP836" i="115"/>
  <c r="BP609" i="115"/>
  <c r="BP976" i="115"/>
  <c r="BP984" i="115"/>
  <c r="BP1534" i="115"/>
  <c r="BP1533" i="115"/>
  <c r="BP986" i="115"/>
  <c r="BP977" i="115"/>
  <c r="BP415" i="115"/>
  <c r="BP982" i="115"/>
  <c r="BP975" i="115"/>
  <c r="BP656" i="115"/>
  <c r="BP643" i="115"/>
  <c r="BP985" i="115"/>
  <c r="BP606" i="115"/>
  <c r="BP782" i="115" s="1"/>
  <c r="BP823" i="115"/>
  <c r="BP824" i="115" s="1"/>
  <c r="BP760" i="115"/>
  <c r="BP774" i="115"/>
  <c r="BP222" i="115"/>
  <c r="BP1532" i="115"/>
  <c r="BP974" i="115"/>
  <c r="BP1539" i="115"/>
  <c r="BP903" i="115"/>
  <c r="BP1541" i="115"/>
  <c r="BP651" i="115"/>
  <c r="BP912" i="115"/>
  <c r="BP648" i="115"/>
  <c r="BP1544" i="115"/>
  <c r="BP1536" i="115"/>
  <c r="BP1538" i="115"/>
  <c r="BP1548" i="115"/>
  <c r="BP1540" i="115"/>
  <c r="BP1525" i="115"/>
  <c r="BP1543" i="115"/>
  <c r="BP1545" i="115"/>
  <c r="BP1524" i="115"/>
  <c r="BP1549" i="115"/>
  <c r="BP1526" i="115"/>
  <c r="BQ1072" i="115"/>
  <c r="BQ1223" i="115"/>
  <c r="BQ1225" i="115" s="1"/>
  <c r="X71" i="111"/>
  <c r="X95" i="111"/>
  <c r="X70" i="111"/>
  <c r="X68" i="111"/>
  <c r="BI249" i="117"/>
  <c r="CY1351" i="115"/>
  <c r="BU55" i="117"/>
  <c r="BU81" i="117" s="1"/>
  <c r="CF1320" i="115"/>
  <c r="CF1318" i="115"/>
  <c r="CH396" i="115"/>
  <c r="CG398" i="115"/>
  <c r="CH398" i="115" s="1"/>
  <c r="CC1320" i="115"/>
  <c r="CC1318" i="115"/>
  <c r="CJ396" i="115"/>
  <c r="CK402" i="115"/>
  <c r="CK404" i="115" s="1"/>
  <c r="CK406" i="115" s="1"/>
  <c r="CD1318" i="115"/>
  <c r="CD1320" i="115"/>
  <c r="AL50" i="111" l="1"/>
  <c r="AM50" i="111" s="1"/>
  <c r="AN50" i="111" s="1"/>
  <c r="AO50" i="111" s="1"/>
  <c r="AP50" i="111" s="1"/>
  <c r="AQ50" i="111" s="1"/>
  <c r="AR50" i="111" s="1"/>
  <c r="AK57" i="111"/>
  <c r="AL57" i="111" s="1"/>
  <c r="AM57" i="111" s="1"/>
  <c r="AN57" i="111" s="1"/>
  <c r="AO57" i="111" s="1"/>
  <c r="AP57" i="111" s="1"/>
  <c r="AQ57" i="111" s="1"/>
  <c r="AR57" i="111" s="1"/>
  <c r="CL23" i="117"/>
  <c r="CL242" i="117" s="1"/>
  <c r="CL36" i="117"/>
  <c r="DD413" i="115"/>
  <c r="DE409" i="115" s="1"/>
  <c r="DF409" i="115"/>
  <c r="DF413" i="115" s="1"/>
  <c r="DF1326" i="115" s="1"/>
  <c r="DF1328" i="115" s="1"/>
  <c r="BD35" i="123"/>
  <c r="CL15" i="117"/>
  <c r="CL223" i="117" s="1"/>
  <c r="CL232" i="117" s="1"/>
  <c r="CL11" i="117"/>
  <c r="CL220" i="117" s="1"/>
  <c r="CL229" i="117" s="1"/>
  <c r="CK15" i="117"/>
  <c r="DR70" i="115"/>
  <c r="DP180" i="115"/>
  <c r="DP191" i="115" s="1"/>
  <c r="BP649" i="115"/>
  <c r="BQ649" i="115"/>
  <c r="BR649" i="115"/>
  <c r="DR1324" i="115"/>
  <c r="DQ187" i="115"/>
  <c r="DQ178" i="115"/>
  <c r="DQ189" i="115" s="1"/>
  <c r="DR1442" i="115"/>
  <c r="DQ285" i="115"/>
  <c r="DP350" i="115"/>
  <c r="DQ53" i="115"/>
  <c r="DQ1006" i="115"/>
  <c r="DR78" i="115"/>
  <c r="FK83" i="117" s="1"/>
  <c r="DM191" i="115"/>
  <c r="DR116" i="115"/>
  <c r="DQ298" i="115"/>
  <c r="DP329" i="115"/>
  <c r="DP303" i="115"/>
  <c r="DR1397" i="115"/>
  <c r="DQ1304" i="115"/>
  <c r="DP344" i="115"/>
  <c r="DQ323" i="115"/>
  <c r="DQ324" i="115"/>
  <c r="DQ321" i="115"/>
  <c r="DP351" i="115"/>
  <c r="DQ110" i="115"/>
  <c r="DQ318" i="115"/>
  <c r="DQ312" i="115"/>
  <c r="DP328" i="115"/>
  <c r="DP349" i="115"/>
  <c r="DQ302" i="115"/>
  <c r="DR297" i="115"/>
  <c r="DS310" i="115"/>
  <c r="DR311" i="115"/>
  <c r="DP1466" i="115"/>
  <c r="DQ1413" i="115"/>
  <c r="DR1413" i="115" s="1"/>
  <c r="DR1433" i="115"/>
  <c r="DP348" i="115"/>
  <c r="DP325" i="115"/>
  <c r="DP327" i="115"/>
  <c r="DR1432" i="115"/>
  <c r="DR1440" i="115" s="1"/>
  <c r="DR1441" i="115" s="1"/>
  <c r="DQ1412" i="115"/>
  <c r="DP109" i="115"/>
  <c r="DQ118" i="115"/>
  <c r="DP120" i="115"/>
  <c r="DR1292" i="115"/>
  <c r="DQ1369" i="115"/>
  <c r="DS1292" i="115"/>
  <c r="DQ799" i="115"/>
  <c r="DQ749" i="115"/>
  <c r="DS25" i="115"/>
  <c r="DR53" i="115"/>
  <c r="DQ291" i="115"/>
  <c r="DS280" i="115"/>
  <c r="DR284" i="115"/>
  <c r="DQ662" i="115"/>
  <c r="DP15" i="115"/>
  <c r="DR334" i="115"/>
  <c r="DQ322" i="115"/>
  <c r="DQ338" i="115"/>
  <c r="DP911" i="115"/>
  <c r="DP909" i="115"/>
  <c r="DQ908" i="115"/>
  <c r="DN348" i="115"/>
  <c r="DM356" i="115"/>
  <c r="DN118" i="115"/>
  <c r="DO118" i="115" s="1"/>
  <c r="DM120" i="115"/>
  <c r="DJ119" i="115"/>
  <c r="DK120" i="115"/>
  <c r="DL140" i="115"/>
  <c r="DK140" i="115"/>
  <c r="DJ142" i="115"/>
  <c r="AJ62" i="117"/>
  <c r="DO662" i="115"/>
  <c r="DN911" i="115"/>
  <c r="BD2" i="111"/>
  <c r="BC5" i="111"/>
  <c r="DA413" i="115"/>
  <c r="DN312" i="115"/>
  <c r="AH10" i="111"/>
  <c r="DM359" i="115"/>
  <c r="DN15" i="115"/>
  <c r="CG10" i="117"/>
  <c r="CD229" i="117"/>
  <c r="CH229" i="117"/>
  <c r="DL330" i="115"/>
  <c r="DN351" i="115"/>
  <c r="DN298" i="115"/>
  <c r="DN1414" i="115"/>
  <c r="DM1466" i="115"/>
  <c r="DL113" i="115"/>
  <c r="AK44" i="117"/>
  <c r="AO62" i="117" s="1"/>
  <c r="AK46" i="117"/>
  <c r="DL357" i="115"/>
  <c r="DM338" i="115"/>
  <c r="DO334" i="115"/>
  <c r="DN337" i="115"/>
  <c r="DO337" i="115" s="1"/>
  <c r="DM303" i="115"/>
  <c r="DN1304" i="115"/>
  <c r="DN1306" i="115" s="1"/>
  <c r="DM1306" i="115"/>
  <c r="DM328" i="115"/>
  <c r="DN322" i="115"/>
  <c r="DM349" i="115"/>
  <c r="DM325" i="115"/>
  <c r="DM109" i="115"/>
  <c r="DL352" i="115"/>
  <c r="CZ1315" i="115"/>
  <c r="DI79" i="117"/>
  <c r="DK79" i="117"/>
  <c r="DJ79" i="117"/>
  <c r="DI110" i="115"/>
  <c r="DJ110" i="115" s="1"/>
  <c r="CW397" i="115"/>
  <c r="CZ416" i="115" s="1"/>
  <c r="CW1326" i="115"/>
  <c r="CW1328" i="115" s="1"/>
  <c r="CD219" i="117"/>
  <c r="CB94" i="117"/>
  <c r="DI330" i="115"/>
  <c r="DH114" i="115"/>
  <c r="BY76" i="117"/>
  <c r="BZ80" i="117"/>
  <c r="BY80" i="117"/>
  <c r="DH115" i="115"/>
  <c r="DI357" i="115"/>
  <c r="DI131" i="115"/>
  <c r="DH1005" i="115"/>
  <c r="DH372" i="115"/>
  <c r="DH354" i="115"/>
  <c r="DH360" i="115"/>
  <c r="DH442" i="115"/>
  <c r="DH353" i="115"/>
  <c r="DH451" i="115"/>
  <c r="DJ349" i="115"/>
  <c r="DJ325" i="115"/>
  <c r="DI352" i="115"/>
  <c r="DI452" i="115" s="1"/>
  <c r="DH452" i="115"/>
  <c r="DH135" i="115"/>
  <c r="DJ109" i="115"/>
  <c r="DI113" i="115"/>
  <c r="DH132" i="115"/>
  <c r="DH149" i="115"/>
  <c r="DH453" i="115"/>
  <c r="BR782" i="115"/>
  <c r="BZ51" i="117"/>
  <c r="D83" i="123"/>
  <c r="CV1315" i="115"/>
  <c r="CV416" i="115"/>
  <c r="DG111" i="115"/>
  <c r="DG149" i="115"/>
  <c r="DG120" i="115"/>
  <c r="DG141" i="115"/>
  <c r="CR404" i="115"/>
  <c r="CT402" i="115"/>
  <c r="CT404" i="115" s="1"/>
  <c r="CV402" i="115" s="1"/>
  <c r="BQ1242" i="115"/>
  <c r="BY81" i="117"/>
  <c r="BR1244" i="115"/>
  <c r="H136" i="123"/>
  <c r="H83" i="123"/>
  <c r="CN396" i="115"/>
  <c r="CN398" i="115" s="1"/>
  <c r="CN399" i="115" s="1"/>
  <c r="CN1314" i="115" s="1"/>
  <c r="CN1316" i="115" s="1"/>
  <c r="CO402" i="115"/>
  <c r="CO404" i="115" s="1"/>
  <c r="BZ55" i="117"/>
  <c r="BR632" i="115"/>
  <c r="BP632" i="115"/>
  <c r="BP1130" i="115"/>
  <c r="BP1137" i="115" s="1"/>
  <c r="BP607" i="115"/>
  <c r="AJ8" i="117"/>
  <c r="BP608" i="115"/>
  <c r="BP634" i="115"/>
  <c r="DI77" i="117"/>
  <c r="DK76" i="117"/>
  <c r="BQ628" i="115"/>
  <c r="BQ630" i="115" s="1"/>
  <c r="BQ644" i="115"/>
  <c r="D85" i="123"/>
  <c r="D138" i="123"/>
  <c r="D43" i="123"/>
  <c r="BR1543" i="115"/>
  <c r="BR1523" i="115"/>
  <c r="BR1216" i="115"/>
  <c r="BR1238" i="115" s="1"/>
  <c r="BR1545" i="115"/>
  <c r="AL29" i="117"/>
  <c r="AL28" i="117" s="1"/>
  <c r="DI30" i="117"/>
  <c r="BP913" i="115"/>
  <c r="BP914" i="115"/>
  <c r="DI76" i="117"/>
  <c r="BP610" i="115"/>
  <c r="DJ77" i="117"/>
  <c r="BQ657" i="115"/>
  <c r="BQ659" i="115"/>
  <c r="BQ632" i="115"/>
  <c r="BW1135" i="115"/>
  <c r="BR1138" i="115"/>
  <c r="BR1139" i="115"/>
  <c r="BS1135" i="115"/>
  <c r="BR1136" i="115"/>
  <c r="BP628" i="115"/>
  <c r="BP630" i="115" s="1"/>
  <c r="BP644" i="115"/>
  <c r="DI78" i="117"/>
  <c r="DJ17" i="117"/>
  <c r="DK77" i="117"/>
  <c r="BQ804" i="115"/>
  <c r="BR1223" i="115"/>
  <c r="BR1225" i="115" s="1"/>
  <c r="X60" i="111"/>
  <c r="X59" i="111" s="1"/>
  <c r="BQ1217" i="115"/>
  <c r="DI29" i="117"/>
  <c r="BP1547" i="115"/>
  <c r="BP657" i="115"/>
  <c r="BP658" i="115" s="1"/>
  <c r="BP659" i="115"/>
  <c r="BP660" i="115" s="1"/>
  <c r="DK78" i="117"/>
  <c r="BR644" i="115"/>
  <c r="BR628" i="115"/>
  <c r="BR630" i="115" s="1"/>
  <c r="DJ76" i="117"/>
  <c r="BQ824" i="115"/>
  <c r="BQ607" i="115"/>
  <c r="BQ608" i="115"/>
  <c r="BQ634" i="115"/>
  <c r="AK8" i="117"/>
  <c r="DJ27" i="117"/>
  <c r="BV1569" i="115"/>
  <c r="X69" i="111"/>
  <c r="BQ1073" i="115"/>
  <c r="BQ1077" i="115" s="1"/>
  <c r="BR1077" i="115" s="1"/>
  <c r="X89" i="111" s="1"/>
  <c r="X99" i="111" s="1"/>
  <c r="BR1072" i="115"/>
  <c r="DI27" i="117"/>
  <c r="D13" i="123"/>
  <c r="BR634" i="115"/>
  <c r="BR608" i="115"/>
  <c r="AL8" i="117"/>
  <c r="BR657" i="115"/>
  <c r="BR659" i="115"/>
  <c r="BQ815" i="115"/>
  <c r="BQ610" i="115"/>
  <c r="BX2" i="115"/>
  <c r="BV3" i="115"/>
  <c r="DJ78" i="117"/>
  <c r="BQ913" i="115"/>
  <c r="BQ1524" i="115"/>
  <c r="BQ1526" i="115"/>
  <c r="BQ1549" i="115"/>
  <c r="CY1294" i="115"/>
  <c r="BV55" i="117"/>
  <c r="BV81" i="117" s="1"/>
  <c r="CK396" i="115"/>
  <c r="CH399" i="115"/>
  <c r="CH1314" i="115" s="1"/>
  <c r="CH1316" i="115" s="1"/>
  <c r="CJ398" i="115"/>
  <c r="CJ399" i="115" s="1"/>
  <c r="CJ1314" i="115" s="1"/>
  <c r="CJ1316" i="115" s="1"/>
  <c r="AD31" i="111"/>
  <c r="AD23" i="111" s="1"/>
  <c r="CG399" i="115"/>
  <c r="CG1314" i="115" s="1"/>
  <c r="CG1316" i="115" s="1"/>
  <c r="AR5" i="123" l="1"/>
  <c r="DD1326" i="115"/>
  <c r="DD1328" i="115" s="1"/>
  <c r="BD80" i="123"/>
  <c r="DD397" i="115"/>
  <c r="DD1315" i="115" s="1"/>
  <c r="BD133" i="123"/>
  <c r="DE413" i="115"/>
  <c r="BQ650" i="115"/>
  <c r="CJ10" i="117"/>
  <c r="DR178" i="115"/>
  <c r="DS178" i="115" s="1"/>
  <c r="DQ180" i="115"/>
  <c r="DR180" i="115" s="1"/>
  <c r="DS180" i="115" s="1"/>
  <c r="CJ94" i="117"/>
  <c r="BP645" i="115"/>
  <c r="BP650" i="115"/>
  <c r="DQ109" i="115"/>
  <c r="DQ113" i="115" s="1"/>
  <c r="DP358" i="115"/>
  <c r="DQ349" i="115"/>
  <c r="DS284" i="115"/>
  <c r="DP352" i="115"/>
  <c r="DP359" i="115"/>
  <c r="DQ303" i="115"/>
  <c r="DP124" i="115"/>
  <c r="DP330" i="115"/>
  <c r="DP357" i="115"/>
  <c r="DP356" i="115"/>
  <c r="DQ325" i="115"/>
  <c r="DQ348" i="115"/>
  <c r="DR321" i="115"/>
  <c r="DQ327" i="115"/>
  <c r="DR1465" i="115"/>
  <c r="DS311" i="115"/>
  <c r="DR312" i="115"/>
  <c r="DR324" i="115"/>
  <c r="DQ329" i="115"/>
  <c r="DR323" i="115"/>
  <c r="DQ350" i="115"/>
  <c r="DS334" i="115"/>
  <c r="DR337" i="115"/>
  <c r="DS337" i="115" s="1"/>
  <c r="DQ1414" i="115"/>
  <c r="DR1412" i="115"/>
  <c r="DR1464" i="115" s="1"/>
  <c r="DR298" i="115"/>
  <c r="DR1304" i="115"/>
  <c r="DR1306" i="115" s="1"/>
  <c r="DQ1306" i="115"/>
  <c r="DQ351" i="115"/>
  <c r="DQ114" i="115"/>
  <c r="DR110" i="115"/>
  <c r="DQ911" i="115"/>
  <c r="DQ909" i="115"/>
  <c r="DR908" i="115"/>
  <c r="DQ328" i="115"/>
  <c r="DR322" i="115"/>
  <c r="DQ15" i="115"/>
  <c r="DR662" i="115"/>
  <c r="DR118" i="115"/>
  <c r="DQ120" i="115"/>
  <c r="DP113" i="115"/>
  <c r="DP111" i="115"/>
  <c r="DK142" i="115"/>
  <c r="DK119" i="115"/>
  <c r="DN120" i="115"/>
  <c r="DM124" i="115"/>
  <c r="DM140" i="115"/>
  <c r="DL142" i="115"/>
  <c r="DL146" i="115" s="1"/>
  <c r="DA1326" i="115"/>
  <c r="DA1328" i="115" s="1"/>
  <c r="DA397" i="115"/>
  <c r="BE2" i="111"/>
  <c r="BD5" i="111"/>
  <c r="CC94" i="117"/>
  <c r="CC80" i="117" s="1"/>
  <c r="DL453" i="115"/>
  <c r="DM330" i="115"/>
  <c r="CH10" i="117"/>
  <c r="CH219" i="117" s="1"/>
  <c r="CD228" i="117"/>
  <c r="CB80" i="117"/>
  <c r="DM357" i="115"/>
  <c r="DN349" i="115"/>
  <c r="DN325" i="115"/>
  <c r="DL110" i="115"/>
  <c r="AK62" i="117"/>
  <c r="DM113" i="115"/>
  <c r="DN109" i="115"/>
  <c r="DM352" i="115"/>
  <c r="AL44" i="117"/>
  <c r="AP62" i="117" s="1"/>
  <c r="AL46" i="117"/>
  <c r="DL1005" i="115"/>
  <c r="DL442" i="115"/>
  <c r="DL372" i="115"/>
  <c r="DL354" i="115"/>
  <c r="DL360" i="115"/>
  <c r="DL353" i="115"/>
  <c r="DL451" i="115"/>
  <c r="DL452" i="115"/>
  <c r="DN1466" i="115"/>
  <c r="DI114" i="115"/>
  <c r="DI111" i="115"/>
  <c r="CV404" i="115"/>
  <c r="CW402" i="115" s="1"/>
  <c r="CW404" i="115" s="1"/>
  <c r="CW396" i="115" s="1"/>
  <c r="CX402" i="115"/>
  <c r="CX404" i="115" s="1"/>
  <c r="CZ402" i="115" s="1"/>
  <c r="CW416" i="115"/>
  <c r="CW1315" i="115"/>
  <c r="CX397" i="115"/>
  <c r="CX1315" i="115" s="1"/>
  <c r="DI149" i="115"/>
  <c r="DH136" i="115"/>
  <c r="DH133" i="115"/>
  <c r="DH137" i="115" s="1"/>
  <c r="CB55" i="117"/>
  <c r="CB51" i="117"/>
  <c r="DK110" i="115"/>
  <c r="DH1007" i="115"/>
  <c r="DJ352" i="115"/>
  <c r="DJ354" i="115" s="1"/>
  <c r="DI453" i="115"/>
  <c r="BZ76" i="117"/>
  <c r="DH1081" i="115"/>
  <c r="DI1005" i="115"/>
  <c r="DI360" i="115"/>
  <c r="DI442" i="115"/>
  <c r="DI353" i="115"/>
  <c r="DI372" i="115"/>
  <c r="DI354" i="115"/>
  <c r="DI451" i="115"/>
  <c r="DJ131" i="115"/>
  <c r="DI135" i="115"/>
  <c r="DJ111" i="115"/>
  <c r="DK109" i="115"/>
  <c r="DH1463" i="115"/>
  <c r="DH161" i="115"/>
  <c r="DH172" i="115"/>
  <c r="DI132" i="115"/>
  <c r="DG119" i="115"/>
  <c r="BP631" i="115"/>
  <c r="DG142" i="115"/>
  <c r="CR396" i="115"/>
  <c r="CR398" i="115" s="1"/>
  <c r="CR399" i="115" s="1"/>
  <c r="CR1314" i="115" s="1"/>
  <c r="CR1316" i="115" s="1"/>
  <c r="CS402" i="115"/>
  <c r="CS404" i="115" s="1"/>
  <c r="CS396" i="115" s="1"/>
  <c r="BR1242" i="115"/>
  <c r="BZ81" i="117"/>
  <c r="D14" i="123"/>
  <c r="D112" i="123" s="1"/>
  <c r="CO396" i="115"/>
  <c r="CP396" i="115" s="1"/>
  <c r="CO406" i="115"/>
  <c r="CN1318" i="115"/>
  <c r="CN1320" i="115"/>
  <c r="DG132" i="115"/>
  <c r="BR631" i="115"/>
  <c r="DI8" i="117"/>
  <c r="DI9" i="117"/>
  <c r="D58" i="123"/>
  <c r="D94" i="123" s="1"/>
  <c r="D111" i="123"/>
  <c r="D148" i="123" s="1"/>
  <c r="BR1073" i="115"/>
  <c r="BR1078" i="115" s="1"/>
  <c r="X84" i="111"/>
  <c r="X90" i="111" s="1"/>
  <c r="BQ633" i="115"/>
  <c r="BQ631" i="115"/>
  <c r="BR1526" i="115"/>
  <c r="BR1524" i="115"/>
  <c r="BR1549" i="115"/>
  <c r="BT4" i="115"/>
  <c r="BT1527" i="115" s="1"/>
  <c r="BU4" i="115"/>
  <c r="BU1527" i="115" s="1"/>
  <c r="BV4" i="115"/>
  <c r="BV1527" i="115" s="1"/>
  <c r="BQ1130" i="115"/>
  <c r="BQ1137" i="115" s="1"/>
  <c r="BQ660" i="115"/>
  <c r="DJ30" i="117"/>
  <c r="BX3" i="115"/>
  <c r="BY2" i="115"/>
  <c r="BQ658" i="115"/>
  <c r="BQ645" i="115"/>
  <c r="DI31" i="117"/>
  <c r="DJ29" i="117"/>
  <c r="BQ1547" i="115"/>
  <c r="DK31" i="117"/>
  <c r="DK27" i="117"/>
  <c r="BP633" i="115"/>
  <c r="BP1546" i="115"/>
  <c r="DK17" i="117"/>
  <c r="BR1217" i="115"/>
  <c r="BR633" i="115"/>
  <c r="DJ31" i="117"/>
  <c r="D87" i="123"/>
  <c r="D100" i="123" s="1"/>
  <c r="D140" i="123"/>
  <c r="D154" i="123" s="1"/>
  <c r="H44" i="123"/>
  <c r="CJ1320" i="115"/>
  <c r="CJ1318" i="115"/>
  <c r="CG1318" i="115"/>
  <c r="CG1320" i="115"/>
  <c r="CH1318" i="115"/>
  <c r="CH1320" i="115"/>
  <c r="AD32" i="111"/>
  <c r="CL396" i="115"/>
  <c r="CK398" i="115"/>
  <c r="CK399" i="115" s="1"/>
  <c r="CK1314" i="115" s="1"/>
  <c r="CK1316" i="115" s="1"/>
  <c r="DS662" i="115" l="1"/>
  <c r="DD416" i="115"/>
  <c r="DE397" i="115"/>
  <c r="DE1326" i="115"/>
  <c r="DE1328" i="115" s="1"/>
  <c r="DH1328" i="115" s="1"/>
  <c r="DI1328" i="115" s="1"/>
  <c r="DL1328" i="115" s="1"/>
  <c r="DM1328" i="115" s="1"/>
  <c r="DP1328" i="115" s="1"/>
  <c r="DQ1328" i="115" s="1"/>
  <c r="CK10" i="117"/>
  <c r="DP453" i="115"/>
  <c r="DQ191" i="115"/>
  <c r="CK94" i="117"/>
  <c r="CH228" i="117"/>
  <c r="DR109" i="115"/>
  <c r="DQ111" i="115"/>
  <c r="DQ115" i="115" s="1"/>
  <c r="DP1005" i="115"/>
  <c r="DR911" i="115"/>
  <c r="DR348" i="115"/>
  <c r="DP354" i="115"/>
  <c r="CJ55" i="117" s="1"/>
  <c r="DS118" i="115"/>
  <c r="DQ359" i="115"/>
  <c r="DP451" i="115"/>
  <c r="DR349" i="115"/>
  <c r="DQ358" i="115"/>
  <c r="DR350" i="115"/>
  <c r="DP442" i="115"/>
  <c r="DP372" i="115"/>
  <c r="DP360" i="115"/>
  <c r="DQ357" i="115"/>
  <c r="DP353" i="115"/>
  <c r="DP452" i="115"/>
  <c r="DR325" i="115"/>
  <c r="DQ356" i="115"/>
  <c r="DQ330" i="115"/>
  <c r="DQ352" i="115"/>
  <c r="DR351" i="115"/>
  <c r="DR15" i="115"/>
  <c r="DR1414" i="115"/>
  <c r="DQ1466" i="115"/>
  <c r="DR120" i="115"/>
  <c r="DQ124" i="115"/>
  <c r="DN352" i="115"/>
  <c r="DN119" i="115"/>
  <c r="DO119" i="115" s="1"/>
  <c r="DO120" i="115"/>
  <c r="AL62" i="117"/>
  <c r="DN140" i="115"/>
  <c r="DP140" i="115" s="1"/>
  <c r="DM142" i="115"/>
  <c r="DM146" i="115" s="1"/>
  <c r="CD94" i="117"/>
  <c r="CD80" i="117" s="1"/>
  <c r="DB402" i="115"/>
  <c r="DB404" i="115" s="1"/>
  <c r="DD402" i="115" s="1"/>
  <c r="CZ404" i="115"/>
  <c r="BF2" i="111"/>
  <c r="BE5" i="111"/>
  <c r="DA1315" i="115"/>
  <c r="DA416" i="115"/>
  <c r="DB397" i="115"/>
  <c r="DB1315" i="115" s="1"/>
  <c r="DL1007" i="115"/>
  <c r="CF94" i="117"/>
  <c r="CF55" i="117"/>
  <c r="DM452" i="115"/>
  <c r="CB76" i="117"/>
  <c r="CB81" i="117"/>
  <c r="DM110" i="115"/>
  <c r="DP114" i="115" s="1"/>
  <c r="DL131" i="115"/>
  <c r="DL114" i="115"/>
  <c r="DL111" i="115"/>
  <c r="DO109" i="115"/>
  <c r="DM1005" i="115"/>
  <c r="DM360" i="115"/>
  <c r="DM442" i="115"/>
  <c r="DM353" i="115"/>
  <c r="DM372" i="115"/>
  <c r="DM354" i="115"/>
  <c r="DM451" i="115"/>
  <c r="DL132" i="115"/>
  <c r="DM453" i="115"/>
  <c r="DI115" i="115"/>
  <c r="CV396" i="115"/>
  <c r="CV398" i="115" s="1"/>
  <c r="CV399" i="115" s="1"/>
  <c r="CV1314" i="115" s="1"/>
  <c r="CV1316" i="115" s="1"/>
  <c r="CV1320" i="115" s="1"/>
  <c r="CV406" i="115"/>
  <c r="CW398" i="115"/>
  <c r="CX398" i="115" s="1"/>
  <c r="CX396" i="115"/>
  <c r="DI172" i="115"/>
  <c r="DJ353" i="115"/>
  <c r="DJ149" i="115"/>
  <c r="CC51" i="117"/>
  <c r="DI161" i="115"/>
  <c r="DI1463" i="115"/>
  <c r="DI1462" i="115" s="1"/>
  <c r="DI1435" i="115" s="1"/>
  <c r="DJ451" i="115"/>
  <c r="DJ442" i="115"/>
  <c r="DJ453" i="115"/>
  <c r="DJ452" i="115"/>
  <c r="CD55" i="117"/>
  <c r="DI1007" i="115"/>
  <c r="DK111" i="115"/>
  <c r="CC55" i="117"/>
  <c r="DK352" i="115"/>
  <c r="DK131" i="115"/>
  <c r="DH1085" i="115"/>
  <c r="DJ1081" i="115"/>
  <c r="DJ1085" i="115" s="1"/>
  <c r="DJ132" i="115"/>
  <c r="DI136" i="115"/>
  <c r="DJ372" i="115"/>
  <c r="DH1462" i="115"/>
  <c r="DH1435" i="115" s="1"/>
  <c r="DI133" i="115"/>
  <c r="CT396" i="115"/>
  <c r="CS398" i="115"/>
  <c r="CT398" i="115" s="1"/>
  <c r="CR1320" i="115"/>
  <c r="CR1318" i="115"/>
  <c r="D59" i="123"/>
  <c r="BV238" i="115"/>
  <c r="BV237" i="115"/>
  <c r="BU237" i="115"/>
  <c r="BU238" i="115"/>
  <c r="BT237" i="115"/>
  <c r="BT238" i="115"/>
  <c r="CO398" i="115"/>
  <c r="CP398" i="115" s="1"/>
  <c r="CP399" i="115" s="1"/>
  <c r="CP1314" i="115" s="1"/>
  <c r="CP1316" i="115" s="1"/>
  <c r="DG133" i="115"/>
  <c r="BU977" i="115"/>
  <c r="BU1542" i="115"/>
  <c r="BU1525" i="115"/>
  <c r="BU1536" i="115"/>
  <c r="BU1535" i="115"/>
  <c r="BU903" i="115"/>
  <c r="BU836" i="115"/>
  <c r="BU984" i="115"/>
  <c r="BU813" i="115"/>
  <c r="BU774" i="115"/>
  <c r="BU986" i="115"/>
  <c r="BU1544" i="115"/>
  <c r="BU1537" i="115"/>
  <c r="BU974" i="115"/>
  <c r="BU1539" i="115"/>
  <c r="BU629" i="115"/>
  <c r="BU983" i="115"/>
  <c r="BU1335" i="115"/>
  <c r="BU415" i="115"/>
  <c r="BU656" i="115"/>
  <c r="BU982" i="115"/>
  <c r="BU1541" i="115"/>
  <c r="BU823" i="115"/>
  <c r="BU975" i="115"/>
  <c r="BU978" i="115"/>
  <c r="BU609" i="115"/>
  <c r="BU1545" i="115"/>
  <c r="BU651" i="115"/>
  <c r="BU835" i="115"/>
  <c r="BU1534" i="115"/>
  <c r="BU1540" i="115"/>
  <c r="BU976" i="115"/>
  <c r="BU648" i="115"/>
  <c r="BU1543" i="115"/>
  <c r="BU221" i="115"/>
  <c r="BU1548" i="115"/>
  <c r="BU606" i="115"/>
  <c r="BU782" i="115" s="1"/>
  <c r="BU1549" i="115"/>
  <c r="BU985" i="115"/>
  <c r="BU643" i="115"/>
  <c r="BU1533" i="115"/>
  <c r="BU1524" i="115"/>
  <c r="BU222" i="115"/>
  <c r="BU414" i="115"/>
  <c r="BU803" i="115"/>
  <c r="BU912" i="115"/>
  <c r="BU1526" i="115"/>
  <c r="BU1532" i="115"/>
  <c r="BU760" i="115"/>
  <c r="BU1538" i="115"/>
  <c r="H88" i="123"/>
  <c r="H142" i="123"/>
  <c r="DJ8" i="117"/>
  <c r="DJ9" i="117"/>
  <c r="BW1238" i="115"/>
  <c r="D45" i="123"/>
  <c r="BS1238" i="115"/>
  <c r="BR1130" i="115"/>
  <c r="BR1137" i="115" s="1"/>
  <c r="BQ1546" i="115"/>
  <c r="BT1525" i="115"/>
  <c r="BT648" i="115"/>
  <c r="BT415" i="115"/>
  <c r="BT803" i="115"/>
  <c r="BT804" i="115" s="1"/>
  <c r="BT1534" i="115"/>
  <c r="BT1533" i="115"/>
  <c r="BT982" i="115"/>
  <c r="BT1538" i="115"/>
  <c r="BT222" i="115"/>
  <c r="BT836" i="115"/>
  <c r="BT774" i="115"/>
  <c r="BT1541" i="115"/>
  <c r="BT1540" i="115"/>
  <c r="BT1548" i="115"/>
  <c r="BT976" i="115"/>
  <c r="BT835" i="115"/>
  <c r="BT984" i="115"/>
  <c r="BT1535" i="115"/>
  <c r="BT643" i="115"/>
  <c r="BT813" i="115"/>
  <c r="BT815" i="115" s="1"/>
  <c r="BT823" i="115"/>
  <c r="BT824" i="115" s="1"/>
  <c r="BT1532" i="115"/>
  <c r="BT760" i="115"/>
  <c r="BT606" i="115"/>
  <c r="BT782" i="115" s="1"/>
  <c r="BT985" i="115"/>
  <c r="BT656" i="115"/>
  <c r="BT1537" i="115"/>
  <c r="BT986" i="115"/>
  <c r="BT977" i="115"/>
  <c r="BT414" i="115"/>
  <c r="BT651" i="115"/>
  <c r="BT978" i="115"/>
  <c r="BT221" i="115"/>
  <c r="BT903" i="115"/>
  <c r="BT1536" i="115"/>
  <c r="BT609" i="115"/>
  <c r="BT975" i="115"/>
  <c r="BT1544" i="115"/>
  <c r="BT1542" i="115"/>
  <c r="BT912" i="115"/>
  <c r="BT629" i="115"/>
  <c r="BT983" i="115"/>
  <c r="BT1335" i="115"/>
  <c r="BT974" i="115"/>
  <c r="BT1539" i="115"/>
  <c r="BT1543" i="115"/>
  <c r="BT1545" i="115"/>
  <c r="BT1524" i="115"/>
  <c r="BT1549" i="115"/>
  <c r="BT1526" i="115"/>
  <c r="BV912" i="115"/>
  <c r="BW912" i="115" s="1"/>
  <c r="BV609" i="115"/>
  <c r="BV1537" i="115"/>
  <c r="BV1525" i="115"/>
  <c r="BV835" i="115"/>
  <c r="BV813" i="115"/>
  <c r="BV975" i="115"/>
  <c r="BV1335" i="115"/>
  <c r="BV976" i="115"/>
  <c r="BV1544" i="115"/>
  <c r="BV606" i="115"/>
  <c r="BV985" i="115"/>
  <c r="BV836" i="115"/>
  <c r="BV1536" i="115"/>
  <c r="BV648" i="115"/>
  <c r="BV982" i="115"/>
  <c r="BV774" i="115"/>
  <c r="BV221" i="115"/>
  <c r="BV629" i="115"/>
  <c r="BV656" i="115"/>
  <c r="BV415" i="115"/>
  <c r="BV1542" i="115"/>
  <c r="BV974" i="115"/>
  <c r="BV903" i="115"/>
  <c r="BV1540" i="115"/>
  <c r="BV1535" i="115"/>
  <c r="BV760" i="115"/>
  <c r="BV986" i="115"/>
  <c r="BV983" i="115"/>
  <c r="BV222" i="115"/>
  <c r="BV651" i="115"/>
  <c r="BV414" i="115"/>
  <c r="BV823" i="115"/>
  <c r="BV984" i="115"/>
  <c r="BV1534" i="115"/>
  <c r="BV1548" i="115"/>
  <c r="BV1538" i="115"/>
  <c r="BV1532" i="115"/>
  <c r="BV1539" i="115"/>
  <c r="BV977" i="115"/>
  <c r="BV1541" i="115"/>
  <c r="BV803" i="115"/>
  <c r="BV1533" i="115"/>
  <c r="BV643" i="115"/>
  <c r="BV978" i="115"/>
  <c r="BV1543" i="115"/>
  <c r="BV1545" i="115"/>
  <c r="BV1526" i="115"/>
  <c r="BV1524" i="115"/>
  <c r="BV1549" i="115"/>
  <c r="BY3" i="115"/>
  <c r="BZ2" i="115"/>
  <c r="BR1547" i="115"/>
  <c r="DK29" i="117"/>
  <c r="DK30" i="117"/>
  <c r="CL398" i="115"/>
  <c r="CL399" i="115" s="1"/>
  <c r="CL1314" i="115" s="1"/>
  <c r="CL1316" i="115" s="1"/>
  <c r="CK1320" i="115"/>
  <c r="CK1318" i="115"/>
  <c r="AI7" i="111" l="1"/>
  <c r="AI10" i="111" s="1"/>
  <c r="DD404" i="115"/>
  <c r="DD406" i="115" s="1"/>
  <c r="DF402" i="115"/>
  <c r="DF404" i="115" s="1"/>
  <c r="DE1315" i="115"/>
  <c r="DF397" i="115"/>
  <c r="DF1315" i="115" s="1"/>
  <c r="DE416" i="115"/>
  <c r="CL10" i="117"/>
  <c r="CL219" i="117" s="1"/>
  <c r="CL228" i="117" s="1"/>
  <c r="DS109" i="115"/>
  <c r="CL94" i="117"/>
  <c r="CF80" i="117"/>
  <c r="CJ80" i="117"/>
  <c r="CF81" i="117"/>
  <c r="CJ81" i="117"/>
  <c r="DR111" i="115"/>
  <c r="BV649" i="115"/>
  <c r="BT649" i="115"/>
  <c r="BU649" i="115"/>
  <c r="DP1007" i="115"/>
  <c r="DQ451" i="115"/>
  <c r="DR352" i="115"/>
  <c r="DN354" i="115"/>
  <c r="DO352" i="115"/>
  <c r="DR1466" i="115"/>
  <c r="DS1414" i="115"/>
  <c r="DQ453" i="115"/>
  <c r="DQ442" i="115"/>
  <c r="DQ354" i="115"/>
  <c r="CK55" i="117" s="1"/>
  <c r="DQ360" i="115"/>
  <c r="DQ353" i="115"/>
  <c r="DQ1005" i="115"/>
  <c r="DQ452" i="115"/>
  <c r="DQ372" i="115"/>
  <c r="DQ140" i="115"/>
  <c r="DQ131" i="115" s="1"/>
  <c r="DP131" i="115"/>
  <c r="DP142" i="115"/>
  <c r="DP146" i="115" s="1"/>
  <c r="DR119" i="115"/>
  <c r="DS119" i="115" s="1"/>
  <c r="DS120" i="115"/>
  <c r="DN451" i="115"/>
  <c r="DN452" i="115"/>
  <c r="DN442" i="115"/>
  <c r="DN453" i="115"/>
  <c r="DN353" i="115"/>
  <c r="DO140" i="115"/>
  <c r="DN142" i="115"/>
  <c r="DO142" i="115" s="1"/>
  <c r="BG2" i="111"/>
  <c r="BF5" i="111"/>
  <c r="DA402" i="115"/>
  <c r="DA404" i="115" s="1"/>
  <c r="DA396" i="115" s="1"/>
  <c r="CZ406" i="115"/>
  <c r="CZ396" i="115"/>
  <c r="DL136" i="115"/>
  <c r="CG55" i="117"/>
  <c r="DL115" i="115"/>
  <c r="DM1007" i="115"/>
  <c r="CG94" i="117"/>
  <c r="CC81" i="117"/>
  <c r="CD81" i="117"/>
  <c r="CC76" i="117"/>
  <c r="DN372" i="115"/>
  <c r="DM131" i="115"/>
  <c r="DM132" i="115"/>
  <c r="DL135" i="115"/>
  <c r="DL133" i="115"/>
  <c r="DL149" i="115"/>
  <c r="DN110" i="115"/>
  <c r="DS110" i="115" s="1"/>
  <c r="DM114" i="115"/>
  <c r="DM111" i="115"/>
  <c r="DP115" i="115" s="1"/>
  <c r="CV1318" i="115"/>
  <c r="DM79" i="117"/>
  <c r="DN79" i="117"/>
  <c r="DO79" i="117"/>
  <c r="CW399" i="115"/>
  <c r="CW1314" i="115" s="1"/>
  <c r="CW1316" i="115" s="1"/>
  <c r="CX399" i="115"/>
  <c r="CX1314" i="115" s="1"/>
  <c r="CX1316" i="115" s="1"/>
  <c r="AV4" i="123"/>
  <c r="CD51" i="117"/>
  <c r="DK149" i="115"/>
  <c r="DJ1463" i="115"/>
  <c r="DJ1462" i="115" s="1"/>
  <c r="DI137" i="115"/>
  <c r="DK132" i="115"/>
  <c r="DH1415" i="115"/>
  <c r="DH1436" i="115"/>
  <c r="DJ1435" i="115"/>
  <c r="DI1415" i="115"/>
  <c r="DI1436" i="115"/>
  <c r="DI1081" i="115"/>
  <c r="DI1085" i="115" s="1"/>
  <c r="DH1041" i="115"/>
  <c r="DJ133" i="115"/>
  <c r="BV782" i="115"/>
  <c r="BT784" i="115"/>
  <c r="BT783" i="115"/>
  <c r="BU783" i="115"/>
  <c r="BU784" i="115"/>
  <c r="CS399" i="115"/>
  <c r="CS1314" i="115" s="1"/>
  <c r="CS1316" i="115" s="1"/>
  <c r="CT399" i="115"/>
  <c r="CT1314" i="115" s="1"/>
  <c r="CT1316" i="115" s="1"/>
  <c r="CO399" i="115"/>
  <c r="CO1314" i="115" s="1"/>
  <c r="CO1316" i="115" s="1"/>
  <c r="CP1318" i="115"/>
  <c r="CP1320" i="115"/>
  <c r="DH1217" i="115"/>
  <c r="BT632" i="115"/>
  <c r="BU632" i="115"/>
  <c r="BV632" i="115"/>
  <c r="DO29" i="117"/>
  <c r="BV1547" i="115"/>
  <c r="BT913" i="115"/>
  <c r="BT914" i="115"/>
  <c r="DM78" i="117"/>
  <c r="DN30" i="117"/>
  <c r="BZ3" i="115"/>
  <c r="CB2" i="115"/>
  <c r="DO30" i="117"/>
  <c r="DM77" i="117"/>
  <c r="BU913" i="115"/>
  <c r="BU628" i="115"/>
  <c r="BU630" i="115" s="1"/>
  <c r="BU644" i="115"/>
  <c r="BU824" i="115"/>
  <c r="DN78" i="117"/>
  <c r="BT659" i="115"/>
  <c r="BT660" i="115" s="1"/>
  <c r="BT657" i="115"/>
  <c r="BT658" i="115" s="1"/>
  <c r="BU804" i="115"/>
  <c r="DN27" i="117"/>
  <c r="BU776" i="115"/>
  <c r="BU775" i="115"/>
  <c r="BR1546" i="115"/>
  <c r="DM30" i="117"/>
  <c r="DO76" i="117"/>
  <c r="DO78" i="117"/>
  <c r="BT628" i="115"/>
  <c r="BT630" i="115" s="1"/>
  <c r="BT644" i="115"/>
  <c r="DN77" i="117"/>
  <c r="BU815" i="115"/>
  <c r="BV776" i="115"/>
  <c r="DK28" i="117"/>
  <c r="DO77" i="117"/>
  <c r="DM29" i="117"/>
  <c r="BT1547" i="115"/>
  <c r="BT610" i="115"/>
  <c r="BT634" i="115"/>
  <c r="BT608" i="115"/>
  <c r="AN8" i="117"/>
  <c r="BT607" i="115"/>
  <c r="DK8" i="117"/>
  <c r="DK9" i="117"/>
  <c r="AO8" i="117"/>
  <c r="BU608" i="115"/>
  <c r="BU634" i="115"/>
  <c r="BU607" i="115"/>
  <c r="BU610" i="115"/>
  <c r="BU659" i="115"/>
  <c r="BU657" i="115"/>
  <c r="DO27" i="117"/>
  <c r="AP8" i="117"/>
  <c r="BV634" i="115"/>
  <c r="BV608" i="115"/>
  <c r="H13" i="123"/>
  <c r="BV644" i="115"/>
  <c r="BV628" i="115"/>
  <c r="BV657" i="115"/>
  <c r="BV659" i="115"/>
  <c r="DM27" i="117"/>
  <c r="DM76" i="117"/>
  <c r="BT776" i="115"/>
  <c r="BT775" i="115"/>
  <c r="BU1547" i="115"/>
  <c r="DN29" i="117"/>
  <c r="DN76" i="117"/>
  <c r="CL1320" i="115"/>
  <c r="CL1318" i="115"/>
  <c r="DD396" i="115" l="1"/>
  <c r="DD398" i="115" s="1"/>
  <c r="DE402" i="115"/>
  <c r="DE404" i="115" s="1"/>
  <c r="DE396" i="115" s="1"/>
  <c r="CG80" i="117"/>
  <c r="CK80" i="117"/>
  <c r="CG81" i="117"/>
  <c r="CK81" i="117"/>
  <c r="BU650" i="115"/>
  <c r="BT645" i="115"/>
  <c r="BT650" i="115"/>
  <c r="DR451" i="115"/>
  <c r="DR353" i="115"/>
  <c r="CH55" i="117"/>
  <c r="DS352" i="115"/>
  <c r="DR452" i="115"/>
  <c r="DR453" i="115"/>
  <c r="DQ1007" i="115"/>
  <c r="DR442" i="115"/>
  <c r="DR354" i="115"/>
  <c r="CL55" i="117" s="1"/>
  <c r="DP136" i="115"/>
  <c r="DQ135" i="115"/>
  <c r="DR131" i="115"/>
  <c r="DQ133" i="115"/>
  <c r="DQ149" i="115"/>
  <c r="DR372" i="115"/>
  <c r="DP149" i="115"/>
  <c r="DP135" i="115"/>
  <c r="DP133" i="115"/>
  <c r="DR140" i="115"/>
  <c r="DQ142" i="115"/>
  <c r="DQ146" i="115" s="1"/>
  <c r="DB396" i="115"/>
  <c r="DA398" i="115"/>
  <c r="DB398" i="115" s="1"/>
  <c r="CZ398" i="115"/>
  <c r="CZ399" i="115" s="1"/>
  <c r="CZ1314" i="115" s="1"/>
  <c r="CZ1316" i="115" s="1"/>
  <c r="BH2" i="111"/>
  <c r="BG5" i="111"/>
  <c r="DL137" i="115"/>
  <c r="CH94" i="117"/>
  <c r="CF51" i="117"/>
  <c r="DM115" i="115"/>
  <c r="CD76" i="117"/>
  <c r="DN131" i="115"/>
  <c r="DM135" i="115"/>
  <c r="DM133" i="115"/>
  <c r="DM149" i="115"/>
  <c r="DL1463" i="115"/>
  <c r="DL161" i="115"/>
  <c r="DL172" i="115"/>
  <c r="DI1041" i="115"/>
  <c r="DJ1041" i="115" s="1"/>
  <c r="DL1081" i="115"/>
  <c r="DO110" i="115"/>
  <c r="DN111" i="115"/>
  <c r="DS111" i="115" s="1"/>
  <c r="DN132" i="115"/>
  <c r="DM136" i="115"/>
  <c r="AV5" i="123"/>
  <c r="CW1320" i="115"/>
  <c r="CW1318" i="115"/>
  <c r="CX1318" i="115"/>
  <c r="CX1320" i="115"/>
  <c r="DI1217" i="115"/>
  <c r="DL1217" i="115" s="1"/>
  <c r="DK133" i="115"/>
  <c r="DJ1443" i="115"/>
  <c r="DJ1415" i="115"/>
  <c r="DJ1467" i="115" s="1"/>
  <c r="DH1444" i="115"/>
  <c r="DJ1436" i="115"/>
  <c r="AI19" i="111" s="1"/>
  <c r="DI1444" i="115"/>
  <c r="DJ1444" i="115" s="1"/>
  <c r="AI17" i="111" s="1"/>
  <c r="BV784" i="115"/>
  <c r="CT1320" i="115"/>
  <c r="CT1318" i="115"/>
  <c r="CS1320" i="115"/>
  <c r="CS1318" i="115"/>
  <c r="H14" i="123"/>
  <c r="H112" i="123" s="1"/>
  <c r="BU660" i="115"/>
  <c r="CO1318" i="115"/>
  <c r="CO1320" i="115"/>
  <c r="DH1088" i="115"/>
  <c r="BU631" i="115"/>
  <c r="BU658" i="115"/>
  <c r="BT631" i="115"/>
  <c r="BU645" i="115"/>
  <c r="BV630" i="115"/>
  <c r="BV631" i="115" s="1"/>
  <c r="H58" i="123"/>
  <c r="H94" i="123" s="1"/>
  <c r="H111" i="123"/>
  <c r="H148" i="123" s="1"/>
  <c r="DN31" i="117"/>
  <c r="BT1546" i="115"/>
  <c r="BV633" i="115"/>
  <c r="BU1546" i="115"/>
  <c r="BU633" i="115"/>
  <c r="BT633" i="115"/>
  <c r="CB3" i="115"/>
  <c r="CC2" i="115"/>
  <c r="DO31" i="117"/>
  <c r="BV1546" i="115"/>
  <c r="DM31" i="117"/>
  <c r="BY4" i="115"/>
  <c r="BY1527" i="115" s="1"/>
  <c r="BZ4" i="115"/>
  <c r="BZ1527" i="115" s="1"/>
  <c r="BX4" i="115"/>
  <c r="BX1527" i="115" s="1"/>
  <c r="DO28" i="117"/>
  <c r="DD399" i="115" l="1"/>
  <c r="DD1314" i="115" s="1"/>
  <c r="DD1316" i="115" s="1"/>
  <c r="DF396" i="115"/>
  <c r="DE398" i="115"/>
  <c r="DF398" i="115" s="1"/>
  <c r="CK51" i="117"/>
  <c r="CJ51" i="117"/>
  <c r="CJ76" i="117" s="1"/>
  <c r="CH81" i="117"/>
  <c r="CL81" i="117"/>
  <c r="CF76" i="117"/>
  <c r="CH80" i="117"/>
  <c r="CL80" i="117"/>
  <c r="DP172" i="115"/>
  <c r="DQ137" i="115"/>
  <c r="DQ172" i="115"/>
  <c r="DQ1463" i="115"/>
  <c r="DQ161" i="115"/>
  <c r="DS131" i="115"/>
  <c r="DR133" i="115"/>
  <c r="DR149" i="115"/>
  <c r="DP137" i="115"/>
  <c r="DS132" i="115"/>
  <c r="DS140" i="115"/>
  <c r="DR142" i="115"/>
  <c r="DS142" i="115" s="1"/>
  <c r="DP1463" i="115"/>
  <c r="DP161" i="115"/>
  <c r="DD1320" i="115"/>
  <c r="DD1318" i="115"/>
  <c r="CZ1320" i="115"/>
  <c r="CZ1318" i="115"/>
  <c r="BI2" i="111"/>
  <c r="BH5" i="111"/>
  <c r="DA399" i="115"/>
  <c r="DA1314" i="115" s="1"/>
  <c r="DA1316" i="115" s="1"/>
  <c r="DB399" i="115"/>
  <c r="DB1314" i="115" s="1"/>
  <c r="DB1316" i="115" s="1"/>
  <c r="DO132" i="115"/>
  <c r="DM137" i="115"/>
  <c r="DO111" i="115"/>
  <c r="CG51" i="117"/>
  <c r="DM1217" i="115"/>
  <c r="DP1217" i="115" s="1"/>
  <c r="DM1463" i="115"/>
  <c r="DM161" i="115"/>
  <c r="DM172" i="115"/>
  <c r="DL1085" i="115"/>
  <c r="DN1081" i="115"/>
  <c r="DN1085" i="115" s="1"/>
  <c r="DL1462" i="115"/>
  <c r="DL1435" i="115" s="1"/>
  <c r="DL1469" i="115"/>
  <c r="DN133" i="115"/>
  <c r="DO131" i="115"/>
  <c r="DN149" i="115"/>
  <c r="AJ7" i="111" s="1"/>
  <c r="AJ10" i="111" s="1"/>
  <c r="DJ1217" i="115"/>
  <c r="DH1090" i="115"/>
  <c r="DJ1088" i="115"/>
  <c r="DK1436" i="115"/>
  <c r="H59" i="123"/>
  <c r="BZ238" i="115"/>
  <c r="BZ237" i="115"/>
  <c r="BZ618" i="115"/>
  <c r="BX611" i="115"/>
  <c r="BX612" i="115" s="1"/>
  <c r="BX238" i="115"/>
  <c r="BX237" i="115"/>
  <c r="BX618" i="115"/>
  <c r="BY237" i="115"/>
  <c r="BY238" i="115"/>
  <c r="BY618" i="115"/>
  <c r="BZ977" i="115"/>
  <c r="BZ984" i="115"/>
  <c r="BZ1541" i="115"/>
  <c r="BZ813" i="115"/>
  <c r="BZ1535" i="115"/>
  <c r="BZ974" i="115"/>
  <c r="BZ1548" i="115"/>
  <c r="BZ1549" i="115"/>
  <c r="BZ975" i="115"/>
  <c r="BZ983" i="115"/>
  <c r="BZ651" i="115"/>
  <c r="BZ976" i="115"/>
  <c r="BZ648" i="115"/>
  <c r="BZ1534" i="115"/>
  <c r="BZ1538" i="115"/>
  <c r="BZ1526" i="115"/>
  <c r="L47" i="123" s="1"/>
  <c r="BZ1539" i="115"/>
  <c r="BZ606" i="115"/>
  <c r="BZ803" i="115"/>
  <c r="BZ415" i="115"/>
  <c r="BZ643" i="115"/>
  <c r="BZ774" i="115"/>
  <c r="BZ1540" i="115"/>
  <c r="BZ1524" i="115"/>
  <c r="L46" i="123" s="1"/>
  <c r="BZ986" i="115"/>
  <c r="BZ978" i="115"/>
  <c r="BZ221" i="115"/>
  <c r="BZ985" i="115"/>
  <c r="BZ1544" i="115"/>
  <c r="BZ609" i="115"/>
  <c r="BZ760" i="115"/>
  <c r="BZ1525" i="115"/>
  <c r="BZ1537" i="115"/>
  <c r="BZ1532" i="115"/>
  <c r="BZ222" i="115"/>
  <c r="BZ982" i="115"/>
  <c r="BZ912" i="115"/>
  <c r="CA912" i="115" s="1"/>
  <c r="BZ629" i="115"/>
  <c r="BZ1536" i="115"/>
  <c r="BZ1543" i="115"/>
  <c r="BZ414" i="115"/>
  <c r="BZ1542" i="115"/>
  <c r="BZ903" i="115"/>
  <c r="BZ656" i="115"/>
  <c r="BZ1335" i="115"/>
  <c r="BZ611" i="115"/>
  <c r="BZ1533" i="115"/>
  <c r="BZ1545" i="115"/>
  <c r="BY760" i="115"/>
  <c r="BY1532" i="115"/>
  <c r="BY974" i="115"/>
  <c r="BY414" i="115"/>
  <c r="BY1335" i="115"/>
  <c r="BY984" i="115"/>
  <c r="BY611" i="115"/>
  <c r="BY1549" i="115"/>
  <c r="BY982" i="115"/>
  <c r="BY629" i="115"/>
  <c r="BY1536" i="115"/>
  <c r="BY903" i="115"/>
  <c r="BY975" i="115"/>
  <c r="BY977" i="115"/>
  <c r="BY774" i="115"/>
  <c r="BY813" i="115"/>
  <c r="BY1534" i="115"/>
  <c r="BY1541" i="115"/>
  <c r="BY1542" i="115"/>
  <c r="BY1538" i="115"/>
  <c r="BY986" i="115"/>
  <c r="BY609" i="115"/>
  <c r="BY1540" i="115"/>
  <c r="BY1524" i="115"/>
  <c r="BY643" i="115"/>
  <c r="BY1537" i="115"/>
  <c r="BY648" i="115"/>
  <c r="BY1533" i="115"/>
  <c r="BY1539" i="115"/>
  <c r="BY656" i="115"/>
  <c r="BY1535" i="115"/>
  <c r="BY1525" i="115"/>
  <c r="BY803" i="115"/>
  <c r="BY651" i="115"/>
  <c r="BY976" i="115"/>
  <c r="BY415" i="115"/>
  <c r="BY978" i="115"/>
  <c r="BY1548" i="115"/>
  <c r="BY222" i="115"/>
  <c r="BY1545" i="115"/>
  <c r="BY1544" i="115"/>
  <c r="BY983" i="115"/>
  <c r="BY985" i="115"/>
  <c r="BY912" i="115"/>
  <c r="BY606" i="115"/>
  <c r="BY782" i="115" s="1"/>
  <c r="BY221" i="115"/>
  <c r="BY1543" i="115"/>
  <c r="BY1526" i="115"/>
  <c r="BY1010" i="115"/>
  <c r="CD2" i="115"/>
  <c r="CC3" i="115"/>
  <c r="AV96" i="117"/>
  <c r="BX414" i="115"/>
  <c r="BX985" i="115"/>
  <c r="BX975" i="115"/>
  <c r="BX656" i="115"/>
  <c r="BX813" i="115"/>
  <c r="BX815" i="115" s="1"/>
  <c r="BX1533" i="115"/>
  <c r="BX1542" i="115"/>
  <c r="BX760" i="115"/>
  <c r="BX1534" i="115"/>
  <c r="BX222" i="115"/>
  <c r="BX221" i="115"/>
  <c r="BX1545" i="115"/>
  <c r="BX1538" i="115"/>
  <c r="BX982" i="115"/>
  <c r="BX629" i="115"/>
  <c r="BX774" i="115"/>
  <c r="BX643" i="115"/>
  <c r="BX1536" i="115"/>
  <c r="BX1532" i="115"/>
  <c r="BX1537" i="115"/>
  <c r="BX912" i="115"/>
  <c r="BX1548" i="115"/>
  <c r="BX974" i="115"/>
  <c r="BX1543" i="115"/>
  <c r="BX1535" i="115"/>
  <c r="BX1525" i="115"/>
  <c r="BX648" i="115"/>
  <c r="BX609" i="115"/>
  <c r="BX978" i="115"/>
  <c r="BX1549" i="115"/>
  <c r="BX983" i="115"/>
  <c r="BX415" i="115"/>
  <c r="BX1544" i="115"/>
  <c r="BX1524" i="115"/>
  <c r="BX606" i="115"/>
  <c r="BX782" i="115" s="1"/>
  <c r="BX976" i="115"/>
  <c r="BX1335" i="115"/>
  <c r="BX1540" i="115"/>
  <c r="BX1539" i="115"/>
  <c r="BX1541" i="115"/>
  <c r="BX803" i="115"/>
  <c r="BX804" i="115" s="1"/>
  <c r="BX903" i="115"/>
  <c r="BX651" i="115"/>
  <c r="BX986" i="115"/>
  <c r="BX977" i="115"/>
  <c r="BX1526" i="115"/>
  <c r="BX984" i="115"/>
  <c r="AK7" i="111" l="1"/>
  <c r="DE399" i="115"/>
  <c r="DE1314" i="115" s="1"/>
  <c r="DE1316" i="115" s="1"/>
  <c r="DF399" i="115"/>
  <c r="DF1314" i="115" s="1"/>
  <c r="DF1316" i="115" s="1"/>
  <c r="CL51" i="117"/>
  <c r="BD4" i="123"/>
  <c r="CG76" i="117"/>
  <c r="CK76" i="117"/>
  <c r="BY649" i="115"/>
  <c r="BX649" i="115"/>
  <c r="BZ649" i="115"/>
  <c r="DQ1217" i="115"/>
  <c r="DS133" i="115"/>
  <c r="DS149" i="115"/>
  <c r="DP1462" i="115"/>
  <c r="DP1435" i="115" s="1"/>
  <c r="DP1469" i="115"/>
  <c r="DR1463" i="115"/>
  <c r="DQ1462" i="115"/>
  <c r="DQ1435" i="115" s="1"/>
  <c r="DQ1469" i="115"/>
  <c r="BJ2" i="111"/>
  <c r="BI5" i="111"/>
  <c r="DB1320" i="115"/>
  <c r="DB1318" i="115"/>
  <c r="DA1318" i="115"/>
  <c r="DA1320" i="115"/>
  <c r="DO133" i="115"/>
  <c r="AZ4" i="123"/>
  <c r="CH51" i="117"/>
  <c r="DN1217" i="115"/>
  <c r="DM1081" i="115"/>
  <c r="DM1085" i="115" s="1"/>
  <c r="DL1041" i="115"/>
  <c r="DO149" i="115"/>
  <c r="DL1415" i="115"/>
  <c r="DL1416" i="115" s="1"/>
  <c r="DL1436" i="115"/>
  <c r="DM1462" i="115"/>
  <c r="DM1435" i="115" s="1"/>
  <c r="DN1463" i="115"/>
  <c r="DM1469" i="115"/>
  <c r="DS79" i="117"/>
  <c r="DR79" i="117"/>
  <c r="DQ79" i="117"/>
  <c r="DI1088" i="115"/>
  <c r="DI1090" i="115" s="1"/>
  <c r="DI1044" i="115" s="1"/>
  <c r="DH1044" i="115"/>
  <c r="BX784" i="115"/>
  <c r="BX783" i="115"/>
  <c r="BZ782" i="115"/>
  <c r="BY784" i="115"/>
  <c r="BY783" i="115"/>
  <c r="BX632" i="115"/>
  <c r="DH1093" i="115"/>
  <c r="BY632" i="115"/>
  <c r="BZ632" i="115"/>
  <c r="BY913" i="115"/>
  <c r="DR77" i="117"/>
  <c r="BZ1547" i="115"/>
  <c r="DS29" i="117"/>
  <c r="BX608" i="115"/>
  <c r="BX634" i="115"/>
  <c r="AR8" i="117"/>
  <c r="BX607" i="115"/>
  <c r="AW96" i="117"/>
  <c r="DR27" i="117"/>
  <c r="BY610" i="115"/>
  <c r="BY815" i="115"/>
  <c r="BZ776" i="115"/>
  <c r="DS30" i="117"/>
  <c r="DR29" i="117"/>
  <c r="BY1547" i="115"/>
  <c r="DS77" i="117"/>
  <c r="DQ77" i="117"/>
  <c r="DQ30" i="117"/>
  <c r="BX628" i="115"/>
  <c r="BX630" i="115" s="1"/>
  <c r="BX644" i="115"/>
  <c r="DQ27" i="117"/>
  <c r="CD3" i="115"/>
  <c r="CF2" i="115"/>
  <c r="AS8" i="117"/>
  <c r="BY608" i="115"/>
  <c r="BY607" i="115"/>
  <c r="BY634" i="115"/>
  <c r="BY804" i="115"/>
  <c r="DR78" i="117"/>
  <c r="BY775" i="115"/>
  <c r="BY776" i="115"/>
  <c r="BZ644" i="115"/>
  <c r="BZ628" i="115"/>
  <c r="BZ630" i="115" s="1"/>
  <c r="DS27" i="117"/>
  <c r="BZ634" i="115"/>
  <c r="L13" i="123"/>
  <c r="AT8" i="117"/>
  <c r="BZ608" i="115"/>
  <c r="DQ76" i="117"/>
  <c r="BX1547" i="115"/>
  <c r="DQ29" i="117"/>
  <c r="BX610" i="115"/>
  <c r="BX775" i="115"/>
  <c r="BX776" i="115"/>
  <c r="DR76" i="117"/>
  <c r="BZ657" i="115"/>
  <c r="BZ659" i="115"/>
  <c r="BY659" i="115"/>
  <c r="BY657" i="115"/>
  <c r="DQ78" i="117"/>
  <c r="BX913" i="115"/>
  <c r="BX914" i="115"/>
  <c r="BX659" i="115"/>
  <c r="BX660" i="115" s="1"/>
  <c r="BX657" i="115"/>
  <c r="BX658" i="115" s="1"/>
  <c r="DR30" i="117"/>
  <c r="BY644" i="115"/>
  <c r="BY628" i="115"/>
  <c r="BY630" i="115" s="1"/>
  <c r="BY612" i="115"/>
  <c r="DS78" i="117"/>
  <c r="DS76" i="117"/>
  <c r="AZ5" i="123" l="1"/>
  <c r="BD5" i="123"/>
  <c r="CL76" i="117"/>
  <c r="AK10" i="111"/>
  <c r="DF1320" i="115"/>
  <c r="DF1318" i="115"/>
  <c r="DE1318" i="115"/>
  <c r="DE1320" i="115"/>
  <c r="BY650" i="115"/>
  <c r="BX650" i="115"/>
  <c r="BX645" i="115"/>
  <c r="DR1217" i="115"/>
  <c r="DQ1436" i="115"/>
  <c r="DQ1415" i="115"/>
  <c r="DR1435" i="115"/>
  <c r="DR1462" i="115"/>
  <c r="DR1469" i="115"/>
  <c r="DP1415" i="115"/>
  <c r="DP1416" i="115" s="1"/>
  <c r="DP1436" i="115"/>
  <c r="DM1041" i="115"/>
  <c r="DN1041" i="115" s="1"/>
  <c r="DP1081" i="115"/>
  <c r="BK2" i="111"/>
  <c r="BJ5" i="111"/>
  <c r="AL7" i="111"/>
  <c r="AM7" i="111" s="1"/>
  <c r="AN7" i="111" s="1"/>
  <c r="AO7" i="111" s="1"/>
  <c r="AP7" i="111" s="1"/>
  <c r="AQ7" i="111" s="1"/>
  <c r="AR7" i="111" s="1"/>
  <c r="CH76" i="117"/>
  <c r="DN1462" i="115"/>
  <c r="DN1469" i="115"/>
  <c r="DN1435" i="115"/>
  <c r="DM1415" i="115"/>
  <c r="DM1436" i="115"/>
  <c r="DL1444" i="115"/>
  <c r="DL1468" i="115"/>
  <c r="DJ1093" i="115"/>
  <c r="DH1095" i="115"/>
  <c r="DH398" i="115"/>
  <c r="DI398" i="115" s="1"/>
  <c r="DH1284" i="115"/>
  <c r="DH475" i="115"/>
  <c r="DH471" i="115"/>
  <c r="DI1284" i="115"/>
  <c r="DJ1284" i="115" s="1"/>
  <c r="DJ1044" i="115"/>
  <c r="DI475" i="115"/>
  <c r="DI471" i="115"/>
  <c r="BZ784" i="115"/>
  <c r="BX631" i="115"/>
  <c r="L14" i="123"/>
  <c r="L59" i="123" s="1"/>
  <c r="BY631" i="115"/>
  <c r="BZ631" i="115"/>
  <c r="DS28" i="117"/>
  <c r="L58" i="123"/>
  <c r="L94" i="123" s="1"/>
  <c r="L111" i="123"/>
  <c r="BY1546" i="115"/>
  <c r="BY660" i="115"/>
  <c r="CB4" i="115"/>
  <c r="CB1152" i="115" s="1"/>
  <c r="AX96" i="117"/>
  <c r="CD4" i="115"/>
  <c r="CC4" i="115"/>
  <c r="CC1152" i="115" s="1"/>
  <c r="DR28" i="117"/>
  <c r="DS31" i="117"/>
  <c r="CF3" i="115"/>
  <c r="CG2" i="115"/>
  <c r="BY645" i="115"/>
  <c r="BZ633" i="115"/>
  <c r="BX1546" i="115"/>
  <c r="DR31" i="117"/>
  <c r="BY658" i="115"/>
  <c r="BZ1546" i="115"/>
  <c r="BX633" i="115"/>
  <c r="DQ28" i="117"/>
  <c r="BY633" i="115"/>
  <c r="DQ31" i="117"/>
  <c r="DP1468" i="115" l="1"/>
  <c r="DR1443" i="115"/>
  <c r="DR1415" i="115"/>
  <c r="DR1467" i="115" s="1"/>
  <c r="DQ1416" i="115"/>
  <c r="DQ1444" i="115"/>
  <c r="DR1444" i="115" s="1"/>
  <c r="AK17" i="111" s="1"/>
  <c r="DR1436" i="115"/>
  <c r="DP1444" i="115"/>
  <c r="DR1081" i="115"/>
  <c r="DR1085" i="115" s="1"/>
  <c r="DP1085" i="115"/>
  <c r="N10" i="111"/>
  <c r="O10" i="111"/>
  <c r="BL2" i="111"/>
  <c r="BK5" i="111"/>
  <c r="AS7" i="111"/>
  <c r="DN1443" i="115"/>
  <c r="DN1415" i="115"/>
  <c r="DN1467" i="115" s="1"/>
  <c r="DM1416" i="115"/>
  <c r="DJ398" i="115"/>
  <c r="DL398" i="115"/>
  <c r="DM398" i="115" s="1"/>
  <c r="DN1436" i="115"/>
  <c r="AJ19" i="111" s="1"/>
  <c r="DM1444" i="115"/>
  <c r="DN1444" i="115" s="1"/>
  <c r="AJ17" i="111" s="1"/>
  <c r="DJ475" i="115"/>
  <c r="DJ1090" i="115"/>
  <c r="DL1088" i="115" s="1"/>
  <c r="DH1045" i="115"/>
  <c r="DI1093" i="115"/>
  <c r="DI1095" i="115" s="1"/>
  <c r="DI1045" i="115" s="1"/>
  <c r="DJ471" i="115"/>
  <c r="L112" i="123"/>
  <c r="CD1152" i="115"/>
  <c r="CD1151" i="115" s="1"/>
  <c r="CC238" i="115"/>
  <c r="CC237" i="115"/>
  <c r="CC618" i="115"/>
  <c r="CD237" i="115"/>
  <c r="CD238" i="115"/>
  <c r="CD618" i="115"/>
  <c r="CB237" i="115"/>
  <c r="CB238" i="115"/>
  <c r="CB618" i="115"/>
  <c r="CB619" i="115" s="1"/>
  <c r="DG1351" i="115"/>
  <c r="CH2" i="115"/>
  <c r="CG3" i="115"/>
  <c r="AZ96" i="117"/>
  <c r="CB1543" i="115"/>
  <c r="CB651" i="115"/>
  <c r="CB978" i="115"/>
  <c r="CB760" i="115"/>
  <c r="CB1545" i="115"/>
  <c r="CB415" i="115"/>
  <c r="CB912" i="115"/>
  <c r="CB1544" i="115"/>
  <c r="CB1524" i="115"/>
  <c r="N46" i="123" s="1"/>
  <c r="CB1541" i="115"/>
  <c r="CB643" i="115"/>
  <c r="CB1537" i="115"/>
  <c r="CB1534" i="115"/>
  <c r="CB982" i="115"/>
  <c r="CB221" i="115"/>
  <c r="CB813" i="115"/>
  <c r="CB815" i="115" s="1"/>
  <c r="CB1533" i="115"/>
  <c r="CB984" i="115"/>
  <c r="CB1536" i="115"/>
  <c r="CB1542" i="115"/>
  <c r="CB1540" i="115"/>
  <c r="CB1548" i="115"/>
  <c r="CB609" i="115"/>
  <c r="CB983" i="115"/>
  <c r="CB611" i="115"/>
  <c r="CB612" i="115" s="1"/>
  <c r="CB648" i="115"/>
  <c r="CB1532" i="115"/>
  <c r="CB975" i="115"/>
  <c r="CB1525" i="115"/>
  <c r="CB986" i="115"/>
  <c r="CB1539" i="115"/>
  <c r="CB774" i="115"/>
  <c r="CB606" i="115"/>
  <c r="CB782" i="115" s="1"/>
  <c r="AV97" i="117"/>
  <c r="AV250" i="117" s="1"/>
  <c r="CB803" i="115"/>
  <c r="CB804" i="115" s="1"/>
  <c r="CB1538" i="115"/>
  <c r="CB656" i="115"/>
  <c r="CB1335" i="115"/>
  <c r="CB1526" i="115"/>
  <c r="CB976" i="115"/>
  <c r="CB974" i="115"/>
  <c r="CB222" i="115"/>
  <c r="CB1535" i="115"/>
  <c r="CB985" i="115"/>
  <c r="CB903" i="115"/>
  <c r="CB414" i="115"/>
  <c r="CB629" i="115"/>
  <c r="CB1549" i="115"/>
  <c r="CB977" i="115"/>
  <c r="CB1010" i="115"/>
  <c r="CC1537" i="115"/>
  <c r="CC415" i="115"/>
  <c r="CC611" i="115"/>
  <c r="CC903" i="115"/>
  <c r="CC629" i="115"/>
  <c r="CC1535" i="115"/>
  <c r="CC975" i="115"/>
  <c r="CC1545" i="115"/>
  <c r="CC985" i="115"/>
  <c r="CC982" i="115"/>
  <c r="CC1548" i="115"/>
  <c r="CC912" i="115"/>
  <c r="CC978" i="115"/>
  <c r="CC1544" i="115"/>
  <c r="CC976" i="115"/>
  <c r="AW97" i="117"/>
  <c r="AW250" i="117" s="1"/>
  <c r="CC974" i="115"/>
  <c r="CC1538" i="115"/>
  <c r="CC1549" i="115"/>
  <c r="CC414" i="115"/>
  <c r="CC1335" i="115"/>
  <c r="CC813" i="115"/>
  <c r="CC774" i="115"/>
  <c r="CC606" i="115"/>
  <c r="CC782" i="115" s="1"/>
  <c r="CC1536" i="115"/>
  <c r="CC1540" i="115"/>
  <c r="CC1526" i="115"/>
  <c r="CC221" i="115"/>
  <c r="CC643" i="115"/>
  <c r="CC648" i="115"/>
  <c r="CC1541" i="115"/>
  <c r="CC222" i="115"/>
  <c r="CC1532" i="115"/>
  <c r="CC656" i="115"/>
  <c r="CC1539" i="115"/>
  <c r="CC983" i="115"/>
  <c r="CC1525" i="115"/>
  <c r="CC1524" i="115"/>
  <c r="O46" i="123" s="1"/>
  <c r="CC986" i="115"/>
  <c r="CC760" i="115"/>
  <c r="CC1542" i="115"/>
  <c r="CC651" i="115"/>
  <c r="CC977" i="115"/>
  <c r="CC1533" i="115"/>
  <c r="CC609" i="115"/>
  <c r="CC1534" i="115"/>
  <c r="CC984" i="115"/>
  <c r="CC1543" i="115"/>
  <c r="CC1010" i="115"/>
  <c r="AX97" i="117"/>
  <c r="AX250" i="117" s="1"/>
  <c r="CD1541" i="115"/>
  <c r="CD903" i="115"/>
  <c r="CD414" i="115"/>
  <c r="CD1539" i="115"/>
  <c r="CD760" i="115"/>
  <c r="CD1536" i="115"/>
  <c r="CD1540" i="115"/>
  <c r="CD1549" i="115"/>
  <c r="CD643" i="115"/>
  <c r="CD415" i="115"/>
  <c r="CD1009" i="115"/>
  <c r="CD977" i="115"/>
  <c r="CD221" i="115"/>
  <c r="CD976" i="115"/>
  <c r="CD611" i="115"/>
  <c r="CD975" i="115"/>
  <c r="CD1525" i="115"/>
  <c r="CD1532" i="115"/>
  <c r="CD978" i="115"/>
  <c r="CD985" i="115"/>
  <c r="CD651" i="115"/>
  <c r="CD648" i="115"/>
  <c r="CD1537" i="115"/>
  <c r="CD222" i="115"/>
  <c r="CD974" i="115"/>
  <c r="CD984" i="115"/>
  <c r="CD1543" i="115"/>
  <c r="CD656" i="115"/>
  <c r="CD606" i="115"/>
  <c r="CD1534" i="115"/>
  <c r="CD1544" i="115"/>
  <c r="CD1542" i="115"/>
  <c r="CD813" i="115"/>
  <c r="CD774" i="115"/>
  <c r="CD1548" i="115"/>
  <c r="CD1524" i="115"/>
  <c r="P46" i="123" s="1"/>
  <c r="CD986" i="115"/>
  <c r="CD983" i="115"/>
  <c r="CD1545" i="115"/>
  <c r="CD1533" i="115"/>
  <c r="CD629" i="115"/>
  <c r="CD1335" i="115"/>
  <c r="CD609" i="115"/>
  <c r="CD912" i="115"/>
  <c r="CE912" i="115" s="1"/>
  <c r="CD982" i="115"/>
  <c r="CD1538" i="115"/>
  <c r="CD1526" i="115"/>
  <c r="P47" i="123" s="1"/>
  <c r="CD1535" i="115"/>
  <c r="L148" i="123"/>
  <c r="DH1318" i="115"/>
  <c r="DH1320" i="115"/>
  <c r="O47" i="123" l="1"/>
  <c r="N47" i="123"/>
  <c r="AK19" i="111"/>
  <c r="DS1436" i="115"/>
  <c r="DQ1468" i="115"/>
  <c r="DR1416" i="115"/>
  <c r="AK30" i="111" s="1"/>
  <c r="DN398" i="115"/>
  <c r="DP398" i="115"/>
  <c r="DQ398" i="115" s="1"/>
  <c r="DR398" i="115" s="1"/>
  <c r="DQ1081" i="115"/>
  <c r="DQ1085" i="115" s="1"/>
  <c r="DQ1041" i="115" s="1"/>
  <c r="DP1041" i="115"/>
  <c r="BM2" i="111"/>
  <c r="BL5" i="111"/>
  <c r="DM1468" i="115"/>
  <c r="DN1416" i="115"/>
  <c r="AJ30" i="111" s="1"/>
  <c r="DN1088" i="115"/>
  <c r="DL1090" i="115"/>
  <c r="DO1436" i="115"/>
  <c r="DU79" i="117"/>
  <c r="DW79" i="117"/>
  <c r="DV79" i="117"/>
  <c r="DJ1045" i="115"/>
  <c r="DH1346" i="115"/>
  <c r="DI1320" i="115"/>
  <c r="DL1320" i="115" s="1"/>
  <c r="DI1318" i="115"/>
  <c r="DL1318" i="115" s="1"/>
  <c r="DH402" i="115"/>
  <c r="CD782" i="115"/>
  <c r="CC784" i="115"/>
  <c r="CC783" i="115"/>
  <c r="CB783" i="115"/>
  <c r="CB784" i="115"/>
  <c r="CB1149" i="115"/>
  <c r="CD1149" i="115"/>
  <c r="CC1149" i="115"/>
  <c r="CC649" i="115"/>
  <c r="CC619" i="115"/>
  <c r="CD649" i="115"/>
  <c r="CB649" i="115"/>
  <c r="CD632" i="115"/>
  <c r="CC612" i="115"/>
  <c r="CB632" i="115"/>
  <c r="CC815" i="115"/>
  <c r="CC632" i="115"/>
  <c r="DW27" i="117"/>
  <c r="CD644" i="115"/>
  <c r="CD628" i="115"/>
  <c r="CD630" i="115" s="1"/>
  <c r="BA96" i="117"/>
  <c r="CB914" i="115"/>
  <c r="CB913" i="115"/>
  <c r="DW78" i="117"/>
  <c r="DV76" i="117"/>
  <c r="DU78" i="117"/>
  <c r="DU76" i="117"/>
  <c r="CB659" i="115"/>
  <c r="CB660" i="115" s="1"/>
  <c r="CB657" i="115"/>
  <c r="CB658" i="115" s="1"/>
  <c r="CD1547" i="115"/>
  <c r="DW29" i="117"/>
  <c r="DW76" i="117"/>
  <c r="CC607" i="115"/>
  <c r="AW8" i="117"/>
  <c r="CC634" i="115"/>
  <c r="CC608" i="115"/>
  <c r="CC913" i="115"/>
  <c r="CB610" i="115"/>
  <c r="CB644" i="115"/>
  <c r="CB628" i="115"/>
  <c r="CB630" i="115" s="1"/>
  <c r="CC610" i="115"/>
  <c r="DV77" i="117"/>
  <c r="DW30" i="117"/>
  <c r="CD608" i="115"/>
  <c r="CD634" i="115"/>
  <c r="AX8" i="117"/>
  <c r="P13" i="123"/>
  <c r="CC628" i="115"/>
  <c r="CC630" i="115" s="1"/>
  <c r="CC644" i="115"/>
  <c r="CC776" i="115"/>
  <c r="CC775" i="115"/>
  <c r="DU77" i="117"/>
  <c r="DV78" i="117"/>
  <c r="CB776" i="115"/>
  <c r="CB775" i="115"/>
  <c r="DW77" i="117"/>
  <c r="CC1547" i="115"/>
  <c r="CH3" i="115"/>
  <c r="CJ2" i="115"/>
  <c r="CD776" i="115"/>
  <c r="CD657" i="115"/>
  <c r="CD659" i="115"/>
  <c r="CC659" i="115"/>
  <c r="CC657" i="115"/>
  <c r="CB608" i="115"/>
  <c r="CB634" i="115"/>
  <c r="AV8" i="117"/>
  <c r="CB607" i="115"/>
  <c r="CB1547" i="115"/>
  <c r="BH20" i="117"/>
  <c r="AK22" i="111" l="1"/>
  <c r="AK27" i="111"/>
  <c r="AJ22" i="111"/>
  <c r="AJ27" i="111"/>
  <c r="DR1468" i="115"/>
  <c r="FK41" i="117" s="1"/>
  <c r="DR1041" i="115"/>
  <c r="BN2" i="111"/>
  <c r="BM5" i="111"/>
  <c r="DN1468" i="115"/>
  <c r="DM1318" i="115"/>
  <c r="DP1318" i="115" s="1"/>
  <c r="DM1320" i="115"/>
  <c r="DP1320" i="115" s="1"/>
  <c r="DM1088" i="115"/>
  <c r="DM1090" i="115" s="1"/>
  <c r="DM1044" i="115" s="1"/>
  <c r="DL1044" i="115"/>
  <c r="DG1294" i="115"/>
  <c r="DJ1095" i="115"/>
  <c r="DL1093" i="115" s="1"/>
  <c r="DH404" i="115"/>
  <c r="DJ402" i="115"/>
  <c r="DJ404" i="115" s="1"/>
  <c r="DH1350" i="115"/>
  <c r="DH1351" i="115" s="1"/>
  <c r="DH1294" i="115" s="1"/>
  <c r="DJ1346" i="115"/>
  <c r="CD784" i="115"/>
  <c r="CC650" i="115"/>
  <c r="P14" i="123"/>
  <c r="P112" i="123" s="1"/>
  <c r="CB645" i="115"/>
  <c r="CB650" i="115"/>
  <c r="CC631" i="115"/>
  <c r="CC645" i="115"/>
  <c r="CC660" i="115"/>
  <c r="CC658" i="115"/>
  <c r="CB631" i="115"/>
  <c r="CD631" i="115"/>
  <c r="CJ3" i="115"/>
  <c r="CK2" i="115"/>
  <c r="CC1546" i="115"/>
  <c r="DW31" i="117"/>
  <c r="AX251" i="117"/>
  <c r="CC633" i="115"/>
  <c r="CH4" i="115"/>
  <c r="BB96" i="117"/>
  <c r="CG4" i="115"/>
  <c r="CG1152" i="115" s="1"/>
  <c r="CF4" i="115"/>
  <c r="CF1152" i="115" s="1"/>
  <c r="CD633" i="115"/>
  <c r="DW28" i="117"/>
  <c r="AV251" i="117"/>
  <c r="CB633" i="115"/>
  <c r="CD1546" i="115"/>
  <c r="P111" i="123"/>
  <c r="P58" i="123"/>
  <c r="P94" i="123" s="1"/>
  <c r="CB1546" i="115"/>
  <c r="AW251" i="117"/>
  <c r="BH69" i="117"/>
  <c r="BH164" i="117"/>
  <c r="BH166" i="117" s="1"/>
  <c r="BH118" i="117" s="1"/>
  <c r="BH238" i="117"/>
  <c r="DQ1320" i="115" l="1"/>
  <c r="DQ1318" i="115"/>
  <c r="BO2" i="111"/>
  <c r="BN5" i="111"/>
  <c r="FG41" i="117"/>
  <c r="DL402" i="115"/>
  <c r="DN1093" i="115"/>
  <c r="DL1095" i="115"/>
  <c r="DL1284" i="115"/>
  <c r="DL471" i="115"/>
  <c r="DL475" i="115"/>
  <c r="DM1284" i="115"/>
  <c r="DN1284" i="115" s="1"/>
  <c r="DN1044" i="115"/>
  <c r="DM471" i="115"/>
  <c r="DM475" i="115"/>
  <c r="DI1346" i="115"/>
  <c r="DH396" i="115"/>
  <c r="DI402" i="115"/>
  <c r="DI404" i="115" s="1"/>
  <c r="CH1152" i="115"/>
  <c r="CH1151" i="115" s="1"/>
  <c r="P59" i="123"/>
  <c r="CF238" i="115"/>
  <c r="CF237" i="115"/>
  <c r="CF618" i="115"/>
  <c r="CF619" i="115" s="1"/>
  <c r="CG237" i="115"/>
  <c r="CG238" i="115"/>
  <c r="CG618" i="115"/>
  <c r="CH238" i="115"/>
  <c r="CH237" i="115"/>
  <c r="CH618" i="115"/>
  <c r="P148" i="123"/>
  <c r="CF1544" i="115"/>
  <c r="CF984" i="115"/>
  <c r="CF978" i="115"/>
  <c r="CF903" i="115"/>
  <c r="CF1541" i="115"/>
  <c r="CF1532" i="115"/>
  <c r="CF985" i="115"/>
  <c r="CF1524" i="115"/>
  <c r="R46" i="123" s="1"/>
  <c r="CF1534" i="115"/>
  <c r="CF1533" i="115"/>
  <c r="CF415" i="115"/>
  <c r="CF760" i="115"/>
  <c r="CF1335" i="115"/>
  <c r="CF1537" i="115"/>
  <c r="CF986" i="115"/>
  <c r="CF629" i="115"/>
  <c r="CF975" i="115"/>
  <c r="CF1538" i="115"/>
  <c r="CF774" i="115"/>
  <c r="CF1549" i="115"/>
  <c r="CF606" i="115"/>
  <c r="CF782" i="115" s="1"/>
  <c r="CF1535" i="115"/>
  <c r="CF977" i="115"/>
  <c r="CF611" i="115"/>
  <c r="CF612" i="115" s="1"/>
  <c r="CF656" i="115"/>
  <c r="CF643" i="115"/>
  <c r="CF648" i="115"/>
  <c r="CF976" i="115"/>
  <c r="CF1542" i="115"/>
  <c r="CF1548" i="115"/>
  <c r="CF222" i="115"/>
  <c r="CF1539" i="115"/>
  <c r="CF1543" i="115"/>
  <c r="CF221" i="115"/>
  <c r="CF1526" i="115"/>
  <c r="CF982" i="115"/>
  <c r="CF983" i="115"/>
  <c r="CF651" i="115"/>
  <c r="AZ97" i="117"/>
  <c r="AZ250" i="117" s="1"/>
  <c r="CF414" i="115"/>
  <c r="CF912" i="115"/>
  <c r="CF609" i="115"/>
  <c r="CF1545" i="115"/>
  <c r="CF1540" i="115"/>
  <c r="CF1536" i="115"/>
  <c r="CF974" i="115"/>
  <c r="CF1525" i="115"/>
  <c r="CF1010" i="115"/>
  <c r="CG629" i="115"/>
  <c r="CG609" i="115"/>
  <c r="CG1538" i="115"/>
  <c r="CG977" i="115"/>
  <c r="CG1537" i="115"/>
  <c r="CG985" i="115"/>
  <c r="CG984" i="115"/>
  <c r="CG1543" i="115"/>
  <c r="CG414" i="115"/>
  <c r="CG656" i="115"/>
  <c r="CG1532" i="115"/>
  <c r="CG1544" i="115"/>
  <c r="CG1540" i="115"/>
  <c r="CG1539" i="115"/>
  <c r="CG760" i="115"/>
  <c r="CG222" i="115"/>
  <c r="CG1542" i="115"/>
  <c r="CG1526" i="115"/>
  <c r="CG975" i="115"/>
  <c r="CG415" i="115"/>
  <c r="CG606" i="115"/>
  <c r="CG782" i="115" s="1"/>
  <c r="CG976" i="115"/>
  <c r="CG986" i="115"/>
  <c r="CG1534" i="115"/>
  <c r="CG221" i="115"/>
  <c r="CG903" i="115"/>
  <c r="CG611" i="115"/>
  <c r="CG1535" i="115"/>
  <c r="CG974" i="115"/>
  <c r="CG1525" i="115"/>
  <c r="CG1524" i="115"/>
  <c r="S46" i="123" s="1"/>
  <c r="CG983" i="115"/>
  <c r="CG774" i="115"/>
  <c r="CG1545" i="115"/>
  <c r="CG1541" i="115"/>
  <c r="BA97" i="117"/>
  <c r="BA250" i="117" s="1"/>
  <c r="CG1549" i="115"/>
  <c r="CG648" i="115"/>
  <c r="CG651" i="115"/>
  <c r="CG1533" i="115"/>
  <c r="CG643" i="115"/>
  <c r="CG1536" i="115"/>
  <c r="CG978" i="115"/>
  <c r="CG1335" i="115"/>
  <c r="CG982" i="115"/>
  <c r="CG912" i="115"/>
  <c r="CG1548" i="115"/>
  <c r="CG1010" i="115"/>
  <c r="CK3" i="115"/>
  <c r="CL2" i="115"/>
  <c r="CH643" i="115"/>
  <c r="CH1539" i="115"/>
  <c r="CH1544" i="115"/>
  <c r="CH984" i="115"/>
  <c r="CH1549" i="115"/>
  <c r="CH1537" i="115"/>
  <c r="CH1009" i="115"/>
  <c r="CH648" i="115"/>
  <c r="CH651" i="115"/>
  <c r="CH977" i="115"/>
  <c r="CH1534" i="115"/>
  <c r="CH1525" i="115"/>
  <c r="CH1524" i="115"/>
  <c r="T46" i="123" s="1"/>
  <c r="CH1542" i="115"/>
  <c r="BB97" i="117"/>
  <c r="BB250" i="117" s="1"/>
  <c r="CH1540" i="115"/>
  <c r="CH606" i="115"/>
  <c r="CH978" i="115"/>
  <c r="CH1526" i="115"/>
  <c r="T47" i="123" s="1"/>
  <c r="CH912" i="115"/>
  <c r="CI912" i="115" s="1"/>
  <c r="CH629" i="115"/>
  <c r="CH1535" i="115"/>
  <c r="CH975" i="115"/>
  <c r="CH1533" i="115"/>
  <c r="CH414" i="115"/>
  <c r="CH983" i="115"/>
  <c r="CH774" i="115"/>
  <c r="CH1335" i="115"/>
  <c r="CH611" i="115"/>
  <c r="CH974" i="115"/>
  <c r="CH222" i="115"/>
  <c r="CH609" i="115"/>
  <c r="CH982" i="115"/>
  <c r="CH1548" i="115"/>
  <c r="CH1532" i="115"/>
  <c r="CH221" i="115"/>
  <c r="CH986" i="115"/>
  <c r="CH656" i="115"/>
  <c r="CH903" i="115"/>
  <c r="CH976" i="115"/>
  <c r="CH1536" i="115"/>
  <c r="CH1545" i="115"/>
  <c r="CH415" i="115"/>
  <c r="CH1543" i="115"/>
  <c r="CH1541" i="115"/>
  <c r="CH760" i="115"/>
  <c r="CH985" i="115"/>
  <c r="CH1538" i="115"/>
  <c r="S47" i="123" l="1"/>
  <c r="R47" i="123"/>
  <c r="DN1090" i="115"/>
  <c r="DP1088" i="115" s="1"/>
  <c r="BP2" i="111"/>
  <c r="BO5" i="111"/>
  <c r="DN471" i="115"/>
  <c r="DM1093" i="115"/>
  <c r="DM1095" i="115" s="1"/>
  <c r="DM1045" i="115" s="1"/>
  <c r="DL1045" i="115"/>
  <c r="DN402" i="115"/>
  <c r="DN404" i="115" s="1"/>
  <c r="DL404" i="115"/>
  <c r="DN475" i="115"/>
  <c r="EA79" i="117"/>
  <c r="DH1370" i="115"/>
  <c r="DI396" i="115"/>
  <c r="DJ396" i="115" s="1"/>
  <c r="DI1350" i="115"/>
  <c r="DJ1350" i="115" s="1"/>
  <c r="CG783" i="115"/>
  <c r="CG784" i="115"/>
  <c r="CF783" i="115"/>
  <c r="CF784" i="115"/>
  <c r="CH782" i="115"/>
  <c r="CH1149" i="115"/>
  <c r="CG1149" i="115"/>
  <c r="CF1149" i="115"/>
  <c r="CF649" i="115"/>
  <c r="CG649" i="115"/>
  <c r="CH649" i="115"/>
  <c r="CG619" i="115"/>
  <c r="CF632" i="115"/>
  <c r="CG612" i="115"/>
  <c r="CG632" i="115"/>
  <c r="CF659" i="115"/>
  <c r="CF660" i="115" s="1"/>
  <c r="CF657" i="115"/>
  <c r="CF658" i="115" s="1"/>
  <c r="CF776" i="115"/>
  <c r="CF775" i="115"/>
  <c r="CH657" i="115"/>
  <c r="CH659" i="115"/>
  <c r="CG913" i="115"/>
  <c r="DZ77" i="117"/>
  <c r="CG659" i="115"/>
  <c r="CG657" i="115"/>
  <c r="CF610" i="115"/>
  <c r="EA77" i="117"/>
  <c r="EA76" i="117"/>
  <c r="CN2" i="115"/>
  <c r="CL3" i="115"/>
  <c r="CF644" i="115"/>
  <c r="CF628" i="115"/>
  <c r="CF630" i="115" s="1"/>
  <c r="EA30" i="117"/>
  <c r="CH1547" i="115"/>
  <c r="EA29" i="117"/>
  <c r="CH628" i="115"/>
  <c r="CH630" i="115" s="1"/>
  <c r="CH644" i="115"/>
  <c r="EA27" i="117"/>
  <c r="CG610" i="115"/>
  <c r="DY77" i="117"/>
  <c r="CF1547" i="115"/>
  <c r="CH776" i="115"/>
  <c r="CH632" i="115"/>
  <c r="CG644" i="115"/>
  <c r="CG628" i="115"/>
  <c r="CG630" i="115" s="1"/>
  <c r="EA78" i="117"/>
  <c r="CG776" i="115"/>
  <c r="CG775" i="115"/>
  <c r="CG607" i="115"/>
  <c r="BA8" i="117"/>
  <c r="CG608" i="115"/>
  <c r="CG634" i="115"/>
  <c r="CF913" i="115"/>
  <c r="CF914" i="115"/>
  <c r="T13" i="123"/>
  <c r="CH608" i="115"/>
  <c r="CH634" i="115"/>
  <c r="BB8" i="117"/>
  <c r="CG1547" i="115"/>
  <c r="CF634" i="115"/>
  <c r="CF608" i="115"/>
  <c r="CF607" i="115"/>
  <c r="AZ8" i="117"/>
  <c r="DP402" i="115" l="1"/>
  <c r="DR1088" i="115"/>
  <c r="DP1090" i="115"/>
  <c r="BQ2" i="111"/>
  <c r="BP5" i="111"/>
  <c r="DN1045" i="115"/>
  <c r="DM402" i="115"/>
  <c r="DM404" i="115" s="1"/>
  <c r="DL396" i="115"/>
  <c r="DI1351" i="115"/>
  <c r="DL1346" i="115" s="1"/>
  <c r="DJ1352" i="115"/>
  <c r="DJ1351" i="115"/>
  <c r="DK1351" i="115" s="1"/>
  <c r="CH784" i="115"/>
  <c r="T14" i="123"/>
  <c r="T59" i="123" s="1"/>
  <c r="CF650" i="115"/>
  <c r="CF645" i="115"/>
  <c r="CG650" i="115"/>
  <c r="CF631" i="115"/>
  <c r="CG631" i="115"/>
  <c r="CG645" i="115"/>
  <c r="CG660" i="115"/>
  <c r="CG658" i="115"/>
  <c r="CG1546" i="115"/>
  <c r="EA31" i="117"/>
  <c r="BB251" i="117"/>
  <c r="CG633" i="115"/>
  <c r="CH633" i="115"/>
  <c r="AZ251" i="117"/>
  <c r="CF633" i="115"/>
  <c r="T111" i="123"/>
  <c r="T58" i="123"/>
  <c r="T94" i="123" s="1"/>
  <c r="CF1546" i="115"/>
  <c r="CK4" i="115"/>
  <c r="CK1152" i="115" s="1"/>
  <c r="CJ4" i="115"/>
  <c r="CJ1152" i="115" s="1"/>
  <c r="BF96" i="117"/>
  <c r="CL4" i="115"/>
  <c r="CH631" i="115"/>
  <c r="CH1546" i="115"/>
  <c r="BA251" i="117"/>
  <c r="EA28" i="117"/>
  <c r="CO2" i="115"/>
  <c r="CN3" i="115"/>
  <c r="DQ1088" i="115" l="1"/>
  <c r="DQ1090" i="115" s="1"/>
  <c r="DQ1044" i="115" s="1"/>
  <c r="DP1044" i="115"/>
  <c r="DP404" i="115"/>
  <c r="DR402" i="115"/>
  <c r="DR404" i="115" s="1"/>
  <c r="BR2" i="111"/>
  <c r="BQ5" i="111"/>
  <c r="DN1095" i="115"/>
  <c r="DP1093" i="115" s="1"/>
  <c r="DM396" i="115"/>
  <c r="DN396" i="115" s="1"/>
  <c r="DL1350" i="115"/>
  <c r="DL1351" i="115" s="1"/>
  <c r="DN1346" i="115"/>
  <c r="DI1294" i="115"/>
  <c r="T112" i="123"/>
  <c r="CL1152" i="115"/>
  <c r="CL1151" i="115" s="1"/>
  <c r="CJ238" i="115"/>
  <c r="CJ237" i="115"/>
  <c r="CJ618" i="115"/>
  <c r="CJ619" i="115" s="1"/>
  <c r="CK237" i="115"/>
  <c r="CK238" i="115"/>
  <c r="CK618" i="115"/>
  <c r="CL237" i="115"/>
  <c r="EE74" i="117" s="1"/>
  <c r="CL238" i="115"/>
  <c r="EE75" i="117" s="1"/>
  <c r="CL618" i="115"/>
  <c r="CJ912" i="115"/>
  <c r="CK912" i="115"/>
  <c r="CJ648" i="115"/>
  <c r="CJ414" i="115"/>
  <c r="CJ977" i="115"/>
  <c r="CJ1548" i="115"/>
  <c r="CJ903" i="115"/>
  <c r="CJ415" i="115"/>
  <c r="CJ609" i="115"/>
  <c r="CJ1525" i="115"/>
  <c r="CJ1543" i="115"/>
  <c r="CJ221" i="115"/>
  <c r="CJ986" i="115"/>
  <c r="CJ1542" i="115"/>
  <c r="CJ611" i="115"/>
  <c r="CJ612" i="115" s="1"/>
  <c r="CJ983" i="115"/>
  <c r="CJ1541" i="115"/>
  <c r="CJ974" i="115"/>
  <c r="CJ774" i="115"/>
  <c r="CJ982" i="115"/>
  <c r="CJ629" i="115"/>
  <c r="CJ1532" i="115"/>
  <c r="CJ1536" i="115"/>
  <c r="CJ222" i="115"/>
  <c r="CJ606" i="115"/>
  <c r="CJ782" i="115" s="1"/>
  <c r="CJ1335" i="115"/>
  <c r="CJ1526" i="115"/>
  <c r="CJ976" i="115"/>
  <c r="CJ978" i="115"/>
  <c r="CJ985" i="115"/>
  <c r="CJ1538" i="115"/>
  <c r="CJ656" i="115"/>
  <c r="CJ975" i="115"/>
  <c r="CJ1524" i="115"/>
  <c r="CJ1534" i="115"/>
  <c r="CJ651" i="115"/>
  <c r="CJ1539" i="115"/>
  <c r="CJ1544" i="115"/>
  <c r="CJ1537" i="115"/>
  <c r="CJ984" i="115"/>
  <c r="CJ1549" i="115"/>
  <c r="CJ1540" i="115"/>
  <c r="CJ1533" i="115"/>
  <c r="CJ760" i="115"/>
  <c r="CJ1535" i="115"/>
  <c r="CJ1545" i="115"/>
  <c r="CJ643" i="115"/>
  <c r="CJ1010" i="115"/>
  <c r="CP2" i="115"/>
  <c r="CO3" i="115"/>
  <c r="T148" i="123"/>
  <c r="CL976" i="115"/>
  <c r="CL1538" i="115"/>
  <c r="CL222" i="115"/>
  <c r="CL643" i="115"/>
  <c r="CL985" i="115"/>
  <c r="CL1532" i="115"/>
  <c r="CL415" i="115"/>
  <c r="CL760" i="115"/>
  <c r="CL629" i="115"/>
  <c r="CL1543" i="115"/>
  <c r="CL651" i="115"/>
  <c r="CL984" i="115"/>
  <c r="CL1524" i="115"/>
  <c r="CL1542" i="115"/>
  <c r="CL1539" i="115"/>
  <c r="CL611" i="115"/>
  <c r="CL1525" i="115"/>
  <c r="CL1534" i="115"/>
  <c r="CL414" i="115"/>
  <c r="CL1335" i="115"/>
  <c r="CL982" i="115"/>
  <c r="CL606" i="115"/>
  <c r="CL1009" i="115"/>
  <c r="CL975" i="115"/>
  <c r="CL912" i="115"/>
  <c r="CL978" i="115"/>
  <c r="CL648" i="115"/>
  <c r="CL609" i="115"/>
  <c r="CL774" i="115"/>
  <c r="CL1540" i="115"/>
  <c r="CL1549" i="115"/>
  <c r="CL1533" i="115"/>
  <c r="CL974" i="115"/>
  <c r="CL1544" i="115"/>
  <c r="CL1548" i="115"/>
  <c r="CL656" i="115"/>
  <c r="BF97" i="117"/>
  <c r="BF250" i="117" s="1"/>
  <c r="CL1537" i="115"/>
  <c r="CL903" i="115"/>
  <c r="CL1526" i="115"/>
  <c r="X47" i="123" s="1"/>
  <c r="CL986" i="115"/>
  <c r="CL977" i="115"/>
  <c r="CL1535" i="115"/>
  <c r="CL983" i="115"/>
  <c r="CL1536" i="115"/>
  <c r="CL1541" i="115"/>
  <c r="CL221" i="115"/>
  <c r="CL1545" i="115"/>
  <c r="CK978" i="115"/>
  <c r="CK1549" i="115"/>
  <c r="CK609" i="115"/>
  <c r="CK656" i="115"/>
  <c r="CK983" i="115"/>
  <c r="CK651" i="115"/>
  <c r="CK611" i="115"/>
  <c r="CK760" i="115"/>
  <c r="CK1525" i="115"/>
  <c r="CK984" i="115"/>
  <c r="CK1542" i="115"/>
  <c r="CK1548" i="115"/>
  <c r="CK982" i="115"/>
  <c r="CK221" i="115"/>
  <c r="CK415" i="115"/>
  <c r="CK1335" i="115"/>
  <c r="CK1526" i="115"/>
  <c r="CK606" i="115"/>
  <c r="CK782" i="115" s="1"/>
  <c r="CK222" i="115"/>
  <c r="CK976" i="115"/>
  <c r="CK903" i="115"/>
  <c r="CK648" i="115"/>
  <c r="CK1534" i="115"/>
  <c r="CK1545" i="115"/>
  <c r="CK1532" i="115"/>
  <c r="CK977" i="115"/>
  <c r="CK1544" i="115"/>
  <c r="CK986" i="115"/>
  <c r="CK1541" i="115"/>
  <c r="CK975" i="115"/>
  <c r="CK1536" i="115"/>
  <c r="CK1543" i="115"/>
  <c r="CK643" i="115"/>
  <c r="CK414" i="115"/>
  <c r="CK985" i="115"/>
  <c r="CK1537" i="115"/>
  <c r="CK1524" i="115"/>
  <c r="CK1535" i="115"/>
  <c r="CK1538" i="115"/>
  <c r="CK629" i="115"/>
  <c r="CK974" i="115"/>
  <c r="CK1533" i="115"/>
  <c r="CK1539" i="115"/>
  <c r="CK774" i="115"/>
  <c r="CK1540" i="115"/>
  <c r="CK1010" i="115"/>
  <c r="W47" i="123" l="1"/>
  <c r="V47" i="123"/>
  <c r="DR1093" i="115"/>
  <c r="DP1095" i="115"/>
  <c r="DP396" i="115"/>
  <c r="DQ402" i="115"/>
  <c r="DQ404" i="115" s="1"/>
  <c r="DP1284" i="115"/>
  <c r="DP475" i="115"/>
  <c r="DP471" i="115"/>
  <c r="DQ475" i="115"/>
  <c r="DQ471" i="115"/>
  <c r="DR1044" i="115"/>
  <c r="DQ1284" i="115"/>
  <c r="DR1284" i="115" s="1"/>
  <c r="BS2" i="111"/>
  <c r="BR5" i="111"/>
  <c r="DM1346" i="115"/>
  <c r="DL1294" i="115"/>
  <c r="DK1294" i="115"/>
  <c r="DJ1294" i="115"/>
  <c r="DI1370" i="115"/>
  <c r="EE79" i="117"/>
  <c r="CJ624" i="115"/>
  <c r="CK624" i="115"/>
  <c r="CJ783" i="115"/>
  <c r="CJ625" i="115" s="1"/>
  <c r="CJ784" i="115"/>
  <c r="CL782" i="115"/>
  <c r="CK783" i="115"/>
  <c r="CK625" i="115" s="1"/>
  <c r="CK784" i="115"/>
  <c r="CK1149" i="115"/>
  <c r="CL1149" i="115"/>
  <c r="CJ1149" i="115"/>
  <c r="W46" i="123"/>
  <c r="X46" i="123"/>
  <c r="V46" i="123"/>
  <c r="CK619" i="115"/>
  <c r="CL649" i="115"/>
  <c r="CK649" i="115"/>
  <c r="CJ649" i="115"/>
  <c r="CM912" i="115"/>
  <c r="CL632" i="115"/>
  <c r="CK632" i="115"/>
  <c r="EE27" i="117"/>
  <c r="EE76" i="117"/>
  <c r="CJ913" i="115"/>
  <c r="CJ914" i="115"/>
  <c r="ED78" i="117"/>
  <c r="EE78" i="117"/>
  <c r="CP3" i="115"/>
  <c r="CR2" i="115"/>
  <c r="CJ610" i="115"/>
  <c r="CK644" i="115"/>
  <c r="CK628" i="115"/>
  <c r="CK630" i="115" s="1"/>
  <c r="CL608" i="115"/>
  <c r="CL634" i="115"/>
  <c r="BF8" i="117"/>
  <c r="X13" i="123"/>
  <c r="CJ776" i="115"/>
  <c r="CJ775" i="115"/>
  <c r="CK775" i="115"/>
  <c r="CK776" i="115"/>
  <c r="ED77" i="117"/>
  <c r="CK1547" i="115"/>
  <c r="CK913" i="115"/>
  <c r="CJ644" i="115"/>
  <c r="CJ628" i="115"/>
  <c r="CJ630" i="115" s="1"/>
  <c r="CL657" i="115"/>
  <c r="CL659" i="115"/>
  <c r="CL776" i="115"/>
  <c r="CJ659" i="115"/>
  <c r="CJ660" i="115" s="1"/>
  <c r="CJ657" i="115"/>
  <c r="CJ658" i="115" s="1"/>
  <c r="CK657" i="115"/>
  <c r="CK659" i="115"/>
  <c r="EE30" i="117"/>
  <c r="CL628" i="115"/>
  <c r="CL630" i="115" s="1"/>
  <c r="CL644" i="115"/>
  <c r="BD8" i="117"/>
  <c r="CJ608" i="115"/>
  <c r="CJ634" i="115"/>
  <c r="CJ607" i="115"/>
  <c r="EC78" i="117"/>
  <c r="CK610" i="115"/>
  <c r="CJ632" i="115"/>
  <c r="CK607" i="115"/>
  <c r="BE8" i="117"/>
  <c r="CK634" i="115"/>
  <c r="CK608" i="115"/>
  <c r="CK612" i="115"/>
  <c r="CL1547" i="115"/>
  <c r="EE29" i="117"/>
  <c r="EE77" i="117"/>
  <c r="CJ1547" i="115"/>
  <c r="EC77" i="117"/>
  <c r="BH18" i="117"/>
  <c r="DR1090" i="115" l="1"/>
  <c r="DQ396" i="115"/>
  <c r="DR396" i="115" s="1"/>
  <c r="DR475" i="115"/>
  <c r="DR471" i="115"/>
  <c r="DP1045" i="115"/>
  <c r="DQ1093" i="115"/>
  <c r="DQ1095" i="115" s="1"/>
  <c r="DQ1045" i="115" s="1"/>
  <c r="BT2" i="111"/>
  <c r="BS5" i="111"/>
  <c r="DL1370" i="115"/>
  <c r="DM1350" i="115"/>
  <c r="DN1350" i="115" s="1"/>
  <c r="CL784" i="115"/>
  <c r="CL624" i="115"/>
  <c r="X14" i="123"/>
  <c r="X112" i="123" s="1"/>
  <c r="CK650" i="115"/>
  <c r="CJ645" i="115"/>
  <c r="CJ650" i="115"/>
  <c r="CL631" i="115"/>
  <c r="CK631" i="115"/>
  <c r="CK658" i="115"/>
  <c r="CL1546" i="115"/>
  <c r="BE251" i="117"/>
  <c r="CK1546" i="115"/>
  <c r="CL633" i="115"/>
  <c r="CJ631" i="115"/>
  <c r="CJ1546" i="115"/>
  <c r="BD251" i="117"/>
  <c r="X111" i="123"/>
  <c r="X58" i="123"/>
  <c r="CR3" i="115"/>
  <c r="CS2" i="115"/>
  <c r="EE28" i="117"/>
  <c r="CK633" i="115"/>
  <c r="EE31" i="117"/>
  <c r="BF251" i="117"/>
  <c r="CK645" i="115"/>
  <c r="BJ96" i="117"/>
  <c r="CP4" i="115"/>
  <c r="CO4" i="115"/>
  <c r="CO1528" i="115" s="1"/>
  <c r="CN4" i="115"/>
  <c r="CN1152" i="115" s="1"/>
  <c r="CJ633" i="115"/>
  <c r="CK660" i="115"/>
  <c r="BH235" i="117"/>
  <c r="BH67" i="117"/>
  <c r="BH146" i="117"/>
  <c r="DR1045" i="115" l="1"/>
  <c r="BU2" i="111"/>
  <c r="BT5" i="111"/>
  <c r="DM1351" i="115"/>
  <c r="DN1352" i="115"/>
  <c r="DN1351" i="115"/>
  <c r="DO1351" i="115" s="1"/>
  <c r="CO1152" i="115"/>
  <c r="CO1153" i="115" s="1"/>
  <c r="CO1154" i="115" s="1"/>
  <c r="CO1155" i="115" s="1"/>
  <c r="CO1156" i="115" s="1"/>
  <c r="CO1527" i="115"/>
  <c r="X59" i="123"/>
  <c r="CO238" i="115"/>
  <c r="EH75" i="117" s="1"/>
  <c r="CO237" i="115"/>
  <c r="EH74" i="117" s="1"/>
  <c r="CO618" i="115"/>
  <c r="CP238" i="115"/>
  <c r="EI75" i="117" s="1"/>
  <c r="CP237" i="115"/>
  <c r="EI74" i="117" s="1"/>
  <c r="CP618" i="115"/>
  <c r="CN238" i="115"/>
  <c r="EG75" i="117" s="1"/>
  <c r="CN237" i="115"/>
  <c r="EG74" i="117" s="1"/>
  <c r="CN618" i="115"/>
  <c r="CP1544" i="115"/>
  <c r="CP1541" i="115"/>
  <c r="CP1532" i="115"/>
  <c r="CP1542" i="115"/>
  <c r="CP1539" i="115"/>
  <c r="CP1537" i="115"/>
  <c r="CP1533" i="115"/>
  <c r="CP1535" i="115"/>
  <c r="CP1534" i="115"/>
  <c r="CP1536" i="115"/>
  <c r="CP1538" i="115"/>
  <c r="CP1548" i="115"/>
  <c r="CP1540" i="115"/>
  <c r="CP1525" i="115"/>
  <c r="CP1543" i="115"/>
  <c r="CP1545" i="115"/>
  <c r="CP1549" i="115"/>
  <c r="CP1524" i="115"/>
  <c r="CP1526" i="115"/>
  <c r="AB47" i="123" s="1"/>
  <c r="CO1542" i="115"/>
  <c r="CO1544" i="115"/>
  <c r="CO1532" i="115"/>
  <c r="CO1539" i="115"/>
  <c r="CO1541" i="115"/>
  <c r="CO1533" i="115"/>
  <c r="CO1536" i="115"/>
  <c r="CO1534" i="115"/>
  <c r="CO1537" i="115"/>
  <c r="CO1535" i="115"/>
  <c r="CO1538" i="115"/>
  <c r="CO1548" i="115"/>
  <c r="CO1540" i="115"/>
  <c r="CO1525" i="115"/>
  <c r="CO1543" i="115"/>
  <c r="CO1545" i="115"/>
  <c r="CO1549" i="115"/>
  <c r="CO1524" i="115"/>
  <c r="CO1526" i="115"/>
  <c r="AA47" i="123" s="1"/>
  <c r="CO912" i="115"/>
  <c r="CO976" i="115"/>
  <c r="CO977" i="115"/>
  <c r="CO986" i="115"/>
  <c r="CO651" i="115"/>
  <c r="CO222" i="115"/>
  <c r="CO221" i="115"/>
  <c r="CO606" i="115"/>
  <c r="CO611" i="115"/>
  <c r="CO643" i="115"/>
  <c r="CO629" i="115"/>
  <c r="CO609" i="115"/>
  <c r="CO760" i="115"/>
  <c r="CO903" i="115"/>
  <c r="CO648" i="115"/>
  <c r="CO656" i="115"/>
  <c r="CO774" i="115"/>
  <c r="CO1335" i="115"/>
  <c r="CO982" i="115"/>
  <c r="CO974" i="115"/>
  <c r="CO983" i="115"/>
  <c r="CO975" i="115"/>
  <c r="CO984" i="115"/>
  <c r="CO414" i="115"/>
  <c r="CO415" i="115"/>
  <c r="CO1010" i="115"/>
  <c r="CP414" i="115"/>
  <c r="CP648" i="115"/>
  <c r="CP651" i="115"/>
  <c r="CP415" i="115"/>
  <c r="CP222" i="115"/>
  <c r="CP977" i="115"/>
  <c r="CP221" i="115"/>
  <c r="CP606" i="115"/>
  <c r="CP609" i="115"/>
  <c r="CP976" i="115"/>
  <c r="CP986" i="115"/>
  <c r="CP611" i="115"/>
  <c r="CP643" i="115"/>
  <c r="CP629" i="115"/>
  <c r="CP912" i="115"/>
  <c r="CQ912" i="115" s="1"/>
  <c r="CP1009" i="115"/>
  <c r="CP974" i="115"/>
  <c r="CP982" i="115"/>
  <c r="CP903" i="115"/>
  <c r="CP656" i="115"/>
  <c r="CP983" i="115"/>
  <c r="CP975" i="115"/>
  <c r="CP760" i="115"/>
  <c r="CP774" i="115"/>
  <c r="CP1335" i="115"/>
  <c r="CP984" i="115"/>
  <c r="CN912" i="115"/>
  <c r="CN415" i="115"/>
  <c r="CN1541" i="115"/>
  <c r="CN977" i="115"/>
  <c r="CN1533" i="115"/>
  <c r="CN1532" i="115"/>
  <c r="CN651" i="115"/>
  <c r="CN1537" i="115"/>
  <c r="CN1539" i="115"/>
  <c r="CN978" i="115"/>
  <c r="CN611" i="115"/>
  <c r="CN612" i="115" s="1"/>
  <c r="CN609" i="115"/>
  <c r="CN222" i="115"/>
  <c r="CN643" i="115"/>
  <c r="CN606" i="115"/>
  <c r="CN1534" i="115"/>
  <c r="CN1535" i="115"/>
  <c r="CN1542" i="115"/>
  <c r="CN1544" i="115"/>
  <c r="CN1538" i="115"/>
  <c r="CN975" i="115"/>
  <c r="CN648" i="115"/>
  <c r="CN903" i="115"/>
  <c r="CN760" i="115"/>
  <c r="CN1536" i="115"/>
  <c r="CN1525" i="115"/>
  <c r="CN221" i="115"/>
  <c r="CN629" i="115"/>
  <c r="CN1548" i="115"/>
  <c r="CN1540" i="115"/>
  <c r="CN1545" i="115"/>
  <c r="CN974" i="115"/>
  <c r="CN774" i="115"/>
  <c r="CN976" i="115"/>
  <c r="CN1543" i="115"/>
  <c r="CN656" i="115"/>
  <c r="CN982" i="115"/>
  <c r="CN1549" i="115"/>
  <c r="CN986" i="115"/>
  <c r="CN1526" i="115"/>
  <c r="Z47" i="123" s="1"/>
  <c r="CN983" i="115"/>
  <c r="CN1524" i="115"/>
  <c r="Z46" i="123" s="1"/>
  <c r="CN1335" i="115"/>
  <c r="CN984" i="115"/>
  <c r="CN985" i="115"/>
  <c r="CN414" i="115"/>
  <c r="CN1010" i="115"/>
  <c r="X94" i="123"/>
  <c r="BJ97" i="117"/>
  <c r="CT2" i="115"/>
  <c r="CS3" i="115"/>
  <c r="X148" i="123"/>
  <c r="BH154" i="117"/>
  <c r="BH156" i="117"/>
  <c r="BH237" i="117"/>
  <c r="BH239" i="117" s="1"/>
  <c r="DR1095" i="115" l="1"/>
  <c r="DM1294" i="115"/>
  <c r="DP1346" i="115"/>
  <c r="BV2" i="111"/>
  <c r="BU5" i="111"/>
  <c r="CO782" i="115"/>
  <c r="CN782" i="115"/>
  <c r="CP782" i="115"/>
  <c r="BJ9" i="117"/>
  <c r="CN621" i="115"/>
  <c r="CO621" i="115"/>
  <c r="CP776" i="115"/>
  <c r="CP621" i="115"/>
  <c r="CN1149" i="115"/>
  <c r="CP1149" i="115"/>
  <c r="CO1149" i="115"/>
  <c r="CP1152" i="115"/>
  <c r="CP1151" i="115" s="1"/>
  <c r="CO1547" i="115"/>
  <c r="CO1546" i="115" s="1"/>
  <c r="AA46" i="123"/>
  <c r="CP1547" i="115"/>
  <c r="CP1546" i="115" s="1"/>
  <c r="AB46" i="123"/>
  <c r="CO649" i="115"/>
  <c r="CP649" i="115"/>
  <c r="CN649" i="115"/>
  <c r="CO619" i="115"/>
  <c r="CO766" i="115" s="1"/>
  <c r="CN619" i="115"/>
  <c r="CN766" i="115" s="1"/>
  <c r="CO612" i="115"/>
  <c r="CP632" i="115"/>
  <c r="CO628" i="115"/>
  <c r="CO630" i="115" s="1"/>
  <c r="CO644" i="115"/>
  <c r="CO608" i="115"/>
  <c r="CO634" i="115"/>
  <c r="CO607" i="115"/>
  <c r="CO659" i="115"/>
  <c r="CO657" i="115"/>
  <c r="CP634" i="115"/>
  <c r="CP608" i="115"/>
  <c r="CP644" i="115"/>
  <c r="CP628" i="115"/>
  <c r="CP630" i="115" s="1"/>
  <c r="CO610" i="115"/>
  <c r="EH77" i="117"/>
  <c r="CP659" i="115"/>
  <c r="CP657" i="115"/>
  <c r="CO775" i="115"/>
  <c r="CO622" i="115" s="1"/>
  <c r="CO767" i="115" s="1"/>
  <c r="CO776" i="115"/>
  <c r="CO632" i="115"/>
  <c r="CO913" i="115"/>
  <c r="CN1547" i="115"/>
  <c r="CN1546" i="115" s="1"/>
  <c r="CN632" i="115"/>
  <c r="EG77" i="117"/>
  <c r="EG78" i="117"/>
  <c r="CN776" i="115"/>
  <c r="CN775" i="115"/>
  <c r="CN622" i="115" s="1"/>
  <c r="CN767" i="115" s="1"/>
  <c r="CN608" i="115"/>
  <c r="CN634" i="115"/>
  <c r="CN607" i="115"/>
  <c r="CN913" i="115"/>
  <c r="CN914" i="115"/>
  <c r="CN644" i="115"/>
  <c r="CN628" i="115"/>
  <c r="CN630" i="115" s="1"/>
  <c r="CV2" i="115"/>
  <c r="CT3" i="115"/>
  <c r="CN659" i="115"/>
  <c r="CN660" i="115" s="1"/>
  <c r="CN657" i="115"/>
  <c r="CN658" i="115" s="1"/>
  <c r="CN610" i="115"/>
  <c r="BH203" i="117"/>
  <c r="BH116" i="117"/>
  <c r="DN1294" i="115" l="1"/>
  <c r="DO1294" i="115"/>
  <c r="DM1370" i="115"/>
  <c r="DR1346" i="115"/>
  <c r="DP1350" i="115"/>
  <c r="DP1351" i="115" s="1"/>
  <c r="BW2" i="111"/>
  <c r="BV5" i="111"/>
  <c r="CP784" i="115"/>
  <c r="CP624" i="115"/>
  <c r="CN624" i="115"/>
  <c r="CO624" i="115"/>
  <c r="CN784" i="115"/>
  <c r="CN783" i="115"/>
  <c r="CN625" i="115" s="1"/>
  <c r="CO784" i="115"/>
  <c r="CO783" i="115"/>
  <c r="CO625" i="115" s="1"/>
  <c r="CP633" i="115"/>
  <c r="CO650" i="115"/>
  <c r="CN650" i="115"/>
  <c r="CP631" i="115"/>
  <c r="CO631" i="115"/>
  <c r="CO633" i="115"/>
  <c r="CO658" i="115"/>
  <c r="CO645" i="115"/>
  <c r="CO660" i="115"/>
  <c r="CN631" i="115"/>
  <c r="CN633" i="115"/>
  <c r="BN96" i="117"/>
  <c r="CT4" i="115"/>
  <c r="CR4" i="115"/>
  <c r="CS4" i="115"/>
  <c r="BI20" i="117"/>
  <c r="CV3" i="115"/>
  <c r="CW2" i="115"/>
  <c r="EH78" i="117"/>
  <c r="CN645" i="115"/>
  <c r="EI65" i="117"/>
  <c r="DP1294" i="115" l="1"/>
  <c r="DQ1346" i="115"/>
  <c r="BX2" i="111"/>
  <c r="BW5" i="111"/>
  <c r="CN626" i="115"/>
  <c r="CO626" i="115"/>
  <c r="CS1532" i="115"/>
  <c r="CS977" i="115"/>
  <c r="CS1541" i="115"/>
  <c r="CS978" i="115"/>
  <c r="CS912" i="115"/>
  <c r="CS643" i="115"/>
  <c r="CS644" i="115" s="1"/>
  <c r="CS1544" i="115"/>
  <c r="CS1542" i="115"/>
  <c r="CS1539" i="115"/>
  <c r="CS903" i="115"/>
  <c r="CS415" i="115"/>
  <c r="CS606" i="115"/>
  <c r="CS1535" i="115"/>
  <c r="CS1537" i="115"/>
  <c r="CS774" i="115"/>
  <c r="BM9" i="117" s="1"/>
  <c r="CS629" i="115"/>
  <c r="CS1533" i="115"/>
  <c r="CS609" i="115"/>
  <c r="CS651" i="115"/>
  <c r="CS414" i="115"/>
  <c r="CS648" i="115"/>
  <c r="CS649" i="115" s="1"/>
  <c r="CS656" i="115"/>
  <c r="CS760" i="115"/>
  <c r="CS222" i="115"/>
  <c r="CS611" i="115"/>
  <c r="CS221" i="115"/>
  <c r="CS238" i="115"/>
  <c r="CS1534" i="115"/>
  <c r="CS976" i="115"/>
  <c r="CS1536" i="115"/>
  <c r="CS237" i="115"/>
  <c r="CS986" i="115"/>
  <c r="CS1538" i="115"/>
  <c r="CS1548" i="115"/>
  <c r="CS1540" i="115"/>
  <c r="CS1525" i="115"/>
  <c r="CS1545" i="115"/>
  <c r="CS1543" i="115"/>
  <c r="CS1524" i="115"/>
  <c r="CS1547" i="115" s="1"/>
  <c r="CS1526" i="115"/>
  <c r="AE47" i="123" s="1"/>
  <c r="CS1549" i="115"/>
  <c r="CS1335" i="115"/>
  <c r="CS974" i="115"/>
  <c r="CS982" i="115"/>
  <c r="CS985" i="115"/>
  <c r="CS975" i="115"/>
  <c r="CS983" i="115"/>
  <c r="CS984" i="115"/>
  <c r="CS618" i="115"/>
  <c r="CS1010" i="115"/>
  <c r="CS1152" i="115"/>
  <c r="CR1152" i="115"/>
  <c r="CR611" i="115"/>
  <c r="CR612" i="115" s="1"/>
  <c r="CR618" i="115"/>
  <c r="CT648" i="115"/>
  <c r="CT649" i="115" s="1"/>
  <c r="CT651" i="115"/>
  <c r="CT1541" i="115"/>
  <c r="CT606" i="115"/>
  <c r="CT782" i="115" s="1"/>
  <c r="CT1544" i="115"/>
  <c r="CT1542" i="115"/>
  <c r="CT1539" i="115"/>
  <c r="CT414" i="115"/>
  <c r="CT415" i="115"/>
  <c r="CT1532" i="115"/>
  <c r="CT609" i="115"/>
  <c r="CT222" i="115"/>
  <c r="CT977" i="115"/>
  <c r="CT978" i="115"/>
  <c r="CT221" i="115"/>
  <c r="CT611" i="115"/>
  <c r="CT986" i="115"/>
  <c r="CT1534" i="115"/>
  <c r="CT1533" i="115"/>
  <c r="CT985" i="115"/>
  <c r="CT976" i="115"/>
  <c r="CT1537" i="115"/>
  <c r="CT643" i="115"/>
  <c r="CT644" i="115" s="1"/>
  <c r="CT912" i="115"/>
  <c r="CT1535" i="115"/>
  <c r="CT238" i="115"/>
  <c r="CT903" i="115"/>
  <c r="CT629" i="115"/>
  <c r="CT656" i="115"/>
  <c r="CT1009" i="115"/>
  <c r="CT974" i="115"/>
  <c r="CT1536" i="115"/>
  <c r="CT982" i="115"/>
  <c r="CT760" i="115"/>
  <c r="CT1548" i="115"/>
  <c r="CT975" i="115"/>
  <c r="CT984" i="115"/>
  <c r="CT1538" i="115"/>
  <c r="CT983" i="115"/>
  <c r="CT237" i="115"/>
  <c r="CT774" i="115"/>
  <c r="CT1540" i="115"/>
  <c r="CT1525" i="115"/>
  <c r="CT1543" i="115"/>
  <c r="CT1545" i="115"/>
  <c r="CT1549" i="115"/>
  <c r="CT1524" i="115"/>
  <c r="CT1547" i="115" s="1"/>
  <c r="CT1526" i="115"/>
  <c r="AF47" i="123" s="1"/>
  <c r="CT1335" i="115"/>
  <c r="CT618" i="115"/>
  <c r="CR1544" i="115"/>
  <c r="CR1532" i="115"/>
  <c r="CR912" i="115"/>
  <c r="CR414" i="115"/>
  <c r="CR651" i="115"/>
  <c r="CR609" i="115"/>
  <c r="CR610" i="115" s="1"/>
  <c r="CR643" i="115"/>
  <c r="CR606" i="115"/>
  <c r="CR782" i="115" s="1"/>
  <c r="CR978" i="115"/>
  <c r="CR1539" i="115"/>
  <c r="CR629" i="115"/>
  <c r="CR1541" i="115"/>
  <c r="CR977" i="115"/>
  <c r="CR1542" i="115"/>
  <c r="CR985" i="115"/>
  <c r="CR774" i="115"/>
  <c r="BL9" i="117" s="1"/>
  <c r="CR221" i="115"/>
  <c r="CR1537" i="115"/>
  <c r="CR1533" i="115"/>
  <c r="CR1535" i="115"/>
  <c r="CR648" i="115"/>
  <c r="CR903" i="115"/>
  <c r="CR760" i="115"/>
  <c r="CR238" i="115"/>
  <c r="CR656" i="115"/>
  <c r="CR237" i="115"/>
  <c r="CR222" i="115"/>
  <c r="CR1534" i="115"/>
  <c r="CR983" i="115"/>
  <c r="CR974" i="115"/>
  <c r="CR976" i="115"/>
  <c r="CR982" i="115"/>
  <c r="CR975" i="115"/>
  <c r="CR986" i="115"/>
  <c r="CR1536" i="115"/>
  <c r="CR1538" i="115"/>
  <c r="CR1548" i="115"/>
  <c r="CR1540" i="115"/>
  <c r="CR1525" i="115"/>
  <c r="CR1543" i="115"/>
  <c r="CR1545" i="115"/>
  <c r="CR1524" i="115"/>
  <c r="AD46" i="123" s="1"/>
  <c r="CR1549" i="115"/>
  <c r="CR1526" i="115"/>
  <c r="AD47" i="123" s="1"/>
  <c r="CR1335" i="115"/>
  <c r="CR984" i="115"/>
  <c r="CR415" i="115"/>
  <c r="CR1010" i="115"/>
  <c r="EI76" i="117"/>
  <c r="CX2" i="115"/>
  <c r="CW3" i="115"/>
  <c r="AB29" i="123"/>
  <c r="AD54" i="111"/>
  <c r="BJ20" i="117"/>
  <c r="BN97" i="117"/>
  <c r="BI69" i="117"/>
  <c r="BI238" i="117"/>
  <c r="BI164" i="117"/>
  <c r="BI166" i="117" s="1"/>
  <c r="BI118" i="117" s="1"/>
  <c r="DP1370" i="115" l="1"/>
  <c r="DQ1350" i="115"/>
  <c r="DR1350" i="115" s="1"/>
  <c r="BY2" i="111"/>
  <c r="BX5" i="111"/>
  <c r="CR632" i="115"/>
  <c r="DW976" i="115"/>
  <c r="DW986" i="115"/>
  <c r="CT784" i="115"/>
  <c r="CT624" i="115"/>
  <c r="CR624" i="115"/>
  <c r="CR784" i="115"/>
  <c r="CR783" i="115"/>
  <c r="CR625" i="115" s="1"/>
  <c r="CS782" i="115"/>
  <c r="BN9" i="117"/>
  <c r="CS621" i="115"/>
  <c r="CR621" i="115"/>
  <c r="CT776" i="115"/>
  <c r="CT621" i="115"/>
  <c r="CT1149" i="115"/>
  <c r="CR1149" i="115"/>
  <c r="CS1546" i="115"/>
  <c r="CS632" i="115"/>
  <c r="CT1546" i="115"/>
  <c r="CS913" i="115"/>
  <c r="CT632" i="115"/>
  <c r="CR619" i="115"/>
  <c r="CR766" i="115" s="1"/>
  <c r="AD13" i="123"/>
  <c r="AD58" i="123" s="1"/>
  <c r="AD94" i="123" s="1"/>
  <c r="CS610" i="115"/>
  <c r="CS607" i="115"/>
  <c r="CS608" i="115"/>
  <c r="CS634" i="115"/>
  <c r="CT657" i="115"/>
  <c r="CT659" i="115"/>
  <c r="CS1149" i="115"/>
  <c r="EL77" i="117"/>
  <c r="CT608" i="115"/>
  <c r="CT634" i="115"/>
  <c r="CS659" i="115"/>
  <c r="CS657" i="115"/>
  <c r="CT1152" i="115"/>
  <c r="CT1151" i="115" s="1"/>
  <c r="CS775" i="115"/>
  <c r="CS622" i="115" s="1"/>
  <c r="CS767" i="115" s="1"/>
  <c r="CS776" i="115"/>
  <c r="CS619" i="115"/>
  <c r="CS766" i="115" s="1"/>
  <c r="CS612" i="115"/>
  <c r="CR1547" i="115"/>
  <c r="CR1546" i="115" s="1"/>
  <c r="CR776" i="115"/>
  <c r="CR775" i="115"/>
  <c r="CR622" i="115" s="1"/>
  <c r="CR767" i="115" s="1"/>
  <c r="CR649" i="115"/>
  <c r="CS650" i="115" s="1"/>
  <c r="CR914" i="115"/>
  <c r="CR913" i="115"/>
  <c r="EK77" i="117"/>
  <c r="CR657" i="115"/>
  <c r="CR658" i="115" s="1"/>
  <c r="CR659" i="115"/>
  <c r="CR660" i="115" s="1"/>
  <c r="CR608" i="115"/>
  <c r="AD14" i="123" s="1"/>
  <c r="CR634" i="115"/>
  <c r="CR607" i="115"/>
  <c r="CR628" i="115"/>
  <c r="CR630" i="115" s="1"/>
  <c r="CR644" i="115"/>
  <c r="AB74" i="123"/>
  <c r="AB127" i="123"/>
  <c r="AD78" i="111"/>
  <c r="AD79" i="111"/>
  <c r="AB30" i="123"/>
  <c r="AB31" i="123"/>
  <c r="EI78" i="117"/>
  <c r="CZ2" i="115"/>
  <c r="CX3" i="115"/>
  <c r="BJ238" i="117"/>
  <c r="BJ69" i="117"/>
  <c r="BJ186" i="117"/>
  <c r="BJ188" i="117" s="1"/>
  <c r="BJ205" i="117" s="1"/>
  <c r="BJ164" i="117"/>
  <c r="BJ166" i="117" s="1"/>
  <c r="BJ118" i="117" s="1"/>
  <c r="EI77" i="117"/>
  <c r="DQ1351" i="115" l="1"/>
  <c r="DQ1294" i="115" s="1"/>
  <c r="DR1352" i="115"/>
  <c r="DR1351" i="115"/>
  <c r="DS1351" i="115" s="1"/>
  <c r="CR633" i="115"/>
  <c r="CR631" i="115"/>
  <c r="BZ2" i="111"/>
  <c r="BY5" i="111"/>
  <c r="CR626" i="115"/>
  <c r="CS624" i="115"/>
  <c r="CS784" i="115"/>
  <c r="CS783" i="115"/>
  <c r="CS625" i="115" s="1"/>
  <c r="AD111" i="123"/>
  <c r="AD148" i="123" s="1"/>
  <c r="CS633" i="115"/>
  <c r="CS660" i="115"/>
  <c r="CT633" i="115"/>
  <c r="CS645" i="115"/>
  <c r="AD112" i="123"/>
  <c r="AD59" i="123"/>
  <c r="CS658" i="115"/>
  <c r="CR645" i="115"/>
  <c r="CR650" i="115"/>
  <c r="AB128" i="123"/>
  <c r="AB129" i="123"/>
  <c r="AB151" i="123"/>
  <c r="AB75" i="123"/>
  <c r="AB97" i="123"/>
  <c r="AB76" i="123"/>
  <c r="CV4" i="115"/>
  <c r="CV1528" i="115" s="1"/>
  <c r="CW4" i="115"/>
  <c r="CW1528" i="115" s="1"/>
  <c r="CX4" i="115"/>
  <c r="CX1528" i="115" s="1"/>
  <c r="BR96" i="117"/>
  <c r="DA2" i="115"/>
  <c r="CZ3" i="115"/>
  <c r="DR1294" i="115" l="1"/>
  <c r="DQ1370" i="115"/>
  <c r="DS1294" i="115"/>
  <c r="CA2" i="111"/>
  <c r="BZ5" i="111"/>
  <c r="CW414" i="115"/>
  <c r="CW1533" i="115"/>
  <c r="CW976" i="115"/>
  <c r="CW606" i="115"/>
  <c r="CW643" i="115"/>
  <c r="CW1532" i="115"/>
  <c r="CW221" i="115"/>
  <c r="CW1542" i="115"/>
  <c r="CW611" i="115"/>
  <c r="CW1535" i="115"/>
  <c r="CW651" i="115"/>
  <c r="CW1539" i="115"/>
  <c r="CW1541" i="115"/>
  <c r="CW1537" i="115"/>
  <c r="CW1544" i="115"/>
  <c r="CW977" i="115"/>
  <c r="CW986" i="115"/>
  <c r="CW222" i="115"/>
  <c r="CW648" i="115"/>
  <c r="CW649" i="115" s="1"/>
  <c r="CW1534" i="115"/>
  <c r="CW903" i="115"/>
  <c r="CW760" i="115"/>
  <c r="CW609" i="115"/>
  <c r="CW1536" i="115"/>
  <c r="CW618" i="115"/>
  <c r="CW1538" i="115"/>
  <c r="CW1548" i="115"/>
  <c r="CW774" i="115"/>
  <c r="CW629" i="115"/>
  <c r="CW656" i="115"/>
  <c r="CW782" i="115"/>
  <c r="CW1540" i="115"/>
  <c r="CW1525" i="115"/>
  <c r="CW1543" i="115"/>
  <c r="CW1545" i="115"/>
  <c r="CW1527" i="115"/>
  <c r="CW1526" i="115"/>
  <c r="AI47" i="123" s="1"/>
  <c r="CW1524" i="115"/>
  <c r="CW1547" i="115" s="1"/>
  <c r="CW1549" i="115"/>
  <c r="CW238" i="115"/>
  <c r="CW237" i="115"/>
  <c r="CW1335" i="115"/>
  <c r="CW974" i="115"/>
  <c r="CW982" i="115"/>
  <c r="CW975" i="115"/>
  <c r="CW983" i="115"/>
  <c r="CW984" i="115"/>
  <c r="CW415" i="115"/>
  <c r="CW1010" i="115"/>
  <c r="CW1152" i="115"/>
  <c r="CX415" i="115"/>
  <c r="CX651" i="115"/>
  <c r="CX1539" i="115"/>
  <c r="CX1541" i="115"/>
  <c r="CX1542" i="115"/>
  <c r="CX414" i="115"/>
  <c r="CX221" i="115"/>
  <c r="CX1544" i="115"/>
  <c r="CX977" i="115"/>
  <c r="CX1532" i="115"/>
  <c r="CX643" i="115"/>
  <c r="CX222" i="115"/>
  <c r="CX606" i="115"/>
  <c r="CX648" i="115"/>
  <c r="CX649" i="115" s="1"/>
  <c r="CX976" i="115"/>
  <c r="CX611" i="115"/>
  <c r="CX609" i="115"/>
  <c r="CX986" i="115"/>
  <c r="CX982" i="115"/>
  <c r="CX1537" i="115"/>
  <c r="CX238" i="115"/>
  <c r="CX1535" i="115"/>
  <c r="CX912" i="115"/>
  <c r="CX974" i="115"/>
  <c r="CX629" i="115"/>
  <c r="CX975" i="115"/>
  <c r="CX983" i="115"/>
  <c r="CX903" i="115"/>
  <c r="CX1009" i="115"/>
  <c r="CX1533" i="115"/>
  <c r="CX760" i="115"/>
  <c r="CX656" i="115"/>
  <c r="CX1534" i="115"/>
  <c r="CX774" i="115"/>
  <c r="CX618" i="115"/>
  <c r="CX237" i="115"/>
  <c r="CX1536" i="115"/>
  <c r="CX782" i="115"/>
  <c r="CX1527" i="115"/>
  <c r="CX1538" i="115"/>
  <c r="CX1540" i="115"/>
  <c r="CX1525" i="115"/>
  <c r="CX1543" i="115"/>
  <c r="CX1545" i="115"/>
  <c r="CX1524" i="115"/>
  <c r="CX1547" i="115" s="1"/>
  <c r="CX1526" i="115"/>
  <c r="AJ47" i="123" s="1"/>
  <c r="CX1335" i="115"/>
  <c r="CX984" i="115"/>
  <c r="CS626" i="115"/>
  <c r="CV1544" i="115"/>
  <c r="CV1532" i="115"/>
  <c r="CV912" i="115"/>
  <c r="CV643" i="115"/>
  <c r="CV1535" i="115"/>
  <c r="CV221" i="115"/>
  <c r="CV1541" i="115"/>
  <c r="CV606" i="115"/>
  <c r="CV1542" i="115"/>
  <c r="CV978" i="115"/>
  <c r="CV977" i="115"/>
  <c r="CV609" i="115"/>
  <c r="CV238" i="115"/>
  <c r="CV648" i="115"/>
  <c r="CV649" i="115" s="1"/>
  <c r="CV1533" i="115"/>
  <c r="CV222" i="115"/>
  <c r="CV1539" i="115"/>
  <c r="CV651" i="115"/>
  <c r="CV1537" i="115"/>
  <c r="CV974" i="115"/>
  <c r="CV985" i="115"/>
  <c r="CV903" i="115"/>
  <c r="CV611" i="115"/>
  <c r="CV612" i="115" s="1"/>
  <c r="CV629" i="115"/>
  <c r="CV1534" i="115"/>
  <c r="CV982" i="115"/>
  <c r="CV976" i="115"/>
  <c r="CV986" i="115"/>
  <c r="CV237" i="115"/>
  <c r="CV1538" i="115"/>
  <c r="CV984" i="115"/>
  <c r="CV983" i="115"/>
  <c r="CV760" i="115"/>
  <c r="CV656" i="115"/>
  <c r="CV1536" i="115"/>
  <c r="CV975" i="115"/>
  <c r="CV1548" i="115"/>
  <c r="CV1540" i="115"/>
  <c r="CV618" i="115"/>
  <c r="CV619" i="115" s="1"/>
  <c r="CV766" i="115" s="1"/>
  <c r="CV774" i="115"/>
  <c r="CV1525" i="115"/>
  <c r="CV1527" i="115"/>
  <c r="CV1545" i="115"/>
  <c r="CV1543" i="115"/>
  <c r="CV1549" i="115"/>
  <c r="CV1524" i="115"/>
  <c r="CV1547" i="115" s="1"/>
  <c r="CV1526" i="115"/>
  <c r="AH47" i="123" s="1"/>
  <c r="CV1335" i="115"/>
  <c r="CV415" i="115"/>
  <c r="CV414" i="115"/>
  <c r="CV1152" i="115"/>
  <c r="CV1153" i="115" s="1"/>
  <c r="CV1154" i="115" s="1"/>
  <c r="CV1155" i="115" s="1"/>
  <c r="CV1156" i="115" s="1"/>
  <c r="CV1010" i="115"/>
  <c r="CS628" i="115"/>
  <c r="CS630" i="115" s="1"/>
  <c r="CS631" i="115" s="1"/>
  <c r="CU906" i="115"/>
  <c r="AB98" i="123"/>
  <c r="AB152" i="123"/>
  <c r="BR97" i="117"/>
  <c r="DB2" i="115"/>
  <c r="DA3" i="115"/>
  <c r="CB2" i="111" l="1"/>
  <c r="CA5" i="111"/>
  <c r="CV782" i="115"/>
  <c r="BP9" i="117"/>
  <c r="CX1149" i="115"/>
  <c r="CX632" i="115"/>
  <c r="CW659" i="115"/>
  <c r="CW657" i="115"/>
  <c r="CX1546" i="115"/>
  <c r="CW610" i="115"/>
  <c r="CW632" i="115"/>
  <c r="CW628" i="115"/>
  <c r="CW630" i="115" s="1"/>
  <c r="CW644" i="115"/>
  <c r="CX659" i="115"/>
  <c r="CX657" i="115"/>
  <c r="CX634" i="115"/>
  <c r="CX608" i="115"/>
  <c r="CW612" i="115"/>
  <c r="CW1149" i="115"/>
  <c r="EP77" i="117"/>
  <c r="CX621" i="115"/>
  <c r="CX776" i="115"/>
  <c r="CX784" i="115"/>
  <c r="CX624" i="115"/>
  <c r="CW775" i="115"/>
  <c r="CW622" i="115" s="1"/>
  <c r="CW767" i="115" s="1"/>
  <c r="CW776" i="115"/>
  <c r="CW621" i="115"/>
  <c r="CX1152" i="115"/>
  <c r="CX1151" i="115" s="1"/>
  <c r="CW1546" i="115"/>
  <c r="CW634" i="115"/>
  <c r="CW607" i="115"/>
  <c r="CW608" i="115"/>
  <c r="CX628" i="115"/>
  <c r="CX630" i="115" s="1"/>
  <c r="CX644" i="115"/>
  <c r="CW624" i="115"/>
  <c r="CW784" i="115"/>
  <c r="CW619" i="115"/>
  <c r="CW766" i="115" s="1"/>
  <c r="CV650" i="115"/>
  <c r="CW650" i="115"/>
  <c r="CV644" i="115"/>
  <c r="CV621" i="115"/>
  <c r="CV632" i="115"/>
  <c r="CV610" i="115"/>
  <c r="CV1546" i="115"/>
  <c r="CV776" i="115"/>
  <c r="CV775" i="115"/>
  <c r="CV622" i="115" s="1"/>
  <c r="CV767" i="115" s="1"/>
  <c r="CV659" i="115"/>
  <c r="CV660" i="115" s="1"/>
  <c r="CV657" i="115"/>
  <c r="CV658" i="115" s="1"/>
  <c r="CV628" i="115"/>
  <c r="CV630" i="115" s="1"/>
  <c r="CV1149" i="115"/>
  <c r="EO77" i="117"/>
  <c r="CV913" i="115"/>
  <c r="CV914" i="115"/>
  <c r="CV634" i="115"/>
  <c r="CV607" i="115"/>
  <c r="CV608" i="115"/>
  <c r="DB3" i="115"/>
  <c r="DD2" i="115"/>
  <c r="CU1296" i="115"/>
  <c r="CC2" i="111" l="1"/>
  <c r="CB5" i="111"/>
  <c r="CV783" i="115"/>
  <c r="CV625" i="115" s="1"/>
  <c r="CV784" i="115"/>
  <c r="CW783" i="115"/>
  <c r="CW625" i="115" s="1"/>
  <c r="CW626" i="115" s="1"/>
  <c r="CV624" i="115"/>
  <c r="CW645" i="115"/>
  <c r="CX631" i="115"/>
  <c r="CX633" i="115"/>
  <c r="CW633" i="115"/>
  <c r="CW631" i="115"/>
  <c r="CW658" i="115"/>
  <c r="CW660" i="115"/>
  <c r="CV631" i="115"/>
  <c r="CV633" i="115"/>
  <c r="CV645" i="115"/>
  <c r="DA4" i="115"/>
  <c r="DB4" i="115"/>
  <c r="CZ4" i="115"/>
  <c r="BV96" i="117"/>
  <c r="DE2" i="115"/>
  <c r="DD3" i="115"/>
  <c r="CZ1528" i="115" l="1"/>
  <c r="DB1528" i="115"/>
  <c r="DA1528" i="115"/>
  <c r="CZ221" i="115"/>
  <c r="CZ651" i="115"/>
  <c r="CZ414" i="115"/>
  <c r="CZ609" i="115"/>
  <c r="CZ610" i="115" s="1"/>
  <c r="CZ978" i="115"/>
  <c r="CZ977" i="115"/>
  <c r="CZ415" i="115"/>
  <c r="CZ222" i="115"/>
  <c r="CZ985" i="115"/>
  <c r="CZ648" i="115"/>
  <c r="CZ649" i="115" s="1"/>
  <c r="CZ650" i="115" s="1"/>
  <c r="CZ974" i="115"/>
  <c r="CZ606" i="115"/>
  <c r="CZ982" i="115"/>
  <c r="CZ238" i="115"/>
  <c r="CZ643" i="115"/>
  <c r="CZ976" i="115"/>
  <c r="CZ1149" i="115" s="1"/>
  <c r="CZ237" i="115"/>
  <c r="CZ986" i="115"/>
  <c r="CZ984" i="115"/>
  <c r="CZ629" i="115"/>
  <c r="CZ903" i="115"/>
  <c r="CZ975" i="115"/>
  <c r="CZ611" i="115"/>
  <c r="CZ612" i="115" s="1"/>
  <c r="CZ983" i="115"/>
  <c r="CZ912" i="115"/>
  <c r="CZ656" i="115"/>
  <c r="CZ760" i="115"/>
  <c r="CZ618" i="115"/>
  <c r="CZ619" i="115" s="1"/>
  <c r="CZ766" i="115" s="1"/>
  <c r="CZ774" i="115"/>
  <c r="CZ782" i="115"/>
  <c r="CZ1152" i="115"/>
  <c r="CZ1153" i="115" s="1"/>
  <c r="CZ1154" i="115" s="1"/>
  <c r="CZ1155" i="115" s="1"/>
  <c r="CZ1156" i="115" s="1"/>
  <c r="CZ1010" i="115"/>
  <c r="DB415" i="115"/>
  <c r="DB1539" i="115"/>
  <c r="DB609" i="115"/>
  <c r="DB643" i="115"/>
  <c r="DB414" i="115"/>
  <c r="DB651" i="115"/>
  <c r="DB1541" i="115"/>
  <c r="DB1532" i="115"/>
  <c r="DB1544" i="115"/>
  <c r="DB977" i="115"/>
  <c r="DB912" i="115"/>
  <c r="DC912" i="115" s="1"/>
  <c r="DB1542" i="115"/>
  <c r="DB606" i="115"/>
  <c r="DB648" i="115"/>
  <c r="DB649" i="115" s="1"/>
  <c r="DB1537" i="115"/>
  <c r="DB1535" i="115"/>
  <c r="DB611" i="115"/>
  <c r="DB222" i="115"/>
  <c r="DB629" i="115"/>
  <c r="DB903" i="115"/>
  <c r="DB221" i="115"/>
  <c r="DB238" i="115"/>
  <c r="DB1533" i="115"/>
  <c r="DB237" i="115"/>
  <c r="DB975" i="115"/>
  <c r="DB1534" i="115"/>
  <c r="DB974" i="115"/>
  <c r="DB656" i="115"/>
  <c r="DB1009" i="115"/>
  <c r="DB976" i="115"/>
  <c r="DB760" i="115"/>
  <c r="DB618" i="115"/>
  <c r="DB986" i="115"/>
  <c r="DB1536" i="115"/>
  <c r="DB983" i="115"/>
  <c r="DB774" i="115"/>
  <c r="DB982" i="115"/>
  <c r="DB1538" i="115"/>
  <c r="DB782" i="115"/>
  <c r="DB1540" i="115"/>
  <c r="DB1525" i="115"/>
  <c r="DB1527" i="115"/>
  <c r="DB1545" i="115"/>
  <c r="DB1543" i="115"/>
  <c r="DB1524" i="115"/>
  <c r="DB1526" i="115"/>
  <c r="AN47" i="123" s="1"/>
  <c r="DB1335" i="115"/>
  <c r="DB984" i="115"/>
  <c r="CD2" i="111"/>
  <c r="CC5" i="111"/>
  <c r="DA1541" i="115"/>
  <c r="DA1544" i="115"/>
  <c r="DA1539" i="115"/>
  <c r="DA1532" i="115"/>
  <c r="DA609" i="115"/>
  <c r="DA643" i="115"/>
  <c r="DA1537" i="115"/>
  <c r="DA606" i="115"/>
  <c r="DA1535" i="115"/>
  <c r="DA651" i="115"/>
  <c r="DA977" i="115"/>
  <c r="DA1542" i="115"/>
  <c r="DA414" i="115"/>
  <c r="DA1533" i="115"/>
  <c r="DA648" i="115"/>
  <c r="DA649" i="115" s="1"/>
  <c r="DA238" i="115"/>
  <c r="DA237" i="115"/>
  <c r="DA903" i="115"/>
  <c r="DA222" i="115"/>
  <c r="DA629" i="115"/>
  <c r="DA611" i="115"/>
  <c r="DA221" i="115"/>
  <c r="DA912" i="115"/>
  <c r="DA986" i="115"/>
  <c r="DA976" i="115"/>
  <c r="DA1534" i="115"/>
  <c r="DA974" i="115"/>
  <c r="DA984" i="115"/>
  <c r="DA760" i="115"/>
  <c r="DA656" i="115"/>
  <c r="DA982" i="115"/>
  <c r="DA975" i="115"/>
  <c r="DA983" i="115"/>
  <c r="DA618" i="115"/>
  <c r="DA774" i="115"/>
  <c r="DA1536" i="115"/>
  <c r="DA782" i="115"/>
  <c r="DA1538" i="115"/>
  <c r="DA1548" i="115"/>
  <c r="DA1540" i="115"/>
  <c r="DA1525" i="115"/>
  <c r="DA1545" i="115"/>
  <c r="DA1527" i="115"/>
  <c r="DA1543" i="115"/>
  <c r="DA1524" i="115"/>
  <c r="DA1526" i="115"/>
  <c r="AM47" i="123" s="1"/>
  <c r="DA1549" i="115"/>
  <c r="DA1335" i="115"/>
  <c r="DA415" i="115"/>
  <c r="DA1152" i="115"/>
  <c r="DA1010" i="115"/>
  <c r="CV626" i="115"/>
  <c r="CZ1544" i="115"/>
  <c r="CZ1541" i="115"/>
  <c r="CZ1539" i="115"/>
  <c r="CZ1532" i="115"/>
  <c r="CZ1533" i="115"/>
  <c r="CZ1535" i="115"/>
  <c r="CZ1537" i="115"/>
  <c r="CZ1542" i="115"/>
  <c r="CZ1534" i="115"/>
  <c r="CZ1536" i="115"/>
  <c r="CZ1538" i="115"/>
  <c r="CZ1548" i="115"/>
  <c r="CZ1540" i="115"/>
  <c r="CZ1525" i="115"/>
  <c r="CZ1527" i="115"/>
  <c r="CZ1545" i="115"/>
  <c r="CZ1543" i="115"/>
  <c r="CZ1549" i="115"/>
  <c r="CZ1526" i="115"/>
  <c r="AL47" i="123" s="1"/>
  <c r="CZ1524" i="115"/>
  <c r="CZ1335" i="115"/>
  <c r="BV97" i="117"/>
  <c r="DE3" i="115"/>
  <c r="DF2" i="115"/>
  <c r="DH2" i="115" s="1"/>
  <c r="CR405" i="115"/>
  <c r="CR406" i="115" s="1"/>
  <c r="CU929" i="115"/>
  <c r="L79" i="111" l="1"/>
  <c r="L82" i="111"/>
  <c r="DB1149" i="115"/>
  <c r="L78" i="111"/>
  <c r="DA650" i="115"/>
  <c r="DA913" i="115"/>
  <c r="DA619" i="115"/>
  <c r="DA766" i="115" s="1"/>
  <c r="DA610" i="115"/>
  <c r="DB632" i="115"/>
  <c r="DA612" i="115"/>
  <c r="DA632" i="115"/>
  <c r="DA1547" i="115"/>
  <c r="DA1546" i="115" s="1"/>
  <c r="AM46" i="123"/>
  <c r="DA784" i="115"/>
  <c r="DA624" i="115"/>
  <c r="DA1149" i="115"/>
  <c r="ET77" i="117"/>
  <c r="DB1547" i="115"/>
  <c r="DB1546" i="115" s="1"/>
  <c r="AN46" i="123"/>
  <c r="CZ628" i="115"/>
  <c r="CZ630" i="115" s="1"/>
  <c r="CZ644" i="115"/>
  <c r="CZ645" i="115" s="1"/>
  <c r="CZ1547" i="115"/>
  <c r="CZ1546" i="115" s="1"/>
  <c r="AL46" i="123"/>
  <c r="DA634" i="115"/>
  <c r="DA608" i="115"/>
  <c r="DA607" i="115"/>
  <c r="AN13" i="123"/>
  <c r="DB634" i="115"/>
  <c r="DB608" i="115"/>
  <c r="AN14" i="123" s="1"/>
  <c r="DA783" i="115"/>
  <c r="DA625" i="115" s="1"/>
  <c r="CZ783" i="115"/>
  <c r="CZ625" i="115" s="1"/>
  <c r="CZ626" i="115" s="1"/>
  <c r="CZ624" i="115"/>
  <c r="CZ784" i="115"/>
  <c r="CZ659" i="115"/>
  <c r="CZ660" i="115" s="1"/>
  <c r="CZ657" i="115"/>
  <c r="CZ658" i="115" s="1"/>
  <c r="DB624" i="115"/>
  <c r="DB784" i="115"/>
  <c r="DB621" i="115"/>
  <c r="DB776" i="115"/>
  <c r="DB659" i="115"/>
  <c r="DB657" i="115"/>
  <c r="DB644" i="115"/>
  <c r="DB628" i="115"/>
  <c r="DB630" i="115" s="1"/>
  <c r="DA775" i="115"/>
  <c r="DA622" i="115" s="1"/>
  <c r="DA767" i="115" s="1"/>
  <c r="CZ776" i="115"/>
  <c r="CZ775" i="115"/>
  <c r="CZ622" i="115" s="1"/>
  <c r="CZ767" i="115" s="1"/>
  <c r="CZ621" i="115"/>
  <c r="CZ914" i="115"/>
  <c r="DA776" i="115"/>
  <c r="DA621" i="115"/>
  <c r="DB1152" i="115"/>
  <c r="DA1153" i="115"/>
  <c r="DA1154" i="115" s="1"/>
  <c r="DA1155" i="115" s="1"/>
  <c r="DA1156" i="115" s="1"/>
  <c r="DA657" i="115"/>
  <c r="DA659" i="115"/>
  <c r="DA628" i="115"/>
  <c r="DA630" i="115" s="1"/>
  <c r="DA644" i="115"/>
  <c r="CE2" i="111"/>
  <c r="CD5" i="111"/>
  <c r="CZ632" i="115"/>
  <c r="CZ608" i="115"/>
  <c r="CZ607" i="115"/>
  <c r="CZ634" i="115"/>
  <c r="ES77" i="117"/>
  <c r="DH3" i="115"/>
  <c r="DI2" i="115"/>
  <c r="DF3" i="115"/>
  <c r="CU1293" i="115"/>
  <c r="DA660" i="115" l="1"/>
  <c r="DB633" i="115"/>
  <c r="DA631" i="115"/>
  <c r="DB631" i="115"/>
  <c r="DA626" i="115"/>
  <c r="DA645" i="115"/>
  <c r="DA633" i="115"/>
  <c r="CZ631" i="115"/>
  <c r="CZ633" i="115"/>
  <c r="AN112" i="123"/>
  <c r="AN59" i="123"/>
  <c r="DB1151" i="115"/>
  <c r="DB1153" i="115"/>
  <c r="DB1154" i="115" s="1"/>
  <c r="DB1155" i="115" s="1"/>
  <c r="DB1156" i="115" s="1"/>
  <c r="AN58" i="123"/>
  <c r="AN94" i="123" s="1"/>
  <c r="AN111" i="123"/>
  <c r="AN148" i="123" s="1"/>
  <c r="CF2" i="111"/>
  <c r="CE5" i="111"/>
  <c r="DA658" i="115"/>
  <c r="DI3" i="115"/>
  <c r="DJ2" i="115"/>
  <c r="DL2" i="115" s="1"/>
  <c r="DD4" i="115"/>
  <c r="DE4" i="115"/>
  <c r="DF4" i="115"/>
  <c r="BZ96" i="117"/>
  <c r="DE1541" i="115" l="1"/>
  <c r="DE1539" i="115"/>
  <c r="DE651" i="115"/>
  <c r="DE415" i="115"/>
  <c r="DE978" i="115"/>
  <c r="DE1537" i="115"/>
  <c r="DE1533" i="115"/>
  <c r="DE1544" i="115"/>
  <c r="DE238" i="115"/>
  <c r="DE648" i="115"/>
  <c r="DE649" i="115" s="1"/>
  <c r="DE976" i="115"/>
  <c r="DE609" i="115"/>
  <c r="DE1532" i="115"/>
  <c r="DE611" i="115"/>
  <c r="DE1535" i="115"/>
  <c r="DE977" i="115"/>
  <c r="DE1542" i="115"/>
  <c r="DE986" i="115"/>
  <c r="DE606" i="115"/>
  <c r="DE643" i="115"/>
  <c r="DE656" i="115"/>
  <c r="DE237" i="115"/>
  <c r="DE221" i="115"/>
  <c r="DE629" i="115"/>
  <c r="DE903" i="115"/>
  <c r="DE1534" i="115"/>
  <c r="DE1536" i="115"/>
  <c r="DE222" i="115"/>
  <c r="DE1548" i="115"/>
  <c r="DE760" i="115"/>
  <c r="DE912" i="115"/>
  <c r="DE1538" i="115"/>
  <c r="DE774" i="115"/>
  <c r="DE1540" i="115"/>
  <c r="DE618" i="115"/>
  <c r="DE782" i="115"/>
  <c r="DE1525" i="115"/>
  <c r="DE1543" i="115"/>
  <c r="DE1527" i="115"/>
  <c r="DE1528" i="115"/>
  <c r="DE1545" i="115"/>
  <c r="DE1524" i="115"/>
  <c r="DE1547" i="115" s="1"/>
  <c r="DE1549" i="115"/>
  <c r="DE1526" i="115"/>
  <c r="DE1335" i="115"/>
  <c r="DE982" i="115"/>
  <c r="DE974" i="115"/>
  <c r="DE984" i="115"/>
  <c r="DE975" i="115"/>
  <c r="DE983" i="115"/>
  <c r="DE414" i="115"/>
  <c r="DE1010" i="115"/>
  <c r="DE1152" i="115"/>
  <c r="DD1152" i="115"/>
  <c r="DD1153" i="115" s="1"/>
  <c r="DF651" i="115"/>
  <c r="DF1539" i="115"/>
  <c r="DF609" i="115"/>
  <c r="DF1544" i="115"/>
  <c r="DF1541" i="115"/>
  <c r="DF415" i="115"/>
  <c r="DF1532" i="115"/>
  <c r="DF977" i="115"/>
  <c r="DF414" i="115"/>
  <c r="DF648" i="115"/>
  <c r="DF649" i="115" s="1"/>
  <c r="DF976" i="115"/>
  <c r="DF1149" i="115" s="1"/>
  <c r="DF606" i="115"/>
  <c r="AR13" i="123" s="1"/>
  <c r="DF221" i="115"/>
  <c r="DF986" i="115"/>
  <c r="DF978" i="115"/>
  <c r="DF222" i="115"/>
  <c r="DF611" i="115"/>
  <c r="DF1537" i="115"/>
  <c r="DF1533" i="115"/>
  <c r="DF1542" i="115"/>
  <c r="DF1534" i="115"/>
  <c r="DF643" i="115"/>
  <c r="DF903" i="115"/>
  <c r="DF912" i="115"/>
  <c r="DF629" i="115"/>
  <c r="DF1535" i="115"/>
  <c r="DF656" i="115"/>
  <c r="DF1009" i="115"/>
  <c r="DF974" i="115"/>
  <c r="DF238" i="115"/>
  <c r="DF982" i="115"/>
  <c r="DF1536" i="115"/>
  <c r="DF237" i="115"/>
  <c r="DF760" i="115"/>
  <c r="DF1538" i="115"/>
  <c r="DF1548" i="115"/>
  <c r="DF975" i="115"/>
  <c r="DF983" i="115"/>
  <c r="DF984" i="115"/>
  <c r="DF774" i="115"/>
  <c r="DF776" i="115" s="1"/>
  <c r="DF618" i="115"/>
  <c r="DF1540" i="115"/>
  <c r="DF1525" i="115"/>
  <c r="DF782" i="115"/>
  <c r="DF784" i="115" s="1"/>
  <c r="DF1527" i="115"/>
  <c r="DF1528" i="115"/>
  <c r="DF1545" i="115"/>
  <c r="DF1543" i="115"/>
  <c r="DF1524" i="115"/>
  <c r="DF1549" i="115"/>
  <c r="DF1526" i="115"/>
  <c r="AR47" i="123" s="1"/>
  <c r="DF1335" i="115"/>
  <c r="DD1528" i="115"/>
  <c r="DD760" i="115"/>
  <c r="DD415" i="115"/>
  <c r="DD1544" i="115"/>
  <c r="DD414" i="115"/>
  <c r="DD1541" i="115"/>
  <c r="DD1532" i="115"/>
  <c r="DD606" i="115"/>
  <c r="DD1539" i="115"/>
  <c r="DD643" i="115"/>
  <c r="DD903" i="115"/>
  <c r="DD609" i="115"/>
  <c r="DD610" i="115" s="1"/>
  <c r="DD977" i="115"/>
  <c r="DD1542" i="115"/>
  <c r="DD1533" i="115"/>
  <c r="DD651" i="115"/>
  <c r="DD1535" i="115"/>
  <c r="DD648" i="115"/>
  <c r="DD978" i="115"/>
  <c r="DD629" i="115"/>
  <c r="DD976" i="115"/>
  <c r="DD1149" i="115" s="1"/>
  <c r="DD982" i="115"/>
  <c r="DD1536" i="115"/>
  <c r="DD986" i="115"/>
  <c r="DD1537" i="115"/>
  <c r="DD1534" i="115"/>
  <c r="DD221" i="115"/>
  <c r="DD237" i="115"/>
  <c r="DD611" i="115"/>
  <c r="DD612" i="115" s="1"/>
  <c r="DD222" i="115"/>
  <c r="DD985" i="115"/>
  <c r="DD974" i="115"/>
  <c r="DD238" i="115"/>
  <c r="DD912" i="115"/>
  <c r="DD984" i="115"/>
  <c r="DD1548" i="115"/>
  <c r="DD656" i="115"/>
  <c r="DD975" i="115"/>
  <c r="DD983" i="115"/>
  <c r="DD1538" i="115"/>
  <c r="DD1540" i="115"/>
  <c r="DD618" i="115"/>
  <c r="DD619" i="115" s="1"/>
  <c r="DD766" i="115" s="1"/>
  <c r="DD774" i="115"/>
  <c r="DD1525" i="115"/>
  <c r="DD782" i="115"/>
  <c r="DD1527" i="115"/>
  <c r="DD1543" i="115"/>
  <c r="DD1545" i="115"/>
  <c r="DD1524" i="115"/>
  <c r="DD1547" i="115" s="1"/>
  <c r="DD1549" i="115"/>
  <c r="DD1526" i="115"/>
  <c r="DD1335" i="115"/>
  <c r="DD1010" i="115"/>
  <c r="CG2" i="111"/>
  <c r="CF5" i="111"/>
  <c r="DM2" i="115"/>
  <c r="DL3" i="115"/>
  <c r="DJ3" i="115"/>
  <c r="BZ97" i="117"/>
  <c r="CY1296" i="115"/>
  <c r="CS405" i="115"/>
  <c r="CS406" i="115" s="1"/>
  <c r="DE913" i="115" l="1"/>
  <c r="DF1547" i="115"/>
  <c r="DF1546" i="115" s="1"/>
  <c r="AR46" i="123"/>
  <c r="AR111" i="123"/>
  <c r="AR148" i="123" s="1"/>
  <c r="AR58" i="123"/>
  <c r="AR94" i="123" s="1"/>
  <c r="DH415" i="115"/>
  <c r="DI415" i="115" s="1"/>
  <c r="DL415" i="115" s="1"/>
  <c r="DM415" i="115" s="1"/>
  <c r="DP415" i="115" s="1"/>
  <c r="DQ415" i="115" s="1"/>
  <c r="DE1546" i="115"/>
  <c r="DD1154" i="115"/>
  <c r="DD1155" i="115" s="1"/>
  <c r="DD1156" i="115" s="1"/>
  <c r="DE612" i="115"/>
  <c r="DF644" i="115"/>
  <c r="DF628" i="115"/>
  <c r="DF630" i="115" s="1"/>
  <c r="DF1152" i="115"/>
  <c r="DE1153" i="115"/>
  <c r="DE1154" i="115" s="1"/>
  <c r="DE1155" i="115" s="1"/>
  <c r="DE1156" i="115" s="1"/>
  <c r="DE659" i="115"/>
  <c r="DE657" i="115"/>
  <c r="DE783" i="115"/>
  <c r="DE784" i="115"/>
  <c r="DE628" i="115"/>
  <c r="DE630" i="115" s="1"/>
  <c r="DE644" i="115"/>
  <c r="DE610" i="115"/>
  <c r="DF608" i="115"/>
  <c r="AR14" i="123" s="1"/>
  <c r="DF634" i="115"/>
  <c r="DE619" i="115"/>
  <c r="DE766" i="115" s="1"/>
  <c r="DE634" i="115"/>
  <c r="DE607" i="115"/>
  <c r="DE608" i="115"/>
  <c r="DE1149" i="115"/>
  <c r="EX77" i="117"/>
  <c r="DF657" i="115"/>
  <c r="DF659" i="115"/>
  <c r="DE775" i="115"/>
  <c r="DE776" i="115"/>
  <c r="DD632" i="115"/>
  <c r="DD1546" i="115"/>
  <c r="DD783" i="115"/>
  <c r="DD625" i="115" s="1"/>
  <c r="DD626" i="115" s="1"/>
  <c r="DD624" i="115"/>
  <c r="DD784" i="115"/>
  <c r="DD913" i="115"/>
  <c r="DD914" i="115"/>
  <c r="DD649" i="115"/>
  <c r="DE650" i="115" s="1"/>
  <c r="DD628" i="115"/>
  <c r="DD630" i="115" s="1"/>
  <c r="DD644" i="115"/>
  <c r="DD657" i="115"/>
  <c r="DD658" i="115" s="1"/>
  <c r="DD659" i="115"/>
  <c r="DD660" i="115" s="1"/>
  <c r="EW77" i="117"/>
  <c r="DD621" i="115"/>
  <c r="DD775" i="115"/>
  <c r="DD622" i="115" s="1"/>
  <c r="DD767" i="115" s="1"/>
  <c r="DD776" i="115"/>
  <c r="DD607" i="115"/>
  <c r="DD608" i="115"/>
  <c r="DD634" i="115"/>
  <c r="CH2" i="111"/>
  <c r="CG5" i="111"/>
  <c r="DI4" i="115"/>
  <c r="DN2" i="115"/>
  <c r="DP2" i="115" s="1"/>
  <c r="DM3" i="115"/>
  <c r="DH4" i="115"/>
  <c r="CD96" i="117"/>
  <c r="DJ4" i="115"/>
  <c r="CU1289" i="115"/>
  <c r="CU1290" i="115"/>
  <c r="AR112" i="123" l="1"/>
  <c r="AR59" i="123"/>
  <c r="DH644" i="115"/>
  <c r="DF1151" i="115"/>
  <c r="DF1153" i="115"/>
  <c r="DF1154" i="115" s="1"/>
  <c r="DF1155" i="115" s="1"/>
  <c r="DF1156" i="115" s="1"/>
  <c r="DE660" i="115"/>
  <c r="DE645" i="115"/>
  <c r="DE658" i="115"/>
  <c r="DP3" i="115"/>
  <c r="DQ2" i="115"/>
  <c r="DD633" i="115"/>
  <c r="DD631" i="115"/>
  <c r="DD650" i="115"/>
  <c r="DD645" i="115"/>
  <c r="DN3" i="115"/>
  <c r="CI2" i="111"/>
  <c r="CH5" i="111"/>
  <c r="DH643" i="115"/>
  <c r="CD97" i="117"/>
  <c r="CU842" i="115"/>
  <c r="DI644" i="115" l="1"/>
  <c r="DI643" i="115" s="1"/>
  <c r="DI628" i="115" s="1"/>
  <c r="DQ3" i="115"/>
  <c r="DR2" i="115"/>
  <c r="DH649" i="115"/>
  <c r="DN4" i="115"/>
  <c r="DL4" i="115"/>
  <c r="CH96" i="117"/>
  <c r="DM4" i="115"/>
  <c r="CJ2" i="111"/>
  <c r="CI5" i="111"/>
  <c r="DH628" i="115"/>
  <c r="CY929" i="115"/>
  <c r="DR3" i="115" l="1"/>
  <c r="DR4" i="115" s="1"/>
  <c r="DL644" i="115"/>
  <c r="DP4" i="115"/>
  <c r="DI649" i="115"/>
  <c r="DH648" i="115"/>
  <c r="CH97" i="117"/>
  <c r="CK2" i="111"/>
  <c r="CJ5" i="111"/>
  <c r="CY1293" i="115"/>
  <c r="DM644" i="115" l="1"/>
  <c r="DP644" i="115" s="1"/>
  <c r="CL96" i="117"/>
  <c r="DQ4" i="115"/>
  <c r="DL643" i="115"/>
  <c r="DL628" i="115" s="1"/>
  <c r="CL97" i="117"/>
  <c r="DL649" i="115"/>
  <c r="DI648" i="115"/>
  <c r="CL2" i="111"/>
  <c r="CK5" i="111"/>
  <c r="DP643" i="115" l="1"/>
  <c r="DQ644" i="115"/>
  <c r="DM643" i="115"/>
  <c r="DM628" i="115" s="1"/>
  <c r="DP628" i="115"/>
  <c r="DQ643" i="115"/>
  <c r="DM649" i="115"/>
  <c r="DP649" i="115" s="1"/>
  <c r="DL648" i="115"/>
  <c r="CM2" i="111"/>
  <c r="CL5" i="111"/>
  <c r="CW405" i="115"/>
  <c r="CW406" i="115" s="1"/>
  <c r="DQ628" i="115" l="1"/>
  <c r="DQ649" i="115"/>
  <c r="DP648" i="115"/>
  <c r="DM648" i="115"/>
  <c r="CN2" i="111"/>
  <c r="CM5" i="111"/>
  <c r="CY1289" i="115"/>
  <c r="CY1290" i="115"/>
  <c r="DQ648" i="115" l="1"/>
  <c r="CO2" i="111"/>
  <c r="CN5" i="111"/>
  <c r="DH1331" i="115"/>
  <c r="CP2" i="111" l="1"/>
  <c r="CO5" i="111"/>
  <c r="DG1296" i="115"/>
  <c r="DH1332" i="115"/>
  <c r="DH1334" i="115" s="1"/>
  <c r="DJ1331" i="115"/>
  <c r="CQ2" i="111" l="1"/>
  <c r="CP5" i="111"/>
  <c r="DI1331" i="115"/>
  <c r="DH1296" i="115"/>
  <c r="CR2" i="111" l="1"/>
  <c r="CQ5" i="111"/>
  <c r="DH1371" i="115"/>
  <c r="DI1332" i="115"/>
  <c r="DJ1332" i="115" s="1"/>
  <c r="DA405" i="115"/>
  <c r="DA406" i="115" s="1"/>
  <c r="CS2" i="111" l="1"/>
  <c r="CR5" i="111"/>
  <c r="DI1334" i="115"/>
  <c r="DJ1335" i="115"/>
  <c r="DJ1334" i="115"/>
  <c r="CT2" i="111" l="1"/>
  <c r="CS5" i="111"/>
  <c r="DI1296" i="115"/>
  <c r="DL1331" i="115"/>
  <c r="DJ1296" i="115" l="1"/>
  <c r="DK1296" i="115"/>
  <c r="DI1371" i="115"/>
  <c r="CU2" i="111"/>
  <c r="CT5" i="111"/>
  <c r="DL1332" i="115"/>
  <c r="DL1334" i="115" s="1"/>
  <c r="DN1331" i="115"/>
  <c r="DG929" i="115"/>
  <c r="DH409" i="115"/>
  <c r="CV2" i="111" l="1"/>
  <c r="CU5" i="111"/>
  <c r="DL1296" i="115"/>
  <c r="DM1331" i="115"/>
  <c r="DH411" i="115"/>
  <c r="DH413" i="115" s="1"/>
  <c r="DJ409" i="115"/>
  <c r="DH414" i="115"/>
  <c r="DL1371" i="115" l="1"/>
  <c r="CW2" i="111"/>
  <c r="CV5" i="111"/>
  <c r="DM1332" i="115"/>
  <c r="DN1332" i="115" s="1"/>
  <c r="DH1326" i="115"/>
  <c r="DH1327" i="115" s="1"/>
  <c r="DH1293" i="115" s="1"/>
  <c r="DI409" i="115"/>
  <c r="DH397" i="115"/>
  <c r="DJ414" i="115"/>
  <c r="DH929" i="115"/>
  <c r="DG1293" i="115"/>
  <c r="DM1334" i="115" l="1"/>
  <c r="CX2" i="111"/>
  <c r="CW5" i="111"/>
  <c r="DN1335" i="115"/>
  <c r="DN1334" i="115"/>
  <c r="DH1315" i="115"/>
  <c r="DH416" i="115"/>
  <c r="DH399" i="115"/>
  <c r="DI411" i="115"/>
  <c r="DI413" i="115" s="1"/>
  <c r="DI414" i="115"/>
  <c r="DH933" i="115"/>
  <c r="DM1296" i="115" l="1"/>
  <c r="DP1331" i="115"/>
  <c r="CY2" i="111"/>
  <c r="CX5" i="111"/>
  <c r="DI1326" i="115"/>
  <c r="DI1327" i="115" s="1"/>
  <c r="DI397" i="115"/>
  <c r="DI929" i="115"/>
  <c r="DJ411" i="115"/>
  <c r="DH1314" i="115"/>
  <c r="DH1316" i="115" s="1"/>
  <c r="DH368" i="115"/>
  <c r="DE405" i="115"/>
  <c r="DE406" i="115" s="1"/>
  <c r="AH92" i="111"/>
  <c r="DO1296" i="115" l="1"/>
  <c r="DN1296" i="115"/>
  <c r="DM1371" i="115"/>
  <c r="DR1331" i="115"/>
  <c r="DP1332" i="115"/>
  <c r="DP1334" i="115" s="1"/>
  <c r="CZ2" i="111"/>
  <c r="CY5" i="111"/>
  <c r="DH1319" i="115"/>
  <c r="DH1290" i="115" s="1"/>
  <c r="DH1317" i="115"/>
  <c r="DH1289" i="115" s="1"/>
  <c r="DJ415" i="115"/>
  <c r="DJ413" i="115"/>
  <c r="DL409" i="115" s="1"/>
  <c r="DI933" i="115"/>
  <c r="DJ929" i="115"/>
  <c r="DI1315" i="115"/>
  <c r="DI416" i="115"/>
  <c r="DJ397" i="115"/>
  <c r="DI399" i="115"/>
  <c r="DH1520" i="115"/>
  <c r="DH1115" i="115"/>
  <c r="DJ1327" i="115"/>
  <c r="DI1293" i="115"/>
  <c r="DG1290" i="115"/>
  <c r="DG1289" i="115"/>
  <c r="DQ1331" i="115" l="1"/>
  <c r="DP1296" i="115"/>
  <c r="DA2" i="111"/>
  <c r="CZ5" i="111"/>
  <c r="DL411" i="115"/>
  <c r="DN409" i="115"/>
  <c r="DL414" i="115"/>
  <c r="DJ1326" i="115"/>
  <c r="DJ1328" i="115" s="1"/>
  <c r="DI1314" i="115"/>
  <c r="DI1316" i="115" s="1"/>
  <c r="DI368" i="115"/>
  <c r="DJ1315" i="115"/>
  <c r="DJ399" i="115"/>
  <c r="DJ1314" i="115" s="1"/>
  <c r="DH405" i="115"/>
  <c r="DH406" i="115" s="1"/>
  <c r="DK1293" i="115"/>
  <c r="DJ1293" i="115"/>
  <c r="DK929" i="115"/>
  <c r="DP1371" i="115" l="1"/>
  <c r="DQ1332" i="115"/>
  <c r="DR1332" i="115" s="1"/>
  <c r="DB2" i="111"/>
  <c r="DA5" i="111"/>
  <c r="DN414" i="115"/>
  <c r="DL929" i="115"/>
  <c r="DL413" i="115"/>
  <c r="DI1520" i="115"/>
  <c r="DJ1520" i="115" s="1"/>
  <c r="DI1115" i="115"/>
  <c r="DJ368" i="115"/>
  <c r="DJ1316" i="115"/>
  <c r="DI1317" i="115"/>
  <c r="DI1319" i="115"/>
  <c r="DQ1334" i="115" l="1"/>
  <c r="DQ1296" i="115" s="1"/>
  <c r="DR1335" i="115"/>
  <c r="DR1334" i="115"/>
  <c r="DC2" i="111"/>
  <c r="DB5" i="111"/>
  <c r="DL933" i="115"/>
  <c r="DL1326" i="115"/>
  <c r="DL1327" i="115" s="1"/>
  <c r="DL1293" i="115" s="1"/>
  <c r="DM409" i="115"/>
  <c r="DL397" i="115"/>
  <c r="DJ1115" i="115"/>
  <c r="AI92" i="111" s="1"/>
  <c r="DJ1319" i="115"/>
  <c r="DJ1320" i="115" s="1"/>
  <c r="DI1290" i="115"/>
  <c r="DJ1317" i="115"/>
  <c r="DJ1318" i="115" s="1"/>
  <c r="DI1289" i="115"/>
  <c r="DQ1371" i="115" l="1"/>
  <c r="DS1296" i="115"/>
  <c r="DR1296" i="115"/>
  <c r="DD2" i="111"/>
  <c r="DC5" i="111"/>
  <c r="DL1315" i="115"/>
  <c r="DL416" i="115"/>
  <c r="DL399" i="115"/>
  <c r="DM411" i="115"/>
  <c r="DM414" i="115"/>
  <c r="DK1289" i="115"/>
  <c r="DJ1289" i="115"/>
  <c r="DI405" i="115"/>
  <c r="DI406" i="115" s="1"/>
  <c r="DK1290" i="115"/>
  <c r="DJ1290" i="115"/>
  <c r="DE2" i="111" l="1"/>
  <c r="DD5" i="111"/>
  <c r="DM929" i="115"/>
  <c r="DN411" i="115"/>
  <c r="DL1314" i="115"/>
  <c r="DL1316" i="115" s="1"/>
  <c r="DL368" i="115"/>
  <c r="DM413" i="115"/>
  <c r="DF2" i="111" l="1"/>
  <c r="DE5" i="111"/>
  <c r="DL1520" i="115"/>
  <c r="DL1115" i="115"/>
  <c r="DL1317" i="115"/>
  <c r="DL1289" i="115" s="1"/>
  <c r="DL1319" i="115"/>
  <c r="DL1290" i="115" s="1"/>
  <c r="DN415" i="115"/>
  <c r="DN413" i="115"/>
  <c r="DP409" i="115" s="1"/>
  <c r="DP414" i="115" s="1"/>
  <c r="DM1326" i="115"/>
  <c r="DM1327" i="115" s="1"/>
  <c r="DM397" i="115"/>
  <c r="DM933" i="115"/>
  <c r="DN929" i="115"/>
  <c r="DR409" i="115" l="1"/>
  <c r="DP411" i="115"/>
  <c r="DP413" i="115" s="1"/>
  <c r="DG2" i="111"/>
  <c r="DF5" i="111"/>
  <c r="DN1326" i="115"/>
  <c r="DM1315" i="115"/>
  <c r="DM416" i="115"/>
  <c r="DN397" i="115"/>
  <c r="DM399" i="115"/>
  <c r="DO929" i="115"/>
  <c r="DN1327" i="115"/>
  <c r="DM1293" i="115"/>
  <c r="DL405" i="115"/>
  <c r="DL406" i="115" s="1"/>
  <c r="DR414" i="115" l="1"/>
  <c r="DP397" i="115"/>
  <c r="DP399" i="115" s="1"/>
  <c r="DQ409" i="115"/>
  <c r="DQ414" i="115" s="1"/>
  <c r="DP1326" i="115"/>
  <c r="DP1327" i="115" s="1"/>
  <c r="DP1293" i="115" s="1"/>
  <c r="DP929" i="115"/>
  <c r="DH2" i="111"/>
  <c r="DG5" i="111"/>
  <c r="DN1328" i="115"/>
  <c r="DO1293" i="115"/>
  <c r="DN1293" i="115"/>
  <c r="DM1314" i="115"/>
  <c r="DM1316" i="115" s="1"/>
  <c r="DM368" i="115"/>
  <c r="DN1315" i="115"/>
  <c r="DN399" i="115"/>
  <c r="DN1314" i="115" s="1"/>
  <c r="DP368" i="115" l="1"/>
  <c r="DP1314" i="115"/>
  <c r="DP933" i="115"/>
  <c r="DQ411" i="115"/>
  <c r="DQ413" i="115" s="1"/>
  <c r="DP416" i="115"/>
  <c r="DP1315" i="115"/>
  <c r="DI2" i="111"/>
  <c r="DH5" i="111"/>
  <c r="DM1520" i="115"/>
  <c r="DN1520" i="115" s="1"/>
  <c r="DM1115" i="115"/>
  <c r="DN368" i="115"/>
  <c r="DN1316" i="115"/>
  <c r="DM1319" i="115"/>
  <c r="DM1317" i="115"/>
  <c r="DP1316" i="115" l="1"/>
  <c r="DP1319" i="115" s="1"/>
  <c r="DP1290" i="115" s="1"/>
  <c r="DQ929" i="115"/>
  <c r="DR411" i="115"/>
  <c r="DP1520" i="115"/>
  <c r="DP1115" i="115"/>
  <c r="DQ1326" i="115"/>
  <c r="DQ1327" i="115" s="1"/>
  <c r="DQ397" i="115"/>
  <c r="DQ399" i="115" s="1"/>
  <c r="DJ2" i="111"/>
  <c r="DI5" i="111"/>
  <c r="DN1115" i="115"/>
  <c r="DN1317" i="115"/>
  <c r="DN1318" i="115" s="1"/>
  <c r="DM1289" i="115"/>
  <c r="DN1319" i="115"/>
  <c r="DN1320" i="115" s="1"/>
  <c r="DM1290" i="115"/>
  <c r="AJ92" i="111" l="1"/>
  <c r="DR929" i="115"/>
  <c r="DQ933" i="115"/>
  <c r="DP1317" i="115"/>
  <c r="DP1289" i="115" s="1"/>
  <c r="DQ1314" i="115"/>
  <c r="DQ368" i="115"/>
  <c r="DR415" i="115"/>
  <c r="DR413" i="115"/>
  <c r="DQ1315" i="115"/>
  <c r="DQ416" i="115"/>
  <c r="DR397" i="115"/>
  <c r="DR1327" i="115"/>
  <c r="DQ1293" i="115"/>
  <c r="DK2" i="111"/>
  <c r="DJ5" i="111"/>
  <c r="DO1290" i="115"/>
  <c r="DN1290" i="115"/>
  <c r="DO1289" i="115"/>
  <c r="DN1289" i="115"/>
  <c r="DM405" i="115"/>
  <c r="DM406" i="115" s="1"/>
  <c r="DR1326" i="115" l="1"/>
  <c r="DR1328" i="115" s="1"/>
  <c r="DP405" i="115"/>
  <c r="DP406" i="115" s="1"/>
  <c r="DS929" i="115"/>
  <c r="DR1315" i="115"/>
  <c r="DR399" i="115"/>
  <c r="DR1314" i="115" s="1"/>
  <c r="DQ1115" i="115"/>
  <c r="DR368" i="115"/>
  <c r="DQ1520" i="115"/>
  <c r="DR1520" i="115" s="1"/>
  <c r="DQ1316" i="115"/>
  <c r="DR1293" i="115"/>
  <c r="DS1293" i="115"/>
  <c r="DL2" i="111"/>
  <c r="DK5" i="111"/>
  <c r="DR1115" i="115" l="1"/>
  <c r="AK92" i="111" s="1"/>
  <c r="AL92" i="111" s="1"/>
  <c r="AM92" i="111" s="1"/>
  <c r="AN92" i="111" s="1"/>
  <c r="AO92" i="111" s="1"/>
  <c r="AP92" i="111" s="1"/>
  <c r="AQ92" i="111" s="1"/>
  <c r="AR92" i="111" s="1"/>
  <c r="AS92" i="111" s="1"/>
  <c r="AT92" i="111" s="1"/>
  <c r="AU92" i="111" s="1"/>
  <c r="AV92" i="111" s="1"/>
  <c r="AW92" i="111" s="1"/>
  <c r="AX92" i="111" s="1"/>
  <c r="AY92" i="111" s="1"/>
  <c r="AZ92" i="111" s="1"/>
  <c r="BA92" i="111" s="1"/>
  <c r="BB92" i="111" s="1"/>
  <c r="BC92" i="111" s="1"/>
  <c r="BD92" i="111" s="1"/>
  <c r="BE92" i="111" s="1"/>
  <c r="BF92" i="111" s="1"/>
  <c r="BG92" i="111" s="1"/>
  <c r="BH92" i="111" s="1"/>
  <c r="BI92" i="111" s="1"/>
  <c r="BJ92" i="111" s="1"/>
  <c r="BK92" i="111" s="1"/>
  <c r="BL92" i="111" s="1"/>
  <c r="BM92" i="111" s="1"/>
  <c r="BN92" i="111" s="1"/>
  <c r="BO92" i="111" s="1"/>
  <c r="BP92" i="111" s="1"/>
  <c r="BQ92" i="111" s="1"/>
  <c r="BR92" i="111" s="1"/>
  <c r="BS92" i="111" s="1"/>
  <c r="BT92" i="111" s="1"/>
  <c r="BU92" i="111" s="1"/>
  <c r="BV92" i="111" s="1"/>
  <c r="BW92" i="111" s="1"/>
  <c r="BX92" i="111" s="1"/>
  <c r="BY92" i="111" s="1"/>
  <c r="BZ92" i="111" s="1"/>
  <c r="CA92" i="111" s="1"/>
  <c r="CB92" i="111" s="1"/>
  <c r="CC92" i="111" s="1"/>
  <c r="CD92" i="111" s="1"/>
  <c r="CE92" i="111" s="1"/>
  <c r="CF92" i="111" s="1"/>
  <c r="CG92" i="111" s="1"/>
  <c r="DR1316" i="115"/>
  <c r="DQ1317" i="115"/>
  <c r="DQ1319" i="115"/>
  <c r="DM2" i="111"/>
  <c r="DL5" i="111"/>
  <c r="DR1319" i="115" l="1"/>
  <c r="DR1320" i="115" s="1"/>
  <c r="DQ1290" i="115"/>
  <c r="DR1317" i="115"/>
  <c r="DR1318" i="115" s="1"/>
  <c r="DQ1289" i="115"/>
  <c r="DN2" i="111"/>
  <c r="DM5" i="111"/>
  <c r="DS1289" i="115" l="1"/>
  <c r="DR1289" i="115"/>
  <c r="DQ405" i="115"/>
  <c r="DQ406" i="115" s="1"/>
  <c r="DR1290" i="115"/>
  <c r="DS1290" i="115"/>
  <c r="DO2" i="111"/>
  <c r="DN5" i="111"/>
  <c r="DP2" i="111" l="1"/>
  <c r="DO5" i="111"/>
  <c r="DQ2" i="111" l="1"/>
  <c r="DP5" i="111"/>
  <c r="DR2" i="111" l="1"/>
  <c r="DQ5" i="111"/>
  <c r="DS2" i="111" l="1"/>
  <c r="DR5" i="111"/>
  <c r="DT2" i="111" l="1"/>
  <c r="DS5" i="111"/>
  <c r="DU2" i="111" l="1"/>
  <c r="DT5" i="111"/>
  <c r="DV2" i="111" l="1"/>
  <c r="DU5" i="111"/>
  <c r="DW2" i="111" l="1"/>
  <c r="DV5" i="111"/>
  <c r="DX2" i="111" l="1"/>
  <c r="DW5" i="111"/>
  <c r="DY2" i="111" l="1"/>
  <c r="DX5" i="111"/>
  <c r="DZ2" i="111" l="1"/>
  <c r="DY5" i="111"/>
  <c r="EA2" i="111" l="1"/>
  <c r="DZ5" i="111"/>
  <c r="EB2" i="111" l="1"/>
  <c r="EA5" i="111"/>
  <c r="EC2" i="111" l="1"/>
  <c r="EB5" i="111"/>
  <c r="ED2" i="111" l="1"/>
  <c r="EC5" i="111"/>
  <c r="EE2" i="111" l="1"/>
  <c r="ED5" i="111"/>
  <c r="EF2" i="111" l="1"/>
  <c r="EE5" i="111"/>
  <c r="EG2" i="111" l="1"/>
  <c r="EF5" i="111"/>
  <c r="EH2" i="111" l="1"/>
  <c r="EG5" i="111"/>
  <c r="EI2" i="111" l="1"/>
  <c r="EH5" i="111"/>
  <c r="EJ2" i="111" l="1"/>
  <c r="EI5" i="111"/>
  <c r="EK2" i="111" l="1"/>
  <c r="EJ5" i="111"/>
  <c r="EL2" i="111" l="1"/>
  <c r="EK5" i="111"/>
  <c r="EM2" i="111" l="1"/>
  <c r="EL5" i="111"/>
  <c r="EN2" i="111" l="1"/>
  <c r="EM5" i="111"/>
  <c r="EO2" i="111" l="1"/>
  <c r="EN5" i="111"/>
  <c r="BH7" i="117"/>
  <c r="BH22" i="117"/>
  <c r="BH190" i="117" s="1"/>
  <c r="BH198" i="117" s="1"/>
  <c r="BH120" i="117" s="1"/>
  <c r="BH29" i="117"/>
  <c r="BH44" i="117"/>
  <c r="BH71" i="117"/>
  <c r="EP2" i="111" l="1"/>
  <c r="EO5" i="111"/>
  <c r="BH62" i="117"/>
  <c r="BH45" i="117"/>
  <c r="BH61" i="117" s="1"/>
  <c r="BH207" i="117"/>
  <c r="BH64" i="117"/>
  <c r="BH17" i="117"/>
  <c r="EQ2" i="111" l="1"/>
  <c r="EQ5" i="111" s="1"/>
  <c r="EP5" i="111"/>
  <c r="BH240" i="117"/>
  <c r="BH241" i="117" s="1"/>
  <c r="BH243" i="117" s="1"/>
  <c r="BH245" i="117" s="1"/>
  <c r="BH127" i="117"/>
  <c r="BH130" i="117" s="1"/>
  <c r="BH131" i="117" s="1"/>
  <c r="BH133" i="117"/>
  <c r="BH66" i="117"/>
  <c r="BH19" i="117"/>
  <c r="CN445" i="115" l="1"/>
  <c r="BH54" i="117"/>
  <c r="BH82" i="117" s="1"/>
  <c r="BH139" i="117"/>
  <c r="BH141" i="117"/>
  <c r="BH47" i="117"/>
  <c r="BH21" i="117"/>
  <c r="BH24" i="117" s="1"/>
  <c r="BH26" i="117" s="1"/>
  <c r="BH68" i="117"/>
  <c r="CN447" i="115" l="1"/>
  <c r="CN456" i="115" s="1"/>
  <c r="CN381" i="115"/>
  <c r="BH115" i="117"/>
  <c r="BH117" i="117" s="1"/>
  <c r="BH119" i="117" s="1"/>
  <c r="BH160" i="117"/>
  <c r="BH143" i="117"/>
  <c r="BH142" i="117"/>
  <c r="BH202" i="117"/>
  <c r="BH204" i="117" s="1"/>
  <c r="BH206" i="117" s="1"/>
  <c r="BH208" i="117" s="1"/>
  <c r="BH63" i="117"/>
  <c r="EG17" i="117"/>
  <c r="CN455" i="115" l="1"/>
  <c r="CN449" i="115"/>
  <c r="BH121" i="117"/>
  <c r="BH123" i="117"/>
  <c r="AD85" i="111"/>
  <c r="AD137" i="111" l="1"/>
  <c r="AD86" i="111" l="1"/>
  <c r="AD96" i="111" s="1"/>
  <c r="AD116" i="111" s="1"/>
  <c r="AD149" i="111"/>
  <c r="AD151" i="111" s="1"/>
  <c r="AD152" i="111" s="1"/>
  <c r="AD138" i="111"/>
  <c r="EI50" i="117"/>
  <c r="BH50" i="117"/>
  <c r="BH58" i="117" l="1"/>
  <c r="BH59" i="117" l="1"/>
  <c r="CN266" i="115"/>
  <c r="EG42" i="117"/>
  <c r="CN268" i="115" l="1"/>
  <c r="CN262" i="115"/>
  <c r="CN261" i="115"/>
  <c r="CN263" i="115"/>
  <c r="CN267" i="115"/>
  <c r="CN270" i="115" l="1"/>
  <c r="CN264" i="115"/>
  <c r="CN269" i="115"/>
  <c r="BH8" i="117"/>
  <c r="BH251" i="117" l="1"/>
  <c r="BH30" i="117"/>
  <c r="BH72" i="117" l="1"/>
  <c r="EG45" i="117" l="1"/>
  <c r="EH51" i="117" l="1"/>
  <c r="AD88" i="111" l="1"/>
  <c r="AD98" i="111" s="1"/>
  <c r="EI19" i="117"/>
  <c r="AD87" i="111"/>
  <c r="AD97" i="111" s="1"/>
  <c r="EI51" i="117"/>
  <c r="AB41" i="123" l="1"/>
  <c r="AB139" i="123" l="1"/>
  <c r="AB86" i="123"/>
  <c r="EI20" i="117"/>
  <c r="CN1255" i="115"/>
  <c r="CN1256" i="115" s="1"/>
  <c r="CB846" i="115" l="1"/>
  <c r="CC846" i="115"/>
  <c r="CF846" i="115"/>
  <c r="CG846" i="115"/>
  <c r="CJ846" i="115"/>
  <c r="CK846" i="115"/>
  <c r="CN846" i="115"/>
  <c r="CG869" i="115" l="1"/>
  <c r="CF847" i="115"/>
  <c r="CP846" i="115"/>
  <c r="CP847" i="115" s="1"/>
  <c r="CP902" i="115" s="1"/>
  <c r="CC847" i="115"/>
  <c r="CB847" i="115"/>
  <c r="CK869" i="115"/>
  <c r="Z24" i="123"/>
  <c r="Z69" i="123" s="1"/>
  <c r="Z70" i="123" s="1"/>
  <c r="Z73" i="123" s="1"/>
  <c r="R24" i="123"/>
  <c r="R69" i="123" s="1"/>
  <c r="CF869" i="115"/>
  <c r="AH24" i="123"/>
  <c r="AH122" i="123" s="1"/>
  <c r="AH123" i="123" s="1"/>
  <c r="AH126" i="123" s="1"/>
  <c r="CN847" i="115"/>
  <c r="CN902" i="115" s="1"/>
  <c r="CN869" i="115"/>
  <c r="CN521" i="115"/>
  <c r="CF521" i="115"/>
  <c r="AZ40" i="117" s="1"/>
  <c r="S24" i="123"/>
  <c r="CG521" i="115"/>
  <c r="BA40" i="117" s="1"/>
  <c r="CG847" i="115"/>
  <c r="CG902" i="115" s="1"/>
  <c r="CH846" i="115"/>
  <c r="CG529" i="115"/>
  <c r="CG531" i="115" s="1"/>
  <c r="W24" i="123"/>
  <c r="CK847" i="115"/>
  <c r="CK902" i="115" s="1"/>
  <c r="CK529" i="115"/>
  <c r="CK531" i="115" s="1"/>
  <c r="CK521" i="115"/>
  <c r="N24" i="123"/>
  <c r="CD846" i="115"/>
  <c r="CB529" i="115"/>
  <c r="CB531" i="115" s="1"/>
  <c r="CB521" i="115"/>
  <c r="AV40" i="117" s="1"/>
  <c r="V24" i="123"/>
  <c r="CL846" i="115"/>
  <c r="CJ847" i="115"/>
  <c r="CJ902" i="115" s="1"/>
  <c r="CJ529" i="115"/>
  <c r="CJ531" i="115" s="1"/>
  <c r="CJ869" i="115"/>
  <c r="CJ521" i="115"/>
  <c r="AI24" i="123"/>
  <c r="O24" i="123"/>
  <c r="CC529" i="115"/>
  <c r="CC531" i="115" s="1"/>
  <c r="CC521" i="115"/>
  <c r="AW40" i="117" s="1"/>
  <c r="CN529" i="115"/>
  <c r="CN531" i="115" s="1"/>
  <c r="CF529" i="115"/>
  <c r="CF531" i="115" s="1"/>
  <c r="EI34" i="117" l="1"/>
  <c r="CF902" i="115"/>
  <c r="CC902" i="115"/>
  <c r="CB902" i="115"/>
  <c r="N22" i="123"/>
  <c r="N25" i="123" s="1"/>
  <c r="N28" i="123" s="1"/>
  <c r="Z122" i="123"/>
  <c r="Z123" i="123" s="1"/>
  <c r="Z126" i="123" s="1"/>
  <c r="O22" i="123"/>
  <c r="O25" i="123" s="1"/>
  <c r="O28" i="123" s="1"/>
  <c r="CG1147" i="115"/>
  <c r="CG1148" i="115" s="1"/>
  <c r="CG1153" i="115" s="1"/>
  <c r="CP1147" i="115"/>
  <c r="CP1148" i="115" s="1"/>
  <c r="CP1153" i="115" s="1"/>
  <c r="CP869" i="115"/>
  <c r="CN1147" i="115"/>
  <c r="CN1148" i="115" s="1"/>
  <c r="CN1153" i="115" s="1"/>
  <c r="CJ1147" i="115"/>
  <c r="CJ1148" i="115" s="1"/>
  <c r="CJ1153" i="115" s="1"/>
  <c r="CK1147" i="115"/>
  <c r="CK1148" i="115" s="1"/>
  <c r="CK1153" i="115" s="1"/>
  <c r="CF1147" i="115"/>
  <c r="CF1148" i="115" s="1"/>
  <c r="CF1153" i="115" s="1"/>
  <c r="CB1147" i="115"/>
  <c r="CB1148" i="115" s="1"/>
  <c r="CB1153" i="115" s="1"/>
  <c r="CC1147" i="115"/>
  <c r="CC1148" i="115" s="1"/>
  <c r="CC1153" i="115" s="1"/>
  <c r="R22" i="123"/>
  <c r="R25" i="123" s="1"/>
  <c r="R28" i="123" s="1"/>
  <c r="AZ31" i="117"/>
  <c r="AZ32" i="117" s="1"/>
  <c r="BP40" i="117"/>
  <c r="BQ40" i="117"/>
  <c r="CJ64" i="115"/>
  <c r="CJ65" i="115" s="1"/>
  <c r="CJ67" i="115" s="1"/>
  <c r="BD40" i="117"/>
  <c r="CN64" i="115"/>
  <c r="CN65" i="115" s="1"/>
  <c r="BH40" i="117"/>
  <c r="CF856" i="115"/>
  <c r="CP529" i="115"/>
  <c r="CP531" i="115" s="1"/>
  <c r="CF896" i="115"/>
  <c r="CF898" i="115" s="1"/>
  <c r="CP521" i="115"/>
  <c r="BU40" i="117"/>
  <c r="CK64" i="115"/>
  <c r="CK65" i="115" s="1"/>
  <c r="CK67" i="115" s="1"/>
  <c r="BE40" i="117"/>
  <c r="BT40" i="117"/>
  <c r="CH869" i="115"/>
  <c r="CP896" i="115"/>
  <c r="CP898" i="115" s="1"/>
  <c r="CG856" i="115"/>
  <c r="CF522" i="115"/>
  <c r="CF64" i="115"/>
  <c r="CF65" i="115" s="1"/>
  <c r="CC522" i="115"/>
  <c r="CC64" i="115"/>
  <c r="CC65" i="115" s="1"/>
  <c r="CG522" i="115"/>
  <c r="CG64" i="115"/>
  <c r="CG65" i="115" s="1"/>
  <c r="Z22" i="123"/>
  <c r="Z25" i="123" s="1"/>
  <c r="Z28" i="123" s="1"/>
  <c r="CB522" i="115"/>
  <c r="CB64" i="115"/>
  <c r="CB65" i="115" s="1"/>
  <c r="CJ856" i="115"/>
  <c r="CK856" i="115"/>
  <c r="CK522" i="115"/>
  <c r="CN522" i="115"/>
  <c r="CJ522" i="115"/>
  <c r="R122" i="123"/>
  <c r="CN896" i="115"/>
  <c r="CN898" i="115" s="1"/>
  <c r="BH31" i="117"/>
  <c r="CN856" i="115"/>
  <c r="AH69" i="123"/>
  <c r="S22" i="123"/>
  <c r="CG896" i="115"/>
  <c r="CG898" i="115" s="1"/>
  <c r="BA31" i="117"/>
  <c r="BA32" i="117" s="1"/>
  <c r="CF534" i="115"/>
  <c r="CF533" i="115"/>
  <c r="O69" i="123"/>
  <c r="O122" i="123"/>
  <c r="CB533" i="115"/>
  <c r="CB534" i="115"/>
  <c r="W69" i="123"/>
  <c r="W70" i="123" s="1"/>
  <c r="W73" i="123" s="1"/>
  <c r="W122" i="123"/>
  <c r="W123" i="123" s="1"/>
  <c r="W126" i="123" s="1"/>
  <c r="CC533" i="115"/>
  <c r="CC534" i="115"/>
  <c r="W22" i="123"/>
  <c r="CK896" i="115"/>
  <c r="CK898" i="115" s="1"/>
  <c r="BE31" i="117"/>
  <c r="CN534" i="115"/>
  <c r="CN533" i="115"/>
  <c r="CJ533" i="115"/>
  <c r="CJ534" i="115"/>
  <c r="P24" i="123"/>
  <c r="CD847" i="115"/>
  <c r="CD529" i="115"/>
  <c r="CD531" i="115" s="1"/>
  <c r="CD521" i="115"/>
  <c r="AX40" i="117" s="1"/>
  <c r="S69" i="123"/>
  <c r="S122" i="123"/>
  <c r="AI69" i="123"/>
  <c r="AI122" i="123"/>
  <c r="AI123" i="123" s="1"/>
  <c r="AI126" i="123" s="1"/>
  <c r="X24" i="123"/>
  <c r="CL521" i="115"/>
  <c r="CL869" i="115"/>
  <c r="CL847" i="115"/>
  <c r="CL902" i="115" s="1"/>
  <c r="CL529" i="115"/>
  <c r="CL531" i="115" s="1"/>
  <c r="T24" i="123"/>
  <c r="CH529" i="115"/>
  <c r="CH531" i="115" s="1"/>
  <c r="CH521" i="115"/>
  <c r="BB40" i="117" s="1"/>
  <c r="CH847" i="115"/>
  <c r="V22" i="123"/>
  <c r="CJ896" i="115"/>
  <c r="CJ898" i="115" s="1"/>
  <c r="BD31" i="117"/>
  <c r="N69" i="123"/>
  <c r="N122" i="123"/>
  <c r="CG534" i="115"/>
  <c r="CG533" i="115"/>
  <c r="V69" i="123"/>
  <c r="V70" i="123" s="1"/>
  <c r="V73" i="123" s="1"/>
  <c r="V122" i="123"/>
  <c r="V123" i="123" s="1"/>
  <c r="V126" i="123" s="1"/>
  <c r="CK533" i="115"/>
  <c r="CK534" i="115"/>
  <c r="EE34" i="117" l="1"/>
  <c r="CH902" i="115"/>
  <c r="CD902" i="115"/>
  <c r="O67" i="123"/>
  <c r="O81" i="123" s="1"/>
  <c r="N120" i="123"/>
  <c r="N134" i="123" s="1"/>
  <c r="O120" i="123"/>
  <c r="O134" i="123" s="1"/>
  <c r="N67" i="123"/>
  <c r="N81" i="123" s="1"/>
  <c r="CP533" i="115"/>
  <c r="CP534" i="115"/>
  <c r="BJ40" i="117"/>
  <c r="CL1147" i="115"/>
  <c r="CL1148" i="115" s="1"/>
  <c r="CL1153" i="115" s="1"/>
  <c r="R67" i="123"/>
  <c r="R81" i="123" s="1"/>
  <c r="R23" i="123"/>
  <c r="R120" i="123"/>
  <c r="R134" i="123" s="1"/>
  <c r="CH1147" i="115"/>
  <c r="CH1148" i="115" s="1"/>
  <c r="CH1153" i="115" s="1"/>
  <c r="CD1147" i="115"/>
  <c r="CD1148" i="115" s="1"/>
  <c r="CD1153" i="115" s="1"/>
  <c r="CP64" i="115"/>
  <c r="CP65" i="115" s="1"/>
  <c r="CP522" i="115"/>
  <c r="CN67" i="115"/>
  <c r="CN71" i="115" s="1"/>
  <c r="CJ71" i="115"/>
  <c r="BD34" i="117"/>
  <c r="CK71" i="115"/>
  <c r="BE34" i="117"/>
  <c r="BV40" i="117"/>
  <c r="BR40" i="117"/>
  <c r="CL64" i="115"/>
  <c r="CL65" i="115" s="1"/>
  <c r="BF40" i="117"/>
  <c r="CG524" i="115"/>
  <c r="CG996" i="115" s="1"/>
  <c r="CG997" i="115" s="1"/>
  <c r="CG1001" i="115" s="1"/>
  <c r="CG1154" i="115" s="1"/>
  <c r="CG1155" i="115" s="1"/>
  <c r="CG1156" i="115" s="1"/>
  <c r="CG67" i="115"/>
  <c r="CF67" i="115"/>
  <c r="CF524" i="115"/>
  <c r="AZ42" i="117" s="1"/>
  <c r="Z23" i="123"/>
  <c r="BH38" i="117"/>
  <c r="BH73" i="117"/>
  <c r="BH32" i="117"/>
  <c r="CB67" i="115"/>
  <c r="CQ847" i="115"/>
  <c r="CC524" i="115"/>
  <c r="AW42" i="117" s="1"/>
  <c r="CC67" i="115"/>
  <c r="CB524" i="115"/>
  <c r="CH522" i="115"/>
  <c r="CH64" i="115"/>
  <c r="CD522" i="115"/>
  <c r="CD64" i="115"/>
  <c r="CD65" i="115" s="1"/>
  <c r="CL522" i="115"/>
  <c r="CJ524" i="115"/>
  <c r="CN524" i="115"/>
  <c r="CK524" i="115"/>
  <c r="BD32" i="117"/>
  <c r="X22" i="123"/>
  <c r="CL896" i="115"/>
  <c r="CQ896" i="115" s="1"/>
  <c r="CM847" i="115"/>
  <c r="BF31" i="117"/>
  <c r="CG538" i="115"/>
  <c r="CG1527" i="115" s="1"/>
  <c r="CH534" i="115"/>
  <c r="CH533" i="115"/>
  <c r="CD533" i="115"/>
  <c r="CD534" i="115"/>
  <c r="CJ538" i="115"/>
  <c r="CJ1527" i="115" s="1"/>
  <c r="CN538" i="115"/>
  <c r="W25" i="123"/>
  <c r="W28" i="123" s="1"/>
  <c r="W23" i="123"/>
  <c r="CC538" i="115"/>
  <c r="X122" i="123"/>
  <c r="X69" i="123"/>
  <c r="P22" i="123"/>
  <c r="P122" i="123"/>
  <c r="P69" i="123"/>
  <c r="BE32" i="117"/>
  <c r="CB538" i="115"/>
  <c r="CB1527" i="115" s="1"/>
  <c r="CF538" i="115"/>
  <c r="CF1527" i="115" s="1"/>
  <c r="S23" i="123"/>
  <c r="S67" i="123"/>
  <c r="S25" i="123"/>
  <c r="S28" i="123" s="1"/>
  <c r="S120" i="123"/>
  <c r="S134" i="123" s="1"/>
  <c r="T122" i="123"/>
  <c r="T69" i="123"/>
  <c r="CK538" i="115"/>
  <c r="CK1527" i="115" s="1"/>
  <c r="V23" i="123"/>
  <c r="V25" i="123"/>
  <c r="V28" i="123" s="1"/>
  <c r="T22" i="123"/>
  <c r="CH896" i="115"/>
  <c r="CH898" i="115" s="1"/>
  <c r="CI847" i="115"/>
  <c r="BB31" i="117"/>
  <c r="CL533" i="115"/>
  <c r="CL534" i="115"/>
  <c r="DW34" i="117" l="1"/>
  <c r="EA34" i="117"/>
  <c r="CN1527" i="115"/>
  <c r="CN1528" i="115"/>
  <c r="CP67" i="115"/>
  <c r="BJ34" i="117" s="1"/>
  <c r="O70" i="123"/>
  <c r="O73" i="123" s="1"/>
  <c r="O96" i="123" s="1"/>
  <c r="O123" i="123"/>
  <c r="O126" i="123" s="1"/>
  <c r="O150" i="123" s="1"/>
  <c r="N70" i="123"/>
  <c r="N73" i="123" s="1"/>
  <c r="N96" i="123" s="1"/>
  <c r="N123" i="123"/>
  <c r="N126" i="123" s="1"/>
  <c r="N150" i="123" s="1"/>
  <c r="BU42" i="117"/>
  <c r="CC1527" i="115"/>
  <c r="R70" i="123"/>
  <c r="R73" i="123" s="1"/>
  <c r="CP524" i="115"/>
  <c r="CP526" i="115" s="1"/>
  <c r="AC22" i="123"/>
  <c r="BH34" i="117"/>
  <c r="R121" i="123"/>
  <c r="R123" i="123"/>
  <c r="R126" i="123" s="1"/>
  <c r="BP42" i="117"/>
  <c r="CQ65" i="115"/>
  <c r="CL67" i="115"/>
  <c r="BF34" i="117" s="1"/>
  <c r="BT42" i="117"/>
  <c r="CB71" i="115"/>
  <c r="AV34" i="117"/>
  <c r="CG68" i="115"/>
  <c r="BA42" i="117"/>
  <c r="CN68" i="115"/>
  <c r="BH42" i="117"/>
  <c r="CG71" i="115"/>
  <c r="BA34" i="117"/>
  <c r="CB526" i="115"/>
  <c r="AV42" i="117"/>
  <c r="CF71" i="115"/>
  <c r="AZ34" i="117"/>
  <c r="CC71" i="115"/>
  <c r="AW34" i="117"/>
  <c r="CK68" i="115"/>
  <c r="BE42" i="117"/>
  <c r="CJ68" i="115"/>
  <c r="BD42" i="117"/>
  <c r="BQ42" i="117"/>
  <c r="CJ72" i="115"/>
  <c r="CG72" i="115"/>
  <c r="CF72" i="115"/>
  <c r="CH524" i="115"/>
  <c r="BB42" i="117" s="1"/>
  <c r="CF68" i="115"/>
  <c r="CF996" i="115"/>
  <c r="CF997" i="115" s="1"/>
  <c r="CF1001" i="115" s="1"/>
  <c r="CF1154" i="115" s="1"/>
  <c r="CF1155" i="115" s="1"/>
  <c r="CF1156" i="115" s="1"/>
  <c r="CF526" i="115"/>
  <c r="CK72" i="115"/>
  <c r="CG526" i="115"/>
  <c r="BH74" i="117"/>
  <c r="BF38" i="117"/>
  <c r="BF73" i="117"/>
  <c r="CC68" i="115"/>
  <c r="CC526" i="115"/>
  <c r="CC996" i="115"/>
  <c r="CC997" i="115" s="1"/>
  <c r="CC1001" i="115" s="1"/>
  <c r="CC1154" i="115" s="1"/>
  <c r="CC1155" i="115" s="1"/>
  <c r="CC1156" i="115" s="1"/>
  <c r="CB68" i="115"/>
  <c r="CB996" i="115"/>
  <c r="CB997" i="115" s="1"/>
  <c r="CB1001" i="115" s="1"/>
  <c r="CB1154" i="115" s="1"/>
  <c r="CB1155" i="115" s="1"/>
  <c r="CB1156" i="115" s="1"/>
  <c r="CD67" i="115"/>
  <c r="CD524" i="115"/>
  <c r="AX42" i="117" s="1"/>
  <c r="CB72" i="115"/>
  <c r="CH65" i="115"/>
  <c r="CN72" i="115"/>
  <c r="CP538" i="115"/>
  <c r="CC72" i="115"/>
  <c r="CN526" i="115"/>
  <c r="CN996" i="115"/>
  <c r="CN997" i="115" s="1"/>
  <c r="CN1001" i="115" s="1"/>
  <c r="CN1154" i="115" s="1"/>
  <c r="CN1155" i="115" s="1"/>
  <c r="CN1156" i="115" s="1"/>
  <c r="CJ526" i="115"/>
  <c r="CJ996" i="115"/>
  <c r="CJ997" i="115" s="1"/>
  <c r="CJ1001" i="115" s="1"/>
  <c r="CJ1154" i="115" s="1"/>
  <c r="CJ1155" i="115" s="1"/>
  <c r="CJ1156" i="115" s="1"/>
  <c r="CK526" i="115"/>
  <c r="CK996" i="115"/>
  <c r="CK997" i="115" s="1"/>
  <c r="CK1001" i="115" s="1"/>
  <c r="CK1154" i="115" s="1"/>
  <c r="CK1155" i="115" s="1"/>
  <c r="CK1156" i="115" s="1"/>
  <c r="CL524" i="115"/>
  <c r="S70" i="123"/>
  <c r="S73" i="123" s="1"/>
  <c r="S81" i="123"/>
  <c r="CD538" i="115"/>
  <c r="BE37" i="117"/>
  <c r="Y22" i="123"/>
  <c r="BG31" i="117"/>
  <c r="BG38" i="117" s="1"/>
  <c r="X25" i="123"/>
  <c r="X120" i="123"/>
  <c r="X134" i="123" s="1"/>
  <c r="X67" i="123"/>
  <c r="X81" i="123" s="1"/>
  <c r="X23" i="123"/>
  <c r="BA37" i="117"/>
  <c r="CL898" i="115"/>
  <c r="CM896" i="115"/>
  <c r="CL538" i="115"/>
  <c r="CL1527" i="115" s="1"/>
  <c r="BD37" i="117"/>
  <c r="T120" i="123"/>
  <c r="T134" i="123" s="1"/>
  <c r="T23" i="123"/>
  <c r="T25" i="123"/>
  <c r="T67" i="123"/>
  <c r="T81" i="123" s="1"/>
  <c r="BH37" i="117"/>
  <c r="CH538" i="115"/>
  <c r="CH1527" i="115" s="1"/>
  <c r="AZ37" i="117"/>
  <c r="P67" i="123"/>
  <c r="P81" i="123" s="1"/>
  <c r="P120" i="123"/>
  <c r="P134" i="123" s="1"/>
  <c r="P25" i="123"/>
  <c r="BB32" i="117"/>
  <c r="U22" i="123"/>
  <c r="BC31" i="117"/>
  <c r="S121" i="123"/>
  <c r="S123" i="123"/>
  <c r="S126" i="123" s="1"/>
  <c r="BF32" i="117"/>
  <c r="X27" i="123" l="1"/>
  <c r="T27" i="123"/>
  <c r="P27" i="123"/>
  <c r="CP1527" i="115"/>
  <c r="CP1528" i="115"/>
  <c r="CP71" i="115"/>
  <c r="O95" i="123"/>
  <c r="O149" i="123"/>
  <c r="N149" i="123"/>
  <c r="N95" i="123"/>
  <c r="BQ43" i="117"/>
  <c r="BV42" i="117"/>
  <c r="BR42" i="117"/>
  <c r="CD1527" i="115"/>
  <c r="CP1140" i="115"/>
  <c r="CP1141" i="115" s="1"/>
  <c r="CP1142" i="115" s="1"/>
  <c r="BE43" i="117"/>
  <c r="BJ42" i="117"/>
  <c r="CP996" i="115"/>
  <c r="CP997" i="115" s="1"/>
  <c r="CP1001" i="115" s="1"/>
  <c r="CP1154" i="115" s="1"/>
  <c r="CP1155" i="115" s="1"/>
  <c r="CP1156" i="115" s="1"/>
  <c r="CP68" i="115"/>
  <c r="AC23" i="123"/>
  <c r="AC67" i="123"/>
  <c r="AC25" i="123"/>
  <c r="AC28" i="123" s="1"/>
  <c r="AC120" i="123"/>
  <c r="BD43" i="117"/>
  <c r="T37" i="123"/>
  <c r="T42" i="123" s="1"/>
  <c r="T140" i="123" s="1"/>
  <c r="T154" i="123" s="1"/>
  <c r="AB37" i="123"/>
  <c r="AB42" i="123" s="1"/>
  <c r="AB140" i="123" s="1"/>
  <c r="BJ43" i="117"/>
  <c r="X37" i="123"/>
  <c r="X42" i="123" s="1"/>
  <c r="X140" i="123" s="1"/>
  <c r="X154" i="123" s="1"/>
  <c r="CL71" i="115"/>
  <c r="BP43" i="117"/>
  <c r="P37" i="123"/>
  <c r="P42" i="123" s="1"/>
  <c r="P140" i="123" s="1"/>
  <c r="BU43" i="117"/>
  <c r="CC1140" i="115"/>
  <c r="CC1141" i="115" s="1"/>
  <c r="CC1142" i="115" s="1"/>
  <c r="AW43" i="117"/>
  <c r="CL68" i="115"/>
  <c r="BF42" i="117"/>
  <c r="CN1140" i="115"/>
  <c r="CN1141" i="115" s="1"/>
  <c r="CN1142" i="115" s="1"/>
  <c r="BH43" i="117"/>
  <c r="CD71" i="115"/>
  <c r="AX34" i="117"/>
  <c r="CB1140" i="115"/>
  <c r="AV43" i="117"/>
  <c r="BT43" i="117"/>
  <c r="CG1140" i="115"/>
  <c r="CG1141" i="115" s="1"/>
  <c r="CG1142" i="115" s="1"/>
  <c r="BA43" i="117"/>
  <c r="CF1140" i="115"/>
  <c r="CF1141" i="115" s="1"/>
  <c r="CF1142" i="115" s="1"/>
  <c r="AZ43" i="117"/>
  <c r="BH75" i="117"/>
  <c r="CH72" i="115"/>
  <c r="CL72" i="115"/>
  <c r="CH68" i="115"/>
  <c r="CH526" i="115"/>
  <c r="CH996" i="115"/>
  <c r="CH997" i="115" s="1"/>
  <c r="CH1001" i="115" s="1"/>
  <c r="CH1154" i="115" s="1"/>
  <c r="CH1155" i="115" s="1"/>
  <c r="CH1156" i="115" s="1"/>
  <c r="BF74" i="117"/>
  <c r="CH67" i="115"/>
  <c r="CD68" i="115"/>
  <c r="CD526" i="115"/>
  <c r="CD996" i="115"/>
  <c r="CD997" i="115" s="1"/>
  <c r="CD1001" i="115" s="1"/>
  <c r="CD1154" i="115" s="1"/>
  <c r="CD1155" i="115" s="1"/>
  <c r="CD1156" i="115" s="1"/>
  <c r="CM65" i="115"/>
  <c r="CI65" i="115"/>
  <c r="CM898" i="115"/>
  <c r="CQ898" i="115"/>
  <c r="CD72" i="115"/>
  <c r="CK1140" i="115"/>
  <c r="CK1141" i="115" s="1"/>
  <c r="CK1142" i="115" s="1"/>
  <c r="CL996" i="115"/>
  <c r="CL997" i="115" s="1"/>
  <c r="CL1001" i="115" s="1"/>
  <c r="CL1154" i="115" s="1"/>
  <c r="CL1155" i="115" s="1"/>
  <c r="CL1156" i="115" s="1"/>
  <c r="CL526" i="115"/>
  <c r="CJ1140" i="115"/>
  <c r="CJ1141" i="115" s="1"/>
  <c r="CJ1142" i="115" s="1"/>
  <c r="X28" i="123"/>
  <c r="T121" i="123"/>
  <c r="T123" i="123"/>
  <c r="T125" i="123" s="1"/>
  <c r="BB37" i="117"/>
  <c r="U25" i="123"/>
  <c r="U28" i="123" s="1"/>
  <c r="P123" i="123"/>
  <c r="P125" i="123" s="1"/>
  <c r="BG32" i="117"/>
  <c r="T28" i="123"/>
  <c r="X123" i="123"/>
  <c r="X125" i="123" s="1"/>
  <c r="X121" i="123"/>
  <c r="BC32" i="117"/>
  <c r="P28" i="123"/>
  <c r="P70" i="123"/>
  <c r="P72" i="123" s="1"/>
  <c r="T68" i="123"/>
  <c r="T70" i="123"/>
  <c r="T72" i="123" s="1"/>
  <c r="BF37" i="117"/>
  <c r="X70" i="123"/>
  <c r="X72" i="123" s="1"/>
  <c r="X68" i="123"/>
  <c r="Y23" i="123"/>
  <c r="Y25" i="123"/>
  <c r="Y28" i="123" s="1"/>
  <c r="AC121" i="123" l="1"/>
  <c r="AC123" i="123"/>
  <c r="AC134" i="123"/>
  <c r="AC68" i="123"/>
  <c r="AC70" i="123"/>
  <c r="AG67" i="123"/>
  <c r="AK67" i="123" s="1"/>
  <c r="AC81" i="123"/>
  <c r="BF43" i="117"/>
  <c r="CH71" i="115"/>
  <c r="BB34" i="117"/>
  <c r="CH1140" i="115"/>
  <c r="BB43" i="117"/>
  <c r="P154" i="123"/>
  <c r="BV43" i="117"/>
  <c r="CD1140" i="115"/>
  <c r="AX43" i="117"/>
  <c r="BR43" i="117"/>
  <c r="BF75" i="117"/>
  <c r="CL1140" i="115"/>
  <c r="T71" i="123"/>
  <c r="T73" i="123"/>
  <c r="T96" i="123" s="1"/>
  <c r="T95" i="123"/>
  <c r="X124" i="123"/>
  <c r="X126" i="123"/>
  <c r="X150" i="123" s="1"/>
  <c r="X149" i="123"/>
  <c r="T126" i="123"/>
  <c r="T150" i="123" s="1"/>
  <c r="T149" i="123"/>
  <c r="T124" i="123"/>
  <c r="X95" i="123"/>
  <c r="X71" i="123"/>
  <c r="X73" i="123"/>
  <c r="X96" i="123" s="1"/>
  <c r="P73" i="123"/>
  <c r="P96" i="123" s="1"/>
  <c r="P95" i="123"/>
  <c r="P126" i="123"/>
  <c r="P150" i="123" s="1"/>
  <c r="P149" i="123"/>
  <c r="AK81" i="123" l="1"/>
  <c r="AK85" i="123" s="1"/>
  <c r="AK70" i="123"/>
  <c r="AK73" i="123" s="1"/>
  <c r="AC95" i="123"/>
  <c r="AC71" i="123"/>
  <c r="AC73" i="123"/>
  <c r="AC96" i="123" s="1"/>
  <c r="AG70" i="123"/>
  <c r="AG73" i="123" s="1"/>
  <c r="AG81" i="123"/>
  <c r="AG85" i="123" s="1"/>
  <c r="AC124" i="123"/>
  <c r="AC149" i="123"/>
  <c r="AC126" i="123"/>
  <c r="AC150" i="123" s="1"/>
  <c r="BT846" i="115" l="1"/>
  <c r="BU846" i="115"/>
  <c r="BX846" i="115"/>
  <c r="BY846" i="115"/>
  <c r="BY847" i="115" l="1"/>
  <c r="BU847" i="115"/>
  <c r="BT847" i="115"/>
  <c r="BV846" i="115"/>
  <c r="BZ846" i="115"/>
  <c r="BX847" i="115"/>
  <c r="L24" i="123" l="1"/>
  <c r="L69" i="123" s="1"/>
  <c r="BV847" i="115"/>
  <c r="BZ847" i="115"/>
  <c r="L122" i="123" l="1"/>
  <c r="L22" i="123"/>
  <c r="L120" i="123" s="1"/>
  <c r="L134" i="123" s="1"/>
  <c r="CE847" i="115"/>
  <c r="L67" i="123" l="1"/>
  <c r="L81" i="123" s="1"/>
  <c r="P23" i="123"/>
  <c r="Q22" i="123"/>
  <c r="Q120" i="123" s="1"/>
  <c r="Q134" i="123" s="1"/>
  <c r="L25" i="123"/>
  <c r="L123" i="123"/>
  <c r="L125" i="123" s="1"/>
  <c r="P121" i="123"/>
  <c r="L27" i="123" l="1"/>
  <c r="Q23" i="123"/>
  <c r="L28" i="123"/>
  <c r="Q123" i="123"/>
  <c r="Q126" i="123" s="1"/>
  <c r="Q121" i="123"/>
  <c r="U23" i="123"/>
  <c r="Q25" i="123"/>
  <c r="Q28" i="123" s="1"/>
  <c r="L70" i="123"/>
  <c r="P68" i="123"/>
  <c r="Q67" i="123"/>
  <c r="Q70" i="123" s="1"/>
  <c r="Q73" i="123" s="1"/>
  <c r="L124" i="123"/>
  <c r="L126" i="123"/>
  <c r="P124" i="123"/>
  <c r="L149" i="123"/>
  <c r="L95" i="123" l="1"/>
  <c r="L72" i="123"/>
  <c r="L150" i="123"/>
  <c r="L73" i="123"/>
  <c r="L96" i="123" s="1"/>
  <c r="P71" i="123"/>
  <c r="Q81" i="123"/>
  <c r="L71" i="123"/>
  <c r="CM951" i="115" l="1"/>
  <c r="CK955" i="115"/>
  <c r="CN955" i="115"/>
  <c r="CU916" i="115" l="1"/>
  <c r="CU841" i="115" l="1"/>
  <c r="CU840" i="115"/>
  <c r="CU905" i="115"/>
  <c r="CU912" i="115" l="1"/>
  <c r="BM18" i="117" l="1"/>
  <c r="BM146" i="117" l="1"/>
  <c r="BL18" i="117" l="1"/>
  <c r="BL67" i="117" l="1"/>
  <c r="BL146" i="117"/>
  <c r="BN18" i="117"/>
  <c r="AE52" i="111"/>
  <c r="AF76" i="111" s="1"/>
  <c r="BN146" i="117" l="1"/>
  <c r="BL156" i="117"/>
  <c r="CY916" i="115" l="1"/>
  <c r="BP149" i="117" l="1"/>
  <c r="BP176" i="117" l="1"/>
  <c r="BP177" i="117" s="1"/>
  <c r="CY905" i="115"/>
  <c r="BP178" i="117" l="1"/>
  <c r="BP193" i="117" s="1"/>
  <c r="CY912" i="115"/>
  <c r="BP179" i="117" l="1"/>
  <c r="BP103" i="117"/>
  <c r="BR178" i="117" l="1"/>
  <c r="AH22" i="123" l="1"/>
  <c r="AL23" i="123" s="1"/>
  <c r="BP31" i="117"/>
  <c r="BP18" i="117"/>
  <c r="BR193" i="117"/>
  <c r="AH25" i="123" l="1"/>
  <c r="AH28" i="123" s="1"/>
  <c r="BP235" i="117"/>
  <c r="BP146" i="117"/>
  <c r="BP67" i="117"/>
  <c r="BP156" i="117" l="1"/>
  <c r="BP237" i="117"/>
  <c r="BU149" i="117" l="1"/>
  <c r="BU152" i="117" l="1"/>
  <c r="BU153" i="117" s="1"/>
  <c r="BU176" i="117"/>
  <c r="BU177" i="117" s="1"/>
  <c r="BU178" i="117" s="1"/>
  <c r="BU193" i="117" s="1"/>
  <c r="BU103" i="117" s="1"/>
  <c r="BU196" i="117" l="1"/>
  <c r="BU197" i="117" s="1"/>
  <c r="BT152" i="117"/>
  <c r="BU179" i="117"/>
  <c r="BT196" i="117" l="1"/>
  <c r="BV196" i="117" s="1"/>
  <c r="BT149" i="117"/>
  <c r="BV152" i="117"/>
  <c r="BU106" i="117"/>
  <c r="BU107" i="117" s="1"/>
  <c r="BT106" i="117" l="1"/>
  <c r="BT176" i="117"/>
  <c r="BT177" i="117" s="1"/>
  <c r="BT153" i="117"/>
  <c r="BV149" i="117"/>
  <c r="BV106" i="117"/>
  <c r="BV176" i="117" l="1"/>
  <c r="BV177" i="117" s="1"/>
  <c r="BV153" i="117"/>
  <c r="BT178" i="117"/>
  <c r="BT193" i="117" s="1"/>
  <c r="BT179" i="117" l="1"/>
  <c r="BT197" i="117"/>
  <c r="BT103" i="117"/>
  <c r="BT107" i="117" s="1"/>
  <c r="BV178" i="117" l="1"/>
  <c r="BV193" i="117" l="1"/>
  <c r="BV179" i="117"/>
  <c r="BV197" i="117" l="1"/>
  <c r="BV103" i="117"/>
  <c r="BV107" i="117" s="1"/>
  <c r="CP546" i="115" l="1"/>
  <c r="CO547" i="115"/>
  <c r="BI149" i="117"/>
  <c r="CO549" i="115" l="1"/>
  <c r="CO550" i="115" s="1"/>
  <c r="CP547" i="115"/>
  <c r="CP892" i="115"/>
  <c r="BJ149" i="117"/>
  <c r="BI153" i="117"/>
  <c r="BI176" i="117"/>
  <c r="BI177" i="117" s="1"/>
  <c r="AA24" i="123"/>
  <c r="CP549" i="115" l="1"/>
  <c r="CP550" i="115" s="1"/>
  <c r="BI178" i="117"/>
  <c r="BI193" i="117" s="1"/>
  <c r="BJ153" i="117"/>
  <c r="BJ176" i="117"/>
  <c r="AB24" i="123"/>
  <c r="AA69" i="123"/>
  <c r="AA70" i="123" s="1"/>
  <c r="AA73" i="123" s="1"/>
  <c r="AA122" i="123"/>
  <c r="AA123" i="123" s="1"/>
  <c r="AA126" i="123" s="1"/>
  <c r="AB122" i="123" l="1"/>
  <c r="AB69" i="123"/>
  <c r="BI179" i="117"/>
  <c r="BJ177" i="117"/>
  <c r="BI197" i="117"/>
  <c r="BI103" i="117"/>
  <c r="BI107" i="117" s="1"/>
  <c r="BJ178" i="117" l="1"/>
  <c r="CU843" i="115"/>
  <c r="BI31" i="117"/>
  <c r="BI73" i="117" l="1"/>
  <c r="AA22" i="123"/>
  <c r="AA23" i="123" s="1"/>
  <c r="CU844" i="115"/>
  <c r="BJ179" i="117"/>
  <c r="BJ193" i="117"/>
  <c r="BI18" i="117"/>
  <c r="AA25" i="123" l="1"/>
  <c r="AA28" i="123" s="1"/>
  <c r="BI235" i="117"/>
  <c r="BI67" i="117"/>
  <c r="BI146" i="117"/>
  <c r="BM67" i="117"/>
  <c r="AD52" i="111"/>
  <c r="AB26" i="123"/>
  <c r="BJ18" i="117"/>
  <c r="CU31" i="115"/>
  <c r="AF26" i="123" s="1"/>
  <c r="AB22" i="123"/>
  <c r="BJ31" i="117"/>
  <c r="BJ197" i="117"/>
  <c r="BJ103" i="117"/>
  <c r="BJ107" i="117" s="1"/>
  <c r="CF873" i="115"/>
  <c r="CH873" i="115" s="1"/>
  <c r="CF917" i="115"/>
  <c r="CH917" i="115" s="1"/>
  <c r="BJ73" i="117" l="1"/>
  <c r="AB120" i="123"/>
  <c r="AB67" i="123"/>
  <c r="CF875" i="115"/>
  <c r="CH875" i="115" s="1"/>
  <c r="BJ67" i="117"/>
  <c r="BJ146" i="117"/>
  <c r="BJ235" i="117"/>
  <c r="BN67" i="117"/>
  <c r="BI154" i="117"/>
  <c r="BI156" i="117"/>
  <c r="BM156" i="117"/>
  <c r="AB23" i="123"/>
  <c r="AB25" i="123"/>
  <c r="AD76" i="111"/>
  <c r="AE76" i="111"/>
  <c r="M76" i="111" s="1"/>
  <c r="BI236" i="117"/>
  <c r="BI237" i="117"/>
  <c r="BI239" i="117" s="1"/>
  <c r="AB68" i="123" l="1"/>
  <c r="AB70" i="123"/>
  <c r="AB123" i="123"/>
  <c r="AB121" i="123"/>
  <c r="CF942" i="115"/>
  <c r="BJ154" i="117"/>
  <c r="BJ156" i="117"/>
  <c r="BN156" i="117"/>
  <c r="BI157" i="117"/>
  <c r="BI203" i="117"/>
  <c r="BI116" i="117"/>
  <c r="CF1606" i="115" l="1"/>
  <c r="CH1606" i="115" s="1"/>
  <c r="CH942" i="115"/>
  <c r="AZ152" i="117"/>
  <c r="AB71" i="123"/>
  <c r="AB95" i="123"/>
  <c r="AB149" i="123"/>
  <c r="AB124" i="123"/>
  <c r="BJ203" i="117"/>
  <c r="BJ116" i="117"/>
  <c r="BB152" i="117" l="1"/>
  <c r="AZ106" i="117"/>
  <c r="CH884" i="115"/>
  <c r="CF1609" i="115"/>
  <c r="CH1609" i="115"/>
  <c r="CJ873" i="115"/>
  <c r="CL873" i="115" s="1"/>
  <c r="CJ917" i="115"/>
  <c r="CL917" i="115" s="1"/>
  <c r="BB106" i="117" l="1"/>
  <c r="CJ875" i="115"/>
  <c r="CL875" i="115" s="1"/>
  <c r="CJ942" i="115" l="1"/>
  <c r="CL942" i="115" s="1"/>
  <c r="BD152" i="117" l="1"/>
  <c r="CJ1606" i="115"/>
  <c r="CJ1609" i="115" s="1"/>
  <c r="CL884" i="115"/>
  <c r="BF152" i="117"/>
  <c r="CL1606" i="115" l="1"/>
  <c r="BD196" i="117"/>
  <c r="BF196" i="117" s="1"/>
  <c r="BF197" i="117" s="1"/>
  <c r="BF198" i="117" s="1"/>
  <c r="BF120" i="117" s="1"/>
  <c r="CL1609" i="115" l="1"/>
  <c r="BF106" i="117"/>
  <c r="BD106" i="117"/>
  <c r="BF207" i="117"/>
  <c r="BG120" i="117"/>
  <c r="CL864" i="115"/>
  <c r="CL867" i="115"/>
  <c r="CL868" i="115"/>
  <c r="CJ878" i="115"/>
  <c r="CL878" i="115" s="1"/>
  <c r="CJ907" i="115"/>
  <c r="CL907" i="115" s="1"/>
  <c r="CJ879" i="115" l="1"/>
  <c r="CJ944" i="115" l="1"/>
  <c r="CL879" i="115"/>
  <c r="CJ950" i="115" l="1"/>
  <c r="CL944" i="115"/>
  <c r="BD149" i="117"/>
  <c r="CL950" i="115" l="1"/>
  <c r="CL953" i="115" s="1"/>
  <c r="CJ953" i="115"/>
  <c r="BD176" i="117"/>
  <c r="BD153" i="117"/>
  <c r="CJ547" i="115"/>
  <c r="CL546" i="115"/>
  <c r="CL886" i="115"/>
  <c r="BF149" i="117"/>
  <c r="BF153" i="117" l="1"/>
  <c r="BF176" i="117"/>
  <c r="BF103" i="117"/>
  <c r="BF107" i="117" s="1"/>
  <c r="CL892" i="115"/>
  <c r="CL1141" i="115" s="1"/>
  <c r="CL1142" i="115" s="1"/>
  <c r="BD154" i="117"/>
  <c r="BD177" i="117"/>
  <c r="BD235" i="117"/>
  <c r="CL547" i="115"/>
  <c r="CJ549" i="115"/>
  <c r="BD178" i="117" l="1"/>
  <c r="BD193" i="117" s="1"/>
  <c r="BF177" i="117"/>
  <c r="BF235" i="117"/>
  <c r="BD237" i="117"/>
  <c r="BD239" i="117" s="1"/>
  <c r="BH236" i="117"/>
  <c r="CL549" i="115"/>
  <c r="CJ550" i="115"/>
  <c r="BH157" i="117"/>
  <c r="BD116" i="117"/>
  <c r="BD117" i="117" s="1"/>
  <c r="BD119" i="117" s="1"/>
  <c r="BD160" i="117"/>
  <c r="BD203" i="117"/>
  <c r="BD204" i="117" s="1"/>
  <c r="BD206" i="117" s="1"/>
  <c r="BF154" i="117"/>
  <c r="BD179" i="117" l="1"/>
  <c r="BH161" i="117"/>
  <c r="CL550" i="115"/>
  <c r="BA180" i="117"/>
  <c r="BF180" i="117"/>
  <c r="BF185" i="117" s="1"/>
  <c r="BF179" i="117"/>
  <c r="BD241" i="117"/>
  <c r="BD243" i="117" s="1"/>
  <c r="BD245" i="117" s="1"/>
  <c r="BF203" i="117"/>
  <c r="BF204" i="117" s="1"/>
  <c r="BF206" i="117" s="1"/>
  <c r="BJ157" i="117"/>
  <c r="BF116" i="117"/>
  <c r="BF160" i="117"/>
  <c r="BF237" i="117"/>
  <c r="BF239" i="117" s="1"/>
  <c r="BJ236" i="117"/>
  <c r="BD197" i="117"/>
  <c r="BD198" i="117" s="1"/>
  <c r="BD103" i="117"/>
  <c r="BD107" i="117" s="1"/>
  <c r="BF241" i="117" l="1"/>
  <c r="BF243" i="117" s="1"/>
  <c r="BF245" i="117" s="1"/>
  <c r="BF208" i="117"/>
  <c r="BF211" i="117"/>
  <c r="BD207" i="117"/>
  <c r="BD208" i="117" s="1"/>
  <c r="BD120" i="117"/>
  <c r="BF117" i="117"/>
  <c r="BD123" i="117" l="1"/>
  <c r="BD121" i="117"/>
  <c r="BF119" i="117"/>
  <c r="BF121" i="117" l="1"/>
  <c r="BF123" i="117"/>
  <c r="CF878" i="115"/>
  <c r="CF879" i="115" s="1"/>
  <c r="CH879" i="115" s="1"/>
  <c r="CF907" i="115"/>
  <c r="CH907" i="115" s="1"/>
  <c r="CH864" i="115" s="1"/>
  <c r="CH878" i="115" l="1"/>
  <c r="CF944" i="115"/>
  <c r="CF546" i="115" l="1"/>
  <c r="CH546" i="115" s="1"/>
  <c r="CH944" i="115"/>
  <c r="CF950" i="115"/>
  <c r="AZ149" i="117"/>
  <c r="CF547" i="115" l="1"/>
  <c r="CH547" i="115" s="1"/>
  <c r="AZ103" i="117"/>
  <c r="AZ107" i="117" s="1"/>
  <c r="AZ176" i="117"/>
  <c r="AZ153" i="117"/>
  <c r="CH950" i="115"/>
  <c r="CF953" i="115"/>
  <c r="BB149" i="117"/>
  <c r="CH867" i="115"/>
  <c r="CH868" i="115" s="1"/>
  <c r="CH886" i="115"/>
  <c r="CF549" i="115" l="1"/>
  <c r="CF550" i="115" s="1"/>
  <c r="CH892" i="115"/>
  <c r="CH1141" i="115" s="1"/>
  <c r="CH1142" i="115" s="1"/>
  <c r="AZ154" i="117"/>
  <c r="AZ235" i="117"/>
  <c r="AZ177" i="117"/>
  <c r="BB103" i="117"/>
  <c r="BB107" i="117" s="1"/>
  <c r="BB176" i="117"/>
  <c r="BB153" i="117"/>
  <c r="CH549" i="115" l="1"/>
  <c r="CH550" i="115" s="1"/>
  <c r="AZ116" i="117"/>
  <c r="AZ117" i="117" s="1"/>
  <c r="AZ119" i="117" s="1"/>
  <c r="BD157" i="117"/>
  <c r="AZ160" i="117"/>
  <c r="AZ203" i="117"/>
  <c r="AZ204" i="117" s="1"/>
  <c r="AZ206" i="117" s="1"/>
  <c r="AZ208" i="117" s="1"/>
  <c r="AZ157" i="117"/>
  <c r="AZ237" i="117"/>
  <c r="AZ239" i="117" s="1"/>
  <c r="AZ236" i="117"/>
  <c r="BD236" i="117"/>
  <c r="BB154" i="117"/>
  <c r="BB177" i="117"/>
  <c r="BB235" i="117"/>
  <c r="AZ179" i="117"/>
  <c r="BB179" i="117" l="1"/>
  <c r="BF157" i="117"/>
  <c r="BB160" i="117"/>
  <c r="BB203" i="117"/>
  <c r="BB204" i="117" s="1"/>
  <c r="BB206" i="117" s="1"/>
  <c r="BB116" i="117"/>
  <c r="BB157" i="117"/>
  <c r="AZ161" i="117"/>
  <c r="BD161" i="117"/>
  <c r="BB237" i="117"/>
  <c r="BB239" i="117" s="1"/>
  <c r="BB236" i="117"/>
  <c r="BF236" i="117"/>
  <c r="AZ241" i="117"/>
  <c r="AZ243" i="117" s="1"/>
  <c r="AZ245" i="117" s="1"/>
  <c r="AZ123" i="117"/>
  <c r="AZ121" i="117"/>
  <c r="BF161" i="117" l="1"/>
  <c r="BB161" i="117"/>
  <c r="BG116" i="117"/>
  <c r="BB117" i="117"/>
  <c r="BB241" i="117"/>
  <c r="BB243" i="117" s="1"/>
  <c r="BB245" i="117" s="1"/>
  <c r="BB208" i="117"/>
  <c r="BB211" i="117"/>
  <c r="BB119" i="117" l="1"/>
  <c r="BG117" i="117"/>
  <c r="BG119" i="117" l="1"/>
  <c r="BB123" i="117"/>
  <c r="BB121" i="117"/>
  <c r="BG121" i="117" s="1"/>
  <c r="CO1199" i="115" l="1"/>
  <c r="AB15" i="123" l="1"/>
  <c r="AB32" i="123"/>
  <c r="AB130" i="123" s="1"/>
  <c r="AB33" i="123"/>
  <c r="AB78" i="123" s="1"/>
  <c r="AB36" i="123"/>
  <c r="AB38" i="123"/>
  <c r="BJ37" i="117"/>
  <c r="BI7" i="117"/>
  <c r="BJ7" i="117"/>
  <c r="BI22" i="117"/>
  <c r="BJ22" i="117"/>
  <c r="BI29" i="117"/>
  <c r="BJ29" i="117"/>
  <c r="BJ71" i="117"/>
  <c r="AD51" i="111"/>
  <c r="AD49" i="111" s="1"/>
  <c r="AD73" i="111" s="1"/>
  <c r="AD53" i="111"/>
  <c r="AD55" i="111"/>
  <c r="AD56" i="111"/>
  <c r="AD58" i="111"/>
  <c r="AD71" i="111" s="1"/>
  <c r="AD60" i="111"/>
  <c r="AB83" i="123" l="1"/>
  <c r="AB82" i="123"/>
  <c r="AB99" i="123" s="1"/>
  <c r="AD75" i="111"/>
  <c r="BJ75" i="117"/>
  <c r="BJ218" i="117"/>
  <c r="BJ224" i="117" s="1"/>
  <c r="BJ233" i="117" s="1"/>
  <c r="BJ17" i="117"/>
  <c r="BJ133" i="117" s="1"/>
  <c r="BJ139" i="117" s="1"/>
  <c r="BJ202" i="117" s="1"/>
  <c r="BJ204" i="117" s="1"/>
  <c r="BJ206" i="117" s="1"/>
  <c r="BI190" i="117"/>
  <c r="BI198" i="117" s="1"/>
  <c r="BI207" i="117" s="1"/>
  <c r="BJ64" i="117"/>
  <c r="AB60" i="123"/>
  <c r="AB64" i="123" s="1"/>
  <c r="AB113" i="123"/>
  <c r="AB117" i="123" s="1"/>
  <c r="AB20" i="123"/>
  <c r="AB131" i="123"/>
  <c r="AD80" i="111"/>
  <c r="BJ190" i="117"/>
  <c r="BJ198" i="117" s="1"/>
  <c r="BI44" i="117"/>
  <c r="AD77" i="111"/>
  <c r="AB77" i="123"/>
  <c r="AD95" i="111"/>
  <c r="AB34" i="123"/>
  <c r="CO993" i="115"/>
  <c r="AB136" i="123"/>
  <c r="AD59" i="111"/>
  <c r="BI37" i="117"/>
  <c r="AD108" i="111"/>
  <c r="AD124" i="111" s="1"/>
  <c r="BJ44" i="117"/>
  <c r="CP993" i="115"/>
  <c r="AB40" i="123"/>
  <c r="BI17" i="117"/>
  <c r="BI71" i="117"/>
  <c r="BI64" i="117"/>
  <c r="AB135" i="123"/>
  <c r="AB153" i="123" s="1"/>
  <c r="AB45" i="123"/>
  <c r="CP72" i="115"/>
  <c r="CO72" i="115"/>
  <c r="BI62" i="117" l="1"/>
  <c r="AB65" i="123"/>
  <c r="AB73" i="123" s="1"/>
  <c r="AB27" i="123"/>
  <c r="AB132" i="123"/>
  <c r="AB134" i="123" s="1"/>
  <c r="BJ237" i="117"/>
  <c r="BJ239" i="117" s="1"/>
  <c r="BI75" i="117"/>
  <c r="EI32" i="117"/>
  <c r="BJ127" i="117"/>
  <c r="BJ130" i="117" s="1"/>
  <c r="BJ131" i="117" s="1"/>
  <c r="EI33" i="117"/>
  <c r="BJ19" i="117"/>
  <c r="BJ66" i="117"/>
  <c r="BJ225" i="117"/>
  <c r="BJ250" i="117"/>
  <c r="BJ227" i="117"/>
  <c r="BI120" i="117"/>
  <c r="AB21" i="123"/>
  <c r="AB28" i="123"/>
  <c r="BJ160" i="117"/>
  <c r="BJ161" i="117" s="1"/>
  <c r="BJ115" i="117"/>
  <c r="BJ117" i="117" s="1"/>
  <c r="BJ119" i="117" s="1"/>
  <c r="AB118" i="123"/>
  <c r="BJ142" i="117"/>
  <c r="BJ141" i="117"/>
  <c r="BJ120" i="117"/>
  <c r="BJ207" i="117"/>
  <c r="BJ211" i="117" s="1"/>
  <c r="BJ45" i="117"/>
  <c r="EI7" i="117" s="1"/>
  <c r="BI45" i="117"/>
  <c r="BI61" i="117" s="1"/>
  <c r="AB79" i="123"/>
  <c r="AB81" i="123" s="1"/>
  <c r="EI8" i="117"/>
  <c r="AB43" i="123"/>
  <c r="AB141" i="123" s="1"/>
  <c r="AB144" i="123" s="1"/>
  <c r="AB85" i="123"/>
  <c r="AB138" i="123"/>
  <c r="BJ62" i="117"/>
  <c r="EI9" i="117"/>
  <c r="BI19" i="117"/>
  <c r="BI127" i="117"/>
  <c r="BI130" i="117" s="1"/>
  <c r="BI131" i="117" s="1"/>
  <c r="BI66" i="117"/>
  <c r="BI133" i="117"/>
  <c r="BI47" i="117"/>
  <c r="AD84" i="111"/>
  <c r="AD90" i="111" s="1"/>
  <c r="AD110" i="111" s="1"/>
  <c r="AD111" i="111" s="1"/>
  <c r="AD112" i="111" s="1"/>
  <c r="AB66" i="123" l="1"/>
  <c r="BJ21" i="117"/>
  <c r="EI35" i="117" s="1"/>
  <c r="AB119" i="123"/>
  <c r="AB125" i="123"/>
  <c r="AB93" i="123"/>
  <c r="AB72" i="123"/>
  <c r="BJ24" i="117"/>
  <c r="BJ26" i="117" s="1"/>
  <c r="EI10" i="117"/>
  <c r="AB96" i="123"/>
  <c r="AB147" i="123"/>
  <c r="BJ68" i="117"/>
  <c r="AB126" i="123"/>
  <c r="AB150" i="123" s="1"/>
  <c r="BJ121" i="117"/>
  <c r="BJ123" i="117"/>
  <c r="BJ208" i="117"/>
  <c r="BJ61" i="117"/>
  <c r="BI21" i="117"/>
  <c r="BI24" i="117" s="1"/>
  <c r="BI26" i="117" s="1"/>
  <c r="BI68" i="117"/>
  <c r="AB87" i="123"/>
  <c r="AB90" i="123" s="1"/>
  <c r="AB44" i="123"/>
  <c r="BI141" i="117"/>
  <c r="BI139" i="117"/>
  <c r="AE83" i="111"/>
  <c r="BI63" i="117"/>
  <c r="BI54" i="117"/>
  <c r="BI82" i="117" s="1"/>
  <c r="BJ47" i="117"/>
  <c r="EH17" i="117"/>
  <c r="AB142" i="123" l="1"/>
  <c r="AB88" i="123"/>
  <c r="BI115" i="117"/>
  <c r="BI117" i="117" s="1"/>
  <c r="BI119" i="117" s="1"/>
  <c r="BI202" i="117"/>
  <c r="BI204" i="117" s="1"/>
  <c r="BI206" i="117" s="1"/>
  <c r="BI208" i="117" s="1"/>
  <c r="BI142" i="117"/>
  <c r="BI160" i="117"/>
  <c r="AB100" i="123"/>
  <c r="AB154" i="123"/>
  <c r="EI17" i="117"/>
  <c r="BJ54" i="117"/>
  <c r="AD41" i="111"/>
  <c r="EI16" i="117"/>
  <c r="AE99" i="111"/>
  <c r="EI15" i="117"/>
  <c r="EI18" i="117" s="1"/>
  <c r="BJ63" i="117"/>
  <c r="BI123" i="117" l="1"/>
  <c r="BI121" i="117"/>
  <c r="BJ82" i="117"/>
  <c r="AD91" i="111"/>
  <c r="BJ240" i="117" l="1"/>
  <c r="BJ241" i="117" s="1"/>
  <c r="BJ243" i="117" s="1"/>
  <c r="BJ245" i="117" s="1"/>
  <c r="BI240" i="117"/>
  <c r="BI241" i="117" s="1"/>
  <c r="BI243" i="117" s="1"/>
  <c r="BI245" i="117" s="1"/>
  <c r="AB156" i="123"/>
  <c r="EI12" i="117"/>
  <c r="EI14" i="117" s="1"/>
  <c r="AB89" i="123" l="1"/>
  <c r="AB143" i="123"/>
  <c r="EI11" i="117"/>
  <c r="EI13" i="117" s="1"/>
  <c r="BI50" i="117" l="1"/>
  <c r="BI58" i="117" l="1"/>
  <c r="AD15" i="111"/>
  <c r="BJ50" i="117"/>
  <c r="EI49" i="117" s="1"/>
  <c r="AD44" i="111" l="1"/>
  <c r="AD13" i="111"/>
  <c r="AD16" i="111"/>
  <c r="EH42" i="117"/>
  <c r="CO266" i="115" l="1"/>
  <c r="CO262" i="115" s="1"/>
  <c r="CO1342" i="115"/>
  <c r="CO1343" i="115" s="1"/>
  <c r="CO978" i="115"/>
  <c r="AD14" i="111"/>
  <c r="AD28" i="111"/>
  <c r="EI42" i="117"/>
  <c r="AD34" i="111"/>
  <c r="CO13" i="115"/>
  <c r="BI59" i="117"/>
  <c r="CO261" i="115" l="1"/>
  <c r="CP266" i="115"/>
  <c r="CP262" i="115" s="1"/>
  <c r="CO268" i="115"/>
  <c r="CO263" i="115"/>
  <c r="CO267" i="115"/>
  <c r="CP267" i="115" s="1"/>
  <c r="CO1180" i="115"/>
  <c r="CO1336" i="115"/>
  <c r="CO1252" i="115"/>
  <c r="CO1158" i="115"/>
  <c r="CO514" i="115"/>
  <c r="CO985" i="115" s="1"/>
  <c r="CO1254" i="115"/>
  <c r="CP1342" i="115"/>
  <c r="CP1343" i="115" s="1"/>
  <c r="CP978" i="115"/>
  <c r="AD46" i="111"/>
  <c r="AD45" i="111" s="1"/>
  <c r="BJ58" i="117"/>
  <c r="AD25" i="111"/>
  <c r="AD33" i="111"/>
  <c r="AD24" i="111" s="1"/>
  <c r="CO12" i="115"/>
  <c r="CP13" i="115"/>
  <c r="EI39" i="117"/>
  <c r="EI56" i="117"/>
  <c r="EI55" i="117"/>
  <c r="CP261" i="115" l="1"/>
  <c r="CP268" i="115"/>
  <c r="CP269" i="115" s="1"/>
  <c r="CP263" i="115"/>
  <c r="EI79" i="117"/>
  <c r="CO269" i="115"/>
  <c r="CO270" i="115"/>
  <c r="CO264" i="115"/>
  <c r="CO1160" i="115"/>
  <c r="CO1267" i="115"/>
  <c r="CO1261" i="115"/>
  <c r="CO1259" i="115"/>
  <c r="CO1181" i="115"/>
  <c r="CO1183" i="115" s="1"/>
  <c r="CO1184" i="115" s="1"/>
  <c r="CP1353" i="115"/>
  <c r="CP1252" i="115"/>
  <c r="CP1267" i="115" s="1"/>
  <c r="CP1336" i="115"/>
  <c r="CP514" i="115"/>
  <c r="CP985" i="115" s="1"/>
  <c r="CP1254" i="115"/>
  <c r="CO1253" i="115"/>
  <c r="CO1391" i="115" s="1"/>
  <c r="CP270" i="115"/>
  <c r="CP264" i="115"/>
  <c r="EI25" i="117"/>
  <c r="EI26" i="117"/>
  <c r="EI24" i="117"/>
  <c r="AD68" i="111"/>
  <c r="AD65" i="111"/>
  <c r="AD67" i="111"/>
  <c r="AD66" i="111"/>
  <c r="AD114" i="111" s="1"/>
  <c r="AD117" i="111" s="1"/>
  <c r="AD118" i="111" s="1"/>
  <c r="AD63" i="111"/>
  <c r="AD64" i="111"/>
  <c r="AD62" i="111"/>
  <c r="EI40" i="117"/>
  <c r="AD36" i="111"/>
  <c r="CP12" i="115"/>
  <c r="CP1253" i="115" l="1"/>
  <c r="CP1391" i="115" s="1"/>
  <c r="CO1273" i="115"/>
  <c r="CO1277" i="115"/>
  <c r="CP1277" i="115"/>
  <c r="CP1273" i="115"/>
  <c r="EI27" i="117"/>
  <c r="BJ59" i="117"/>
  <c r="BJ85" i="117" s="1"/>
  <c r="AD47" i="111"/>
  <c r="AD70" i="111" s="1"/>
  <c r="BI8" i="117"/>
  <c r="EI43" i="117"/>
  <c r="EI73" i="117"/>
  <c r="EI71" i="117"/>
  <c r="EI70" i="117"/>
  <c r="EI72" i="117" s="1"/>
  <c r="AD29" i="111"/>
  <c r="AD35" i="111"/>
  <c r="AD26" i="111" s="1"/>
  <c r="AD126" i="111"/>
  <c r="AD130" i="111" s="1"/>
  <c r="AD131" i="111" s="1"/>
  <c r="H68" i="111" l="1"/>
  <c r="AD69" i="111"/>
  <c r="AB13" i="123"/>
  <c r="AB14" i="123"/>
  <c r="BJ8" i="117"/>
  <c r="EI67" i="117"/>
  <c r="EI66" i="117"/>
  <c r="BI30" i="117"/>
  <c r="BI72" i="117" s="1"/>
  <c r="BI251" i="117"/>
  <c r="BI38" i="117" l="1"/>
  <c r="EI29" i="117"/>
  <c r="EI30" i="117"/>
  <c r="BI32" i="117"/>
  <c r="AB59" i="123"/>
  <c r="AB112" i="123"/>
  <c r="EI31" i="117"/>
  <c r="BJ251" i="117"/>
  <c r="AB111" i="123"/>
  <c r="AB58" i="123"/>
  <c r="BJ30" i="117"/>
  <c r="BJ72" i="117" s="1"/>
  <c r="BI74" i="117" l="1"/>
  <c r="BJ38" i="117"/>
  <c r="EI28" i="117"/>
  <c r="AB94" i="123"/>
  <c r="AB148" i="123"/>
  <c r="BJ32" i="117"/>
  <c r="EI44" i="117"/>
  <c r="AD39" i="111"/>
  <c r="EH45" i="117"/>
  <c r="BJ74" i="117" l="1"/>
  <c r="AD38" i="111"/>
  <c r="AD42" i="111"/>
  <c r="AD40" i="111"/>
  <c r="EI45" i="117"/>
  <c r="EI47" i="117" l="1"/>
  <c r="AD101" i="111"/>
  <c r="EI46" i="117" l="1"/>
  <c r="EK51" i="117"/>
  <c r="CO1255" i="115" l="1"/>
  <c r="CP1255" i="115" s="1"/>
  <c r="CP1256" i="115" l="1"/>
  <c r="CO1256" i="115"/>
  <c r="EI48" i="117" l="1"/>
  <c r="CU1298" i="115" l="1"/>
  <c r="CY1298" i="115" l="1"/>
  <c r="DH1356" i="115" l="1"/>
  <c r="DG1298" i="115" l="1"/>
  <c r="DH1357" i="115"/>
  <c r="DH1358" i="115" s="1"/>
  <c r="DJ1356" i="115"/>
  <c r="DH1298" i="115" l="1"/>
  <c r="DI1356" i="115"/>
  <c r="CU100" i="115"/>
  <c r="CU101" i="115"/>
  <c r="DI1357" i="115" l="1"/>
  <c r="DJ1357" i="115" s="1"/>
  <c r="DJ1359" i="115" s="1"/>
  <c r="BL93" i="117"/>
  <c r="DI1358" i="115" l="1"/>
  <c r="DL1356" i="115" s="1"/>
  <c r="CY100" i="115"/>
  <c r="CY101" i="115"/>
  <c r="BL79" i="117"/>
  <c r="BL95" i="117"/>
  <c r="BM93" i="117"/>
  <c r="CU88" i="115"/>
  <c r="BP93" i="117"/>
  <c r="BP79" i="117" s="1"/>
  <c r="DN1356" i="115" l="1"/>
  <c r="DL1357" i="115"/>
  <c r="DJ1358" i="115"/>
  <c r="DJ1298" i="115" s="1"/>
  <c r="DI1298" i="115"/>
  <c r="BM79" i="117"/>
  <c r="BM95" i="117"/>
  <c r="BQ93" i="117"/>
  <c r="BQ79" i="117" s="1"/>
  <c r="BL53" i="117"/>
  <c r="CY88" i="115"/>
  <c r="CU150" i="115"/>
  <c r="BN93" i="117"/>
  <c r="CU89" i="115"/>
  <c r="DL1358" i="115" l="1"/>
  <c r="DK1298" i="115"/>
  <c r="AE8" i="123"/>
  <c r="AD9" i="123"/>
  <c r="BN79" i="117"/>
  <c r="BN95" i="117"/>
  <c r="BM53" i="117"/>
  <c r="CY150" i="115"/>
  <c r="L11" i="111" s="1"/>
  <c r="CR430" i="115"/>
  <c r="BT93" i="117"/>
  <c r="BT79" i="117" s="1"/>
  <c r="CY89" i="115"/>
  <c r="BR93" i="117"/>
  <c r="BR79" i="117" s="1"/>
  <c r="CU151" i="115"/>
  <c r="CX1478" i="115"/>
  <c r="BL78" i="117"/>
  <c r="BL52" i="117"/>
  <c r="BL77" i="117" s="1"/>
  <c r="DM1356" i="115" l="1"/>
  <c r="DL1298" i="115"/>
  <c r="DH100" i="115"/>
  <c r="CR433" i="115"/>
  <c r="CR434" i="115"/>
  <c r="CR435" i="115"/>
  <c r="CR432" i="115"/>
  <c r="CR436" i="115"/>
  <c r="AF8" i="123"/>
  <c r="AE9" i="123"/>
  <c r="AD107" i="123"/>
  <c r="AD54" i="123"/>
  <c r="AE6" i="123"/>
  <c r="AE53" i="123"/>
  <c r="AE75" i="123" s="1"/>
  <c r="AE106" i="123"/>
  <c r="AE30" i="123"/>
  <c r="BT53" i="117"/>
  <c r="BU93" i="117"/>
  <c r="BU79" i="117" s="1"/>
  <c r="CU1437" i="115"/>
  <c r="AE20" i="111"/>
  <c r="AE21" i="111" s="1"/>
  <c r="CY151" i="115"/>
  <c r="L12" i="111" s="1"/>
  <c r="CR431" i="115"/>
  <c r="CU1481" i="115"/>
  <c r="CU154" i="115"/>
  <c r="AE9" i="111"/>
  <c r="AF12" i="111" s="1"/>
  <c r="BP78" i="117"/>
  <c r="BP52" i="117"/>
  <c r="BP77" i="117" s="1"/>
  <c r="BM52" i="117"/>
  <c r="BM77" i="117" s="1"/>
  <c r="BM78" i="117"/>
  <c r="DM1357" i="115" l="1"/>
  <c r="DN1357" i="115" s="1"/>
  <c r="DN1359" i="115" s="1"/>
  <c r="AF9" i="123"/>
  <c r="AF107" i="123" s="1"/>
  <c r="BO53" i="117"/>
  <c r="AJ8" i="123"/>
  <c r="DI100" i="115"/>
  <c r="DH101" i="115"/>
  <c r="DH88" i="115" s="1"/>
  <c r="DG100" i="115"/>
  <c r="DG101" i="115"/>
  <c r="AE107" i="123"/>
  <c r="AE54" i="123"/>
  <c r="AE7" i="123"/>
  <c r="AE51" i="123"/>
  <c r="AE31" i="123"/>
  <c r="AE104" i="123"/>
  <c r="AE128" i="123"/>
  <c r="AE152" i="123" s="1"/>
  <c r="AF106" i="123"/>
  <c r="AF6" i="123"/>
  <c r="AF53" i="123"/>
  <c r="AF30" i="123"/>
  <c r="AE98" i="123"/>
  <c r="BX93" i="117"/>
  <c r="BL56" i="117"/>
  <c r="BL84" i="117" s="1"/>
  <c r="CU1438" i="115"/>
  <c r="EM62" i="117"/>
  <c r="EM61" i="117"/>
  <c r="EM65" i="117"/>
  <c r="CY154" i="115"/>
  <c r="BS53" i="117" s="1"/>
  <c r="CX1481" i="115"/>
  <c r="BQ78" i="117"/>
  <c r="BQ52" i="117"/>
  <c r="BQ77" i="117" s="1"/>
  <c r="BN52" i="117"/>
  <c r="BN77" i="117" s="1"/>
  <c r="BN78" i="117"/>
  <c r="AE10" i="123"/>
  <c r="AE8" i="111"/>
  <c r="AE12" i="111"/>
  <c r="M12" i="111" s="1"/>
  <c r="BL20" i="117"/>
  <c r="EM63" i="117"/>
  <c r="EM64" i="117" s="1"/>
  <c r="CU364" i="115"/>
  <c r="BV93" i="117"/>
  <c r="BV79" i="117" s="1"/>
  <c r="CY1481" i="115" l="1"/>
  <c r="DC1481" i="115"/>
  <c r="AE11" i="111"/>
  <c r="AF11" i="111"/>
  <c r="DL100" i="115"/>
  <c r="DM1358" i="115"/>
  <c r="DP1356" i="115" s="1"/>
  <c r="BU53" i="117"/>
  <c r="AF54" i="123"/>
  <c r="AJ9" i="123"/>
  <c r="AJ53" i="123"/>
  <c r="AJ75" i="123" s="1"/>
  <c r="AJ6" i="123"/>
  <c r="AN7" i="123" s="1"/>
  <c r="AJ106" i="123"/>
  <c r="AJ30" i="123"/>
  <c r="BX79" i="117"/>
  <c r="DH106" i="115"/>
  <c r="DJ100" i="115"/>
  <c r="DI101" i="115"/>
  <c r="DI88" i="115" s="1"/>
  <c r="DJ88" i="115" s="1"/>
  <c r="DK88" i="115" s="1"/>
  <c r="AF75" i="123"/>
  <c r="AE52" i="123"/>
  <c r="AE76" i="123"/>
  <c r="AF7" i="123"/>
  <c r="AF51" i="123"/>
  <c r="AF31" i="123"/>
  <c r="AF104" i="123"/>
  <c r="AF128" i="123"/>
  <c r="AE105" i="123"/>
  <c r="AE129" i="123"/>
  <c r="AE108" i="123"/>
  <c r="AE55" i="123"/>
  <c r="EQ63" i="117"/>
  <c r="EQ64" i="117" s="1"/>
  <c r="EQ65" i="117"/>
  <c r="EM68" i="117"/>
  <c r="EK78" i="117"/>
  <c r="BR78" i="117"/>
  <c r="BR52" i="117"/>
  <c r="BR77" i="117" s="1"/>
  <c r="CY364" i="115"/>
  <c r="EQ62" i="117"/>
  <c r="EQ61" i="117"/>
  <c r="BP56" i="117"/>
  <c r="BP84" i="117" s="1"/>
  <c r="EM57" i="117"/>
  <c r="BT78" i="117"/>
  <c r="BT52" i="117"/>
  <c r="BT77" i="117" s="1"/>
  <c r="BM56" i="117"/>
  <c r="BM84" i="117" s="1"/>
  <c r="AE11" i="123"/>
  <c r="BP33" i="117"/>
  <c r="BP20" i="117"/>
  <c r="BM33" i="117"/>
  <c r="BM20" i="117"/>
  <c r="BL164" i="117"/>
  <c r="BL166" i="117" s="1"/>
  <c r="BL118" i="117" s="1"/>
  <c r="BL69" i="117"/>
  <c r="BL238" i="117"/>
  <c r="DP1357" i="115" l="1"/>
  <c r="DP1358" i="115" s="1"/>
  <c r="DR1356" i="115"/>
  <c r="M11" i="111"/>
  <c r="DN1358" i="115"/>
  <c r="DN1298" i="115" s="1"/>
  <c r="DM1298" i="115"/>
  <c r="DM100" i="115"/>
  <c r="DL101" i="115"/>
  <c r="DL88" i="115" s="1"/>
  <c r="BX53" i="117"/>
  <c r="BV53" i="117"/>
  <c r="BY93" i="117"/>
  <c r="BY79" i="117" s="1"/>
  <c r="AJ7" i="123"/>
  <c r="AJ51" i="123"/>
  <c r="AN52" i="123" s="1"/>
  <c r="AJ31" i="123"/>
  <c r="AJ104" i="123"/>
  <c r="AN105" i="123" s="1"/>
  <c r="AJ128" i="123"/>
  <c r="AJ152" i="123" s="1"/>
  <c r="AJ98" i="123"/>
  <c r="AJ107" i="123"/>
  <c r="AJ54" i="123"/>
  <c r="DI106" i="115"/>
  <c r="DK100" i="115"/>
  <c r="DJ101" i="115"/>
  <c r="DK101" i="115" s="1"/>
  <c r="DH150" i="115"/>
  <c r="DH92" i="115"/>
  <c r="DH89" i="115"/>
  <c r="AF152" i="123"/>
  <c r="AE56" i="123"/>
  <c r="AE57" i="123" s="1"/>
  <c r="AE109" i="123"/>
  <c r="AE110" i="123" s="1"/>
  <c r="AF10" i="123"/>
  <c r="AF105" i="123"/>
  <c r="AF129" i="123"/>
  <c r="AF52" i="123"/>
  <c r="AF76" i="123"/>
  <c r="AF98" i="123"/>
  <c r="CU461" i="115"/>
  <c r="AE54" i="111"/>
  <c r="AE79" i="111" s="1"/>
  <c r="M79" i="111" s="1"/>
  <c r="BN33" i="117"/>
  <c r="BN20" i="117"/>
  <c r="CU33" i="115"/>
  <c r="BN56" i="117"/>
  <c r="BN84" i="117" s="1"/>
  <c r="EM78" i="117"/>
  <c r="BQ33" i="117"/>
  <c r="BQ20" i="117"/>
  <c r="EO78" i="117"/>
  <c r="EM77" i="117"/>
  <c r="EL78" i="117"/>
  <c r="BU52" i="117"/>
  <c r="BU77" i="117" s="1"/>
  <c r="BU78" i="117"/>
  <c r="BL57" i="117"/>
  <c r="AE12" i="123"/>
  <c r="BW53" i="117"/>
  <c r="BM238" i="117"/>
  <c r="BM164" i="117"/>
  <c r="BM166" i="117" s="1"/>
  <c r="BM118" i="117" s="1"/>
  <c r="BM69" i="117"/>
  <c r="EQ57" i="117"/>
  <c r="EM69" i="117"/>
  <c r="BQ56" i="117"/>
  <c r="BQ84" i="117" s="1"/>
  <c r="BP164" i="117"/>
  <c r="BP166" i="117" s="1"/>
  <c r="BP118" i="117" s="1"/>
  <c r="BP69" i="117"/>
  <c r="BP238" i="117"/>
  <c r="BP239" i="117" s="1"/>
  <c r="EQ68" i="117"/>
  <c r="DP100" i="115" l="1"/>
  <c r="DP1298" i="115"/>
  <c r="DQ1356" i="115"/>
  <c r="DO1298" i="115"/>
  <c r="DN100" i="115"/>
  <c r="DM101" i="115"/>
  <c r="DM88" i="115" s="1"/>
  <c r="DN88" i="115" s="1"/>
  <c r="DO88" i="115" s="1"/>
  <c r="DL106" i="115"/>
  <c r="DG89" i="115"/>
  <c r="DG150" i="115"/>
  <c r="BZ93" i="117"/>
  <c r="BZ79" i="117" s="1"/>
  <c r="CB93" i="117"/>
  <c r="AJ10" i="123"/>
  <c r="AJ105" i="123"/>
  <c r="AJ129" i="123"/>
  <c r="AJ52" i="123"/>
  <c r="AJ76" i="123"/>
  <c r="BX78" i="117"/>
  <c r="DH1478" i="115"/>
  <c r="DH1437" i="115" s="1"/>
  <c r="DH502" i="115"/>
  <c r="DH503" i="115" s="1"/>
  <c r="DH162" i="115"/>
  <c r="DH93" i="115"/>
  <c r="DH151" i="115"/>
  <c r="DI150" i="115"/>
  <c r="DI92" i="115"/>
  <c r="DI89" i="115"/>
  <c r="BX52" i="117"/>
  <c r="AV53" i="123"/>
  <c r="AZ53" i="123" s="1"/>
  <c r="BD53" i="123" s="1"/>
  <c r="AF55" i="123"/>
  <c r="AF108" i="123"/>
  <c r="AF11" i="123"/>
  <c r="AV106" i="123"/>
  <c r="AZ106" i="123" s="1"/>
  <c r="BD106" i="123" s="1"/>
  <c r="EQ76" i="117"/>
  <c r="CY461" i="115"/>
  <c r="BR56" i="117"/>
  <c r="BR84" i="117" s="1"/>
  <c r="CU462" i="115"/>
  <c r="BN164" i="117"/>
  <c r="BN166" i="117" s="1"/>
  <c r="BN118" i="117" s="1"/>
  <c r="AE78" i="111"/>
  <c r="M78" i="111" s="1"/>
  <c r="CY33" i="115"/>
  <c r="BR20" i="117"/>
  <c r="BR33" i="117"/>
  <c r="BN238" i="117"/>
  <c r="BN69" i="117"/>
  <c r="BN186" i="117"/>
  <c r="BN188" i="117" s="1"/>
  <c r="BN205" i="117" s="1"/>
  <c r="EQ77" i="117"/>
  <c r="BT56" i="117"/>
  <c r="BT84" i="117" s="1"/>
  <c r="BP57" i="117"/>
  <c r="BQ164" i="117"/>
  <c r="BQ166" i="117" s="1"/>
  <c r="BQ118" i="117" s="1"/>
  <c r="BQ69" i="117"/>
  <c r="BQ238" i="117"/>
  <c r="BT20" i="117"/>
  <c r="BT33" i="117"/>
  <c r="EU65" i="117"/>
  <c r="BM57" i="117"/>
  <c r="EM76" i="117"/>
  <c r="EQ69" i="117"/>
  <c r="EP78" i="117"/>
  <c r="BV52" i="117"/>
  <c r="BV77" i="117" s="1"/>
  <c r="BV78" i="117"/>
  <c r="EU61" i="117"/>
  <c r="EU62" i="117"/>
  <c r="EU63" i="117"/>
  <c r="EU64" i="117" s="1"/>
  <c r="EQ78" i="117"/>
  <c r="BL249" i="117"/>
  <c r="BL83" i="117"/>
  <c r="BD104" i="123" l="1"/>
  <c r="BD127" i="123"/>
  <c r="BD74" i="123"/>
  <c r="BD51" i="123"/>
  <c r="DQ100" i="115"/>
  <c r="DP101" i="115"/>
  <c r="DP88" i="115" s="1"/>
  <c r="DQ1357" i="115"/>
  <c r="DR1357" i="115" s="1"/>
  <c r="DR1359" i="115" s="1"/>
  <c r="AZ51" i="123"/>
  <c r="AZ74" i="123"/>
  <c r="AZ104" i="123"/>
  <c r="AZ127" i="123"/>
  <c r="CB79" i="117"/>
  <c r="DM106" i="115"/>
  <c r="DL92" i="115"/>
  <c r="DL150" i="115"/>
  <c r="DL89" i="115"/>
  <c r="DO100" i="115"/>
  <c r="DN101" i="115"/>
  <c r="DO101" i="115" s="1"/>
  <c r="DG151" i="115"/>
  <c r="BY53" i="117"/>
  <c r="EY65" i="117"/>
  <c r="CC93" i="117"/>
  <c r="AJ11" i="123"/>
  <c r="AJ108" i="123"/>
  <c r="AJ55" i="123"/>
  <c r="AV74" i="123"/>
  <c r="AV51" i="123"/>
  <c r="AV104" i="123"/>
  <c r="AV127" i="123"/>
  <c r="BX77" i="117"/>
  <c r="DI93" i="115"/>
  <c r="DI151" i="115"/>
  <c r="DJ150" i="115"/>
  <c r="DJ89" i="115"/>
  <c r="DI1478" i="115"/>
  <c r="DI502" i="115"/>
  <c r="DI503" i="115" s="1"/>
  <c r="DI162" i="115"/>
  <c r="DH163" i="115"/>
  <c r="DH154" i="115"/>
  <c r="AF12" i="123"/>
  <c r="AF56" i="123"/>
  <c r="AF57" i="123" s="1"/>
  <c r="AF109" i="123"/>
  <c r="AF110" i="123" s="1"/>
  <c r="CY462" i="115"/>
  <c r="BQ57" i="117"/>
  <c r="BQ83" i="117" s="1"/>
  <c r="CU463" i="115"/>
  <c r="BR69" i="117"/>
  <c r="BR238" i="117"/>
  <c r="BR186" i="117"/>
  <c r="BR188" i="117" s="1"/>
  <c r="BR205" i="117" s="1"/>
  <c r="BR164" i="117"/>
  <c r="BR166" i="117" s="1"/>
  <c r="BR118" i="117" s="1"/>
  <c r="BN57" i="117"/>
  <c r="BN83" i="117" s="1"/>
  <c r="BP83" i="117"/>
  <c r="BP249" i="117"/>
  <c r="AE31" i="111"/>
  <c r="CU1417" i="115"/>
  <c r="ES78" i="117"/>
  <c r="BU56" i="117"/>
  <c r="BU84" i="117" s="1"/>
  <c r="BX56" i="117"/>
  <c r="BM249" i="117"/>
  <c r="BM83" i="117"/>
  <c r="EU68" i="117"/>
  <c r="EU57" i="117"/>
  <c r="BU33" i="117"/>
  <c r="BU20" i="117"/>
  <c r="BT69" i="117"/>
  <c r="BT238" i="117"/>
  <c r="BT164" i="117"/>
  <c r="BT166" i="117" s="1"/>
  <c r="BT118" i="117" s="1"/>
  <c r="BD52" i="123" l="1"/>
  <c r="BD76" i="123"/>
  <c r="BD129" i="123"/>
  <c r="BD105" i="123"/>
  <c r="DQ1358" i="115"/>
  <c r="DR1358" i="115" s="1"/>
  <c r="DR1298" i="115" s="1"/>
  <c r="DP106" i="115"/>
  <c r="DR100" i="115"/>
  <c r="DQ101" i="115"/>
  <c r="DQ88" i="115" s="1"/>
  <c r="DR88" i="115" s="1"/>
  <c r="DS88" i="115" s="1"/>
  <c r="CF93" i="117"/>
  <c r="AZ105" i="123"/>
  <c r="AZ76" i="123"/>
  <c r="AZ129" i="123"/>
  <c r="AZ52" i="123"/>
  <c r="CC79" i="117"/>
  <c r="DM92" i="115"/>
  <c r="DM150" i="115"/>
  <c r="DM89" i="115"/>
  <c r="DL151" i="115"/>
  <c r="DL93" i="115"/>
  <c r="DL1478" i="115"/>
  <c r="DL1437" i="115" s="1"/>
  <c r="DL502" i="115"/>
  <c r="DL503" i="115" s="1"/>
  <c r="DL162" i="115"/>
  <c r="DG1481" i="115"/>
  <c r="DG154" i="115"/>
  <c r="BZ53" i="117"/>
  <c r="BZ52" i="117" s="1"/>
  <c r="DH249" i="115"/>
  <c r="EY61" i="117"/>
  <c r="BY52" i="117"/>
  <c r="BY77" i="117" s="1"/>
  <c r="BY78" i="117"/>
  <c r="CB53" i="117"/>
  <c r="DH156" i="115"/>
  <c r="DJ1478" i="115"/>
  <c r="DI1437" i="115"/>
  <c r="DH500" i="115"/>
  <c r="CD93" i="117"/>
  <c r="AJ12" i="123"/>
  <c r="AJ109" i="123"/>
  <c r="AJ110" i="123" s="1"/>
  <c r="AJ56" i="123"/>
  <c r="AJ57" i="123" s="1"/>
  <c r="AV129" i="123"/>
  <c r="AV105" i="123"/>
  <c r="AV52" i="123"/>
  <c r="AV76" i="123"/>
  <c r="BX84" i="117"/>
  <c r="DJ502" i="115"/>
  <c r="DJ503" i="115" s="1"/>
  <c r="DK150" i="115"/>
  <c r="DI154" i="115"/>
  <c r="DI163" i="115"/>
  <c r="DH1481" i="115"/>
  <c r="DH973" i="115"/>
  <c r="DH491" i="115"/>
  <c r="DH257" i="115"/>
  <c r="DH218" i="115"/>
  <c r="DH215" i="115"/>
  <c r="DH364" i="115"/>
  <c r="DH166" i="115"/>
  <c r="DH217" i="115"/>
  <c r="DK89" i="115"/>
  <c r="DJ151" i="115"/>
  <c r="CT628" i="115"/>
  <c r="CT630" i="115" s="1"/>
  <c r="CT631" i="115" s="1"/>
  <c r="BX20" i="117"/>
  <c r="CU594" i="115"/>
  <c r="BQ249" i="117"/>
  <c r="BR57" i="117"/>
  <c r="BR249" i="117" s="1"/>
  <c r="CY463" i="115"/>
  <c r="BV33" i="117"/>
  <c r="CU605" i="115"/>
  <c r="BV20" i="117"/>
  <c r="BN249" i="117"/>
  <c r="BT57" i="117"/>
  <c r="BU164" i="117"/>
  <c r="BU166" i="117" s="1"/>
  <c r="BU118" i="117" s="1"/>
  <c r="BU238" i="117"/>
  <c r="BU69" i="117"/>
  <c r="ET78" i="117"/>
  <c r="CU1418" i="115"/>
  <c r="AE32" i="111"/>
  <c r="EU77" i="117"/>
  <c r="BV56" i="117"/>
  <c r="BV84" i="117" s="1"/>
  <c r="BX33" i="117"/>
  <c r="EU78" i="117"/>
  <c r="EU69" i="117"/>
  <c r="AE23" i="111"/>
  <c r="CA53" i="117" l="1"/>
  <c r="AR9" i="123"/>
  <c r="DQ1298" i="115"/>
  <c r="DS1298" i="115" s="1"/>
  <c r="CF79" i="117"/>
  <c r="DQ106" i="115"/>
  <c r="DS100" i="115"/>
  <c r="DR101" i="115"/>
  <c r="DS101" i="115" s="1"/>
  <c r="DP92" i="115"/>
  <c r="DP150" i="115"/>
  <c r="DP89" i="115"/>
  <c r="CJ93" i="117" s="1"/>
  <c r="CJ79" i="117" s="1"/>
  <c r="CG93" i="117"/>
  <c r="AH12" i="111"/>
  <c r="AH8" i="111"/>
  <c r="CD79" i="117"/>
  <c r="DL163" i="115"/>
  <c r="DL154" i="115"/>
  <c r="DN150" i="115"/>
  <c r="DN89" i="115"/>
  <c r="DL1452" i="115"/>
  <c r="DL1438" i="115"/>
  <c r="DM151" i="115"/>
  <c r="DM93" i="115"/>
  <c r="DM1478" i="115"/>
  <c r="DM502" i="115"/>
  <c r="DM503" i="115" s="1"/>
  <c r="DM162" i="115"/>
  <c r="DJ247" i="115"/>
  <c r="DH247" i="115"/>
  <c r="DH168" i="115"/>
  <c r="DG364" i="115"/>
  <c r="BZ78" i="117"/>
  <c r="EY62" i="117"/>
  <c r="EY63" i="117"/>
  <c r="EY64" i="117" s="1"/>
  <c r="CC53" i="117"/>
  <c r="DI156" i="115"/>
  <c r="DH222" i="115"/>
  <c r="CB52" i="117"/>
  <c r="CB78" i="117"/>
  <c r="BZ77" i="117"/>
  <c r="DJ154" i="115"/>
  <c r="AI9" i="111" s="1"/>
  <c r="DK151" i="115"/>
  <c r="DH1150" i="115"/>
  <c r="DH1152" i="115" s="1"/>
  <c r="DH457" i="115"/>
  <c r="DH430" i="115"/>
  <c r="DH389" i="115"/>
  <c r="DH369" i="115"/>
  <c r="DH390" i="115"/>
  <c r="DH961" i="115"/>
  <c r="DH980" i="115"/>
  <c r="DI1481" i="115"/>
  <c r="DI973" i="115"/>
  <c r="DI257" i="115"/>
  <c r="DJ257" i="115" s="1"/>
  <c r="DI218" i="115"/>
  <c r="DI215" i="115"/>
  <c r="DI166" i="115"/>
  <c r="DI217" i="115"/>
  <c r="DI491" i="115"/>
  <c r="DI364" i="115"/>
  <c r="DH252" i="115"/>
  <c r="DI249" i="115"/>
  <c r="DJ249" i="115" s="1"/>
  <c r="DJ271" i="115" s="1"/>
  <c r="DH219" i="115"/>
  <c r="DH493" i="115"/>
  <c r="DH492" i="115"/>
  <c r="EW78" i="117"/>
  <c r="BY56" i="117"/>
  <c r="BY20" i="117"/>
  <c r="BX238" i="117"/>
  <c r="BX164" i="117"/>
  <c r="BX166" i="117" s="1"/>
  <c r="BX118" i="117" s="1"/>
  <c r="BX69" i="117"/>
  <c r="CY605" i="115"/>
  <c r="BR83" i="117"/>
  <c r="CY594" i="115"/>
  <c r="BV69" i="117"/>
  <c r="BV186" i="117"/>
  <c r="BV188" i="117" s="1"/>
  <c r="BV205" i="117" s="1"/>
  <c r="BV164" i="117"/>
  <c r="BV166" i="117" s="1"/>
  <c r="BV118" i="117" s="1"/>
  <c r="BV238" i="117"/>
  <c r="EU76" i="117"/>
  <c r="BZ56" i="117"/>
  <c r="BU57" i="117"/>
  <c r="BY33" i="117"/>
  <c r="BL7" i="117"/>
  <c r="BL8" i="117"/>
  <c r="BT249" i="117"/>
  <c r="BT83" i="117"/>
  <c r="AI8" i="111" l="1"/>
  <c r="AI11" i="111" s="1"/>
  <c r="AI12" i="111"/>
  <c r="AR54" i="123"/>
  <c r="AR107" i="123"/>
  <c r="AH11" i="111"/>
  <c r="CG79" i="117"/>
  <c r="DP151" i="115"/>
  <c r="DP93" i="115"/>
  <c r="DP502" i="115"/>
  <c r="DP503" i="115" s="1"/>
  <c r="DP162" i="115"/>
  <c r="DP1478" i="115"/>
  <c r="DP1437" i="115" s="1"/>
  <c r="DQ92" i="115"/>
  <c r="DQ150" i="115"/>
  <c r="DQ89" i="115"/>
  <c r="CK93" i="117" s="1"/>
  <c r="CK79" i="117" s="1"/>
  <c r="AH79" i="111"/>
  <c r="CH93" i="117"/>
  <c r="CF53" i="117"/>
  <c r="DL1500" i="115"/>
  <c r="DL1496" i="115" s="1"/>
  <c r="CB77" i="117"/>
  <c r="DI500" i="115"/>
  <c r="DN1478" i="115"/>
  <c r="DM1437" i="115"/>
  <c r="DL1449" i="115"/>
  <c r="DL1450" i="115"/>
  <c r="DN502" i="115"/>
  <c r="DN503" i="115" s="1"/>
  <c r="DO150" i="115"/>
  <c r="DL249" i="115"/>
  <c r="DM154" i="115"/>
  <c r="DM163" i="115"/>
  <c r="DL1481" i="115"/>
  <c r="DL973" i="115"/>
  <c r="DL491" i="115"/>
  <c r="DL215" i="115"/>
  <c r="DL217" i="115"/>
  <c r="DL364" i="115"/>
  <c r="DL257" i="115"/>
  <c r="DL218" i="115"/>
  <c r="DL166" i="115"/>
  <c r="DL156" i="115"/>
  <c r="DO89" i="115"/>
  <c r="DN151" i="115"/>
  <c r="EY68" i="117"/>
  <c r="BX57" i="117"/>
  <c r="BX83" i="117" s="1"/>
  <c r="DI168" i="115"/>
  <c r="EY57" i="117"/>
  <c r="DJ273" i="115"/>
  <c r="CD53" i="117"/>
  <c r="DJ156" i="115"/>
  <c r="CC52" i="117"/>
  <c r="CC78" i="117"/>
  <c r="AV8" i="123"/>
  <c r="DH225" i="115"/>
  <c r="BY84" i="117"/>
  <c r="BZ84" i="117"/>
  <c r="DI247" i="115"/>
  <c r="DI222" i="115"/>
  <c r="DJ215" i="115"/>
  <c r="DH969" i="115"/>
  <c r="DH33" i="115"/>
  <c r="DH376" i="115"/>
  <c r="DH374" i="115"/>
  <c r="DH377" i="115"/>
  <c r="DH373" i="115"/>
  <c r="DH431" i="115"/>
  <c r="DH461" i="115"/>
  <c r="DH494" i="115"/>
  <c r="DJ218" i="115"/>
  <c r="DI252" i="115"/>
  <c r="DH981" i="115"/>
  <c r="DI1150" i="115"/>
  <c r="DI1152" i="115" s="1"/>
  <c r="DJ1152" i="115" s="1"/>
  <c r="DI457" i="115"/>
  <c r="DI430" i="115"/>
  <c r="DI389" i="115"/>
  <c r="DI369" i="115"/>
  <c r="DI390" i="115"/>
  <c r="DI493" i="115"/>
  <c r="DJ493" i="115" s="1"/>
  <c r="DI492" i="115"/>
  <c r="DI961" i="115"/>
  <c r="DI980" i="115"/>
  <c r="DJ217" i="115"/>
  <c r="DI219" i="115"/>
  <c r="DJ1481" i="115"/>
  <c r="DK1481" i="115" s="1"/>
  <c r="DJ973" i="115"/>
  <c r="DJ980" i="115" s="1"/>
  <c r="DJ364" i="115"/>
  <c r="DJ491" i="115"/>
  <c r="DK154" i="115"/>
  <c r="CE53" i="117" s="1"/>
  <c r="EX78" i="117"/>
  <c r="BY69" i="117"/>
  <c r="BY238" i="117"/>
  <c r="BY164" i="117"/>
  <c r="BY166" i="117" s="1"/>
  <c r="BY118" i="117" s="1"/>
  <c r="BZ20" i="117"/>
  <c r="DG461" i="115"/>
  <c r="BZ33" i="117"/>
  <c r="DG33" i="115"/>
  <c r="BL251" i="117"/>
  <c r="BL64" i="117"/>
  <c r="BU249" i="117"/>
  <c r="BU83" i="117"/>
  <c r="BV57" i="117"/>
  <c r="AV6" i="123" l="1"/>
  <c r="AV7" i="123" s="1"/>
  <c r="CH79" i="117"/>
  <c r="DQ1478" i="115"/>
  <c r="DQ162" i="115"/>
  <c r="DQ502" i="115"/>
  <c r="DQ503" i="115" s="1"/>
  <c r="DR150" i="115"/>
  <c r="DR89" i="115"/>
  <c r="CL93" i="117" s="1"/>
  <c r="CL79" i="117" s="1"/>
  <c r="DP1452" i="115"/>
  <c r="DP1438" i="115"/>
  <c r="DQ93" i="115"/>
  <c r="DQ151" i="115"/>
  <c r="DP163" i="115"/>
  <c r="DP154" i="115"/>
  <c r="AH78" i="111"/>
  <c r="EY69" i="117"/>
  <c r="CF52" i="117"/>
  <c r="CF78" i="117"/>
  <c r="DL222" i="115"/>
  <c r="CG53" i="117"/>
  <c r="CC77" i="117"/>
  <c r="BX249" i="117"/>
  <c r="DL168" i="115"/>
  <c r="DL1150" i="115"/>
  <c r="DL1152" i="115" s="1"/>
  <c r="DL457" i="115"/>
  <c r="DL430" i="115"/>
  <c r="DL389" i="115"/>
  <c r="DL369" i="115"/>
  <c r="DL390" i="115"/>
  <c r="DL980" i="115"/>
  <c r="DL981" i="115" s="1"/>
  <c r="DL961" i="115"/>
  <c r="DM1452" i="115"/>
  <c r="DN1437" i="115"/>
  <c r="AJ20" i="111" s="1"/>
  <c r="AJ21" i="111" s="1"/>
  <c r="DM1438" i="115"/>
  <c r="DO151" i="115"/>
  <c r="DN154" i="115"/>
  <c r="AJ9" i="111" s="1"/>
  <c r="DL219" i="115"/>
  <c r="DL247" i="115"/>
  <c r="DL252" i="115"/>
  <c r="DM249" i="115"/>
  <c r="DN249" i="115" s="1"/>
  <c r="DN271" i="115" s="1"/>
  <c r="DL1447" i="115"/>
  <c r="DL1425" i="115" s="1"/>
  <c r="DL1448" i="115"/>
  <c r="DL1426" i="115" s="1"/>
  <c r="DL500" i="115"/>
  <c r="DJ981" i="115"/>
  <c r="DI981" i="115"/>
  <c r="DL493" i="115"/>
  <c r="DL492" i="115"/>
  <c r="DM1481" i="115"/>
  <c r="DM973" i="115"/>
  <c r="DM491" i="115"/>
  <c r="DM217" i="115"/>
  <c r="DM257" i="115"/>
  <c r="DN257" i="115" s="1"/>
  <c r="DM218" i="115"/>
  <c r="DM166" i="115"/>
  <c r="DM156" i="115"/>
  <c r="DM364" i="115"/>
  <c r="DM215" i="115"/>
  <c r="DL1451" i="115"/>
  <c r="BY57" i="117"/>
  <c r="BY83" i="117" s="1"/>
  <c r="FC65" i="117"/>
  <c r="DJ224" i="115"/>
  <c r="FC63" i="117"/>
  <c r="FC64" i="117" s="1"/>
  <c r="DH444" i="115"/>
  <c r="CD52" i="117"/>
  <c r="CD78" i="117"/>
  <c r="DI225" i="115"/>
  <c r="CB56" i="117"/>
  <c r="CB20" i="117"/>
  <c r="DH229" i="115"/>
  <c r="AV9" i="123"/>
  <c r="FC61" i="117"/>
  <c r="DJ1150" i="115"/>
  <c r="DJ1151" i="115" s="1"/>
  <c r="DJ457" i="115"/>
  <c r="DJ430" i="115"/>
  <c r="DJ431" i="115" s="1"/>
  <c r="DJ389" i="115"/>
  <c r="DK364" i="115"/>
  <c r="DJ390" i="115"/>
  <c r="DI969" i="115"/>
  <c r="DI33" i="115"/>
  <c r="DJ369" i="115"/>
  <c r="DH986" i="115"/>
  <c r="DH495" i="115"/>
  <c r="DH496" i="115" s="1"/>
  <c r="DH499" i="115" s="1"/>
  <c r="DH462" i="115"/>
  <c r="DH479" i="115"/>
  <c r="DH641" i="115"/>
  <c r="DJ221" i="115"/>
  <c r="DJ222" i="115"/>
  <c r="DI494" i="115"/>
  <c r="DI461" i="115"/>
  <c r="DH66" i="115"/>
  <c r="CB33" i="117" s="1"/>
  <c r="DH236" i="115"/>
  <c r="DH57" i="115"/>
  <c r="DJ252" i="115"/>
  <c r="DJ961" i="115"/>
  <c r="DJ223" i="115"/>
  <c r="FC62" i="117" s="1"/>
  <c r="DJ219" i="115"/>
  <c r="DI377" i="115"/>
  <c r="DI373" i="115"/>
  <c r="DI374" i="115"/>
  <c r="DI376" i="115"/>
  <c r="DI431" i="115"/>
  <c r="DH977" i="115"/>
  <c r="EY78" i="117"/>
  <c r="EY76" i="117"/>
  <c r="EY77" i="117"/>
  <c r="BZ69" i="117"/>
  <c r="BZ238" i="117"/>
  <c r="BZ164" i="117"/>
  <c r="BZ166" i="117" s="1"/>
  <c r="BZ118" i="117" s="1"/>
  <c r="BZ186" i="117"/>
  <c r="BZ188" i="117" s="1"/>
  <c r="BZ205" i="117" s="1"/>
  <c r="DG462" i="115"/>
  <c r="BV83" i="117"/>
  <c r="BV249" i="117"/>
  <c r="AJ8" i="111" l="1"/>
  <c r="AJ11" i="111" s="1"/>
  <c r="AJ12" i="111"/>
  <c r="CJ53" i="117"/>
  <c r="CF77" i="117"/>
  <c r="DP1500" i="115"/>
  <c r="DP1496" i="115" s="1"/>
  <c r="DP1450" i="115"/>
  <c r="DP1449" i="115"/>
  <c r="DR151" i="115"/>
  <c r="DS89" i="115"/>
  <c r="DR502" i="115"/>
  <c r="DR503" i="115" s="1"/>
  <c r="DS150" i="115"/>
  <c r="DP491" i="115"/>
  <c r="DP217" i="115"/>
  <c r="DP257" i="115"/>
  <c r="DP215" i="115"/>
  <c r="DP1481" i="115"/>
  <c r="DP166" i="115"/>
  <c r="DP973" i="115"/>
  <c r="DP156" i="115"/>
  <c r="DP168" i="115" s="1"/>
  <c r="DP364" i="115"/>
  <c r="DP218" i="115"/>
  <c r="DQ154" i="115"/>
  <c r="DQ163" i="115"/>
  <c r="DP249" i="115"/>
  <c r="DR1478" i="115"/>
  <c r="DQ1437" i="115"/>
  <c r="DM500" i="115"/>
  <c r="DM1500" i="115"/>
  <c r="DM1496" i="115" s="1"/>
  <c r="DN1496" i="115" s="1"/>
  <c r="DL225" i="115"/>
  <c r="AZ8" i="123"/>
  <c r="CH53" i="117"/>
  <c r="CG52" i="117"/>
  <c r="CG78" i="117"/>
  <c r="CD77" i="117"/>
  <c r="CB84" i="117"/>
  <c r="BY249" i="117"/>
  <c r="DN247" i="115"/>
  <c r="DM168" i="115"/>
  <c r="DN217" i="115"/>
  <c r="DM219" i="115"/>
  <c r="DM247" i="115"/>
  <c r="DL969" i="115"/>
  <c r="DL33" i="115"/>
  <c r="DL1458" i="115"/>
  <c r="DL1429" i="115"/>
  <c r="DM493" i="115"/>
  <c r="DN493" i="115" s="1"/>
  <c r="DM492" i="115"/>
  <c r="DP500" i="115" s="1"/>
  <c r="DL461" i="115"/>
  <c r="DL494" i="115"/>
  <c r="DN1481" i="115"/>
  <c r="DO1481" i="115" s="1"/>
  <c r="DN973" i="115"/>
  <c r="DN980" i="115" s="1"/>
  <c r="DN981" i="115" s="1"/>
  <c r="DN491" i="115"/>
  <c r="DN156" i="115"/>
  <c r="DN364" i="115"/>
  <c r="DO154" i="115"/>
  <c r="DN1438" i="115"/>
  <c r="DN215" i="115"/>
  <c r="DM222" i="115"/>
  <c r="DN218" i="115"/>
  <c r="DM252" i="115"/>
  <c r="DM961" i="115"/>
  <c r="DM980" i="115"/>
  <c r="DL1427" i="115"/>
  <c r="DM1450" i="115"/>
  <c r="DM1449" i="115"/>
  <c r="DN1452" i="115"/>
  <c r="DN1501" i="115" s="1"/>
  <c r="DM1150" i="115"/>
  <c r="DM1152" i="115" s="1"/>
  <c r="DN1152" i="115" s="1"/>
  <c r="DM430" i="115"/>
  <c r="DM457" i="115"/>
  <c r="DM389" i="115"/>
  <c r="DM369" i="115"/>
  <c r="DM390" i="115"/>
  <c r="DN273" i="115"/>
  <c r="DL376" i="115"/>
  <c r="DL377" i="115"/>
  <c r="DL373" i="115"/>
  <c r="DL374" i="115"/>
  <c r="DL431" i="115"/>
  <c r="BZ57" i="117"/>
  <c r="BZ249" i="117" s="1"/>
  <c r="DH440" i="115"/>
  <c r="DJ33" i="115"/>
  <c r="FC68" i="117"/>
  <c r="CB238" i="117"/>
  <c r="CB164" i="117"/>
  <c r="CB166" i="117" s="1"/>
  <c r="CB118" i="117" s="1"/>
  <c r="CB69" i="117"/>
  <c r="DJ377" i="115"/>
  <c r="FA78" i="117"/>
  <c r="DJ225" i="115"/>
  <c r="DH463" i="115"/>
  <c r="DJ374" i="115"/>
  <c r="DH642" i="115"/>
  <c r="CC20" i="117"/>
  <c r="FC57" i="117"/>
  <c r="DI229" i="115"/>
  <c r="CC56" i="117"/>
  <c r="DJ373" i="115"/>
  <c r="DI986" i="115"/>
  <c r="DJ272" i="115"/>
  <c r="DI495" i="115"/>
  <c r="DI496" i="115" s="1"/>
  <c r="DI499" i="115" s="1"/>
  <c r="DI462" i="115"/>
  <c r="DI479" i="115"/>
  <c r="DI641" i="115"/>
  <c r="DI977" i="115"/>
  <c r="DH480" i="115"/>
  <c r="DH761" i="115" s="1"/>
  <c r="DH756" i="115" s="1"/>
  <c r="DH646" i="115"/>
  <c r="DJ386" i="115"/>
  <c r="DI444" i="115"/>
  <c r="DJ376" i="115"/>
  <c r="DJ969" i="115"/>
  <c r="DJ461" i="115"/>
  <c r="DJ977" i="115" s="1"/>
  <c r="DI236" i="115"/>
  <c r="DI57" i="115"/>
  <c r="DI66" i="115"/>
  <c r="CC33" i="117" s="1"/>
  <c r="DG463" i="115"/>
  <c r="DE632" i="115"/>
  <c r="CJ52" i="117" l="1"/>
  <c r="CJ77" i="117" s="1"/>
  <c r="AI54" i="111"/>
  <c r="AI79" i="111" s="1"/>
  <c r="CJ78" i="117"/>
  <c r="DE631" i="115"/>
  <c r="DE633" i="115"/>
  <c r="CK53" i="117"/>
  <c r="DH757" i="115"/>
  <c r="DH759" i="115" s="1"/>
  <c r="DH764" i="115" s="1"/>
  <c r="AZ6" i="123"/>
  <c r="AZ7" i="123" s="1"/>
  <c r="AZ9" i="123"/>
  <c r="CI53" i="117"/>
  <c r="CG77" i="117"/>
  <c r="DP222" i="115"/>
  <c r="DP369" i="115"/>
  <c r="DP1150" i="115"/>
  <c r="DP1152" i="115" s="1"/>
  <c r="DP389" i="115"/>
  <c r="DP430" i="115"/>
  <c r="DP390" i="115"/>
  <c r="DP457" i="115"/>
  <c r="DP492" i="115"/>
  <c r="DQ500" i="115" s="1"/>
  <c r="DP493" i="115"/>
  <c r="DP961" i="115"/>
  <c r="DP980" i="115"/>
  <c r="DP981" i="115" s="1"/>
  <c r="DS151" i="115"/>
  <c r="DR154" i="115"/>
  <c r="DP1448" i="115"/>
  <c r="DP1426" i="115" s="1"/>
  <c r="DP1447" i="115"/>
  <c r="DP1425" i="115" s="1"/>
  <c r="DR1437" i="115"/>
  <c r="DQ1452" i="115"/>
  <c r="DQ1438" i="115"/>
  <c r="DQ218" i="115"/>
  <c r="DQ1481" i="115"/>
  <c r="DQ491" i="115"/>
  <c r="DQ166" i="115"/>
  <c r="DQ257" i="115"/>
  <c r="DR257" i="115" s="1"/>
  <c r="DQ217" i="115"/>
  <c r="DQ364" i="115"/>
  <c r="DQ156" i="115"/>
  <c r="DQ168" i="115" s="1"/>
  <c r="DQ973" i="115"/>
  <c r="DQ215" i="115"/>
  <c r="DP1451" i="115"/>
  <c r="DP252" i="115"/>
  <c r="DQ249" i="115"/>
  <c r="DR249" i="115" s="1"/>
  <c r="DR271" i="115" s="1"/>
  <c r="DP219" i="115"/>
  <c r="DM981" i="115"/>
  <c r="DP247" i="115"/>
  <c r="BZ83" i="117"/>
  <c r="DL229" i="115"/>
  <c r="CF20" i="117"/>
  <c r="DN224" i="115"/>
  <c r="FG63" i="117"/>
  <c r="FG64" i="117" s="1"/>
  <c r="DM225" i="115"/>
  <c r="DL444" i="115"/>
  <c r="FG61" i="117"/>
  <c r="CH52" i="117"/>
  <c r="CH78" i="117"/>
  <c r="FG65" i="117"/>
  <c r="CF56" i="117"/>
  <c r="CC84" i="117"/>
  <c r="DM1451" i="115"/>
  <c r="DN1451" i="115" s="1"/>
  <c r="DN1458" i="115" s="1"/>
  <c r="DN1450" i="115"/>
  <c r="DN1457" i="115" s="1"/>
  <c r="DN252" i="115"/>
  <c r="DN1500" i="115"/>
  <c r="DM494" i="115"/>
  <c r="DM461" i="115"/>
  <c r="DL986" i="115"/>
  <c r="DL1473" i="115"/>
  <c r="DN369" i="115"/>
  <c r="DL495" i="115"/>
  <c r="DL496" i="115" s="1"/>
  <c r="DL499" i="115" s="1"/>
  <c r="DL462" i="115"/>
  <c r="DL479" i="115"/>
  <c r="DL641" i="115"/>
  <c r="DL977" i="115"/>
  <c r="DM377" i="115"/>
  <c r="DM373" i="115"/>
  <c r="DM374" i="115"/>
  <c r="DM376" i="115"/>
  <c r="DM431" i="115"/>
  <c r="DN1449" i="115"/>
  <c r="DM1448" i="115"/>
  <c r="DM1447" i="115"/>
  <c r="DM969" i="115"/>
  <c r="DM33" i="115"/>
  <c r="DN221" i="115"/>
  <c r="DN222" i="115"/>
  <c r="DN1150" i="115"/>
  <c r="DN1151" i="115" s="1"/>
  <c r="DN457" i="115"/>
  <c r="DN430" i="115"/>
  <c r="DN431" i="115" s="1"/>
  <c r="DO364" i="115"/>
  <c r="DN389" i="115"/>
  <c r="DN390" i="115"/>
  <c r="DL66" i="115"/>
  <c r="CF33" i="117" s="1"/>
  <c r="DL236" i="115"/>
  <c r="DL57" i="115"/>
  <c r="DN961" i="115"/>
  <c r="DN219" i="115"/>
  <c r="DN223" i="115"/>
  <c r="FG62" i="117" s="1"/>
  <c r="DH483" i="115"/>
  <c r="DJ440" i="115"/>
  <c r="DJ57" i="115"/>
  <c r="DJ66" i="115"/>
  <c r="CD33" i="117" s="1"/>
  <c r="DK33" i="115"/>
  <c r="DJ236" i="115"/>
  <c r="CD20" i="117"/>
  <c r="AV29" i="123"/>
  <c r="DH605" i="115"/>
  <c r="DH485" i="115"/>
  <c r="DH481" i="115"/>
  <c r="DJ436" i="115"/>
  <c r="FB78" i="117"/>
  <c r="DI642" i="115"/>
  <c r="DJ642" i="115" s="1"/>
  <c r="AV10" i="123"/>
  <c r="CD56" i="117"/>
  <c r="DI463" i="115"/>
  <c r="DJ433" i="115"/>
  <c r="DH647" i="115"/>
  <c r="CB57" i="117"/>
  <c r="CC238" i="117"/>
  <c r="CC164" i="117"/>
  <c r="CC166" i="117" s="1"/>
  <c r="CC118" i="117" s="1"/>
  <c r="CC69" i="117"/>
  <c r="FC76" i="117"/>
  <c r="DJ462" i="115"/>
  <c r="DJ463" i="115" s="1"/>
  <c r="FC69" i="117"/>
  <c r="DJ976" i="115"/>
  <c r="DJ986" i="115"/>
  <c r="DJ495" i="115"/>
  <c r="DJ641" i="115"/>
  <c r="DK461" i="115"/>
  <c r="DJ444" i="115"/>
  <c r="DJ435" i="115"/>
  <c r="DI480" i="115"/>
  <c r="DI761" i="115" s="1"/>
  <c r="DI756" i="115" s="1"/>
  <c r="DI646" i="115"/>
  <c r="DJ432" i="115"/>
  <c r="DG594" i="115"/>
  <c r="DF632" i="115"/>
  <c r="DG605" i="115"/>
  <c r="CK52" i="117" l="1"/>
  <c r="CK77" i="117" s="1"/>
  <c r="AI78" i="111"/>
  <c r="AK9" i="111"/>
  <c r="AK20" i="111"/>
  <c r="AK21" i="111" s="1"/>
  <c r="CK78" i="117"/>
  <c r="DF631" i="115"/>
  <c r="DF633" i="115"/>
  <c r="DI757" i="115"/>
  <c r="DI759" i="115" s="1"/>
  <c r="DI764" i="115" s="1"/>
  <c r="DJ756" i="115"/>
  <c r="DH763" i="115"/>
  <c r="DH771" i="115"/>
  <c r="CL53" i="117"/>
  <c r="BD8" i="123"/>
  <c r="AV31" i="123"/>
  <c r="CF84" i="117"/>
  <c r="CH77" i="117"/>
  <c r="DQ247" i="115"/>
  <c r="DQ1500" i="115"/>
  <c r="DQ1496" i="115" s="1"/>
  <c r="DR1496" i="115" s="1"/>
  <c r="DP225" i="115"/>
  <c r="DR273" i="115"/>
  <c r="DP1427" i="115"/>
  <c r="DQ369" i="115"/>
  <c r="DQ1150" i="115"/>
  <c r="DQ1152" i="115" s="1"/>
  <c r="DR1152" i="115" s="1"/>
  <c r="DQ457" i="115"/>
  <c r="DQ389" i="115"/>
  <c r="DQ430" i="115"/>
  <c r="DQ390" i="115"/>
  <c r="DQ1449" i="115"/>
  <c r="DQ1450" i="115"/>
  <c r="DR1452" i="115"/>
  <c r="DR1501" i="115" s="1"/>
  <c r="DP494" i="115"/>
  <c r="DP461" i="115"/>
  <c r="DQ219" i="115"/>
  <c r="DR217" i="115"/>
  <c r="DS1437" i="115"/>
  <c r="DR1438" i="115"/>
  <c r="DP1458" i="115"/>
  <c r="DP1429" i="115"/>
  <c r="DQ493" i="115"/>
  <c r="DQ492" i="115"/>
  <c r="DR973" i="115"/>
  <c r="DR980" i="115" s="1"/>
  <c r="DR981" i="115" s="1"/>
  <c r="DS154" i="115"/>
  <c r="BD9" i="123" s="1"/>
  <c r="DR364" i="115"/>
  <c r="DR156" i="115"/>
  <c r="DR491" i="115"/>
  <c r="DR1481" i="115"/>
  <c r="DS1481" i="115" s="1"/>
  <c r="DP431" i="115"/>
  <c r="DP374" i="115"/>
  <c r="DP373" i="115"/>
  <c r="DP376" i="115"/>
  <c r="DP377" i="115"/>
  <c r="DQ222" i="115"/>
  <c r="DR215" i="115"/>
  <c r="DQ980" i="115"/>
  <c r="DQ981" i="115" s="1"/>
  <c r="DQ961" i="115"/>
  <c r="DR961" i="115" s="1"/>
  <c r="DR218" i="115"/>
  <c r="DQ252" i="115"/>
  <c r="DP969" i="115"/>
  <c r="DP986" i="115" s="1"/>
  <c r="FI78" i="117" s="1"/>
  <c r="DP33" i="115"/>
  <c r="DR247" i="115"/>
  <c r="DN33" i="115"/>
  <c r="FG57" i="117"/>
  <c r="CG20" i="117"/>
  <c r="DN1456" i="115"/>
  <c r="DM1458" i="115"/>
  <c r="DM977" i="115"/>
  <c r="CG56" i="117"/>
  <c r="FG68" i="117"/>
  <c r="DM229" i="115"/>
  <c r="DN377" i="115"/>
  <c r="DL463" i="115"/>
  <c r="DL481" i="115" s="1"/>
  <c r="CF238" i="117"/>
  <c r="CF164" i="117"/>
  <c r="CF166" i="117" s="1"/>
  <c r="CF118" i="117" s="1"/>
  <c r="CF69" i="117"/>
  <c r="DN225" i="115"/>
  <c r="DN374" i="115"/>
  <c r="DN433" i="115" s="1"/>
  <c r="DL642" i="115"/>
  <c r="DM1429" i="115"/>
  <c r="DN1429" i="115" s="1"/>
  <c r="DN1476" i="115" s="1"/>
  <c r="FE78" i="117"/>
  <c r="CD84" i="117"/>
  <c r="DN461" i="115"/>
  <c r="DN495" i="115" s="1"/>
  <c r="DM986" i="115"/>
  <c r="DM1426" i="115"/>
  <c r="DN1426" i="115" s="1"/>
  <c r="DN1448" i="115"/>
  <c r="DM479" i="115"/>
  <c r="DM641" i="115"/>
  <c r="DM495" i="115"/>
  <c r="DM496" i="115" s="1"/>
  <c r="DM499" i="115" s="1"/>
  <c r="DM462" i="115"/>
  <c r="DN373" i="115"/>
  <c r="DI440" i="115"/>
  <c r="DL440" i="115"/>
  <c r="DN386" i="115"/>
  <c r="DN969" i="115"/>
  <c r="DM66" i="115"/>
  <c r="CG33" i="117" s="1"/>
  <c r="DM236" i="115"/>
  <c r="DM57" i="115"/>
  <c r="DN1447" i="115"/>
  <c r="DN1454" i="115" s="1"/>
  <c r="DM1425" i="115"/>
  <c r="DM444" i="115"/>
  <c r="DN376" i="115"/>
  <c r="DL646" i="115"/>
  <c r="DL480" i="115"/>
  <c r="DL761" i="115" s="1"/>
  <c r="DL756" i="115" s="1"/>
  <c r="DN272" i="115"/>
  <c r="DI483" i="115"/>
  <c r="CD186" i="117"/>
  <c r="CD188" i="117" s="1"/>
  <c r="CD205" i="117" s="1"/>
  <c r="CD238" i="117"/>
  <c r="CD164" i="117"/>
  <c r="CD166" i="117" s="1"/>
  <c r="CD118" i="117" s="1"/>
  <c r="CD69" i="117"/>
  <c r="AV151" i="123"/>
  <c r="AV97" i="123"/>
  <c r="AV30" i="123"/>
  <c r="DH780" i="115"/>
  <c r="DH781" i="115" s="1"/>
  <c r="DH617" i="115"/>
  <c r="DI605" i="115"/>
  <c r="DI763" i="115" s="1"/>
  <c r="DI481" i="115"/>
  <c r="DI485" i="115"/>
  <c r="DJ646" i="115"/>
  <c r="DH594" i="115"/>
  <c r="DJ484" i="115"/>
  <c r="AV55" i="123"/>
  <c r="AV108" i="123"/>
  <c r="AV11" i="123"/>
  <c r="CC57" i="117"/>
  <c r="DJ485" i="115"/>
  <c r="CD57" i="117"/>
  <c r="AV12" i="123"/>
  <c r="DJ643" i="115"/>
  <c r="FC78" i="117"/>
  <c r="DI647" i="115"/>
  <c r="DI594" i="115" s="1"/>
  <c r="DK462" i="115"/>
  <c r="DJ1149" i="115"/>
  <c r="FC77" i="117"/>
  <c r="CB249" i="117"/>
  <c r="CB83" i="117"/>
  <c r="DJ605" i="115"/>
  <c r="DJ483" i="115"/>
  <c r="DK463" i="115"/>
  <c r="CL52" i="117" l="1"/>
  <c r="CL77" i="117" s="1"/>
  <c r="DN1455" i="115"/>
  <c r="AJ54" i="111"/>
  <c r="AJ78" i="111" s="1"/>
  <c r="AK12" i="111"/>
  <c r="N12" i="111" s="1"/>
  <c r="AK8" i="111"/>
  <c r="DP229" i="115"/>
  <c r="FK63" i="117"/>
  <c r="FK64" i="117" s="1"/>
  <c r="CJ20" i="117"/>
  <c r="CJ69" i="117" s="1"/>
  <c r="CJ56" i="117"/>
  <c r="CJ84" i="117" s="1"/>
  <c r="DL757" i="115"/>
  <c r="CL78" i="117"/>
  <c r="AV152" i="123"/>
  <c r="BD6" i="123"/>
  <c r="BD7" i="123" s="1"/>
  <c r="FK65" i="117"/>
  <c r="FK61" i="117"/>
  <c r="CG84" i="117"/>
  <c r="DP1473" i="115"/>
  <c r="DR252" i="115"/>
  <c r="DP444" i="115"/>
  <c r="DR224" i="115"/>
  <c r="DQ225" i="115"/>
  <c r="DP977" i="115"/>
  <c r="DR369" i="115"/>
  <c r="DQ461" i="115"/>
  <c r="DQ494" i="115"/>
  <c r="DR219" i="115"/>
  <c r="DR223" i="115"/>
  <c r="FK62" i="117" s="1"/>
  <c r="DR1450" i="115"/>
  <c r="DR1457" i="115" s="1"/>
  <c r="DQ1447" i="115"/>
  <c r="DR1449" i="115"/>
  <c r="DQ1448" i="115"/>
  <c r="DR969" i="115"/>
  <c r="DR222" i="115"/>
  <c r="DR221" i="115"/>
  <c r="DP66" i="115"/>
  <c r="CJ33" i="117" s="1"/>
  <c r="DP236" i="115"/>
  <c r="DP57" i="115"/>
  <c r="DP641" i="115"/>
  <c r="DP462" i="115"/>
  <c r="DP495" i="115"/>
  <c r="DP496" i="115" s="1"/>
  <c r="DP499" i="115" s="1"/>
  <c r="DP479" i="115"/>
  <c r="DQ374" i="115"/>
  <c r="DQ376" i="115"/>
  <c r="DQ373" i="115"/>
  <c r="DQ377" i="115"/>
  <c r="DQ431" i="115"/>
  <c r="DR1150" i="115"/>
  <c r="DR1151" i="115" s="1"/>
  <c r="DR457" i="115"/>
  <c r="DR389" i="115"/>
  <c r="DR430" i="115"/>
  <c r="DR431" i="115" s="1"/>
  <c r="DS364" i="115"/>
  <c r="DR390" i="115"/>
  <c r="DR493" i="115"/>
  <c r="DR1500" i="115"/>
  <c r="DS1438" i="115"/>
  <c r="DQ1451" i="115"/>
  <c r="DQ33" i="115"/>
  <c r="DQ969" i="115"/>
  <c r="DQ986" i="115" s="1"/>
  <c r="FJ78" i="117" s="1"/>
  <c r="CH20" i="117"/>
  <c r="DN236" i="115"/>
  <c r="DN66" i="115"/>
  <c r="CH33" i="117" s="1"/>
  <c r="DO33" i="115"/>
  <c r="DN57" i="115"/>
  <c r="AZ29" i="123"/>
  <c r="DL483" i="115"/>
  <c r="DN436" i="115"/>
  <c r="DL605" i="115"/>
  <c r="DL485" i="115"/>
  <c r="DN977" i="115"/>
  <c r="FG76" i="117" s="1"/>
  <c r="FF78" i="117"/>
  <c r="CG238" i="117"/>
  <c r="CG164" i="117"/>
  <c r="CG166" i="117" s="1"/>
  <c r="CG118" i="117" s="1"/>
  <c r="CG69" i="117"/>
  <c r="DM463" i="115"/>
  <c r="DO461" i="115"/>
  <c r="CH56" i="117"/>
  <c r="AZ10" i="123"/>
  <c r="CF57" i="117"/>
  <c r="FG69" i="117"/>
  <c r="DL647" i="115"/>
  <c r="DM642" i="115"/>
  <c r="DN642" i="115" s="1"/>
  <c r="DN641" i="115"/>
  <c r="DN462" i="115"/>
  <c r="DN444" i="115"/>
  <c r="DN435" i="115"/>
  <c r="DN986" i="115"/>
  <c r="DN976" i="115"/>
  <c r="DM646" i="115"/>
  <c r="DM480" i="115"/>
  <c r="DM761" i="115" s="1"/>
  <c r="DM756" i="115" s="1"/>
  <c r="DN1425" i="115"/>
  <c r="DN1471" i="115" s="1"/>
  <c r="DM1427" i="115"/>
  <c r="DN432" i="115"/>
  <c r="DN1472" i="115"/>
  <c r="DN440" i="115"/>
  <c r="DL446" i="115"/>
  <c r="AV98" i="123"/>
  <c r="DI617" i="115"/>
  <c r="DI780" i="115"/>
  <c r="DI781" i="115" s="1"/>
  <c r="DH651" i="115"/>
  <c r="AV56" i="123"/>
  <c r="AV57" i="123" s="1"/>
  <c r="AV109" i="123"/>
  <c r="AV110" i="123" s="1"/>
  <c r="CC249" i="117"/>
  <c r="CC83" i="117"/>
  <c r="DJ628" i="115"/>
  <c r="CD249" i="117"/>
  <c r="CD83" i="117"/>
  <c r="DJ644" i="115"/>
  <c r="DJ647" i="115"/>
  <c r="DJ780" i="115"/>
  <c r="DJ617" i="115"/>
  <c r="DK605" i="115"/>
  <c r="DI651" i="115"/>
  <c r="DJ594" i="115"/>
  <c r="AJ79" i="111" l="1"/>
  <c r="CJ164" i="117"/>
  <c r="CJ166" i="117" s="1"/>
  <c r="CJ118" i="117" s="1"/>
  <c r="AK11" i="111"/>
  <c r="AL8" i="111"/>
  <c r="CJ238" i="117"/>
  <c r="CK20" i="117"/>
  <c r="CK69" i="117" s="1"/>
  <c r="CK56" i="117"/>
  <c r="CK84" i="117" s="1"/>
  <c r="DM757" i="115"/>
  <c r="DM759" i="115" s="1"/>
  <c r="DM764" i="115" s="1"/>
  <c r="DN756" i="115"/>
  <c r="DL759" i="115"/>
  <c r="DL764" i="115" s="1"/>
  <c r="AZ31" i="123"/>
  <c r="FK57" i="117"/>
  <c r="DR272" i="115"/>
  <c r="FK68" i="117"/>
  <c r="CH238" i="117"/>
  <c r="CH84" i="117"/>
  <c r="DR386" i="115"/>
  <c r="DP463" i="115"/>
  <c r="DQ977" i="115"/>
  <c r="DR377" i="115"/>
  <c r="DP642" i="115"/>
  <c r="DR373" i="115"/>
  <c r="DR1456" i="115"/>
  <c r="DQ229" i="115"/>
  <c r="DR374" i="115"/>
  <c r="DR225" i="115"/>
  <c r="DR461" i="115"/>
  <c r="CH69" i="117"/>
  <c r="CH164" i="117"/>
  <c r="CH166" i="117" s="1"/>
  <c r="CH118" i="117" s="1"/>
  <c r="CH186" i="117"/>
  <c r="CH188" i="117" s="1"/>
  <c r="CH205" i="117" s="1"/>
  <c r="DQ1429" i="115"/>
  <c r="DR1429" i="115" s="1"/>
  <c r="DQ1458" i="115"/>
  <c r="DR1451" i="115"/>
  <c r="DR1458" i="115" s="1"/>
  <c r="DR1447" i="115"/>
  <c r="DR1454" i="115" s="1"/>
  <c r="DQ1425" i="115"/>
  <c r="DP480" i="115"/>
  <c r="DP761" i="115" s="1"/>
  <c r="DP756" i="115" s="1"/>
  <c r="DP646" i="115"/>
  <c r="DR376" i="115"/>
  <c r="DQ444" i="115"/>
  <c r="DR986" i="115"/>
  <c r="FK78" i="117" s="1"/>
  <c r="DR976" i="115"/>
  <c r="DQ66" i="115"/>
  <c r="CK33" i="117" s="1"/>
  <c r="DQ236" i="115"/>
  <c r="DQ57" i="115"/>
  <c r="DR33" i="115"/>
  <c r="DQ1426" i="115"/>
  <c r="DR1426" i="115" s="1"/>
  <c r="DR1448" i="115"/>
  <c r="DQ462" i="115"/>
  <c r="DQ479" i="115"/>
  <c r="DQ641" i="115"/>
  <c r="DQ495" i="115"/>
  <c r="DQ496" i="115" s="1"/>
  <c r="DQ499" i="115" s="1"/>
  <c r="DM440" i="115"/>
  <c r="DM446" i="115" s="1"/>
  <c r="DP440" i="115"/>
  <c r="AZ151" i="123"/>
  <c r="AZ30" i="123"/>
  <c r="AZ97" i="123"/>
  <c r="DL763" i="115"/>
  <c r="DL617" i="115"/>
  <c r="DL780" i="115"/>
  <c r="DL781" i="115" s="1"/>
  <c r="DM481" i="115"/>
  <c r="DM605" i="115"/>
  <c r="DM780" i="115" s="1"/>
  <c r="DM781" i="115" s="1"/>
  <c r="DM485" i="115"/>
  <c r="DM483" i="115"/>
  <c r="DN1149" i="115"/>
  <c r="FG77" i="117"/>
  <c r="DN484" i="115"/>
  <c r="AZ11" i="123"/>
  <c r="CF249" i="117"/>
  <c r="CF83" i="117"/>
  <c r="FG78" i="117"/>
  <c r="AZ55" i="123"/>
  <c r="AZ108" i="123"/>
  <c r="DL594" i="115"/>
  <c r="DN643" i="115"/>
  <c r="DM647" i="115"/>
  <c r="DM594" i="115" s="1"/>
  <c r="CG57" i="117"/>
  <c r="DN646" i="115"/>
  <c r="DO462" i="115"/>
  <c r="DN463" i="115"/>
  <c r="DN446" i="115"/>
  <c r="DN1427" i="115"/>
  <c r="DM1473" i="115"/>
  <c r="DJ648" i="115"/>
  <c r="DJ645" i="115"/>
  <c r="DJ651" i="115"/>
  <c r="DK594" i="115"/>
  <c r="DR1455" i="115" l="1"/>
  <c r="AK54" i="111"/>
  <c r="CK238" i="117"/>
  <c r="CK164" i="117"/>
  <c r="CK166" i="117" s="1"/>
  <c r="CK118" i="117" s="1"/>
  <c r="AM8" i="111"/>
  <c r="AL54" i="111"/>
  <c r="AL9" i="111"/>
  <c r="AL12" i="111" s="1"/>
  <c r="P12" i="111" s="1"/>
  <c r="AL20" i="111"/>
  <c r="N11" i="111"/>
  <c r="O11" i="111"/>
  <c r="FK77" i="117"/>
  <c r="BD10" i="123"/>
  <c r="BD108" i="123" s="1"/>
  <c r="DN757" i="115"/>
  <c r="DP757" i="115"/>
  <c r="DR433" i="115"/>
  <c r="CL20" i="117"/>
  <c r="CL69" i="117" s="1"/>
  <c r="BD29" i="123"/>
  <c r="AZ152" i="123"/>
  <c r="DR495" i="115"/>
  <c r="CL56" i="117"/>
  <c r="CL84" i="117" s="1"/>
  <c r="DP605" i="115"/>
  <c r="CJ57" i="117"/>
  <c r="FK69" i="117"/>
  <c r="DP483" i="115"/>
  <c r="DP485" i="115"/>
  <c r="DP481" i="115"/>
  <c r="DR436" i="115"/>
  <c r="DR462" i="115"/>
  <c r="DR1149" i="115"/>
  <c r="DP647" i="115"/>
  <c r="DR977" i="115"/>
  <c r="FK76" i="117" s="1"/>
  <c r="DQ642" i="115"/>
  <c r="DR432" i="115"/>
  <c r="DR641" i="115"/>
  <c r="DS461" i="115"/>
  <c r="DR1472" i="115"/>
  <c r="DP446" i="115"/>
  <c r="DR440" i="115"/>
  <c r="DR66" i="115"/>
  <c r="CL33" i="117" s="1"/>
  <c r="DR236" i="115"/>
  <c r="DR57" i="115"/>
  <c r="DS33" i="115"/>
  <c r="DR435" i="115"/>
  <c r="DR444" i="115"/>
  <c r="DR1425" i="115"/>
  <c r="DR1471" i="115" s="1"/>
  <c r="DQ1427" i="115"/>
  <c r="DQ463" i="115"/>
  <c r="DQ480" i="115"/>
  <c r="DQ761" i="115" s="1"/>
  <c r="DQ756" i="115" s="1"/>
  <c r="DQ646" i="115"/>
  <c r="DR1476" i="115"/>
  <c r="AZ98" i="123"/>
  <c r="DM617" i="115"/>
  <c r="DM763" i="115"/>
  <c r="DN628" i="115"/>
  <c r="DN644" i="115"/>
  <c r="DN594" i="115"/>
  <c r="DO594" i="115" s="1"/>
  <c r="DN647" i="115"/>
  <c r="DL651" i="115"/>
  <c r="AZ109" i="123"/>
  <c r="AZ110" i="123" s="1"/>
  <c r="AZ56" i="123"/>
  <c r="AZ57" i="123" s="1"/>
  <c r="DN605" i="115"/>
  <c r="CH57" i="117"/>
  <c r="AZ12" i="123"/>
  <c r="CG249" i="117"/>
  <c r="CG83" i="117"/>
  <c r="DM651" i="115"/>
  <c r="DO463" i="115"/>
  <c r="DN483" i="115"/>
  <c r="DN485" i="115"/>
  <c r="DN1473" i="115"/>
  <c r="DJ649" i="115"/>
  <c r="AL78" i="111" l="1"/>
  <c r="P78" i="111" s="1"/>
  <c r="AN8" i="111"/>
  <c r="AM9" i="111"/>
  <c r="AM12" i="111" s="1"/>
  <c r="AM54" i="111"/>
  <c r="AM20" i="111"/>
  <c r="AK78" i="111"/>
  <c r="N78" i="111" s="1"/>
  <c r="AK79" i="111"/>
  <c r="BD55" i="123"/>
  <c r="CK57" i="117"/>
  <c r="CK249" i="117" s="1"/>
  <c r="DQ757" i="115"/>
  <c r="DR757" i="115" s="1"/>
  <c r="DR756" i="115"/>
  <c r="DP759" i="115"/>
  <c r="DP764" i="115" s="1"/>
  <c r="DP758" i="115"/>
  <c r="DP760" i="115"/>
  <c r="CL164" i="117"/>
  <c r="CL166" i="117" s="1"/>
  <c r="CL118" i="117" s="1"/>
  <c r="CL186" i="117"/>
  <c r="CL188" i="117" s="1"/>
  <c r="CL205" i="117" s="1"/>
  <c r="CL238" i="117"/>
  <c r="BD11" i="123"/>
  <c r="BD30" i="123"/>
  <c r="BD31" i="123"/>
  <c r="BD97" i="123"/>
  <c r="BD151" i="123"/>
  <c r="DP617" i="115"/>
  <c r="DP765" i="115" s="1"/>
  <c r="DP763" i="115"/>
  <c r="DP771" i="115"/>
  <c r="DP780" i="115"/>
  <c r="DP781" i="115" s="1"/>
  <c r="CJ249" i="117"/>
  <c r="CJ83" i="117"/>
  <c r="DS462" i="115"/>
  <c r="DR484" i="115"/>
  <c r="DR463" i="115"/>
  <c r="DR646" i="115"/>
  <c r="DR642" i="115"/>
  <c r="DQ647" i="115"/>
  <c r="DP594" i="115"/>
  <c r="DQ483" i="115"/>
  <c r="DQ605" i="115"/>
  <c r="DQ481" i="115"/>
  <c r="DQ1473" i="115"/>
  <c r="DR1427" i="115"/>
  <c r="DQ440" i="115"/>
  <c r="DQ446" i="115" s="1"/>
  <c r="DR446" i="115"/>
  <c r="DQ485" i="115"/>
  <c r="DN645" i="115"/>
  <c r="DN780" i="115"/>
  <c r="DN651" i="115"/>
  <c r="DO605" i="115"/>
  <c r="DN617" i="115"/>
  <c r="CH249" i="117"/>
  <c r="CH83" i="117"/>
  <c r="DN648" i="115"/>
  <c r="DJ650" i="115"/>
  <c r="AM78" i="111" l="1"/>
  <c r="O79" i="111"/>
  <c r="T79" i="111"/>
  <c r="N79" i="111"/>
  <c r="AN54" i="111"/>
  <c r="AO8" i="111"/>
  <c r="AN20" i="111"/>
  <c r="AN9" i="111"/>
  <c r="AN12" i="111" s="1"/>
  <c r="CK83" i="117"/>
  <c r="DR760" i="115"/>
  <c r="DQ758" i="115"/>
  <c r="DQ759" i="115"/>
  <c r="DQ764" i="115" s="1"/>
  <c r="DQ760" i="115"/>
  <c r="BD152" i="123"/>
  <c r="BD98" i="123"/>
  <c r="BD12" i="123"/>
  <c r="BD109" i="123"/>
  <c r="BD110" i="123" s="1"/>
  <c r="BD56" i="123"/>
  <c r="BD57" i="123" s="1"/>
  <c r="CL57" i="117"/>
  <c r="DR485" i="115"/>
  <c r="DR483" i="115"/>
  <c r="DS463" i="115"/>
  <c r="DR605" i="115"/>
  <c r="DP651" i="115"/>
  <c r="DR643" i="115"/>
  <c r="DR647" i="115"/>
  <c r="DQ594" i="115"/>
  <c r="DR1473" i="115"/>
  <c r="DQ617" i="115"/>
  <c r="DQ765" i="115" s="1"/>
  <c r="DQ780" i="115"/>
  <c r="DQ781" i="115" s="1"/>
  <c r="DQ771" i="115"/>
  <c r="DQ763" i="115"/>
  <c r="DN649" i="115"/>
  <c r="AN78" i="111" l="1"/>
  <c r="AP8" i="111"/>
  <c r="AO54" i="111"/>
  <c r="AO20" i="111"/>
  <c r="AO9" i="111"/>
  <c r="AO12" i="111" s="1"/>
  <c r="CL249" i="117"/>
  <c r="CL83" i="117"/>
  <c r="DQ651" i="115"/>
  <c r="DS605" i="115"/>
  <c r="DR780" i="115"/>
  <c r="DR617" i="115"/>
  <c r="DR594" i="115"/>
  <c r="DR644" i="115"/>
  <c r="DR628" i="115"/>
  <c r="DR648" i="115"/>
  <c r="DQ773" i="115"/>
  <c r="DR771" i="115"/>
  <c r="DN650" i="115"/>
  <c r="AO78" i="111" l="1"/>
  <c r="AP20" i="111"/>
  <c r="AQ8" i="111"/>
  <c r="AP54" i="111"/>
  <c r="AP9" i="111"/>
  <c r="AP12" i="111" s="1"/>
  <c r="DS594" i="115"/>
  <c r="DR651" i="115"/>
  <c r="DR649" i="115"/>
  <c r="DR645" i="115"/>
  <c r="AP78" i="111" l="1"/>
  <c r="C38" i="111" s="1"/>
  <c r="AR8" i="111"/>
  <c r="AQ54" i="111"/>
  <c r="AQ20" i="111"/>
  <c r="AQ9" i="111"/>
  <c r="AQ12" i="111" s="1"/>
  <c r="DR650" i="115"/>
  <c r="AQ78" i="111" l="1"/>
  <c r="AS8" i="111"/>
  <c r="AR20" i="111"/>
  <c r="AR9" i="111"/>
  <c r="AR12" i="111" s="1"/>
  <c r="AR54" i="111"/>
  <c r="AR78" i="111" l="1"/>
  <c r="T78" i="111" s="1"/>
  <c r="H79" i="111"/>
  <c r="O12" i="111"/>
  <c r="CT746" i="115"/>
  <c r="BL13" i="117"/>
  <c r="BL14" i="117" s="1"/>
  <c r="O78" i="111" l="1"/>
  <c r="BL16" i="117"/>
  <c r="BL65" i="117"/>
  <c r="BL30" i="117" l="1"/>
  <c r="BL17" i="117"/>
  <c r="BL72" i="117" l="1"/>
  <c r="BL19" i="117"/>
  <c r="BL66" i="117"/>
  <c r="BL127" i="117"/>
  <c r="BL130" i="117" s="1"/>
  <c r="BL131" i="117" s="1"/>
  <c r="BL133" i="117"/>
  <c r="BP13" i="117"/>
  <c r="BP14" i="117" s="1"/>
  <c r="BL21" i="117" l="1"/>
  <c r="BL68" i="117"/>
  <c r="BL139" i="117"/>
  <c r="BL141" i="117"/>
  <c r="BP16" i="117"/>
  <c r="BP65" i="117"/>
  <c r="BL115" i="117" l="1"/>
  <c r="BL142" i="117"/>
  <c r="BL202" i="117"/>
  <c r="BL143" i="117"/>
  <c r="DH744" i="115"/>
  <c r="BT13" i="117"/>
  <c r="BT14" i="117" s="1"/>
  <c r="BQ13" i="117"/>
  <c r="BQ14" i="117" s="1"/>
  <c r="DH746" i="115" l="1"/>
  <c r="DI744" i="115"/>
  <c r="DL744" i="115" s="1"/>
  <c r="DH740" i="115"/>
  <c r="BX13" i="117"/>
  <c r="BX14" i="117" s="1"/>
  <c r="BT16" i="117"/>
  <c r="BT65" i="117"/>
  <c r="BR13" i="117"/>
  <c r="BQ16" i="117"/>
  <c r="DH665" i="115" l="1"/>
  <c r="DH748" i="115"/>
  <c r="DH750" i="115" s="1"/>
  <c r="DL746" i="115"/>
  <c r="DL740" i="115"/>
  <c r="DM744" i="115"/>
  <c r="DP744" i="115" s="1"/>
  <c r="DI746" i="115"/>
  <c r="DJ744" i="115"/>
  <c r="DJ746" i="115" s="1"/>
  <c r="DI740" i="115"/>
  <c r="DI748" i="115" s="1"/>
  <c r="DI750" i="115" s="1"/>
  <c r="BX16" i="117"/>
  <c r="BX65" i="117"/>
  <c r="BR14" i="117"/>
  <c r="BR222" i="117"/>
  <c r="BU13" i="117"/>
  <c r="BU14" i="117" s="1"/>
  <c r="BL22" i="117"/>
  <c r="BL24" i="117" s="1"/>
  <c r="BL26" i="117" s="1"/>
  <c r="DP746" i="115" l="1"/>
  <c r="DQ744" i="115"/>
  <c r="DP740" i="115"/>
  <c r="DH666" i="115"/>
  <c r="DH18" i="115"/>
  <c r="CB13" i="117" s="1"/>
  <c r="CB14" i="117" s="1"/>
  <c r="DL665" i="115"/>
  <c r="DL748" i="115"/>
  <c r="DL750" i="115" s="1"/>
  <c r="DM740" i="115"/>
  <c r="DM748" i="115" s="1"/>
  <c r="DM750" i="115" s="1"/>
  <c r="DN744" i="115"/>
  <c r="DN746" i="115" s="1"/>
  <c r="DM746" i="115"/>
  <c r="DJ740" i="115"/>
  <c r="DJ748" i="115" s="1"/>
  <c r="DJ750" i="115" s="1"/>
  <c r="DI665" i="115"/>
  <c r="DH671" i="115"/>
  <c r="BV13" i="117"/>
  <c r="BL190" i="117"/>
  <c r="BU16" i="117"/>
  <c r="BU65" i="117"/>
  <c r="BY13" i="117"/>
  <c r="BY14" i="117" s="1"/>
  <c r="BR16" i="117"/>
  <c r="DP748" i="115" l="1"/>
  <c r="DP750" i="115" s="1"/>
  <c r="DP665" i="115"/>
  <c r="DQ746" i="115"/>
  <c r="DQ740" i="115"/>
  <c r="DR744" i="115"/>
  <c r="DR746" i="115" s="1"/>
  <c r="DH19" i="115"/>
  <c r="DH571" i="115"/>
  <c r="DL666" i="115"/>
  <c r="DL18" i="115"/>
  <c r="DL671" i="115"/>
  <c r="DN740" i="115"/>
  <c r="DN748" i="115" s="1"/>
  <c r="DN750" i="115" s="1"/>
  <c r="DM665" i="115"/>
  <c r="CB16" i="117"/>
  <c r="CB65" i="117"/>
  <c r="DH672" i="115"/>
  <c r="DI671" i="115"/>
  <c r="DJ665" i="115"/>
  <c r="DI18" i="115"/>
  <c r="DI666" i="115"/>
  <c r="DG665" i="115"/>
  <c r="BY16" i="117"/>
  <c r="BY65" i="117"/>
  <c r="BL71" i="117"/>
  <c r="BV14" i="117"/>
  <c r="BV222" i="117"/>
  <c r="BV231" i="117" s="1"/>
  <c r="BZ13" i="117"/>
  <c r="DP666" i="115" l="1"/>
  <c r="DQ665" i="115"/>
  <c r="DQ748" i="115"/>
  <c r="DQ750" i="115" s="1"/>
  <c r="DR740" i="115"/>
  <c r="DR748" i="115" s="1"/>
  <c r="DR750" i="115" s="1"/>
  <c r="DP671" i="115"/>
  <c r="DP18" i="115"/>
  <c r="DH49" i="115"/>
  <c r="DL571" i="115"/>
  <c r="CF13" i="117"/>
  <c r="CF14" i="117" s="1"/>
  <c r="DL19" i="115"/>
  <c r="DM671" i="115"/>
  <c r="DN665" i="115"/>
  <c r="DM18" i="115"/>
  <c r="DM666" i="115"/>
  <c r="DL672" i="115"/>
  <c r="DK665" i="115"/>
  <c r="CC13" i="117"/>
  <c r="CC14" i="117" s="1"/>
  <c r="DJ666" i="115"/>
  <c r="DI672" i="115"/>
  <c r="DI571" i="115"/>
  <c r="DI19" i="115"/>
  <c r="DJ18" i="115"/>
  <c r="DG666" i="115"/>
  <c r="BZ222" i="117"/>
  <c r="BZ14" i="117"/>
  <c r="BL29" i="117"/>
  <c r="BV16" i="117"/>
  <c r="BV65" i="117"/>
  <c r="DP571" i="115" l="1"/>
  <c r="DQ666" i="115"/>
  <c r="CJ13" i="117"/>
  <c r="CJ14" i="117" s="1"/>
  <c r="CJ16" i="117" s="1"/>
  <c r="CF16" i="117"/>
  <c r="CJ65" i="117"/>
  <c r="DP19" i="115"/>
  <c r="DP672" i="115"/>
  <c r="DQ18" i="115"/>
  <c r="DQ671" i="115"/>
  <c r="DR665" i="115"/>
  <c r="DL49" i="115"/>
  <c r="CF65" i="117"/>
  <c r="DO665" i="115"/>
  <c r="CG13" i="117"/>
  <c r="CG14" i="117" s="1"/>
  <c r="DM571" i="115"/>
  <c r="DN666" i="115"/>
  <c r="DM672" i="115"/>
  <c r="DM19" i="115"/>
  <c r="DN18" i="115"/>
  <c r="DK666" i="115"/>
  <c r="DJ19" i="115"/>
  <c r="CD13" i="117"/>
  <c r="CC16" i="117"/>
  <c r="CC65" i="117"/>
  <c r="BZ231" i="117"/>
  <c r="DI49" i="115"/>
  <c r="DJ571" i="115"/>
  <c r="BZ65" i="117"/>
  <c r="BZ16" i="117"/>
  <c r="DG19" i="115"/>
  <c r="DQ672" i="115" l="1"/>
  <c r="DR666" i="115"/>
  <c r="DQ571" i="115"/>
  <c r="DS665" i="115"/>
  <c r="DP49" i="115"/>
  <c r="CK13" i="117"/>
  <c r="CK14" i="117" s="1"/>
  <c r="CK16" i="117" s="1"/>
  <c r="CG16" i="117"/>
  <c r="DR571" i="115"/>
  <c r="DS666" i="115"/>
  <c r="DR18" i="115"/>
  <c r="DQ19" i="115"/>
  <c r="DO666" i="115"/>
  <c r="CG65" i="117"/>
  <c r="DN19" i="115"/>
  <c r="DO19" i="115" s="1"/>
  <c r="CH13" i="117"/>
  <c r="DM49" i="115"/>
  <c r="DN571" i="115"/>
  <c r="DK19" i="115"/>
  <c r="DJ49" i="115"/>
  <c r="CD222" i="117"/>
  <c r="CD14" i="117"/>
  <c r="AV18" i="123"/>
  <c r="CK65" i="117" l="1"/>
  <c r="CL13" i="117"/>
  <c r="CL222" i="117" s="1"/>
  <c r="DQ49" i="115"/>
  <c r="DR19" i="115"/>
  <c r="DN49" i="115"/>
  <c r="CH222" i="117"/>
  <c r="CH14" i="117"/>
  <c r="AZ18" i="123"/>
  <c r="CD231" i="117"/>
  <c r="AV63" i="123"/>
  <c r="AV16" i="123"/>
  <c r="AV116" i="123"/>
  <c r="CD16" i="117"/>
  <c r="CD65" i="117"/>
  <c r="EK17" i="117"/>
  <c r="CL14" i="117" l="1"/>
  <c r="CL16" i="117" s="1"/>
  <c r="BD18" i="123"/>
  <c r="BD116" i="123" s="1"/>
  <c r="CH16" i="117"/>
  <c r="CH231" i="117"/>
  <c r="CL231" i="117"/>
  <c r="DS19" i="115"/>
  <c r="DR49" i="115"/>
  <c r="CH65" i="117"/>
  <c r="AZ116" i="123"/>
  <c r="AZ63" i="123"/>
  <c r="AZ16" i="123"/>
  <c r="AV114" i="123"/>
  <c r="AV61" i="123"/>
  <c r="AE85" i="111"/>
  <c r="BD63" i="123" l="1"/>
  <c r="CL65" i="117"/>
  <c r="BD16" i="123"/>
  <c r="BD61" i="123" s="1"/>
  <c r="AZ114" i="123"/>
  <c r="AZ61" i="123"/>
  <c r="AE137" i="111"/>
  <c r="BD114" i="123" l="1"/>
  <c r="AE138" i="111"/>
  <c r="AE149" i="111"/>
  <c r="AE151" i="111" s="1"/>
  <c r="AE152" i="111" s="1"/>
  <c r="BN178" i="117" l="1"/>
  <c r="BN193" i="117" l="1"/>
  <c r="BL50" i="117" l="1"/>
  <c r="BL58" i="117" l="1"/>
  <c r="CR266" i="115" l="1"/>
  <c r="EK42" i="117"/>
  <c r="CR268" i="115" l="1"/>
  <c r="CR263" i="115"/>
  <c r="CR261" i="115"/>
  <c r="CR262" i="115"/>
  <c r="CR267" i="115"/>
  <c r="EK39" i="117"/>
  <c r="CR270" i="115" l="1"/>
  <c r="CR264" i="115"/>
  <c r="CR269" i="115"/>
  <c r="EK70" i="117" l="1"/>
  <c r="EK72" i="117" s="1"/>
  <c r="EK75" i="117" l="1"/>
  <c r="EK74" i="117" l="1"/>
  <c r="BL59" i="117" l="1"/>
  <c r="BL85" i="117" s="1"/>
  <c r="CR880" i="115" l="1"/>
  <c r="CT880" i="115" s="1"/>
  <c r="CR879" i="115" l="1"/>
  <c r="CR944" i="115" l="1"/>
  <c r="CT944" i="115" s="1"/>
  <c r="CT879" i="115"/>
  <c r="BL149" i="117" l="1"/>
  <c r="BL176" i="117" s="1"/>
  <c r="BL235" i="117" l="1"/>
  <c r="BL177" i="117"/>
  <c r="BL178" i="117" l="1"/>
  <c r="BL193" i="117" s="1"/>
  <c r="BL236" i="117"/>
  <c r="BP236" i="117"/>
  <c r="BL237" i="117"/>
  <c r="BL239" i="117" s="1"/>
  <c r="BL179" i="117" l="1"/>
  <c r="BL103" i="117"/>
  <c r="BL240" i="117" l="1"/>
  <c r="BL241" i="117" s="1"/>
  <c r="BL243" i="117" s="1"/>
  <c r="BL245" i="117" s="1"/>
  <c r="CR381" i="115"/>
  <c r="CR445" i="115"/>
  <c r="BL54" i="117"/>
  <c r="BL82" i="117" s="1"/>
  <c r="EK45" i="117" l="1"/>
  <c r="EL51" i="117" l="1"/>
  <c r="AE88" i="111" l="1"/>
  <c r="AE98" i="111" s="1"/>
  <c r="EM51" i="117"/>
  <c r="BL47" i="117" l="1"/>
  <c r="EK15" i="117" l="1"/>
  <c r="BL63" i="117"/>
  <c r="BL44" i="117" l="1"/>
  <c r="BL62" i="117" l="1"/>
  <c r="BL45" i="117"/>
  <c r="BL61" i="117" s="1"/>
  <c r="CR1255" i="115" l="1"/>
  <c r="CR1256" i="115" l="1"/>
  <c r="CR447" i="115" l="1"/>
  <c r="CR449" i="115" l="1"/>
  <c r="CR456" i="115"/>
  <c r="CR455" i="115"/>
  <c r="DH446" i="115" l="1"/>
  <c r="CR1103" i="115"/>
  <c r="CO1171" i="115"/>
  <c r="CO1176" i="115"/>
  <c r="DI446" i="115" l="1"/>
  <c r="DJ446" i="115"/>
  <c r="CP1171" i="115"/>
  <c r="CO1170" i="115"/>
  <c r="CP1174" i="115"/>
  <c r="CR1104" i="115"/>
  <c r="CR1106" i="115" s="1"/>
  <c r="CO1175" i="115"/>
  <c r="CR1060" i="115"/>
  <c r="CO1159" i="115"/>
  <c r="CO1161" i="115" l="1"/>
  <c r="CR1202" i="115"/>
  <c r="CR1061" i="115"/>
  <c r="CR1139" i="115" s="1"/>
  <c r="CR1144" i="115" l="1"/>
  <c r="CR1064" i="115"/>
  <c r="CR1204" i="115" s="1"/>
  <c r="CR1205" i="115" l="1"/>
  <c r="CR1203" i="115"/>
  <c r="AE41" i="123" l="1"/>
  <c r="AF41" i="123"/>
  <c r="AF139" i="123" l="1"/>
  <c r="AF86" i="123"/>
  <c r="AE139" i="123"/>
  <c r="AE86" i="123"/>
  <c r="AI86" i="123" s="1"/>
  <c r="AM86" i="123" s="1"/>
  <c r="EM20" i="117" l="1"/>
  <c r="BH28" i="117" l="1"/>
  <c r="BH100" i="117"/>
  <c r="BL28" i="117"/>
  <c r="BI28" i="117"/>
  <c r="BJ28" i="117"/>
  <c r="BL70" i="117"/>
  <c r="BI100" i="117"/>
  <c r="BJ100" i="117"/>
  <c r="BL100" i="117"/>
  <c r="BI246" i="117"/>
  <c r="BI247" i="117" s="1"/>
  <c r="BJ246" i="117"/>
  <c r="BJ247" i="117" s="1"/>
  <c r="BH108" i="117" l="1"/>
  <c r="BJ108" i="117"/>
  <c r="BI108" i="117"/>
  <c r="BL246" i="117"/>
  <c r="BL247" i="117" s="1"/>
  <c r="BH246" i="117"/>
  <c r="BH247" i="117" s="1"/>
  <c r="BF28" i="117" l="1"/>
  <c r="BD28" i="117"/>
  <c r="BE28" i="117"/>
  <c r="BH70" i="117"/>
  <c r="BI70" i="117"/>
  <c r="BJ70" i="117"/>
  <c r="BD100" i="117"/>
  <c r="BE100" i="117"/>
  <c r="BF100" i="117"/>
  <c r="BD246" i="117"/>
  <c r="BD247" i="117" s="1"/>
  <c r="BE246" i="117"/>
  <c r="BE247" i="117" s="1"/>
  <c r="BE108" i="117" l="1"/>
  <c r="BF108" i="117"/>
  <c r="BF246" i="117"/>
  <c r="BF247" i="117" s="1"/>
  <c r="BD108" i="117"/>
  <c r="BJ110" i="117" l="1"/>
  <c r="AZ28" i="117"/>
  <c r="BA28" i="117"/>
  <c r="BB28" i="117"/>
  <c r="BD70" i="117"/>
  <c r="BE70" i="117"/>
  <c r="BF70" i="117"/>
  <c r="AZ100" i="117"/>
  <c r="BA100" i="117"/>
  <c r="BB100" i="117"/>
  <c r="BA246" i="117"/>
  <c r="BA247" i="117" s="1"/>
  <c r="BB246" i="117"/>
  <c r="BB247" i="117" s="1"/>
  <c r="BB108" i="117" l="1"/>
  <c r="BA108" i="117"/>
  <c r="AZ108" i="117"/>
  <c r="AZ246" i="117"/>
  <c r="AZ247" i="117" s="1"/>
  <c r="DA10" i="117"/>
  <c r="DB10" i="117"/>
  <c r="DC10" i="117"/>
  <c r="DE10" i="117"/>
  <c r="DF10" i="117"/>
  <c r="DG10" i="117"/>
  <c r="DI10" i="117"/>
  <c r="DJ10" i="117"/>
  <c r="DK10" i="117"/>
  <c r="DM10" i="117"/>
  <c r="DN10" i="117"/>
  <c r="DO10" i="117"/>
  <c r="DS10" i="117"/>
  <c r="DW10" i="117"/>
  <c r="DA26" i="117"/>
  <c r="DB26" i="117"/>
  <c r="DC26" i="117"/>
  <c r="DE26" i="117"/>
  <c r="DF26" i="117"/>
  <c r="DG26" i="117"/>
  <c r="DI26" i="117"/>
  <c r="DJ26" i="117"/>
  <c r="DK26" i="117"/>
  <c r="DM26" i="117"/>
  <c r="DN26" i="117"/>
  <c r="DO26" i="117"/>
  <c r="DQ26" i="117"/>
  <c r="DR26" i="117"/>
  <c r="DS26" i="117"/>
  <c r="DW26" i="117"/>
  <c r="AB68" i="117"/>
  <c r="AC68" i="117"/>
  <c r="AD68" i="117"/>
  <c r="AF68" i="117"/>
  <c r="AG68" i="117"/>
  <c r="AH68" i="117"/>
  <c r="AJ68" i="117"/>
  <c r="AK68" i="117"/>
  <c r="AL68" i="117"/>
  <c r="AN68" i="117"/>
  <c r="AO68" i="117"/>
  <c r="AP68" i="117"/>
  <c r="AR68" i="117"/>
  <c r="AS68" i="117"/>
  <c r="AT68" i="117"/>
  <c r="AV68" i="117"/>
  <c r="AW68" i="117"/>
  <c r="AX68" i="117"/>
  <c r="AZ68" i="117"/>
  <c r="BA68" i="117"/>
  <c r="BB68" i="117"/>
  <c r="BF110" i="117" l="1"/>
  <c r="BA111" i="117"/>
  <c r="AN26" i="117"/>
  <c r="AO26" i="117"/>
  <c r="AR26" i="117"/>
  <c r="AR28" i="117" s="1"/>
  <c r="AS26" i="117"/>
  <c r="AS28" i="117" s="1"/>
  <c r="AT26" i="117"/>
  <c r="AW26" i="117"/>
  <c r="DA35" i="117"/>
  <c r="DB35" i="117"/>
  <c r="DC35" i="117"/>
  <c r="DE35" i="117"/>
  <c r="DF35" i="117"/>
  <c r="DG35" i="117"/>
  <c r="DI35" i="117"/>
  <c r="DJ35" i="117"/>
  <c r="DK35" i="117"/>
  <c r="DM35" i="117"/>
  <c r="DN35" i="117"/>
  <c r="DO35" i="117"/>
  <c r="DQ35" i="117"/>
  <c r="DR35" i="117"/>
  <c r="DS35" i="117"/>
  <c r="DW35" i="117"/>
  <c r="AS70" i="117"/>
  <c r="AV70" i="117"/>
  <c r="AW70" i="117"/>
  <c r="BA70" i="117"/>
  <c r="AV100" i="117"/>
  <c r="AW100" i="117"/>
  <c r="AV108" i="117" l="1"/>
  <c r="AX70" i="117"/>
  <c r="BB70" i="117"/>
  <c r="AX100" i="117"/>
  <c r="AP26" i="117"/>
  <c r="AT70" i="117"/>
  <c r="AW246" i="117"/>
  <c r="AW247" i="117" s="1"/>
  <c r="AW28" i="117"/>
  <c r="AT28" i="117"/>
  <c r="AZ70" i="117"/>
  <c r="AR70" i="117"/>
  <c r="AW108" i="117"/>
  <c r="AZ110" i="117" l="1"/>
  <c r="BA110" i="117"/>
  <c r="AZ111" i="117"/>
  <c r="AW111" i="117"/>
  <c r="AX108" i="117"/>
  <c r="BB110" i="117" l="1"/>
  <c r="X26" i="117"/>
  <c r="Y26" i="117"/>
  <c r="Z26" i="117"/>
  <c r="AB26" i="117"/>
  <c r="AC26" i="117"/>
  <c r="AD26" i="117"/>
  <c r="AF26" i="117"/>
  <c r="AG26" i="117"/>
  <c r="AH26" i="117"/>
  <c r="AJ26" i="117"/>
  <c r="AK26" i="117"/>
  <c r="AL26" i="117"/>
  <c r="AB70" i="117"/>
  <c r="AC70" i="117"/>
  <c r="AD70" i="117"/>
  <c r="AF70" i="117"/>
  <c r="AG70" i="117"/>
  <c r="AH70" i="117"/>
  <c r="AJ70" i="117"/>
  <c r="AK70" i="117"/>
  <c r="AL70" i="117"/>
  <c r="AN70" i="117"/>
  <c r="AO70" i="117"/>
  <c r="AP70" i="117"/>
  <c r="BM13" i="117" l="1"/>
  <c r="BM14" i="117" s="1"/>
  <c r="CU665" i="115"/>
  <c r="CY665" i="115"/>
  <c r="BM16" i="117" l="1"/>
  <c r="BM65" i="117"/>
  <c r="BQ65" i="117"/>
  <c r="CY666" i="115"/>
  <c r="CU666" i="115"/>
  <c r="BN13" i="117"/>
  <c r="CU19" i="115" l="1"/>
  <c r="CY19" i="115"/>
  <c r="BN14" i="117"/>
  <c r="BN222" i="117"/>
  <c r="BR65" i="117" l="1"/>
  <c r="BN65" i="117"/>
  <c r="BN16" i="117"/>
  <c r="BN231" i="117"/>
  <c r="BR231" i="117"/>
  <c r="AE15" i="123" l="1"/>
  <c r="AE60" i="123" s="1"/>
  <c r="AE64" i="123" s="1"/>
  <c r="AF15" i="123"/>
  <c r="AF20" i="123" s="1"/>
  <c r="AF21" i="123" s="1"/>
  <c r="AE32" i="123"/>
  <c r="AF32" i="123"/>
  <c r="AF130" i="123" s="1"/>
  <c r="AE33" i="123"/>
  <c r="AE78" i="123" s="1"/>
  <c r="AF33" i="123"/>
  <c r="AF78" i="123" s="1"/>
  <c r="AE36" i="123"/>
  <c r="AE40" i="123" s="1"/>
  <c r="AE43" i="123" s="1"/>
  <c r="AE44" i="123" s="1"/>
  <c r="AF36" i="123"/>
  <c r="AF40" i="123" s="1"/>
  <c r="AD38" i="123"/>
  <c r="AD83" i="123" s="1"/>
  <c r="AE38" i="123"/>
  <c r="AE136" i="123" s="1"/>
  <c r="CU14" i="115"/>
  <c r="CU20" i="115"/>
  <c r="CU26" i="115"/>
  <c r="CU32" i="115"/>
  <c r="CU34" i="115"/>
  <c r="CU37" i="115"/>
  <c r="AF38" i="123" s="1"/>
  <c r="CU63" i="115"/>
  <c r="CU1238" i="115"/>
  <c r="BM44" i="117"/>
  <c r="BN44" i="117"/>
  <c r="BM7" i="117"/>
  <c r="BN7" i="117"/>
  <c r="BM22" i="117"/>
  <c r="BN22" i="117"/>
  <c r="BM29" i="117"/>
  <c r="BN29" i="117"/>
  <c r="BM35" i="117"/>
  <c r="BN35" i="117"/>
  <c r="BM71" i="117"/>
  <c r="BN71" i="117"/>
  <c r="AE51" i="111"/>
  <c r="AE53" i="111"/>
  <c r="AE55" i="111"/>
  <c r="AE56" i="111"/>
  <c r="AE58" i="111"/>
  <c r="AE60" i="111"/>
  <c r="AE114" i="111" s="1"/>
  <c r="AE95" i="111" l="1"/>
  <c r="AE49" i="111"/>
  <c r="AF75" i="111"/>
  <c r="BM190" i="117"/>
  <c r="AE75" i="111"/>
  <c r="AE131" i="123"/>
  <c r="BN190" i="117"/>
  <c r="AF113" i="123"/>
  <c r="AF117" i="123" s="1"/>
  <c r="AF60" i="123"/>
  <c r="AF64" i="123" s="1"/>
  <c r="BN64" i="117"/>
  <c r="BN218" i="117"/>
  <c r="BN224" i="117" s="1"/>
  <c r="BN233" i="117" s="1"/>
  <c r="BN17" i="117"/>
  <c r="BN19" i="117" s="1"/>
  <c r="AE113" i="123"/>
  <c r="AE117" i="123" s="1"/>
  <c r="AE82" i="123"/>
  <c r="AE99" i="123" s="1"/>
  <c r="AE85" i="123"/>
  <c r="AF65" i="123"/>
  <c r="AF66" i="123" s="1"/>
  <c r="AF131" i="123"/>
  <c r="AF77" i="123"/>
  <c r="AE83" i="123"/>
  <c r="AF135" i="123"/>
  <c r="AF118" i="123"/>
  <c r="AF119" i="123" s="1"/>
  <c r="AE77" i="111"/>
  <c r="AE135" i="123"/>
  <c r="AE153" i="123" s="1"/>
  <c r="AE59" i="111"/>
  <c r="AE80" i="111"/>
  <c r="AF82" i="123"/>
  <c r="AE108" i="111"/>
  <c r="AE124" i="111" s="1"/>
  <c r="AE138" i="123"/>
  <c r="AF34" i="123"/>
  <c r="AF43" i="123"/>
  <c r="AF44" i="123" s="1"/>
  <c r="AF142" i="123" s="1"/>
  <c r="AF138" i="123"/>
  <c r="AF85" i="123"/>
  <c r="AD136" i="123"/>
  <c r="AE71" i="111"/>
  <c r="BM17" i="117"/>
  <c r="BM64" i="117"/>
  <c r="AE87" i="123"/>
  <c r="BM45" i="117"/>
  <c r="BM61" i="117" s="1"/>
  <c r="BN62" i="117"/>
  <c r="AE141" i="123"/>
  <c r="AE144" i="123" s="1"/>
  <c r="AE88" i="123"/>
  <c r="AE142" i="123"/>
  <c r="BN45" i="117"/>
  <c r="BM62" i="117"/>
  <c r="EM9" i="117"/>
  <c r="AF45" i="123"/>
  <c r="CU1135" i="115"/>
  <c r="AE45" i="123"/>
  <c r="CU1240" i="115"/>
  <c r="AF83" i="123"/>
  <c r="AF136" i="123"/>
  <c r="AE34" i="123"/>
  <c r="AE77" i="123"/>
  <c r="AE130" i="123"/>
  <c r="AE20" i="123"/>
  <c r="AE100" i="123" l="1"/>
  <c r="AE90" i="123"/>
  <c r="BN68" i="117"/>
  <c r="M75" i="111"/>
  <c r="AE73" i="111"/>
  <c r="AF73" i="111"/>
  <c r="BN250" i="117"/>
  <c r="BN21" i="117"/>
  <c r="EM10" i="117"/>
  <c r="BN227" i="117"/>
  <c r="BN127" i="117"/>
  <c r="BN130" i="117" s="1"/>
  <c r="BN131" i="117" s="1"/>
  <c r="EM32" i="117"/>
  <c r="BN66" i="117"/>
  <c r="BN133" i="117"/>
  <c r="BN139" i="117" s="1"/>
  <c r="BN202" i="117" s="1"/>
  <c r="EM33" i="117"/>
  <c r="BN225" i="117"/>
  <c r="AF93" i="123"/>
  <c r="AF153" i="123"/>
  <c r="AF147" i="123"/>
  <c r="AF87" i="123"/>
  <c r="AF141" i="123"/>
  <c r="AF99" i="123"/>
  <c r="AF79" i="123"/>
  <c r="AF132" i="123"/>
  <c r="BM19" i="117"/>
  <c r="BM133" i="117"/>
  <c r="BM66" i="117"/>
  <c r="BM127" i="117"/>
  <c r="BM130" i="117" s="1"/>
  <c r="BM131" i="117" s="1"/>
  <c r="AF88" i="123"/>
  <c r="EM8" i="117"/>
  <c r="EM7" i="117"/>
  <c r="BN61" i="117"/>
  <c r="AE84" i="111"/>
  <c r="AE132" i="123"/>
  <c r="AE79" i="123"/>
  <c r="AE21" i="123"/>
  <c r="AE65" i="123"/>
  <c r="AE118" i="123"/>
  <c r="CS445" i="115"/>
  <c r="AF100" i="123" l="1"/>
  <c r="M73" i="111"/>
  <c r="EM35" i="117"/>
  <c r="BN24" i="117"/>
  <c r="BN142" i="117"/>
  <c r="BN141" i="117"/>
  <c r="BN115" i="117"/>
  <c r="BM141" i="117"/>
  <c r="BM139" i="117"/>
  <c r="BM21" i="117"/>
  <c r="BM68" i="117"/>
  <c r="CT445" i="115"/>
  <c r="CT447" i="115" s="1"/>
  <c r="CS447" i="115"/>
  <c r="BM47" i="117"/>
  <c r="AE66" i="123"/>
  <c r="AE93" i="123"/>
  <c r="CS381" i="115"/>
  <c r="BM54" i="117"/>
  <c r="BM82" i="117" s="1"/>
  <c r="AE119" i="123"/>
  <c r="AE147" i="123"/>
  <c r="CS1159" i="115"/>
  <c r="CS1161" i="115" l="1"/>
  <c r="CS1192" i="115" s="1"/>
  <c r="BN70" i="117"/>
  <c r="BN100" i="117"/>
  <c r="BN26" i="117"/>
  <c r="BM142" i="117"/>
  <c r="BM115" i="117"/>
  <c r="BM202" i="117"/>
  <c r="BM24" i="117"/>
  <c r="CS455" i="115"/>
  <c r="CS449" i="115"/>
  <c r="CS456" i="115"/>
  <c r="CT449" i="115"/>
  <c r="CT456" i="115"/>
  <c r="CT455" i="115"/>
  <c r="CT381" i="115"/>
  <c r="BN54" i="117"/>
  <c r="AE41" i="111"/>
  <c r="CU1125" i="115"/>
  <c r="BN47" i="117"/>
  <c r="EL17" i="117"/>
  <c r="BM63" i="117"/>
  <c r="EL15" i="117"/>
  <c r="BN28" i="117" l="1"/>
  <c r="BN246" i="117"/>
  <c r="BM26" i="117"/>
  <c r="BM70" i="117"/>
  <c r="BM100" i="117"/>
  <c r="CR1129" i="115"/>
  <c r="AE156" i="123"/>
  <c r="AE91" i="111"/>
  <c r="EM16" i="117"/>
  <c r="EM17" i="117"/>
  <c r="BN63" i="117"/>
  <c r="EM15" i="117"/>
  <c r="EM18" i="117" s="1"/>
  <c r="BN82" i="117"/>
  <c r="BM28" i="117" l="1"/>
  <c r="BM246" i="117"/>
  <c r="AE89" i="123"/>
  <c r="AE143" i="123"/>
  <c r="CU158" i="115" l="1"/>
  <c r="BM50" i="117" l="1"/>
  <c r="CU370" i="115" l="1"/>
  <c r="BN50" i="117"/>
  <c r="EM49" i="117" s="1"/>
  <c r="AE15" i="111"/>
  <c r="BM58" i="117"/>
  <c r="AF44" i="111" l="1"/>
  <c r="AF45" i="111" s="1"/>
  <c r="AF16" i="111"/>
  <c r="AE44" i="111"/>
  <c r="AE16" i="111"/>
  <c r="AE13" i="111"/>
  <c r="AF14" i="111" s="1"/>
  <c r="CU1404" i="115" l="1"/>
  <c r="AE14" i="111"/>
  <c r="AE28" i="111"/>
  <c r="CU1403" i="115"/>
  <c r="CU1405" i="115"/>
  <c r="BM59" i="117"/>
  <c r="BM85" i="117" s="1"/>
  <c r="BN58" i="117" l="1"/>
  <c r="AE46" i="111"/>
  <c r="AE45" i="111" s="1"/>
  <c r="CS13" i="115"/>
  <c r="CS266" i="115"/>
  <c r="EL42" i="117"/>
  <c r="CT266" i="115" l="1"/>
  <c r="CS268" i="115"/>
  <c r="CS263" i="115"/>
  <c r="CS261" i="115"/>
  <c r="CS262" i="115"/>
  <c r="AE66" i="111"/>
  <c r="AE65" i="111"/>
  <c r="AE63" i="111"/>
  <c r="AE62" i="111"/>
  <c r="M62" i="111" s="1"/>
  <c r="AE68" i="111"/>
  <c r="AE67" i="111"/>
  <c r="AE64" i="111"/>
  <c r="M64" i="111" s="1"/>
  <c r="EM25" i="117"/>
  <c r="EM24" i="117"/>
  <c r="EM26" i="117"/>
  <c r="CS267" i="115"/>
  <c r="EL39" i="117"/>
  <c r="CS12" i="115"/>
  <c r="CT13" i="115"/>
  <c r="CT12" i="115" s="1"/>
  <c r="AE46" i="123"/>
  <c r="CU1422" i="115"/>
  <c r="AE34" i="111"/>
  <c r="CT267" i="115" l="1"/>
  <c r="CS270" i="115"/>
  <c r="CS264" i="115"/>
  <c r="CS269" i="115"/>
  <c r="CT268" i="115"/>
  <c r="CT261" i="115"/>
  <c r="CT263" i="115"/>
  <c r="CT262" i="115"/>
  <c r="EM42" i="117"/>
  <c r="CS1180" i="115"/>
  <c r="AE25" i="111"/>
  <c r="AE33" i="111"/>
  <c r="AE24" i="111" s="1"/>
  <c r="EM79" i="117"/>
  <c r="CU1402" i="115"/>
  <c r="EM39" i="117"/>
  <c r="EM27" i="117"/>
  <c r="EM55" i="117"/>
  <c r="BN59" i="117"/>
  <c r="BN85" i="117" s="1"/>
  <c r="AE47" i="111"/>
  <c r="AE70" i="111" s="1"/>
  <c r="EM56" i="117"/>
  <c r="CT269" i="115" l="1"/>
  <c r="CT270" i="115"/>
  <c r="CT264" i="115"/>
  <c r="EL70" i="117"/>
  <c r="EL72" i="117" s="1"/>
  <c r="AE13" i="123"/>
  <c r="AE14" i="123"/>
  <c r="BM8" i="117"/>
  <c r="AE69" i="111"/>
  <c r="CU1407" i="115"/>
  <c r="EM40" i="117"/>
  <c r="AE36" i="111"/>
  <c r="AE19" i="123" l="1"/>
  <c r="BM30" i="117"/>
  <c r="EM30" i="117"/>
  <c r="EM43" i="117"/>
  <c r="AF13" i="123"/>
  <c r="BN8" i="117"/>
  <c r="AE59" i="123"/>
  <c r="AE112" i="123"/>
  <c r="BM251" i="117"/>
  <c r="CU1295" i="115"/>
  <c r="AF46" i="123"/>
  <c r="EM29" i="117"/>
  <c r="AE58" i="123"/>
  <c r="AE94" i="123" s="1"/>
  <c r="AE111" i="123"/>
  <c r="AE148" i="123" s="1"/>
  <c r="AE29" i="111"/>
  <c r="AE35" i="111"/>
  <c r="AE26" i="111" s="1"/>
  <c r="AE126" i="111"/>
  <c r="AE130" i="111" s="1"/>
  <c r="AE131" i="111" s="1"/>
  <c r="EM71" i="117"/>
  <c r="EM73" i="117"/>
  <c r="EM70" i="117"/>
  <c r="EM72" i="117" s="1"/>
  <c r="AF14" i="123" l="1"/>
  <c r="EM31" i="117"/>
  <c r="BN251" i="117"/>
  <c r="AF58" i="123"/>
  <c r="AF111" i="123"/>
  <c r="CU1297" i="115"/>
  <c r="AF19" i="123"/>
  <c r="BN30" i="117"/>
  <c r="BM72" i="117"/>
  <c r="EM67" i="117"/>
  <c r="EM66" i="117"/>
  <c r="EM28" i="117"/>
  <c r="EL75" i="117"/>
  <c r="EM75" i="117"/>
  <c r="CU1300" i="115" l="1"/>
  <c r="AF148" i="123"/>
  <c r="EL74" i="117"/>
  <c r="EM74" i="117"/>
  <c r="AF94" i="123"/>
  <c r="BN72" i="117"/>
  <c r="AF59" i="123"/>
  <c r="AF112" i="123"/>
  <c r="CS1179" i="115" l="1"/>
  <c r="CS1181" i="115" l="1"/>
  <c r="EL45" i="117"/>
  <c r="CU1301" i="115"/>
  <c r="EM44" i="117"/>
  <c r="AE39" i="111"/>
  <c r="CS1183" i="115" l="1"/>
  <c r="AE40" i="111"/>
  <c r="AE38" i="111"/>
  <c r="AE42" i="111"/>
  <c r="EM45" i="117"/>
  <c r="AE101" i="111" l="1"/>
  <c r="CS1197" i="115"/>
  <c r="CV1062" i="115" s="1"/>
  <c r="CX1062" i="115" s="1"/>
  <c r="EM47" i="117"/>
  <c r="CS1184" i="115"/>
  <c r="CX1139" i="115" l="1"/>
  <c r="AF88" i="111"/>
  <c r="AF98" i="111" s="1"/>
  <c r="CV1139" i="115"/>
  <c r="CV1064" i="115"/>
  <c r="CS1199" i="115"/>
  <c r="CV1105" i="115" s="1"/>
  <c r="EM46" i="117"/>
  <c r="CV1106" i="115" l="1"/>
  <c r="CX1105" i="115"/>
  <c r="CV1204" i="115"/>
  <c r="CV1205" i="115" s="1"/>
  <c r="CX1064" i="115"/>
  <c r="C8" i="111"/>
  <c r="EO51" i="117"/>
  <c r="H23" i="111" l="1"/>
  <c r="H17" i="111"/>
  <c r="CX1065" i="115"/>
  <c r="CX1311" i="115" s="1"/>
  <c r="CX1312" i="115" s="1"/>
  <c r="AF87" i="111"/>
  <c r="CV1202" i="115"/>
  <c r="CV1203" i="115" s="1"/>
  <c r="CX1106" i="115"/>
  <c r="CX1107" i="115" s="1"/>
  <c r="H11" i="111"/>
  <c r="H34" i="111"/>
  <c r="AF97" i="111" l="1"/>
  <c r="AF90" i="111"/>
  <c r="CX1209" i="115"/>
  <c r="CX1118" i="115"/>
  <c r="CX1109" i="115"/>
  <c r="CX1119" i="115"/>
  <c r="AJ157" i="123" s="1"/>
  <c r="AF110" i="111" l="1"/>
  <c r="AF111" i="111" s="1"/>
  <c r="AF112" i="111" s="1"/>
  <c r="AF93" i="111"/>
  <c r="AF116" i="111" l="1"/>
  <c r="AF117" i="111" s="1"/>
  <c r="AF118" i="111" s="1"/>
  <c r="BN149" i="117"/>
  <c r="BM149" i="117"/>
  <c r="BN176" i="117" l="1"/>
  <c r="BN103" i="117"/>
  <c r="BM176" i="117"/>
  <c r="CU897" i="115"/>
  <c r="CY897" i="115"/>
  <c r="CS546" i="115"/>
  <c r="BN235" i="117" l="1"/>
  <c r="BN177" i="117"/>
  <c r="BN179" i="117" s="1"/>
  <c r="CT546" i="115"/>
  <c r="CS547" i="115"/>
  <c r="BM177" i="117"/>
  <c r="BM235" i="117"/>
  <c r="CU930" i="115"/>
  <c r="BN236" i="117" l="1"/>
  <c r="BN237" i="117"/>
  <c r="BN239" i="117" s="1"/>
  <c r="BM237" i="117"/>
  <c r="BM239" i="117" s="1"/>
  <c r="BM236" i="117"/>
  <c r="CT547" i="115"/>
  <c r="CS549" i="115"/>
  <c r="BM178" i="117"/>
  <c r="BM193" i="117" s="1"/>
  <c r="CU931" i="115"/>
  <c r="BM179" i="117" l="1"/>
  <c r="CS550" i="115"/>
  <c r="CT549" i="115"/>
  <c r="BM103" i="117"/>
  <c r="CU922" i="115"/>
  <c r="CT550" i="115" l="1"/>
  <c r="CU925" i="115"/>
  <c r="CS875" i="115"/>
  <c r="CS942" i="115" s="1"/>
  <c r="CS892" i="115"/>
  <c r="CS846" i="115" s="1"/>
  <c r="CS1606" i="115" l="1"/>
  <c r="CS1609" i="115" s="1"/>
  <c r="CS950" i="115"/>
  <c r="CS953" i="115" s="1"/>
  <c r="CS847" i="115"/>
  <c r="BM152" i="117"/>
  <c r="AE24" i="123"/>
  <c r="CS521" i="115"/>
  <c r="CS529" i="115"/>
  <c r="CS531" i="115" s="1"/>
  <c r="CS869" i="115"/>
  <c r="CS1147" i="115" l="1"/>
  <c r="CS1148" i="115" s="1"/>
  <c r="CS1153" i="115" s="1"/>
  <c r="CS902" i="115"/>
  <c r="CS896" i="115"/>
  <c r="CS898" i="115" s="1"/>
  <c r="BM31" i="117"/>
  <c r="BM196" i="117"/>
  <c r="BM197" i="117" s="1"/>
  <c r="BM198" i="117" s="1"/>
  <c r="BM153" i="117"/>
  <c r="BM154" i="117" s="1"/>
  <c r="AE22" i="123"/>
  <c r="AE120" i="123" s="1"/>
  <c r="CS856" i="115"/>
  <c r="AE122" i="123"/>
  <c r="AE69" i="123"/>
  <c r="CS533" i="115"/>
  <c r="CS534" i="115"/>
  <c r="CS64" i="115"/>
  <c r="CS65" i="115" s="1"/>
  <c r="CS522" i="115"/>
  <c r="BM40" i="117"/>
  <c r="AE67" i="123" l="1"/>
  <c r="AE68" i="123" s="1"/>
  <c r="AE23" i="123"/>
  <c r="CS900" i="115"/>
  <c r="AE25" i="123"/>
  <c r="AE28" i="123" s="1"/>
  <c r="BM106" i="117"/>
  <c r="BM107" i="117" s="1"/>
  <c r="BM207" i="117"/>
  <c r="BM120" i="117"/>
  <c r="BM38" i="117"/>
  <c r="BM73" i="117"/>
  <c r="BM32" i="117"/>
  <c r="BM116" i="117"/>
  <c r="BM117" i="117" s="1"/>
  <c r="BM119" i="117" s="1"/>
  <c r="BM160" i="117"/>
  <c r="BM157" i="117"/>
  <c r="BM203" i="117"/>
  <c r="BM204" i="117" s="1"/>
  <c r="BM206" i="117" s="1"/>
  <c r="CS524" i="115"/>
  <c r="CS67" i="115"/>
  <c r="CS538" i="115"/>
  <c r="AE134" i="123"/>
  <c r="AE123" i="123"/>
  <c r="AE121" i="123"/>
  <c r="CS1527" i="115" l="1"/>
  <c r="CS1528" i="115"/>
  <c r="AE81" i="123"/>
  <c r="AI67" i="123"/>
  <c r="AM67" i="123" s="1"/>
  <c r="AE70" i="123"/>
  <c r="AE73" i="123" s="1"/>
  <c r="AE96" i="123" s="1"/>
  <c r="BM121" i="117"/>
  <c r="CS996" i="115"/>
  <c r="CS997" i="115" s="1"/>
  <c r="CS1001" i="115" s="1"/>
  <c r="CS1154" i="115" s="1"/>
  <c r="CS1155" i="115" s="1"/>
  <c r="CS1156" i="115" s="1"/>
  <c r="BM208" i="117"/>
  <c r="BM108" i="117"/>
  <c r="BM123" i="117"/>
  <c r="BM74" i="117"/>
  <c r="CS68" i="115"/>
  <c r="CS526" i="115"/>
  <c r="BM42" i="117"/>
  <c r="AE124" i="123"/>
  <c r="AE149" i="123"/>
  <c r="AE126" i="123"/>
  <c r="AE150" i="123" s="1"/>
  <c r="CS71" i="115"/>
  <c r="BM34" i="117"/>
  <c r="AE37" i="123"/>
  <c r="AE42" i="123" s="1"/>
  <c r="AE140" i="123" s="1"/>
  <c r="AE154" i="123" s="1"/>
  <c r="CS72" i="115"/>
  <c r="BM37" i="117"/>
  <c r="AE71" i="123" l="1"/>
  <c r="AM70" i="123"/>
  <c r="AM73" i="123" s="1"/>
  <c r="AM81" i="123"/>
  <c r="AM85" i="123" s="1"/>
  <c r="AE95" i="123"/>
  <c r="AI70" i="123"/>
  <c r="AI73" i="123" s="1"/>
  <c r="AI81" i="123"/>
  <c r="AI85" i="123" s="1"/>
  <c r="CS1140" i="115"/>
  <c r="CS1141" i="115" s="1"/>
  <c r="CS1142" i="115" s="1"/>
  <c r="BM43" i="117"/>
  <c r="BM75" i="117"/>
  <c r="BM240" i="117" l="1"/>
  <c r="BM241" i="117" s="1"/>
  <c r="BM243" i="117" s="1"/>
  <c r="BM245" i="117" s="1"/>
  <c r="BM247" i="117" s="1"/>
  <c r="BN240" i="117"/>
  <c r="BN241" i="117" s="1"/>
  <c r="BN243" i="117" s="1"/>
  <c r="BN245" i="117" s="1"/>
  <c r="BN247" i="117" s="1"/>
  <c r="CU952" i="115"/>
  <c r="CS1255" i="115"/>
  <c r="CS1256" i="115" s="1"/>
  <c r="CT1255" i="115" l="1"/>
  <c r="CT1256" i="115" l="1"/>
  <c r="EM48" i="117" l="1"/>
  <c r="CT884" i="115" l="1"/>
  <c r="CR892" i="115"/>
  <c r="CR846" i="115" s="1"/>
  <c r="CT846" i="115" s="1"/>
  <c r="AF24" i="123" l="1"/>
  <c r="CT521" i="115"/>
  <c r="CT529" i="115"/>
  <c r="CT531" i="115" s="1"/>
  <c r="CT869" i="115"/>
  <c r="CT847" i="115"/>
  <c r="CT902" i="115" s="1"/>
  <c r="AD24" i="123"/>
  <c r="CR521" i="115"/>
  <c r="CR529" i="115"/>
  <c r="CR531" i="115" s="1"/>
  <c r="CR869" i="115"/>
  <c r="CR847" i="115"/>
  <c r="CR902" i="115" s="1"/>
  <c r="CT892" i="115"/>
  <c r="EM34" i="117" l="1"/>
  <c r="AD22" i="123"/>
  <c r="CR1147" i="115"/>
  <c r="CR1148" i="115" s="1"/>
  <c r="CR1153" i="115" s="1"/>
  <c r="CR856" i="115"/>
  <c r="CR896" i="115"/>
  <c r="CR898" i="115" s="1"/>
  <c r="BL31" i="117"/>
  <c r="AF122" i="123"/>
  <c r="AF69" i="123"/>
  <c r="AF22" i="123"/>
  <c r="CT896" i="115"/>
  <c r="CT898" i="115" s="1"/>
  <c r="CT900" i="115" s="1"/>
  <c r="CT1147" i="115"/>
  <c r="CT1148" i="115" s="1"/>
  <c r="CT1153" i="115" s="1"/>
  <c r="CU847" i="115"/>
  <c r="BN31" i="117"/>
  <c r="CR534" i="115"/>
  <c r="CR533" i="115"/>
  <c r="CR64" i="115"/>
  <c r="CR65" i="115" s="1"/>
  <c r="CR522" i="115"/>
  <c r="BL40" i="117"/>
  <c r="CT534" i="115"/>
  <c r="CT533" i="115"/>
  <c r="AD69" i="123"/>
  <c r="AD122" i="123"/>
  <c r="CT64" i="115"/>
  <c r="CT65" i="115" s="1"/>
  <c r="CT522" i="115"/>
  <c r="BN40" i="117"/>
  <c r="CR900" i="115" l="1"/>
  <c r="BN73" i="117"/>
  <c r="BN32" i="117"/>
  <c r="BN38" i="117"/>
  <c r="AG22" i="123"/>
  <c r="CT67" i="115"/>
  <c r="CU65" i="115"/>
  <c r="CR538" i="115"/>
  <c r="BL73" i="117"/>
  <c r="BP73" i="117"/>
  <c r="BL32" i="117"/>
  <c r="BL38" i="117"/>
  <c r="AF23" i="123"/>
  <c r="AF25" i="123"/>
  <c r="AF27" i="123" s="1"/>
  <c r="AF120" i="123"/>
  <c r="AF67" i="123"/>
  <c r="CU896" i="115"/>
  <c r="AD25" i="123"/>
  <c r="AD28" i="123" s="1"/>
  <c r="AD120" i="123"/>
  <c r="AH23" i="123"/>
  <c r="AD67" i="123"/>
  <c r="AD23" i="123"/>
  <c r="CR524" i="115"/>
  <c r="CT524" i="115"/>
  <c r="CR67" i="115"/>
  <c r="CR1527" i="115" l="1"/>
  <c r="CR1528" i="115"/>
  <c r="CU898" i="115"/>
  <c r="CT71" i="115"/>
  <c r="BN34" i="117"/>
  <c r="CR71" i="115"/>
  <c r="BL34" i="117"/>
  <c r="AH67" i="123"/>
  <c r="AL67" i="123" s="1"/>
  <c r="AD68" i="123"/>
  <c r="AD70" i="123"/>
  <c r="AD81" i="123"/>
  <c r="AF28" i="123"/>
  <c r="CR68" i="115"/>
  <c r="CR996" i="115"/>
  <c r="CR997" i="115" s="1"/>
  <c r="CR1001" i="115" s="1"/>
  <c r="CR1154" i="115" s="1"/>
  <c r="CR1155" i="115" s="1"/>
  <c r="CR1156" i="115" s="1"/>
  <c r="CR526" i="115"/>
  <c r="BL42" i="117"/>
  <c r="AD121" i="123"/>
  <c r="AD123" i="123"/>
  <c r="AD134" i="123"/>
  <c r="AD37" i="123"/>
  <c r="AD42" i="123" s="1"/>
  <c r="AD140" i="123" s="1"/>
  <c r="AD154" i="123" s="1"/>
  <c r="CR72" i="115"/>
  <c r="CT538" i="115"/>
  <c r="BL37" i="117"/>
  <c r="BL74" i="117"/>
  <c r="BN74" i="117"/>
  <c r="AF68" i="123"/>
  <c r="AF81" i="123"/>
  <c r="AF70" i="123"/>
  <c r="AF72" i="123" s="1"/>
  <c r="CT68" i="115"/>
  <c r="CT526" i="115"/>
  <c r="CT996" i="115"/>
  <c r="CT997" i="115" s="1"/>
  <c r="CT1001" i="115" s="1"/>
  <c r="CT1154" i="115" s="1"/>
  <c r="CT1155" i="115" s="1"/>
  <c r="CT1156" i="115" s="1"/>
  <c r="BN42" i="117"/>
  <c r="AF121" i="123"/>
  <c r="AF123" i="123"/>
  <c r="AF125" i="123" s="1"/>
  <c r="AF134" i="123"/>
  <c r="AG23" i="123"/>
  <c r="AG25" i="123"/>
  <c r="AG28" i="123" s="1"/>
  <c r="CT1527" i="115" l="1"/>
  <c r="CT1528" i="115"/>
  <c r="AL70" i="123"/>
  <c r="AL73" i="123" s="1"/>
  <c r="AL81" i="123"/>
  <c r="AL85" i="123" s="1"/>
  <c r="AD71" i="123"/>
  <c r="AD95" i="123"/>
  <c r="AD73" i="123"/>
  <c r="AD96" i="123" s="1"/>
  <c r="AH70" i="123"/>
  <c r="AH73" i="123" s="1"/>
  <c r="AH81" i="123"/>
  <c r="AH85" i="123" s="1"/>
  <c r="CR1140" i="115"/>
  <c r="CR1141" i="115" s="1"/>
  <c r="CR1142" i="115" s="1"/>
  <c r="BL43" i="117"/>
  <c r="AF73" i="123"/>
  <c r="AF96" i="123" s="1"/>
  <c r="AF71" i="123"/>
  <c r="AF95" i="123"/>
  <c r="BL75" i="117"/>
  <c r="CT1140" i="115"/>
  <c r="CT1141" i="115" s="1"/>
  <c r="CT1142" i="115" s="1"/>
  <c r="BN43" i="117"/>
  <c r="AF37" i="123"/>
  <c r="AF42" i="123" s="1"/>
  <c r="AF140" i="123" s="1"/>
  <c r="AF154" i="123" s="1"/>
  <c r="CT72" i="115"/>
  <c r="BN37" i="117"/>
  <c r="AF149" i="123"/>
  <c r="AF124" i="123"/>
  <c r="AF126" i="123"/>
  <c r="AF150" i="123" s="1"/>
  <c r="AD126" i="123"/>
  <c r="AD150" i="123" s="1"/>
  <c r="AD149" i="123"/>
  <c r="AD124" i="123"/>
  <c r="BN75" i="117" l="1"/>
  <c r="CR875" i="115" l="1"/>
  <c r="CT875" i="115" s="1"/>
  <c r="CT876" i="115"/>
  <c r="CR942" i="115" l="1"/>
  <c r="BL152" i="117" s="1"/>
  <c r="CR950" i="115" l="1"/>
  <c r="CR953" i="115" s="1"/>
  <c r="CT942" i="115"/>
  <c r="CR1606" i="115"/>
  <c r="BL153" i="117"/>
  <c r="BL154" i="117" s="1"/>
  <c r="BL196" i="117"/>
  <c r="CT950" i="115" l="1"/>
  <c r="CT953" i="115" s="1"/>
  <c r="CR1609" i="115"/>
  <c r="CT1606" i="115"/>
  <c r="BN152" i="117"/>
  <c r="BN153" i="117" s="1"/>
  <c r="BN154" i="117" s="1"/>
  <c r="BL116" i="117"/>
  <c r="BL117" i="117" s="1"/>
  <c r="BL119" i="117" s="1"/>
  <c r="BL157" i="117"/>
  <c r="BL203" i="117"/>
  <c r="BL204" i="117" s="1"/>
  <c r="BL206" i="117" s="1"/>
  <c r="BL160" i="117"/>
  <c r="BL161" i="117" s="1"/>
  <c r="BN196" i="117"/>
  <c r="BL197" i="117"/>
  <c r="BL198" i="117" s="1"/>
  <c r="BL106" i="117"/>
  <c r="BL107" i="117" s="1"/>
  <c r="CS1103" i="115"/>
  <c r="CR1171" i="115"/>
  <c r="CR1176" i="115"/>
  <c r="BN157" i="117" l="1"/>
  <c r="BN203" i="117"/>
  <c r="BN204" i="117" s="1"/>
  <c r="BN206" i="117" s="1"/>
  <c r="BN160" i="117"/>
  <c r="BN161" i="117" s="1"/>
  <c r="BN116" i="117"/>
  <c r="CT1609" i="115"/>
  <c r="CR1159" i="115"/>
  <c r="CR1170" i="115"/>
  <c r="BL108" i="117"/>
  <c r="BN106" i="117"/>
  <c r="BN107" i="117" s="1"/>
  <c r="BN197" i="117"/>
  <c r="BN198" i="117" s="1"/>
  <c r="BL120" i="117"/>
  <c r="BL123" i="117" s="1"/>
  <c r="BL207" i="117"/>
  <c r="BL208" i="117" s="1"/>
  <c r="CS1104" i="115"/>
  <c r="CT1104" i="115" s="1"/>
  <c r="CT1103" i="115"/>
  <c r="CT1171" i="115"/>
  <c r="CS1060" i="115"/>
  <c r="CR1175" i="115"/>
  <c r="CT1174" i="115"/>
  <c r="CR1161" i="115" l="1"/>
  <c r="CR1192" i="115" s="1"/>
  <c r="BN117" i="117"/>
  <c r="BN119" i="117" s="1"/>
  <c r="BL121" i="117"/>
  <c r="BN108" i="117"/>
  <c r="CS1106" i="115"/>
  <c r="CT1106" i="115" s="1"/>
  <c r="CT1107" i="115" s="1"/>
  <c r="BN120" i="117"/>
  <c r="BN207" i="117"/>
  <c r="CT1060" i="115"/>
  <c r="CS1061" i="115"/>
  <c r="CS1064" i="115" s="1"/>
  <c r="CS1144" i="115" l="1"/>
  <c r="BN110" i="117"/>
  <c r="BN211" i="117"/>
  <c r="BN208" i="117"/>
  <c r="BN121" i="117"/>
  <c r="BN123" i="117"/>
  <c r="CS1202" i="115"/>
  <c r="CS1139" i="115"/>
  <c r="CT1118" i="115"/>
  <c r="CT1209" i="115"/>
  <c r="CT1109" i="115"/>
  <c r="CT1119" i="115"/>
  <c r="AF157" i="123" s="1"/>
  <c r="EM19" i="117"/>
  <c r="CT1064" i="115"/>
  <c r="CS1204" i="115"/>
  <c r="CS1205" i="115" s="1"/>
  <c r="CT1061" i="115"/>
  <c r="CT1139" i="115" s="1"/>
  <c r="AF144" i="123" l="1"/>
  <c r="AF90" i="123"/>
  <c r="CT1144" i="115"/>
  <c r="CS1203" i="115"/>
  <c r="AF156" i="123"/>
  <c r="EM12" i="117"/>
  <c r="EM14" i="117" s="1"/>
  <c r="AE87" i="111"/>
  <c r="AE97" i="111" s="1"/>
  <c r="AE86" i="111"/>
  <c r="EM50" i="117"/>
  <c r="EM11" i="117"/>
  <c r="EM13" i="117" s="1"/>
  <c r="CT1065" i="115"/>
  <c r="AE96" i="111" l="1"/>
  <c r="AE90" i="111"/>
  <c r="CT1311" i="115"/>
  <c r="CT1312" i="115" s="1"/>
  <c r="AF89" i="123"/>
  <c r="AF143" i="123"/>
  <c r="AE110" i="111" l="1"/>
  <c r="AE111" i="111" s="1"/>
  <c r="AE112" i="111" s="1"/>
  <c r="AE93" i="111"/>
  <c r="AE94" i="111" s="1"/>
  <c r="BP44" i="117"/>
  <c r="BP7" i="117"/>
  <c r="BP22" i="117"/>
  <c r="BP29" i="117"/>
  <c r="BP34" i="117"/>
  <c r="BP35" i="117"/>
  <c r="BP37" i="117"/>
  <c r="BP71" i="117"/>
  <c r="AE116" i="111" l="1"/>
  <c r="AE117" i="111" s="1"/>
  <c r="AE118" i="111" s="1"/>
  <c r="AF94" i="111"/>
  <c r="BP64" i="117"/>
  <c r="BP17" i="117"/>
  <c r="BP19" i="117" s="1"/>
  <c r="BP190" i="117"/>
  <c r="BP45" i="117"/>
  <c r="BP61" i="117" s="1"/>
  <c r="BP62" i="117"/>
  <c r="BP75" i="117"/>
  <c r="CV445" i="115"/>
  <c r="CV447" i="115" s="1"/>
  <c r="BP21" i="117" l="1"/>
  <c r="BP24" i="117" s="1"/>
  <c r="BP66" i="117"/>
  <c r="BP127" i="117"/>
  <c r="BP130" i="117" s="1"/>
  <c r="BP131" i="117" s="1"/>
  <c r="BP133" i="117"/>
  <c r="BP141" i="117" s="1"/>
  <c r="BP68" i="117"/>
  <c r="CV456" i="115"/>
  <c r="CV449" i="115"/>
  <c r="CV455" i="115"/>
  <c r="BP240" i="117"/>
  <c r="BP241" i="117" s="1"/>
  <c r="BP243" i="117" s="1"/>
  <c r="BP245" i="117" s="1"/>
  <c r="BP54" i="117"/>
  <c r="BP82" i="117" s="1"/>
  <c r="BP139" i="117" l="1"/>
  <c r="BP115" i="117" s="1"/>
  <c r="BP47" i="117"/>
  <c r="BP70" i="117"/>
  <c r="BP26" i="117"/>
  <c r="BP100" i="117"/>
  <c r="BP202" i="117" l="1"/>
  <c r="BP143" i="117"/>
  <c r="BP142" i="117"/>
  <c r="BP63" i="117"/>
  <c r="EO17" i="117"/>
  <c r="BP28" i="117"/>
  <c r="BP246" i="117"/>
  <c r="BP247" i="117" s="1"/>
  <c r="EQ50" i="117" l="1"/>
  <c r="S143" i="111" l="1"/>
  <c r="G44" i="111" l="1"/>
  <c r="H44" i="111" l="1"/>
  <c r="BP50" i="117" l="1"/>
  <c r="BP58" i="117" l="1"/>
  <c r="BP59" i="117" l="1"/>
  <c r="BP85" i="117" s="1"/>
  <c r="EO42" i="117" l="1"/>
  <c r="CV266" i="115"/>
  <c r="CV268" i="115" l="1"/>
  <c r="CV261" i="115"/>
  <c r="CV263" i="115"/>
  <c r="CV262" i="115"/>
  <c r="AH46" i="123"/>
  <c r="BP8" i="117"/>
  <c r="CV267" i="115"/>
  <c r="CV270" i="115" l="1"/>
  <c r="CV264" i="115"/>
  <c r="CV269" i="115"/>
  <c r="AH19" i="123"/>
  <c r="BP30" i="117"/>
  <c r="BP251" i="117"/>
  <c r="BP32" i="117" l="1"/>
  <c r="BP38" i="117"/>
  <c r="BP72" i="117"/>
  <c r="BP74" i="117" l="1"/>
  <c r="EO75" i="117" l="1"/>
  <c r="EO74" i="117" l="1"/>
  <c r="EO45" i="117" l="1"/>
  <c r="CV1391" i="115" l="1"/>
  <c r="EP51" i="117" l="1"/>
  <c r="EQ19" i="117" l="1"/>
  <c r="EQ51" i="117"/>
  <c r="AJ41" i="123" l="1"/>
  <c r="AJ139" i="123" l="1"/>
  <c r="AJ86" i="123"/>
  <c r="EQ20" i="117"/>
  <c r="CV1255" i="115"/>
  <c r="CV1256" i="115" l="1"/>
  <c r="CV917" i="115" l="1"/>
  <c r="CV866" i="115"/>
  <c r="CV853" i="115" s="1"/>
  <c r="CV922" i="115" s="1"/>
  <c r="CV875" i="115"/>
  <c r="CV942" i="115" s="1"/>
  <c r="CV867" i="115" l="1"/>
  <c r="CV854" i="115" s="1"/>
  <c r="CV951" i="115" s="1"/>
  <c r="CV1606" i="115"/>
  <c r="CV950" i="115"/>
  <c r="CV931" i="115"/>
  <c r="CV924" i="115"/>
  <c r="BP152" i="117"/>
  <c r="BP196" i="117" s="1"/>
  <c r="CV1609" i="115" l="1"/>
  <c r="CV855" i="115"/>
  <c r="BP153" i="117"/>
  <c r="BP154" i="117" s="1"/>
  <c r="BP157" i="117" s="1"/>
  <c r="CV930" i="115"/>
  <c r="CV935" i="115"/>
  <c r="BP197" i="117"/>
  <c r="BP198" i="117" s="1"/>
  <c r="BP106" i="117"/>
  <c r="BP107" i="117" s="1"/>
  <c r="BP108" i="117" s="1"/>
  <c r="CV955" i="115"/>
  <c r="CV953" i="115"/>
  <c r="BP203" i="117" l="1"/>
  <c r="BP204" i="117" s="1"/>
  <c r="BP206" i="117" s="1"/>
  <c r="BP160" i="117"/>
  <c r="BP161" i="117" s="1"/>
  <c r="CV938" i="115"/>
  <c r="CV939" i="115" s="1"/>
  <c r="CV934" i="115"/>
  <c r="BP116" i="117"/>
  <c r="BP117" i="117" s="1"/>
  <c r="BP119" i="117" s="1"/>
  <c r="BP120" i="117"/>
  <c r="BP207" i="117"/>
  <c r="BP208" i="117" l="1"/>
  <c r="BP123" i="117"/>
  <c r="CY952" i="115"/>
  <c r="BP121" i="117"/>
  <c r="CY843" i="115" l="1"/>
  <c r="CY925" i="115" l="1"/>
  <c r="CY842" i="115" l="1"/>
  <c r="BQ31" i="117" l="1"/>
  <c r="AI22" i="123"/>
  <c r="AM23" i="123" s="1"/>
  <c r="CY844" i="115"/>
  <c r="BQ18" i="117"/>
  <c r="AJ22" i="123" l="1"/>
  <c r="AN23" i="123" s="1"/>
  <c r="BQ146" i="117"/>
  <c r="BQ67" i="117"/>
  <c r="AI25" i="123"/>
  <c r="AI28" i="123" s="1"/>
  <c r="AI23" i="123"/>
  <c r="BR18" i="117"/>
  <c r="CY31" i="115"/>
  <c r="BQ73" i="117"/>
  <c r="BR31" i="117"/>
  <c r="CY847" i="115"/>
  <c r="AK22" i="123" s="1"/>
  <c r="AK25" i="123" l="1"/>
  <c r="AK28" i="123" s="1"/>
  <c r="AK23" i="123"/>
  <c r="AJ120" i="123"/>
  <c r="AN121" i="123" s="1"/>
  <c r="AJ25" i="123"/>
  <c r="AJ23" i="123"/>
  <c r="AJ67" i="123"/>
  <c r="AN68" i="123" s="1"/>
  <c r="AJ26" i="123"/>
  <c r="BR73" i="117"/>
  <c r="CY896" i="115"/>
  <c r="BR146" i="117"/>
  <c r="BR67" i="117"/>
  <c r="BQ156" i="117"/>
  <c r="AJ70" i="123" l="1"/>
  <c r="AJ68" i="123"/>
  <c r="AJ121" i="123"/>
  <c r="AJ123" i="123"/>
  <c r="CY898" i="115"/>
  <c r="BR156" i="117"/>
  <c r="AN124" i="123" l="1"/>
  <c r="AN71" i="123"/>
  <c r="AJ124" i="123"/>
  <c r="AJ149" i="123"/>
  <c r="AJ71" i="123"/>
  <c r="AJ95" i="123"/>
  <c r="AV120" i="123" l="1"/>
  <c r="AV67" i="123"/>
  <c r="AV70" i="123" l="1"/>
  <c r="AZ67" i="123"/>
  <c r="AV123" i="123"/>
  <c r="AZ120" i="123"/>
  <c r="AV124" i="123" l="1"/>
  <c r="AV71" i="123"/>
  <c r="AZ123" i="123"/>
  <c r="AZ124" i="123" s="1"/>
  <c r="BD120" i="123"/>
  <c r="BD123" i="123" s="1"/>
  <c r="AZ70" i="123"/>
  <c r="AZ71" i="123" s="1"/>
  <c r="BD67" i="123"/>
  <c r="BD70" i="123" s="1"/>
  <c r="BD71" i="123" l="1"/>
  <c r="BD124" i="123"/>
  <c r="CX1416" i="115"/>
  <c r="CX1414" i="115"/>
  <c r="CX1469" i="115" s="1"/>
  <c r="AF30" i="111" l="1"/>
  <c r="AF27" i="111" s="1"/>
  <c r="DC1414" i="115"/>
  <c r="CY1414" i="115"/>
  <c r="CX1466" i="115"/>
  <c r="CX1436" i="115" l="1"/>
  <c r="AF19" i="111" l="1"/>
  <c r="DC1436" i="115"/>
  <c r="CX1444" i="115"/>
  <c r="AF17" i="111" s="1"/>
  <c r="CY1436" i="115"/>
  <c r="CX1468" i="115"/>
  <c r="AF22" i="111" l="1"/>
  <c r="EQ41" i="117"/>
  <c r="DG1436" i="115" l="1"/>
  <c r="AL17" i="111" l="1"/>
  <c r="AM17" i="111" s="1"/>
  <c r="AL19" i="111" l="1"/>
  <c r="AL21" i="111" s="1"/>
  <c r="AM19" i="111"/>
  <c r="AN17" i="111"/>
  <c r="AN19" i="111" l="1"/>
  <c r="AO17" i="111"/>
  <c r="AM21" i="111"/>
  <c r="AP17" i="111" l="1"/>
  <c r="AO19" i="111"/>
  <c r="AN21" i="111"/>
  <c r="AO21" i="111" l="1"/>
  <c r="AP19" i="111"/>
  <c r="AQ17" i="111"/>
  <c r="AR17" i="111" s="1"/>
  <c r="AS17" i="111" l="1"/>
  <c r="AR19" i="111"/>
  <c r="AQ19" i="111"/>
  <c r="AP21" i="111"/>
  <c r="AR21" i="111" l="1"/>
  <c r="AQ21" i="111"/>
  <c r="AJ15" i="123" l="1"/>
  <c r="AJ60" i="123" s="1"/>
  <c r="AJ64" i="123" s="1"/>
  <c r="AJ32" i="123"/>
  <c r="AJ77" i="123" s="1"/>
  <c r="AJ33" i="123"/>
  <c r="AJ78" i="123" s="1"/>
  <c r="AJ36" i="123"/>
  <c r="AJ40" i="123" s="1"/>
  <c r="CY14" i="115"/>
  <c r="CY20" i="115"/>
  <c r="CY26" i="115"/>
  <c r="CY32" i="115"/>
  <c r="CY34" i="115"/>
  <c r="CY37" i="115"/>
  <c r="AJ38" i="123" s="1"/>
  <c r="CY63" i="115"/>
  <c r="CY65" i="115"/>
  <c r="BR44" i="117"/>
  <c r="BQ7" i="117"/>
  <c r="BQ64" i="117" s="1"/>
  <c r="BR7" i="117"/>
  <c r="BR17" i="117" s="1"/>
  <c r="BR133" i="117" s="1"/>
  <c r="BQ22" i="117"/>
  <c r="BR22" i="117"/>
  <c r="BQ29" i="117"/>
  <c r="BR29" i="117"/>
  <c r="BQ34" i="117"/>
  <c r="BR34" i="117"/>
  <c r="BQ35" i="117"/>
  <c r="BR35" i="117"/>
  <c r="BQ44" i="117"/>
  <c r="BR71" i="117"/>
  <c r="EQ8" i="117" l="1"/>
  <c r="BQ62" i="117"/>
  <c r="AJ113" i="123"/>
  <c r="AJ117" i="123" s="1"/>
  <c r="BR218" i="117"/>
  <c r="BR250" i="117" s="1"/>
  <c r="BQ17" i="117"/>
  <c r="BQ133" i="117" s="1"/>
  <c r="BQ141" i="117" s="1"/>
  <c r="AJ130" i="123"/>
  <c r="EQ32" i="117"/>
  <c r="AJ135" i="123"/>
  <c r="AJ153" i="123" s="1"/>
  <c r="BR225" i="117"/>
  <c r="AJ82" i="123"/>
  <c r="AJ99" i="123" s="1"/>
  <c r="AJ43" i="123"/>
  <c r="AJ138" i="123"/>
  <c r="BR141" i="117"/>
  <c r="BR139" i="117"/>
  <c r="EQ9" i="117"/>
  <c r="BR62" i="117"/>
  <c r="BQ71" i="117"/>
  <c r="BQ37" i="117"/>
  <c r="CX1130" i="115"/>
  <c r="CX1137" i="115" s="1"/>
  <c r="AJ131" i="123"/>
  <c r="AJ34" i="123"/>
  <c r="BQ190" i="117"/>
  <c r="AJ20" i="123"/>
  <c r="AJ27" i="123" s="1"/>
  <c r="BR190" i="117"/>
  <c r="EQ33" i="117"/>
  <c r="BR127" i="117"/>
  <c r="BR130" i="117" s="1"/>
  <c r="BR131" i="117" s="1"/>
  <c r="BR19" i="117"/>
  <c r="BR66" i="117"/>
  <c r="BR64" i="117"/>
  <c r="CY1240" i="115"/>
  <c r="CY1135" i="115"/>
  <c r="AJ37" i="123"/>
  <c r="AJ42" i="123" s="1"/>
  <c r="AJ140" i="123" s="1"/>
  <c r="AJ136" i="123"/>
  <c r="AJ83" i="123"/>
  <c r="AJ85" i="123"/>
  <c r="AJ44" i="123" l="1"/>
  <c r="AJ142" i="123" s="1"/>
  <c r="AN44" i="123"/>
  <c r="AJ118" i="123"/>
  <c r="AN21" i="123"/>
  <c r="BQ127" i="117"/>
  <c r="BQ130" i="117" s="1"/>
  <c r="BQ131" i="117" s="1"/>
  <c r="AJ21" i="123"/>
  <c r="BQ139" i="117"/>
  <c r="BQ115" i="117" s="1"/>
  <c r="BQ66" i="117"/>
  <c r="BQ19" i="117"/>
  <c r="AJ28" i="123"/>
  <c r="BR227" i="117"/>
  <c r="BR224" i="117"/>
  <c r="BR233" i="117" s="1"/>
  <c r="AJ65" i="123"/>
  <c r="AJ72" i="123" s="1"/>
  <c r="BR202" i="117"/>
  <c r="BR142" i="117"/>
  <c r="BR115" i="117"/>
  <c r="AJ154" i="123"/>
  <c r="AJ87" i="123"/>
  <c r="AJ141" i="123"/>
  <c r="AJ144" i="123" s="1"/>
  <c r="AJ45" i="123"/>
  <c r="CW1130" i="115"/>
  <c r="CW1137" i="115" s="1"/>
  <c r="CY1238" i="115"/>
  <c r="BQ75" i="117"/>
  <c r="BQ45" i="117"/>
  <c r="BQ61" i="117" s="1"/>
  <c r="AJ132" i="123"/>
  <c r="AJ134" i="123" s="1"/>
  <c r="AJ79" i="123"/>
  <c r="AJ81" i="123" s="1"/>
  <c r="BR37" i="117"/>
  <c r="BR45" i="117"/>
  <c r="CW445" i="115"/>
  <c r="EQ10" i="117"/>
  <c r="BR68" i="117"/>
  <c r="BR21" i="117"/>
  <c r="AJ100" i="123" l="1"/>
  <c r="AJ90" i="123"/>
  <c r="AJ126" i="123"/>
  <c r="AJ125" i="123"/>
  <c r="AJ88" i="123"/>
  <c r="AJ147" i="123"/>
  <c r="AJ73" i="123"/>
  <c r="AJ96" i="123" s="1"/>
  <c r="AN66" i="123"/>
  <c r="AJ119" i="123"/>
  <c r="AN119" i="123"/>
  <c r="AN142" i="123"/>
  <c r="AN88" i="123"/>
  <c r="BQ68" i="117"/>
  <c r="BQ202" i="117"/>
  <c r="BQ21" i="117"/>
  <c r="BQ24" i="117" s="1"/>
  <c r="AJ66" i="123"/>
  <c r="AJ93" i="123"/>
  <c r="BQ142" i="117"/>
  <c r="AJ150" i="123"/>
  <c r="CX445" i="115"/>
  <c r="CX447" i="115" s="1"/>
  <c r="CW447" i="115"/>
  <c r="BR61" i="117"/>
  <c r="EQ7" i="117"/>
  <c r="BR75" i="117"/>
  <c r="BQ47" i="117"/>
  <c r="BR24" i="117"/>
  <c r="EQ35" i="117"/>
  <c r="CW381" i="115"/>
  <c r="BQ54" i="117"/>
  <c r="BQ82" i="117" s="1"/>
  <c r="CW1169" i="115"/>
  <c r="CW1170" i="115" s="1"/>
  <c r="CW1175" i="115" l="1"/>
  <c r="CZ1061" i="115" s="1"/>
  <c r="CZ1144" i="115" s="1"/>
  <c r="CW1173" i="115"/>
  <c r="CZ1103" i="115" s="1"/>
  <c r="CW456" i="115"/>
  <c r="CW455" i="115"/>
  <c r="CW449" i="115"/>
  <c r="CX455" i="115"/>
  <c r="CX456" i="115"/>
  <c r="CX449" i="115"/>
  <c r="BQ70" i="117"/>
  <c r="BQ26" i="117"/>
  <c r="BQ100" i="117"/>
  <c r="BQ63" i="117"/>
  <c r="CX381" i="115"/>
  <c r="BR54" i="117"/>
  <c r="EP17" i="117"/>
  <c r="BQ240" i="117"/>
  <c r="CX1174" i="115"/>
  <c r="CX1171" i="115"/>
  <c r="BR240" i="117"/>
  <c r="BR26" i="117"/>
  <c r="BR70" i="117"/>
  <c r="BR100" i="117"/>
  <c r="CY1125" i="115"/>
  <c r="BR47" i="117"/>
  <c r="DB1061" i="115" l="1"/>
  <c r="DB1144" i="115" s="1"/>
  <c r="CZ1139" i="115"/>
  <c r="CZ1064" i="115"/>
  <c r="DB1064" i="115" s="1"/>
  <c r="AG87" i="111" s="1"/>
  <c r="AG97" i="111" s="1"/>
  <c r="DB1103" i="115"/>
  <c r="EQ17" i="117"/>
  <c r="CW1176" i="115"/>
  <c r="BR82" i="117"/>
  <c r="CV1129" i="115"/>
  <c r="EQ15" i="117"/>
  <c r="EQ18" i="117" s="1"/>
  <c r="BR63" i="117"/>
  <c r="BR28" i="117"/>
  <c r="BR246" i="117"/>
  <c r="EQ16" i="117"/>
  <c r="BQ246" i="117"/>
  <c r="BQ28" i="117"/>
  <c r="CZ1204" i="115" l="1"/>
  <c r="CZ1205" i="115" s="1"/>
  <c r="CZ1104" i="115"/>
  <c r="AG86" i="111"/>
  <c r="DB1139" i="115"/>
  <c r="DB1065" i="115"/>
  <c r="DB1311" i="115" s="1"/>
  <c r="DB1312" i="115" s="1"/>
  <c r="AJ156" i="123"/>
  <c r="EQ12" i="117"/>
  <c r="EQ14" i="117" s="1"/>
  <c r="AG96" i="111" l="1"/>
  <c r="AG90" i="111"/>
  <c r="DB1104" i="115"/>
  <c r="CZ1106" i="115"/>
  <c r="AJ143" i="123"/>
  <c r="AJ89" i="123"/>
  <c r="EQ11" i="117"/>
  <c r="EQ13" i="117" s="1"/>
  <c r="AG110" i="111" l="1"/>
  <c r="AG111" i="111" s="1"/>
  <c r="AG112" i="111" s="1"/>
  <c r="AG93" i="111"/>
  <c r="DB1106" i="115"/>
  <c r="DB1107" i="115" s="1"/>
  <c r="CZ1202" i="115"/>
  <c r="CZ1203" i="115" s="1"/>
  <c r="AG116" i="111" l="1"/>
  <c r="AG117" i="111" s="1"/>
  <c r="AG118" i="111" s="1"/>
  <c r="AG94" i="111"/>
  <c r="DB1209" i="115"/>
  <c r="DB1118" i="115"/>
  <c r="AN156" i="123" s="1"/>
  <c r="DB1119" i="115"/>
  <c r="AN157" i="123" s="1"/>
  <c r="DB1109" i="115"/>
  <c r="AN90" i="123" l="1"/>
  <c r="AN144" i="123"/>
  <c r="AN89" i="123"/>
  <c r="AN143" i="123"/>
  <c r="CY158" i="115" l="1"/>
  <c r="BQ50" i="117" l="1"/>
  <c r="CX1488" i="115" l="1"/>
  <c r="DA1489" i="115" s="1"/>
  <c r="CY370" i="115"/>
  <c r="BR50" i="117"/>
  <c r="EQ49" i="117" s="1"/>
  <c r="BQ58" i="117"/>
  <c r="CX1497" i="115" l="1"/>
  <c r="CX1403" i="115"/>
  <c r="CX1404" i="115"/>
  <c r="DC1404" i="115" s="1"/>
  <c r="CX1498" i="115"/>
  <c r="CX1405" i="115"/>
  <c r="DA1492" i="115" l="1"/>
  <c r="DC1403" i="115"/>
  <c r="DA1493" i="115"/>
  <c r="DC1405" i="115"/>
  <c r="CX1486" i="115"/>
  <c r="CX1508" i="115"/>
  <c r="CY1404" i="115"/>
  <c r="CX1420" i="115"/>
  <c r="CX1509" i="115"/>
  <c r="CX1487" i="115"/>
  <c r="CY1405" i="115"/>
  <c r="CX1421" i="115"/>
  <c r="CX1507" i="115"/>
  <c r="CX1485" i="115"/>
  <c r="CY1403" i="115"/>
  <c r="CX1419" i="115"/>
  <c r="BQ59" i="117"/>
  <c r="BQ85" i="117" s="1"/>
  <c r="CW13" i="115" l="1"/>
  <c r="BR58" i="117"/>
  <c r="CW12" i="115" l="1"/>
  <c r="CX13" i="115"/>
  <c r="CX12" i="115" s="1"/>
  <c r="AI46" i="123"/>
  <c r="EQ24" i="117"/>
  <c r="EQ25" i="117"/>
  <c r="EQ26" i="117"/>
  <c r="CW566" i="115" l="1"/>
  <c r="CW568" i="115" s="1"/>
  <c r="CW554" i="115"/>
  <c r="DA562" i="115" s="1"/>
  <c r="BR59" i="117"/>
  <c r="BR85" i="117" s="1"/>
  <c r="EQ27" i="117"/>
  <c r="CX554" i="115"/>
  <c r="EQ55" i="117"/>
  <c r="EQ56" i="117"/>
  <c r="DB562" i="115" l="1"/>
  <c r="CW557" i="115"/>
  <c r="CX568" i="115"/>
  <c r="CW562" i="115"/>
  <c r="CW555" i="115"/>
  <c r="DA563" i="115" s="1"/>
  <c r="CX562" i="115"/>
  <c r="CX555" i="115"/>
  <c r="DB563" i="115" s="1"/>
  <c r="CX566" i="115"/>
  <c r="BQ8" i="117"/>
  <c r="CX557" i="115" l="1"/>
  <c r="CX1146" i="115"/>
  <c r="CX1148" i="115" s="1"/>
  <c r="CX1153" i="115" s="1"/>
  <c r="CX902" i="115"/>
  <c r="EQ34" i="117" s="1"/>
  <c r="CW1146" i="115"/>
  <c r="CW1148" i="115" s="1"/>
  <c r="CW1153" i="115" s="1"/>
  <c r="CW1154" i="115" s="1"/>
  <c r="CW1155" i="115" s="1"/>
  <c r="CW1156" i="115" s="1"/>
  <c r="CW902" i="115"/>
  <c r="CX563" i="115"/>
  <c r="CX559" i="115"/>
  <c r="CW563" i="115"/>
  <c r="CW559" i="115"/>
  <c r="EQ30" i="117"/>
  <c r="AI19" i="123"/>
  <c r="BQ30" i="117"/>
  <c r="AJ13" i="123"/>
  <c r="BR8" i="117"/>
  <c r="BQ251" i="117"/>
  <c r="AJ46" i="123"/>
  <c r="EQ29" i="117"/>
  <c r="BQ9" i="117"/>
  <c r="CX564" i="115" l="1"/>
  <c r="DB564" i="115"/>
  <c r="CW564" i="115"/>
  <c r="DA564" i="115"/>
  <c r="CX1154" i="115"/>
  <c r="CX1155" i="115" s="1"/>
  <c r="CX1156" i="115" s="1"/>
  <c r="AJ14" i="123"/>
  <c r="BQ32" i="117"/>
  <c r="BQ72" i="117"/>
  <c r="BQ38" i="117"/>
  <c r="AJ19" i="123"/>
  <c r="BR30" i="117"/>
  <c r="EQ31" i="117"/>
  <c r="BR251" i="117"/>
  <c r="AJ111" i="123"/>
  <c r="AJ58" i="123"/>
  <c r="BR9" i="117"/>
  <c r="EQ28" i="117"/>
  <c r="BQ74" i="117" l="1"/>
  <c r="AJ148" i="123"/>
  <c r="BR38" i="117"/>
  <c r="BR32" i="117"/>
  <c r="BR72" i="117"/>
  <c r="AJ94" i="123"/>
  <c r="AJ59" i="123"/>
  <c r="AJ112" i="123"/>
  <c r="BR74" i="117" l="1"/>
  <c r="AV111" i="123" l="1"/>
  <c r="AZ111" i="123" s="1"/>
  <c r="AV58" i="123"/>
  <c r="AZ58" i="123" s="1"/>
  <c r="AZ60" i="123" l="1"/>
  <c r="AZ65" i="123" s="1"/>
  <c r="AZ72" i="123" s="1"/>
  <c r="BD58" i="123"/>
  <c r="BD60" i="123" s="1"/>
  <c r="AZ113" i="123"/>
  <c r="AZ118" i="123" s="1"/>
  <c r="AZ125" i="123" s="1"/>
  <c r="BD111" i="123"/>
  <c r="BD113" i="123" s="1"/>
  <c r="AV60" i="123"/>
  <c r="AV113" i="123"/>
  <c r="AZ64" i="123" l="1"/>
  <c r="AZ117" i="123"/>
  <c r="BD65" i="123"/>
  <c r="BD72" i="123" s="1"/>
  <c r="BD64" i="123"/>
  <c r="BD118" i="123"/>
  <c r="BD125" i="123" s="1"/>
  <c r="BD117" i="123"/>
  <c r="AZ126" i="123"/>
  <c r="AZ130" i="123" s="1"/>
  <c r="AZ73" i="123"/>
  <c r="AZ77" i="123" s="1"/>
  <c r="AV118" i="123"/>
  <c r="AV117" i="123"/>
  <c r="AV64" i="123"/>
  <c r="AV65" i="123"/>
  <c r="AZ119" i="123" l="1"/>
  <c r="AV125" i="123"/>
  <c r="AZ66" i="123"/>
  <c r="AV72" i="123"/>
  <c r="BD119" i="123"/>
  <c r="BD126" i="123"/>
  <c r="BD130" i="123" s="1"/>
  <c r="BD73" i="123"/>
  <c r="BD77" i="123" s="1"/>
  <c r="BD66" i="123"/>
  <c r="AV66" i="123"/>
  <c r="AV73" i="123"/>
  <c r="AV126" i="123"/>
  <c r="AV119" i="123"/>
  <c r="AV130" i="123" l="1"/>
  <c r="AV77" i="123"/>
  <c r="EQ66" i="117"/>
  <c r="EQ67" i="117"/>
  <c r="EQ70" i="117"/>
  <c r="EQ71" i="117"/>
  <c r="EP74" i="117"/>
  <c r="EQ74" i="117"/>
  <c r="EP75" i="117"/>
  <c r="EQ75" i="117"/>
  <c r="CY1295" i="115" l="1"/>
  <c r="ES51" i="117" l="1"/>
  <c r="CW1179" i="115" l="1"/>
  <c r="CY1297" i="115"/>
  <c r="CY1300" i="115"/>
  <c r="CY1301" i="115"/>
  <c r="CX1409" i="115"/>
  <c r="EQ44" i="117"/>
  <c r="CW266" i="115" l="1"/>
  <c r="CW261" i="115" s="1"/>
  <c r="CW267" i="115"/>
  <c r="CX267" i="115" s="1"/>
  <c r="CW514" i="115"/>
  <c r="CW985" i="115" s="1"/>
  <c r="CW978" i="115"/>
  <c r="CW1158" i="115"/>
  <c r="CW1159" i="115"/>
  <c r="CW1180" i="115"/>
  <c r="CW1252" i="115"/>
  <c r="EP45" i="117" s="1"/>
  <c r="CW1254" i="115"/>
  <c r="CW1255" i="115"/>
  <c r="CX1255" i="115" s="1"/>
  <c r="CW1264" i="115"/>
  <c r="CW1336" i="115"/>
  <c r="CW1342" i="115"/>
  <c r="CW1343" i="115" s="1"/>
  <c r="DH1343" i="115" s="1"/>
  <c r="DI1343" i="115" s="1"/>
  <c r="DL1343" i="115" s="1"/>
  <c r="DM1343" i="115" s="1"/>
  <c r="DP1343" i="115" s="1"/>
  <c r="DQ1343" i="115" s="1"/>
  <c r="CX1402" i="115"/>
  <c r="CX1406" i="115"/>
  <c r="CX1417" i="115"/>
  <c r="CX1418" i="115"/>
  <c r="CX1422" i="115"/>
  <c r="CX1427" i="115"/>
  <c r="CX1428" i="115"/>
  <c r="CX1429" i="115"/>
  <c r="CX1430" i="115"/>
  <c r="CX1437" i="115"/>
  <c r="CX1449" i="115"/>
  <c r="CX1450" i="115"/>
  <c r="CX1451" i="115"/>
  <c r="CX1452" i="115"/>
  <c r="CX1482" i="115"/>
  <c r="CX1483" i="115"/>
  <c r="CX1490" i="115"/>
  <c r="CX1496" i="115"/>
  <c r="CX1499" i="115" s="1"/>
  <c r="CX1504" i="115" s="1"/>
  <c r="EP42" i="117"/>
  <c r="CX1454" i="115" l="1"/>
  <c r="CX1455" i="115" s="1"/>
  <c r="CY1417" i="115"/>
  <c r="AF31" i="111"/>
  <c r="DC1417" i="115"/>
  <c r="AF20" i="111"/>
  <c r="AF21" i="111" s="1"/>
  <c r="DC1437" i="115"/>
  <c r="CY1422" i="115"/>
  <c r="AF34" i="111"/>
  <c r="DC1422" i="115"/>
  <c r="CY1402" i="115"/>
  <c r="DC1402" i="115"/>
  <c r="AF32" i="111"/>
  <c r="DC1418" i="115"/>
  <c r="CX1506" i="115"/>
  <c r="CX1510" i="115" s="1"/>
  <c r="CX1512" i="115" s="1"/>
  <c r="EQ39" i="117"/>
  <c r="EQ72" i="117" s="1"/>
  <c r="CX1474" i="115"/>
  <c r="CX1473" i="115"/>
  <c r="CX1456" i="115"/>
  <c r="CX1475" i="115"/>
  <c r="CX1458" i="115"/>
  <c r="CX1479" i="115"/>
  <c r="CX1476" i="115"/>
  <c r="CX1480" i="115"/>
  <c r="CX1457" i="115"/>
  <c r="CX1438" i="115"/>
  <c r="CY1437" i="115"/>
  <c r="CW270" i="115"/>
  <c r="CW262" i="115"/>
  <c r="EQ43" i="117"/>
  <c r="CX1407" i="115"/>
  <c r="CW268" i="115"/>
  <c r="CZ269" i="115" s="1"/>
  <c r="CW1261" i="115"/>
  <c r="CW1265" i="115" s="1"/>
  <c r="CW1160" i="115"/>
  <c r="CW1191" i="115" s="1"/>
  <c r="CW1259" i="115"/>
  <c r="CW1267" i="115"/>
  <c r="CW1277" i="115" s="1"/>
  <c r="CY1418" i="115"/>
  <c r="CW1253" i="115"/>
  <c r="CW1391" i="115" s="1"/>
  <c r="CW1256" i="115"/>
  <c r="CX978" i="115"/>
  <c r="CX1342" i="115"/>
  <c r="CX1343" i="115" s="1"/>
  <c r="CW1181" i="115"/>
  <c r="CW1183" i="115" s="1"/>
  <c r="CW1184" i="115" s="1"/>
  <c r="CX264" i="115"/>
  <c r="CX270" i="115"/>
  <c r="EQ73" i="117" s="1"/>
  <c r="CW263" i="115"/>
  <c r="CX266" i="115"/>
  <c r="CW264" i="115"/>
  <c r="AF25" i="111" l="1"/>
  <c r="AF33" i="111"/>
  <c r="AF24" i="111" s="1"/>
  <c r="AF23" i="111"/>
  <c r="AF28" i="111"/>
  <c r="AF36" i="111"/>
  <c r="DC1407" i="115"/>
  <c r="DB1530" i="115"/>
  <c r="CY1438" i="115"/>
  <c r="DC1438" i="115"/>
  <c r="CX1353" i="115"/>
  <c r="CX514" i="115"/>
  <c r="CX1252" i="115"/>
  <c r="EQ45" i="117" s="1"/>
  <c r="CX1254" i="115"/>
  <c r="EQ79" i="117"/>
  <c r="CX1500" i="115"/>
  <c r="CX1501" i="115" s="1"/>
  <c r="CX1484" i="115"/>
  <c r="EQ42" i="117" s="1"/>
  <c r="CX1336" i="115"/>
  <c r="CX1530" i="115"/>
  <c r="EQ40" i="117"/>
  <c r="CX1410" i="115"/>
  <c r="CY1407" i="115"/>
  <c r="CW269" i="115"/>
  <c r="CW1161" i="115"/>
  <c r="CW1192" i="115" s="1"/>
  <c r="CW1273" i="115"/>
  <c r="CX262" i="115"/>
  <c r="CX261" i="115"/>
  <c r="CX268" i="115"/>
  <c r="CX263" i="115"/>
  <c r="AF29" i="111" l="1"/>
  <c r="AF35" i="111"/>
  <c r="AF26" i="111" s="1"/>
  <c r="AF126" i="111"/>
  <c r="AF130" i="111" s="1"/>
  <c r="AF131" i="111" s="1"/>
  <c r="AG126" i="111"/>
  <c r="AG130" i="111" s="1"/>
  <c r="AG131" i="111" s="1"/>
  <c r="AF38" i="111"/>
  <c r="DB1549" i="115"/>
  <c r="DB1548" i="115"/>
  <c r="CX985" i="115"/>
  <c r="EQ47" i="117"/>
  <c r="CX1267" i="115"/>
  <c r="CX1277" i="115" s="1"/>
  <c r="CX1256" i="115"/>
  <c r="EQ48" i="117" s="1"/>
  <c r="CX1253" i="115"/>
  <c r="CX1391" i="115" s="1"/>
  <c r="CX1548" i="115"/>
  <c r="CX1549" i="115"/>
  <c r="CX269" i="115"/>
  <c r="DH1255" i="115"/>
  <c r="AF101" i="111" l="1"/>
  <c r="CX1273" i="115"/>
  <c r="DI1255" i="115"/>
  <c r="DL1255" i="115" s="1"/>
  <c r="EQ46" i="117"/>
  <c r="DM1255" i="115" l="1"/>
  <c r="DP1255" i="115" s="1"/>
  <c r="DQ1255" i="115" s="1"/>
  <c r="DR1255" i="115" s="1"/>
  <c r="DJ1255" i="115"/>
  <c r="DN1255" i="115" l="1"/>
  <c r="CW864" i="115"/>
  <c r="CW851" i="115" s="1"/>
  <c r="CW865" i="115"/>
  <c r="CW852" i="115" s="1"/>
  <c r="CW866" i="115"/>
  <c r="CW853" i="115" s="1"/>
  <c r="CW922" i="115" s="1"/>
  <c r="CX873" i="115"/>
  <c r="CX874" i="115"/>
  <c r="CX875" i="115"/>
  <c r="CX878" i="115"/>
  <c r="CX879" i="115"/>
  <c r="CW942" i="115"/>
  <c r="CX942" i="115" s="1"/>
  <c r="BR152" i="117" s="1"/>
  <c r="CW944" i="115"/>
  <c r="CX944" i="115" s="1"/>
  <c r="BR149" i="117" s="1"/>
  <c r="CW907" i="115" l="1"/>
  <c r="CX907" i="115" s="1"/>
  <c r="CW917" i="115"/>
  <c r="CX917" i="115" s="1"/>
  <c r="BR103" i="117"/>
  <c r="BR176" i="117"/>
  <c r="BQ149" i="117"/>
  <c r="CW867" i="115"/>
  <c r="CW854" i="115" s="1"/>
  <c r="CX854" i="115" s="1"/>
  <c r="BR153" i="117"/>
  <c r="BR154" i="117" s="1"/>
  <c r="CW1606" i="115"/>
  <c r="BQ152" i="117"/>
  <c r="CW950" i="115"/>
  <c r="CX950" i="115" s="1"/>
  <c r="CX853" i="115"/>
  <c r="CX866" i="115" s="1"/>
  <c r="CW918" i="115"/>
  <c r="CX852" i="115"/>
  <c r="CX865" i="115" s="1"/>
  <c r="CW906" i="115"/>
  <c r="CX851" i="115"/>
  <c r="CX864" i="115"/>
  <c r="CX867" i="115" l="1"/>
  <c r="CW855" i="115"/>
  <c r="CX855" i="115" s="1"/>
  <c r="BQ176" i="117"/>
  <c r="CW951" i="115"/>
  <c r="CZ955" i="115" s="1"/>
  <c r="BR235" i="117"/>
  <c r="BR177" i="117"/>
  <c r="BR179" i="117" s="1"/>
  <c r="BQ196" i="117"/>
  <c r="BQ153" i="117"/>
  <c r="BQ154" i="117" s="1"/>
  <c r="CX1606" i="115"/>
  <c r="CW1609" i="115"/>
  <c r="BR116" i="117"/>
  <c r="BR117" i="117" s="1"/>
  <c r="BR119" i="117" s="1"/>
  <c r="BR203" i="117"/>
  <c r="BR204" i="117" s="1"/>
  <c r="BR206" i="117" s="1"/>
  <c r="BR157" i="117"/>
  <c r="BR160" i="117"/>
  <c r="BR161" i="117" s="1"/>
  <c r="CW919" i="115"/>
  <c r="CX918" i="115"/>
  <c r="CW912" i="115"/>
  <c r="CZ913" i="115" s="1"/>
  <c r="CX906" i="115"/>
  <c r="DC906" i="115" s="1"/>
  <c r="CW924" i="115"/>
  <c r="CX924" i="115" s="1"/>
  <c r="CX922" i="115"/>
  <c r="DC922" i="115" s="1"/>
  <c r="CW931" i="115"/>
  <c r="CZ935" i="115" s="1"/>
  <c r="CX951" i="115" l="1"/>
  <c r="CW955" i="115"/>
  <c r="CW953" i="115"/>
  <c r="BR236" i="117"/>
  <c r="BR237" i="117"/>
  <c r="BR239" i="117" s="1"/>
  <c r="BQ235" i="117"/>
  <c r="BQ177" i="117"/>
  <c r="CX1609" i="115"/>
  <c r="BQ116" i="117"/>
  <c r="BQ117" i="117" s="1"/>
  <c r="BQ119" i="117" s="1"/>
  <c r="BQ157" i="117"/>
  <c r="BQ203" i="117"/>
  <c r="BQ204" i="117" s="1"/>
  <c r="BQ206" i="117" s="1"/>
  <c r="BQ160" i="117"/>
  <c r="BR196" i="117"/>
  <c r="BQ106" i="117"/>
  <c r="CY906" i="115"/>
  <c r="CW935" i="115"/>
  <c r="CW930" i="115"/>
  <c r="CZ934" i="115" s="1"/>
  <c r="CW913" i="115"/>
  <c r="CX931" i="115"/>
  <c r="DC931" i="115" s="1"/>
  <c r="CY922" i="115"/>
  <c r="CX953" i="115" l="1"/>
  <c r="DC951" i="115"/>
  <c r="CY951" i="115"/>
  <c r="BQ178" i="117"/>
  <c r="BQ193" i="117" s="1"/>
  <c r="BQ236" i="117"/>
  <c r="BQ237" i="117"/>
  <c r="BQ239" i="117" s="1"/>
  <c r="BR241" i="117"/>
  <c r="BR243" i="117" s="1"/>
  <c r="BR245" i="117" s="1"/>
  <c r="BR247" i="117" s="1"/>
  <c r="BR197" i="117"/>
  <c r="BR198" i="117" s="1"/>
  <c r="BR106" i="117"/>
  <c r="BR107" i="117" s="1"/>
  <c r="BR108" i="117" s="1"/>
  <c r="BR110" i="117" s="1"/>
  <c r="CW934" i="115"/>
  <c r="CW938" i="115"/>
  <c r="CW939" i="115" s="1"/>
  <c r="CX930" i="115"/>
  <c r="DC930" i="115" s="1"/>
  <c r="CY931" i="115"/>
  <c r="BQ179" i="117" l="1"/>
  <c r="BQ241" i="117"/>
  <c r="BQ243" i="117" s="1"/>
  <c r="BQ245" i="117" s="1"/>
  <c r="BQ247" i="117" s="1"/>
  <c r="BQ103" i="117"/>
  <c r="BQ107" i="117" s="1"/>
  <c r="BQ108" i="117" s="1"/>
  <c r="BQ197" i="117"/>
  <c r="BQ198" i="117" s="1"/>
  <c r="BR120" i="117"/>
  <c r="BR207" i="117"/>
  <c r="CY930" i="115"/>
  <c r="CX938" i="115"/>
  <c r="CX939" i="115" s="1"/>
  <c r="DH951" i="115" l="1"/>
  <c r="BQ207" i="117"/>
  <c r="BQ208" i="117" s="1"/>
  <c r="BQ120" i="117"/>
  <c r="BR211" i="117"/>
  <c r="BR208" i="117"/>
  <c r="BR123" i="117"/>
  <c r="BR121" i="117"/>
  <c r="DG854" i="115"/>
  <c r="DG852" i="115"/>
  <c r="DH918" i="115"/>
  <c r="DG951" i="115" l="1"/>
  <c r="BQ123" i="117"/>
  <c r="BQ121" i="117"/>
  <c r="DG916" i="115"/>
  <c r="DH952" i="115"/>
  <c r="DH854" i="115"/>
  <c r="DI951" i="115"/>
  <c r="DH912" i="115"/>
  <c r="DH916" i="115"/>
  <c r="DH920" i="115"/>
  <c r="DH852" i="115"/>
  <c r="DI918" i="115"/>
  <c r="DL918" i="115" s="1"/>
  <c r="DG952" i="115"/>
  <c r="DJ951" i="115" l="1"/>
  <c r="DJ952" i="115" s="1"/>
  <c r="DL951" i="115"/>
  <c r="DL920" i="115"/>
  <c r="DL852" i="115"/>
  <c r="DM918" i="115"/>
  <c r="DL916" i="115"/>
  <c r="DG841" i="115"/>
  <c r="DI916" i="115"/>
  <c r="DI841" i="115" s="1"/>
  <c r="DI920" i="115"/>
  <c r="DI852" i="115"/>
  <c r="DJ852" i="115" s="1"/>
  <c r="DK852" i="115" s="1"/>
  <c r="DG931" i="115"/>
  <c r="DG930" i="115"/>
  <c r="DI952" i="115"/>
  <c r="DI854" i="115"/>
  <c r="DJ854" i="115" s="1"/>
  <c r="DK854" i="115" s="1"/>
  <c r="DH906" i="115"/>
  <c r="DH914" i="115"/>
  <c r="DI912" i="115"/>
  <c r="DL912" i="115" s="1"/>
  <c r="DH956" i="115"/>
  <c r="DH957" i="115"/>
  <c r="DH843" i="115"/>
  <c r="DG843" i="115"/>
  <c r="DH841" i="115"/>
  <c r="DH930" i="115"/>
  <c r="DG851" i="115"/>
  <c r="DJ918" i="115"/>
  <c r="DJ920" i="115" s="1"/>
  <c r="DN918" i="115" l="1"/>
  <c r="DN920" i="115" s="1"/>
  <c r="DP918" i="115"/>
  <c r="DL914" i="115"/>
  <c r="DM912" i="115"/>
  <c r="DP912" i="115" s="1"/>
  <c r="DL906" i="115"/>
  <c r="DK951" i="115"/>
  <c r="DL841" i="115"/>
  <c r="DM916" i="115"/>
  <c r="DM841" i="115" s="1"/>
  <c r="DM920" i="115"/>
  <c r="DM852" i="115"/>
  <c r="DN852" i="115" s="1"/>
  <c r="DO852" i="115" s="1"/>
  <c r="DL854" i="115"/>
  <c r="DM951" i="115"/>
  <c r="DL952" i="115"/>
  <c r="DI28" i="115"/>
  <c r="DK952" i="115"/>
  <c r="DJ957" i="115"/>
  <c r="DH30" i="115"/>
  <c r="DH28" i="115"/>
  <c r="DJ841" i="115"/>
  <c r="DI843" i="115"/>
  <c r="DI956" i="115"/>
  <c r="DI957" i="115"/>
  <c r="DG906" i="115"/>
  <c r="DJ916" i="115"/>
  <c r="DK916" i="115" s="1"/>
  <c r="DH905" i="115"/>
  <c r="DH851" i="115"/>
  <c r="DH931" i="115"/>
  <c r="DI930" i="115"/>
  <c r="DI906" i="115"/>
  <c r="DI914" i="115"/>
  <c r="DP951" i="115" l="1"/>
  <c r="DP914" i="115"/>
  <c r="DQ912" i="115"/>
  <c r="DP906" i="115"/>
  <c r="DP852" i="115"/>
  <c r="DP920" i="115"/>
  <c r="DQ918" i="115"/>
  <c r="DR918" i="115" s="1"/>
  <c r="DR920" i="115" s="1"/>
  <c r="DP916" i="115"/>
  <c r="DM28" i="115"/>
  <c r="DN951" i="115"/>
  <c r="DL851" i="115"/>
  <c r="DL905" i="115"/>
  <c r="DN841" i="115"/>
  <c r="DL28" i="115"/>
  <c r="DM914" i="115"/>
  <c r="DM906" i="115"/>
  <c r="DL957" i="115"/>
  <c r="DL956" i="115"/>
  <c r="DL843" i="115"/>
  <c r="DN916" i="115"/>
  <c r="DO916" i="115" s="1"/>
  <c r="DI931" i="115"/>
  <c r="DI935" i="115" s="1"/>
  <c r="DL930" i="115"/>
  <c r="DM854" i="115"/>
  <c r="DN854" i="115" s="1"/>
  <c r="DO854" i="115" s="1"/>
  <c r="DM952" i="115"/>
  <c r="DK841" i="115"/>
  <c r="DI30" i="115"/>
  <c r="DJ930" i="115"/>
  <c r="DK930" i="115" s="1"/>
  <c r="DJ843" i="115"/>
  <c r="DI851" i="115"/>
  <c r="DJ851" i="115" s="1"/>
  <c r="DK851" i="115" s="1"/>
  <c r="DJ906" i="115"/>
  <c r="DI905" i="115"/>
  <c r="DG922" i="115"/>
  <c r="DJ28" i="115"/>
  <c r="DG905" i="115"/>
  <c r="DH922" i="115"/>
  <c r="DH935" i="115"/>
  <c r="DH840" i="115"/>
  <c r="DP841" i="115" l="1"/>
  <c r="DQ852" i="115"/>
  <c r="DR852" i="115" s="1"/>
  <c r="DS852" i="115" s="1"/>
  <c r="DQ920" i="115"/>
  <c r="DQ916" i="115"/>
  <c r="DQ841" i="115" s="1"/>
  <c r="DP905" i="115"/>
  <c r="DP851" i="115"/>
  <c r="DQ914" i="115"/>
  <c r="DQ906" i="115"/>
  <c r="DP854" i="115"/>
  <c r="DQ951" i="115"/>
  <c r="DP952" i="115"/>
  <c r="DO841" i="115"/>
  <c r="DI922" i="115"/>
  <c r="DI925" i="115" s="1"/>
  <c r="DG840" i="115"/>
  <c r="DN952" i="115"/>
  <c r="DO951" i="115"/>
  <c r="DN28" i="115"/>
  <c r="DL30" i="115"/>
  <c r="DL840" i="115"/>
  <c r="DM930" i="115"/>
  <c r="DL931" i="115"/>
  <c r="DM957" i="115"/>
  <c r="DM956" i="115"/>
  <c r="DM843" i="115"/>
  <c r="DM905" i="115"/>
  <c r="DM840" i="115" s="1"/>
  <c r="DM851" i="115"/>
  <c r="DN906" i="115"/>
  <c r="DI840" i="115"/>
  <c r="DJ931" i="115"/>
  <c r="DK931" i="115" s="1"/>
  <c r="DJ30" i="115"/>
  <c r="DK843" i="115"/>
  <c r="DJ938" i="115"/>
  <c r="DJ939" i="115" s="1"/>
  <c r="DJ905" i="115"/>
  <c r="DK905" i="115" s="1"/>
  <c r="DG925" i="115"/>
  <c r="DG912" i="115"/>
  <c r="BT31" i="117"/>
  <c r="DG855" i="115"/>
  <c r="DK906" i="115"/>
  <c r="BT18" i="117"/>
  <c r="DH27" i="115"/>
  <c r="DH925" i="115"/>
  <c r="DH853" i="115"/>
  <c r="DG853" i="115"/>
  <c r="DQ28" i="115" l="1"/>
  <c r="DR951" i="115"/>
  <c r="DR916" i="115"/>
  <c r="DS916" i="115" s="1"/>
  <c r="DM931" i="115"/>
  <c r="DM935" i="115" s="1"/>
  <c r="DP930" i="115"/>
  <c r="DP931" i="115" s="1"/>
  <c r="DP957" i="115"/>
  <c r="DP956" i="115"/>
  <c r="DP843" i="115"/>
  <c r="DQ854" i="115"/>
  <c r="DR854" i="115" s="1"/>
  <c r="DS854" i="115" s="1"/>
  <c r="DQ952" i="115"/>
  <c r="DQ905" i="115"/>
  <c r="DQ840" i="115" s="1"/>
  <c r="DQ851" i="115"/>
  <c r="DR851" i="115" s="1"/>
  <c r="DR906" i="115"/>
  <c r="DP840" i="115"/>
  <c r="DP28" i="115"/>
  <c r="DR841" i="115"/>
  <c r="DJ922" i="115"/>
  <c r="DK922" i="115" s="1"/>
  <c r="DI853" i="115"/>
  <c r="DI855" i="115" s="1"/>
  <c r="DI27" i="115"/>
  <c r="DM30" i="115"/>
  <c r="DJ912" i="115"/>
  <c r="DK912" i="115" s="1"/>
  <c r="DN957" i="115"/>
  <c r="DO952" i="115"/>
  <c r="DO906" i="115"/>
  <c r="DN840" i="115"/>
  <c r="DL27" i="115"/>
  <c r="DM27" i="115"/>
  <c r="DL922" i="115"/>
  <c r="DL935" i="115"/>
  <c r="DN905" i="115"/>
  <c r="DN851" i="115"/>
  <c r="DO851" i="115" s="1"/>
  <c r="DN930" i="115"/>
  <c r="DN843" i="115"/>
  <c r="DJ840" i="115"/>
  <c r="BT73" i="117"/>
  <c r="BT67" i="117"/>
  <c r="BT235" i="117"/>
  <c r="BT146" i="117"/>
  <c r="DG842" i="115"/>
  <c r="DG861" i="115"/>
  <c r="DH855" i="115"/>
  <c r="BU18" i="117"/>
  <c r="DJ925" i="115"/>
  <c r="DH926" i="115"/>
  <c r="DH842" i="115"/>
  <c r="DH927" i="115"/>
  <c r="DI842" i="115"/>
  <c r="DI927" i="115"/>
  <c r="DI926" i="115"/>
  <c r="BU31" i="117"/>
  <c r="DS841" i="115" l="1"/>
  <c r="DR952" i="115"/>
  <c r="DS951" i="115"/>
  <c r="DR28" i="115"/>
  <c r="DM922" i="115"/>
  <c r="DM925" i="115" s="1"/>
  <c r="DS906" i="115"/>
  <c r="DS851" i="115"/>
  <c r="DQ27" i="115"/>
  <c r="DP922" i="115"/>
  <c r="DP935" i="115"/>
  <c r="DR905" i="115"/>
  <c r="DR912" i="115" s="1"/>
  <c r="DR840" i="115"/>
  <c r="DP27" i="115"/>
  <c r="DQ956" i="115"/>
  <c r="DQ843" i="115"/>
  <c r="DQ957" i="115"/>
  <c r="DP30" i="115"/>
  <c r="DQ930" i="115"/>
  <c r="DQ931" i="115" s="1"/>
  <c r="DJ855" i="115"/>
  <c r="DK855" i="115" s="1"/>
  <c r="DJ914" i="115"/>
  <c r="DJ27" i="115"/>
  <c r="DJ853" i="115"/>
  <c r="DK853" i="115" s="1"/>
  <c r="DN30" i="115"/>
  <c r="DO843" i="115"/>
  <c r="DN27" i="115"/>
  <c r="DL853" i="115"/>
  <c r="DL925" i="115"/>
  <c r="DO930" i="115"/>
  <c r="DN938" i="115"/>
  <c r="DN939" i="115" s="1"/>
  <c r="DN931" i="115"/>
  <c r="DO931" i="115" s="1"/>
  <c r="DO840" i="115"/>
  <c r="DN912" i="115"/>
  <c r="DO905" i="115"/>
  <c r="DK840" i="115"/>
  <c r="BX18" i="117"/>
  <c r="DG844" i="115"/>
  <c r="BX31" i="117"/>
  <c r="BV31" i="117"/>
  <c r="BT154" i="117"/>
  <c r="BT156" i="117"/>
  <c r="DH29" i="115"/>
  <c r="DJ842" i="115"/>
  <c r="DH844" i="115"/>
  <c r="BV18" i="117"/>
  <c r="BT237" i="117"/>
  <c r="BT239" i="117" s="1"/>
  <c r="BT236" i="117"/>
  <c r="BU73" i="117"/>
  <c r="DI29" i="115"/>
  <c r="DI844" i="115"/>
  <c r="DJ927" i="115"/>
  <c r="DK925" i="115"/>
  <c r="BU146" i="117"/>
  <c r="BU67" i="117"/>
  <c r="BU235" i="117"/>
  <c r="DQ30" i="115" l="1"/>
  <c r="DR957" i="115"/>
  <c r="DS952" i="115"/>
  <c r="DN922" i="115"/>
  <c r="DO922" i="115" s="1"/>
  <c r="DM853" i="115"/>
  <c r="DM855" i="115" s="1"/>
  <c r="DS840" i="115"/>
  <c r="DQ922" i="115"/>
  <c r="DR922" i="115" s="1"/>
  <c r="DQ935" i="115"/>
  <c r="DR930" i="115"/>
  <c r="DR931" i="115" s="1"/>
  <c r="DS931" i="115" s="1"/>
  <c r="DS905" i="115"/>
  <c r="DP925" i="115"/>
  <c r="DP853" i="115"/>
  <c r="DR843" i="115"/>
  <c r="DS912" i="115"/>
  <c r="DR914" i="115"/>
  <c r="DR27" i="115"/>
  <c r="AH76" i="111"/>
  <c r="DL926" i="115"/>
  <c r="DL927" i="115"/>
  <c r="DL842" i="115"/>
  <c r="DN925" i="115"/>
  <c r="DL855" i="115"/>
  <c r="DO912" i="115"/>
  <c r="DN914" i="115"/>
  <c r="DM926" i="115"/>
  <c r="DM927" i="115"/>
  <c r="DM842" i="115"/>
  <c r="BV146" i="117"/>
  <c r="BV67" i="117"/>
  <c r="BV235" i="117"/>
  <c r="BV236" i="117" s="1"/>
  <c r="DG31" i="115"/>
  <c r="BZ18" i="117"/>
  <c r="BV73" i="117"/>
  <c r="BX73" i="117"/>
  <c r="DH847" i="115"/>
  <c r="DG847" i="115"/>
  <c r="BZ31" i="117"/>
  <c r="DI847" i="115"/>
  <c r="DK842" i="115"/>
  <c r="DJ844" i="115"/>
  <c r="BU154" i="117"/>
  <c r="BU156" i="117"/>
  <c r="DI31" i="115"/>
  <c r="DJ29" i="115"/>
  <c r="DH31" i="115"/>
  <c r="BX235" i="117"/>
  <c r="BX146" i="117"/>
  <c r="BX67" i="117"/>
  <c r="BY18" i="117"/>
  <c r="BU237" i="117"/>
  <c r="BU239" i="117" s="1"/>
  <c r="BU236" i="117"/>
  <c r="BY31" i="117"/>
  <c r="BT116" i="117"/>
  <c r="BT203" i="117"/>
  <c r="BT157" i="117"/>
  <c r="DR30" i="115" l="1"/>
  <c r="DS843" i="115"/>
  <c r="AR26" i="123"/>
  <c r="DN853" i="115"/>
  <c r="DO853" i="115" s="1"/>
  <c r="DS922" i="115"/>
  <c r="DR938" i="115"/>
  <c r="DR939" i="115" s="1"/>
  <c r="DS930" i="115"/>
  <c r="DN855" i="115"/>
  <c r="DO855" i="115" s="1"/>
  <c r="DP842" i="115"/>
  <c r="DP926" i="115"/>
  <c r="DP927" i="115"/>
  <c r="DQ925" i="115"/>
  <c r="DQ853" i="115"/>
  <c r="DQ855" i="115" s="1"/>
  <c r="DP855" i="115"/>
  <c r="DM29" i="115"/>
  <c r="DM844" i="115"/>
  <c r="DN927" i="115"/>
  <c r="DO925" i="115"/>
  <c r="DN842" i="115"/>
  <c r="DL29" i="115"/>
  <c r="DL844" i="115"/>
  <c r="DJ847" i="115"/>
  <c r="DK844" i="115"/>
  <c r="BY235" i="117"/>
  <c r="BY146" i="117"/>
  <c r="BY67" i="117"/>
  <c r="DJ31" i="115"/>
  <c r="AI52" i="111" s="1"/>
  <c r="BZ73" i="117"/>
  <c r="BZ235" i="117"/>
  <c r="BZ236" i="117" s="1"/>
  <c r="BZ146" i="117"/>
  <c r="BZ67" i="117"/>
  <c r="BV156" i="117"/>
  <c r="BV154" i="117"/>
  <c r="BX156" i="117"/>
  <c r="BX154" i="117"/>
  <c r="BY73" i="117"/>
  <c r="BX237" i="117"/>
  <c r="BX239" i="117" s="1"/>
  <c r="BX236" i="117"/>
  <c r="DH55" i="115"/>
  <c r="DH64" i="115"/>
  <c r="CB18" i="117"/>
  <c r="DI64" i="115"/>
  <c r="DI55" i="115"/>
  <c r="CC18" i="117"/>
  <c r="BU116" i="117"/>
  <c r="BU203" i="117"/>
  <c r="BU157" i="117"/>
  <c r="DI896" i="115"/>
  <c r="DI898" i="115" s="1"/>
  <c r="DI856" i="115"/>
  <c r="DI1147" i="115"/>
  <c r="CC31" i="117"/>
  <c r="DG896" i="115"/>
  <c r="DH896" i="115"/>
  <c r="DH898" i="115" s="1"/>
  <c r="DH856" i="115"/>
  <c r="DH1147" i="115"/>
  <c r="CB31" i="117"/>
  <c r="AI76" i="111" l="1"/>
  <c r="DR853" i="115"/>
  <c r="DS853" i="115" s="1"/>
  <c r="DR855" i="115"/>
  <c r="DS855" i="115" s="1"/>
  <c r="DQ927" i="115"/>
  <c r="DQ842" i="115"/>
  <c r="DQ926" i="115"/>
  <c r="DR925" i="115"/>
  <c r="DP29" i="115"/>
  <c r="DP844" i="115"/>
  <c r="DM31" i="115"/>
  <c r="DL847" i="115"/>
  <c r="DN29" i="115"/>
  <c r="DL31" i="115"/>
  <c r="DM847" i="115"/>
  <c r="DO842" i="115"/>
  <c r="DN844" i="115"/>
  <c r="AV22" i="123"/>
  <c r="DK847" i="115"/>
  <c r="DJ896" i="115"/>
  <c r="DJ1147" i="115"/>
  <c r="CD31" i="117"/>
  <c r="BZ154" i="117"/>
  <c r="BZ156" i="117"/>
  <c r="DK31" i="115"/>
  <c r="DJ64" i="115"/>
  <c r="DJ55" i="115"/>
  <c r="CD18" i="117"/>
  <c r="BY156" i="117"/>
  <c r="BY154" i="117"/>
  <c r="CC73" i="117"/>
  <c r="CB73" i="117"/>
  <c r="BV116" i="117"/>
  <c r="BV203" i="117"/>
  <c r="BV157" i="117"/>
  <c r="DG898" i="115"/>
  <c r="CC146" i="117"/>
  <c r="CC67" i="117"/>
  <c r="CC235" i="117"/>
  <c r="CB67" i="117"/>
  <c r="CB235" i="117"/>
  <c r="CB146" i="117"/>
  <c r="BX157" i="117"/>
  <c r="BX116" i="117"/>
  <c r="BX203" i="117"/>
  <c r="BY236" i="117"/>
  <c r="BY237" i="117"/>
  <c r="BY239" i="117" s="1"/>
  <c r="DR842" i="115" l="1"/>
  <c r="DP847" i="115"/>
  <c r="DS842" i="115"/>
  <c r="DP31" i="115"/>
  <c r="DS925" i="115"/>
  <c r="DR927" i="115"/>
  <c r="DQ29" i="115"/>
  <c r="DQ844" i="115"/>
  <c r="DM55" i="115"/>
  <c r="DM64" i="115"/>
  <c r="CG18" i="117"/>
  <c r="DN31" i="115"/>
  <c r="CF18" i="117"/>
  <c r="CF31" i="117"/>
  <c r="CG31" i="117"/>
  <c r="DM896" i="115"/>
  <c r="DM898" i="115" s="1"/>
  <c r="DM1147" i="115"/>
  <c r="DM856" i="115"/>
  <c r="DO844" i="115"/>
  <c r="DN847" i="115"/>
  <c r="DL1147" i="115"/>
  <c r="DL856" i="115"/>
  <c r="DL896" i="115"/>
  <c r="DL898" i="115" s="1"/>
  <c r="DL64" i="115"/>
  <c r="DL55" i="115"/>
  <c r="BZ116" i="117"/>
  <c r="BZ203" i="117"/>
  <c r="BZ157" i="117"/>
  <c r="CD73" i="117"/>
  <c r="CB237" i="117"/>
  <c r="CB239" i="117" s="1"/>
  <c r="CB236" i="117"/>
  <c r="AV25" i="123"/>
  <c r="AV23" i="123"/>
  <c r="CB154" i="117"/>
  <c r="CB156" i="117"/>
  <c r="BY157" i="117"/>
  <c r="BY116" i="117"/>
  <c r="BY203" i="117"/>
  <c r="CD146" i="117"/>
  <c r="CD67" i="117"/>
  <c r="CD235" i="117"/>
  <c r="AV26" i="123"/>
  <c r="CC154" i="117"/>
  <c r="CC156" i="117"/>
  <c r="CC237" i="117"/>
  <c r="CC239" i="117" s="1"/>
  <c r="CC236" i="117"/>
  <c r="DJ898" i="115"/>
  <c r="DK896" i="115"/>
  <c r="DR844" i="115" l="1"/>
  <c r="CJ31" i="117"/>
  <c r="CJ73" i="117" s="1"/>
  <c r="AJ52" i="111"/>
  <c r="AJ76" i="111" s="1"/>
  <c r="CJ18" i="117"/>
  <c r="CJ67" i="117" s="1"/>
  <c r="DP896" i="115"/>
  <c r="DP898" i="115" s="1"/>
  <c r="DP1147" i="115"/>
  <c r="DP856" i="115"/>
  <c r="CG73" i="117"/>
  <c r="CF73" i="117"/>
  <c r="CG67" i="117"/>
  <c r="DQ847" i="115"/>
  <c r="DQ31" i="115"/>
  <c r="DP64" i="115"/>
  <c r="DP55" i="115"/>
  <c r="DR29" i="115"/>
  <c r="DS844" i="115"/>
  <c r="DR847" i="115"/>
  <c r="CH18" i="117"/>
  <c r="DO31" i="115"/>
  <c r="AZ26" i="123" s="1"/>
  <c r="DN64" i="115"/>
  <c r="DN55" i="115"/>
  <c r="CG146" i="117"/>
  <c r="CG235" i="117"/>
  <c r="AZ22" i="123"/>
  <c r="CH31" i="117"/>
  <c r="CF235" i="117"/>
  <c r="CF146" i="117"/>
  <c r="CF67" i="117"/>
  <c r="CD236" i="117"/>
  <c r="DN896" i="115"/>
  <c r="DN1147" i="115"/>
  <c r="DO847" i="115"/>
  <c r="DK898" i="115"/>
  <c r="CB116" i="117"/>
  <c r="CB203" i="117"/>
  <c r="CB157" i="117"/>
  <c r="AV95" i="123"/>
  <c r="AV149" i="123"/>
  <c r="CC116" i="117"/>
  <c r="CC203" i="117"/>
  <c r="CC157" i="117"/>
  <c r="CD156" i="117"/>
  <c r="CD154" i="117"/>
  <c r="CJ146" i="117" l="1"/>
  <c r="CJ154" i="117" s="1"/>
  <c r="CJ116" i="117" s="1"/>
  <c r="CJ235" i="117"/>
  <c r="CJ237" i="117" s="1"/>
  <c r="CJ239" i="117" s="1"/>
  <c r="CK18" i="117"/>
  <c r="CK67" i="117" s="1"/>
  <c r="CL31" i="117"/>
  <c r="CL73" i="117" s="1"/>
  <c r="BD22" i="123"/>
  <c r="DQ1147" i="115"/>
  <c r="CK31" i="117"/>
  <c r="CK73" i="117" s="1"/>
  <c r="CG154" i="117"/>
  <c r="CG116" i="117" s="1"/>
  <c r="CG237" i="117"/>
  <c r="CG239" i="117" s="1"/>
  <c r="CH67" i="117"/>
  <c r="CH73" i="117"/>
  <c r="DQ896" i="115"/>
  <c r="DQ898" i="115" s="1"/>
  <c r="DQ64" i="115"/>
  <c r="DR31" i="115"/>
  <c r="DQ55" i="115"/>
  <c r="DQ856" i="115"/>
  <c r="DS847" i="115"/>
  <c r="DR1147" i="115"/>
  <c r="DR896" i="115"/>
  <c r="CH146" i="117"/>
  <c r="CH235" i="117"/>
  <c r="CG156" i="117"/>
  <c r="CG236" i="117"/>
  <c r="CF154" i="117"/>
  <c r="CF156" i="117"/>
  <c r="AZ23" i="123"/>
  <c r="AZ25" i="123"/>
  <c r="CF237" i="117"/>
  <c r="CF239" i="117" s="1"/>
  <c r="CF236" i="117"/>
  <c r="DN898" i="115"/>
  <c r="DO896" i="115"/>
  <c r="CD116" i="117"/>
  <c r="CD203" i="117"/>
  <c r="CD157" i="117"/>
  <c r="CJ157" i="117" l="1"/>
  <c r="CJ203" i="117"/>
  <c r="AK52" i="111"/>
  <c r="CJ156" i="117"/>
  <c r="CJ236" i="117"/>
  <c r="CK235" i="117"/>
  <c r="CK237" i="117" s="1"/>
  <c r="CK239" i="117" s="1"/>
  <c r="CK146" i="117"/>
  <c r="CK154" i="117" s="1"/>
  <c r="CK203" i="117" s="1"/>
  <c r="BD25" i="123"/>
  <c r="BD23" i="123"/>
  <c r="CG203" i="117"/>
  <c r="DS31" i="115"/>
  <c r="BD26" i="123" s="1"/>
  <c r="CL18" i="117"/>
  <c r="CL67" i="117" s="1"/>
  <c r="CH236" i="117"/>
  <c r="CH154" i="117"/>
  <c r="CH116" i="117" s="1"/>
  <c r="CG157" i="117"/>
  <c r="DR55" i="115"/>
  <c r="DR64" i="115"/>
  <c r="DR898" i="115"/>
  <c r="DS896" i="115"/>
  <c r="CH156" i="117"/>
  <c r="DO898" i="115"/>
  <c r="AZ149" i="123"/>
  <c r="AZ95" i="123"/>
  <c r="CF203" i="117"/>
  <c r="CF116" i="117"/>
  <c r="CF157" i="117"/>
  <c r="AL52" i="111" l="1"/>
  <c r="AM52" i="111" s="1"/>
  <c r="AK76" i="111"/>
  <c r="N76" i="111" s="1"/>
  <c r="DS898" i="115"/>
  <c r="CK116" i="117"/>
  <c r="CK236" i="117"/>
  <c r="CK156" i="117"/>
  <c r="AN52" i="111"/>
  <c r="AO52" i="111" s="1"/>
  <c r="AP52" i="111" s="1"/>
  <c r="CK157" i="117"/>
  <c r="BD95" i="123"/>
  <c r="BD149" i="123"/>
  <c r="CL146" i="117"/>
  <c r="CL235" i="117"/>
  <c r="CL236" i="117" s="1"/>
  <c r="CH157" i="117"/>
  <c r="CH203" i="117"/>
  <c r="O76" i="111" l="1"/>
  <c r="CL154" i="117"/>
  <c r="CL157" i="117" s="1"/>
  <c r="CL156" i="117"/>
  <c r="AQ52" i="111"/>
  <c r="AR52" i="111" s="1"/>
  <c r="CL203" i="117" l="1"/>
  <c r="CL116" i="117"/>
  <c r="DH1474" i="115" l="1"/>
  <c r="AH21" i="111" l="1"/>
  <c r="DG1437" i="115"/>
  <c r="DG1438" i="115" l="1"/>
  <c r="DI1474" i="115" l="1"/>
  <c r="DL1474" i="115" s="1"/>
  <c r="DL1428" i="115" s="1"/>
  <c r="DL1475" i="115" l="1"/>
  <c r="DL1430" i="115"/>
  <c r="DL1417" i="115" s="1"/>
  <c r="DJ1437" i="115"/>
  <c r="AI20" i="111" s="1"/>
  <c r="AI21" i="111" s="1"/>
  <c r="DH1438" i="115"/>
  <c r="DI1438" i="115"/>
  <c r="DH1452" i="115"/>
  <c r="DH1450" i="115" s="1"/>
  <c r="DH1428" i="115" s="1"/>
  <c r="DI1452" i="115"/>
  <c r="DJ1452" i="115" s="1"/>
  <c r="DJ1501" i="115" s="1"/>
  <c r="DO1437" i="115" l="1"/>
  <c r="DL1480" i="115"/>
  <c r="DL1479" i="115"/>
  <c r="DL1418" i="115"/>
  <c r="DK1437" i="115"/>
  <c r="DJ1438" i="115"/>
  <c r="DH1500" i="115"/>
  <c r="DH1496" i="115" s="1"/>
  <c r="DI1450" i="115"/>
  <c r="DI1428" i="115" s="1"/>
  <c r="DJ1428" i="115" s="1"/>
  <c r="DI1449" i="115"/>
  <c r="DI1500" i="115"/>
  <c r="DI1496" i="115" s="1"/>
  <c r="DH1449" i="115"/>
  <c r="DJ1500" i="115" l="1"/>
  <c r="DO1438" i="115"/>
  <c r="DL1482" i="115"/>
  <c r="DH1447" i="115"/>
  <c r="DH1425" i="115" s="1"/>
  <c r="DH1448" i="115"/>
  <c r="DH1426" i="115" s="1"/>
  <c r="DI1447" i="115"/>
  <c r="DI1448" i="115"/>
  <c r="DK1438" i="115"/>
  <c r="DJ1450" i="115"/>
  <c r="DJ1457" i="115" s="1"/>
  <c r="DI1451" i="115"/>
  <c r="DI1429" i="115" s="1"/>
  <c r="DJ1429" i="115" s="1"/>
  <c r="DJ1449" i="115"/>
  <c r="DJ1456" i="115" s="1"/>
  <c r="DH1451" i="115"/>
  <c r="DJ1496" i="115"/>
  <c r="DH1427" i="115" l="1"/>
  <c r="DH1473" i="115" s="1"/>
  <c r="DJ1448" i="115"/>
  <c r="DI1426" i="115"/>
  <c r="DJ1426" i="115" s="1"/>
  <c r="DJ1447" i="115"/>
  <c r="DJ1454" i="115" s="1"/>
  <c r="DI1425" i="115"/>
  <c r="DJ1474" i="115"/>
  <c r="DM1474" i="115" s="1"/>
  <c r="DJ1451" i="115"/>
  <c r="DJ1458" i="115" s="1"/>
  <c r="DI1458" i="115"/>
  <c r="DH1458" i="115"/>
  <c r="DH1429" i="115"/>
  <c r="DJ1455" i="115" l="1"/>
  <c r="DM1428" i="115"/>
  <c r="DN1428" i="115" s="1"/>
  <c r="DP1474" i="115"/>
  <c r="DP1428" i="115" s="1"/>
  <c r="DJ1472" i="115"/>
  <c r="DJ1425" i="115"/>
  <c r="DJ1471" i="115" s="1"/>
  <c r="DI1427" i="115"/>
  <c r="DI1473" i="115" s="1"/>
  <c r="DJ1476" i="115"/>
  <c r="DM1475" i="115" l="1"/>
  <c r="DM1430" i="115"/>
  <c r="DM1417" i="115" s="1"/>
  <c r="DP1475" i="115"/>
  <c r="DP1430" i="115"/>
  <c r="DP1417" i="115" s="1"/>
  <c r="DN1474" i="115"/>
  <c r="DQ1474" i="115" s="1"/>
  <c r="DQ1428" i="115" s="1"/>
  <c r="DN1475" i="115"/>
  <c r="DN1430" i="115" l="1"/>
  <c r="DR1428" i="115"/>
  <c r="DQ1475" i="115"/>
  <c r="DQ1430" i="115"/>
  <c r="DP1480" i="115"/>
  <c r="DP1479" i="115"/>
  <c r="DP1418" i="115"/>
  <c r="DM1479" i="115"/>
  <c r="DM1480" i="115"/>
  <c r="DN1417" i="115"/>
  <c r="AJ31" i="111" s="1"/>
  <c r="AJ23" i="111" s="1"/>
  <c r="DM1418" i="115"/>
  <c r="DP1482" i="115" l="1"/>
  <c r="DR1430" i="115"/>
  <c r="DQ1417" i="115"/>
  <c r="DR1474" i="115"/>
  <c r="DR1475" i="115"/>
  <c r="DN1480" i="115"/>
  <c r="DN1479" i="115"/>
  <c r="DM1482" i="115"/>
  <c r="DN1482" i="115" s="1"/>
  <c r="DN1418" i="115"/>
  <c r="AJ32" i="111" s="1"/>
  <c r="DQ1479" i="115" l="1"/>
  <c r="DR1417" i="115"/>
  <c r="DQ1480" i="115"/>
  <c r="DQ1418" i="115"/>
  <c r="DR1480" i="115" l="1"/>
  <c r="DR1479" i="115"/>
  <c r="DS1417" i="115"/>
  <c r="AK31" i="111" s="1"/>
  <c r="AK23" i="111" s="1"/>
  <c r="DQ1482" i="115"/>
  <c r="DR1482" i="115" s="1"/>
  <c r="DR1418" i="115"/>
  <c r="AK32" i="111" s="1"/>
  <c r="BT7" i="117"/>
  <c r="BT17" i="117" s="1"/>
  <c r="BT19" i="117" s="1"/>
  <c r="BT8" i="117"/>
  <c r="BT9" i="117"/>
  <c r="BT22" i="117"/>
  <c r="BT190" i="117" s="1"/>
  <c r="BT198" i="117" s="1"/>
  <c r="BT29" i="117"/>
  <c r="BT30" i="117"/>
  <c r="BT32" i="117" s="1"/>
  <c r="BT34" i="117"/>
  <c r="BT35" i="117"/>
  <c r="BT37" i="117"/>
  <c r="BT44" i="117"/>
  <c r="BT62" i="117" s="1"/>
  <c r="BT45" i="117"/>
  <c r="BT61" i="117" s="1"/>
  <c r="BT50" i="117"/>
  <c r="BT58" i="117"/>
  <c r="BT59" i="117"/>
  <c r="BT85" i="117" s="1"/>
  <c r="BT71" i="117"/>
  <c r="ES74" i="117"/>
  <c r="ES75" i="117"/>
  <c r="BT240" i="117"/>
  <c r="BT241" i="117" s="1"/>
  <c r="BT243" i="117" s="1"/>
  <c r="BT245" i="117" s="1"/>
  <c r="DS1418" i="115" l="1"/>
  <c r="BT64" i="117"/>
  <c r="BT251" i="117"/>
  <c r="BT68" i="117"/>
  <c r="BT133" i="117"/>
  <c r="BT139" i="117" s="1"/>
  <c r="BT143" i="117" s="1"/>
  <c r="BT127" i="117"/>
  <c r="BT130" i="117" s="1"/>
  <c r="BT131" i="117" s="1"/>
  <c r="BT66" i="117"/>
  <c r="BT75" i="117"/>
  <c r="BT74" i="117"/>
  <c r="BT72" i="117"/>
  <c r="BT38" i="117"/>
  <c r="BT21" i="117"/>
  <c r="BT24" i="117" s="1"/>
  <c r="BT26" i="117" s="1"/>
  <c r="BT120" i="117"/>
  <c r="BT207" i="117"/>
  <c r="ES8" i="117"/>
  <c r="BT142" i="117" l="1"/>
  <c r="BT160" i="117"/>
  <c r="BT161" i="117" s="1"/>
  <c r="BT141" i="117"/>
  <c r="BT202" i="117"/>
  <c r="BT204" i="117" s="1"/>
  <c r="BT206" i="117" s="1"/>
  <c r="BT208" i="117" s="1"/>
  <c r="BT115" i="117"/>
  <c r="BT117" i="117" s="1"/>
  <c r="BT119" i="117" s="1"/>
  <c r="BT123" i="117" s="1"/>
  <c r="BT100" i="117"/>
  <c r="BT108" i="117" s="1"/>
  <c r="BT70" i="117"/>
  <c r="BT246" i="117"/>
  <c r="BT247" i="117" s="1"/>
  <c r="BT28" i="117"/>
  <c r="BT121" i="117" l="1"/>
  <c r="ES42" i="117"/>
  <c r="BT48" i="117"/>
  <c r="BT47" i="117"/>
  <c r="CZ1169" i="115"/>
  <c r="CZ1170" i="115" s="1"/>
  <c r="BT54" i="117"/>
  <c r="BT82" i="117" s="1"/>
  <c r="CZ1159" i="115" l="1"/>
  <c r="ES17" i="117"/>
  <c r="BT63" i="117"/>
  <c r="CZ1161" i="115" l="1"/>
  <c r="CZ1192" i="115" s="1"/>
  <c r="ES45" i="117" l="1"/>
  <c r="DH609" i="115"/>
  <c r="EU50" i="117"/>
  <c r="DI609" i="115" l="1"/>
  <c r="DL609" i="115" s="1"/>
  <c r="DH596" i="115"/>
  <c r="DM609" i="115" l="1"/>
  <c r="DP609" i="115" s="1"/>
  <c r="DL596" i="115"/>
  <c r="DH595" i="115"/>
  <c r="DI596" i="115"/>
  <c r="DQ609" i="115" l="1"/>
  <c r="DP596" i="115"/>
  <c r="DP595" i="115" s="1"/>
  <c r="DP655" i="115" s="1"/>
  <c r="DM596" i="115"/>
  <c r="DM595" i="115" s="1"/>
  <c r="DL595" i="115"/>
  <c r="DH655" i="115"/>
  <c r="DI595" i="115"/>
  <c r="DJ596" i="115"/>
  <c r="DQ596" i="115" l="1"/>
  <c r="DQ595" i="115" s="1"/>
  <c r="DN596" i="115"/>
  <c r="DM655" i="115"/>
  <c r="DN595" i="115"/>
  <c r="DL655" i="115"/>
  <c r="ET51" i="117"/>
  <c r="DI655" i="115"/>
  <c r="DJ595" i="115"/>
  <c r="DR596" i="115" l="1"/>
  <c r="DR595" i="115"/>
  <c r="DR655" i="115" s="1"/>
  <c r="DQ655" i="115"/>
  <c r="DN655" i="115"/>
  <c r="EU51" i="117"/>
  <c r="EU19" i="117"/>
  <c r="DJ655" i="115"/>
  <c r="EU20" i="117" l="1"/>
  <c r="DD1105" i="115" l="1"/>
  <c r="DF1105" i="115" s="1"/>
  <c r="EU41" i="117" l="1"/>
  <c r="DJ1414" i="115" l="1"/>
  <c r="DH1469" i="115"/>
  <c r="DI1469" i="115"/>
  <c r="DH1466" i="115"/>
  <c r="DH1416" i="115"/>
  <c r="DH1468" i="115" s="1"/>
  <c r="DI1466" i="115"/>
  <c r="DI1416" i="115"/>
  <c r="DI1468" i="115" s="1"/>
  <c r="DJ1466" i="115" l="1"/>
  <c r="DO1414" i="115"/>
  <c r="DJ1416" i="115"/>
  <c r="AI30" i="111" s="1"/>
  <c r="DJ1468" i="115"/>
  <c r="DG1414" i="115"/>
  <c r="DJ1469" i="115"/>
  <c r="DK1414" i="115"/>
  <c r="AI22" i="111" l="1"/>
  <c r="AI27" i="111"/>
  <c r="AH22" i="111"/>
  <c r="AH27" i="111"/>
  <c r="EY41" i="117"/>
  <c r="FC41" i="117"/>
  <c r="AL22" i="111"/>
  <c r="AL27" i="111"/>
  <c r="AM27" i="111" s="1"/>
  <c r="AN27" i="111" s="1"/>
  <c r="AO27" i="111" s="1"/>
  <c r="AP27" i="111" s="1"/>
  <c r="AQ27" i="111" s="1"/>
  <c r="AR27" i="111" s="1"/>
  <c r="AS27" i="111" s="1"/>
  <c r="AM22" i="111" l="1"/>
  <c r="AL30" i="111"/>
  <c r="DH1270" i="115"/>
  <c r="AN22" i="111" l="1"/>
  <c r="AM30" i="111"/>
  <c r="DI1270" i="115"/>
  <c r="DL1270" i="115" s="1"/>
  <c r="DH1272" i="115"/>
  <c r="AO22" i="111" l="1"/>
  <c r="AN30" i="111"/>
  <c r="DM1270" i="115"/>
  <c r="DL1272" i="115"/>
  <c r="DH1276" i="115"/>
  <c r="DI1272" i="115"/>
  <c r="DJ1270" i="115"/>
  <c r="DP1270" i="115" l="1"/>
  <c r="AP22" i="111"/>
  <c r="AO30" i="111"/>
  <c r="DL1276" i="115"/>
  <c r="DN1270" i="115"/>
  <c r="DM1272" i="115"/>
  <c r="DJ1272" i="115"/>
  <c r="DI1276" i="115"/>
  <c r="DP1272" i="115" l="1"/>
  <c r="DQ1270" i="115"/>
  <c r="AQ22" i="111"/>
  <c r="AP30" i="111"/>
  <c r="DM1276" i="115"/>
  <c r="DN1272" i="115"/>
  <c r="DJ1276" i="115"/>
  <c r="DP1276" i="115" l="1"/>
  <c r="DR1270" i="115"/>
  <c r="DQ1272" i="115"/>
  <c r="AR22" i="111"/>
  <c r="AQ30" i="111"/>
  <c r="DN1276" i="115"/>
  <c r="DQ1276" i="115" l="1"/>
  <c r="DR1272" i="115"/>
  <c r="AS22" i="111"/>
  <c r="AR30" i="111"/>
  <c r="DR1276" i="115" l="1"/>
  <c r="DH1475" i="115" l="1"/>
  <c r="DH1430" i="115"/>
  <c r="DH1417" i="115" s="1"/>
  <c r="AH23" i="111" l="1"/>
  <c r="DH1479" i="115"/>
  <c r="DH1418" i="115"/>
  <c r="DH1480" i="115"/>
  <c r="DH1482" i="115" l="1"/>
  <c r="DG1417" i="115"/>
  <c r="DG1418" i="115" l="1"/>
  <c r="DJ1427" i="115"/>
  <c r="DJ1473" i="115" s="1"/>
  <c r="DI1430" i="115"/>
  <c r="DI1475" i="115"/>
  <c r="DJ1475" i="115" l="1"/>
  <c r="DJ1430" i="115"/>
  <c r="DI1417" i="115"/>
  <c r="DI1418" i="115" l="1"/>
  <c r="DI1480" i="115"/>
  <c r="DI1479" i="115"/>
  <c r="DJ1417" i="115"/>
  <c r="AI31" i="111" s="1"/>
  <c r="AI23" i="111" s="1"/>
  <c r="DO1417" i="115" l="1"/>
  <c r="DJ1418" i="115"/>
  <c r="AI32" i="111" s="1"/>
  <c r="DI1482" i="115"/>
  <c r="DJ1482" i="115" s="1"/>
  <c r="DK1417" i="115"/>
  <c r="DJ1480" i="115"/>
  <c r="DJ1479" i="115"/>
  <c r="DO1418" i="115" l="1"/>
  <c r="AL23" i="111"/>
  <c r="DK1418" i="115"/>
  <c r="AM23" i="111" l="1"/>
  <c r="AL31" i="111"/>
  <c r="AL32" i="111" s="1"/>
  <c r="AN23" i="111" l="1"/>
  <c r="AM31" i="111"/>
  <c r="AM32" i="111" s="1"/>
  <c r="AO23" i="111" l="1"/>
  <c r="AN31" i="111"/>
  <c r="AN32" i="111" s="1"/>
  <c r="AO31" i="111" l="1"/>
  <c r="AO32" i="111" s="1"/>
  <c r="AP23" i="111"/>
  <c r="AP31" i="111" l="1"/>
  <c r="AP32" i="111" s="1"/>
  <c r="AQ23" i="111"/>
  <c r="CZ1129" i="115"/>
  <c r="DA1169" i="115"/>
  <c r="DA993" i="115"/>
  <c r="BU7" i="117"/>
  <c r="BU17" i="117" s="1"/>
  <c r="BV7" i="117"/>
  <c r="BV64" i="117" s="1"/>
  <c r="BU8" i="117"/>
  <c r="BV8" i="117"/>
  <c r="BU9" i="117"/>
  <c r="BV9" i="117"/>
  <c r="EU11" i="117"/>
  <c r="EU13" i="117" s="1"/>
  <c r="EU12" i="117"/>
  <c r="EU14" i="117" s="1"/>
  <c r="EU16" i="117"/>
  <c r="ET17" i="117"/>
  <c r="EU17" i="117"/>
  <c r="BU22" i="117"/>
  <c r="BU190" i="117" s="1"/>
  <c r="BU198" i="117" s="1"/>
  <c r="BU207" i="117" s="1"/>
  <c r="BV22" i="117"/>
  <c r="EU27" i="117"/>
  <c r="BU29" i="117"/>
  <c r="BV29" i="117"/>
  <c r="EU29" i="117"/>
  <c r="BU30" i="117"/>
  <c r="BU32" i="117" s="1"/>
  <c r="BU74" i="117" s="1"/>
  <c r="BV30" i="117"/>
  <c r="BU34" i="117"/>
  <c r="BV34" i="117"/>
  <c r="BU35" i="117"/>
  <c r="BV35" i="117"/>
  <c r="BU37" i="117"/>
  <c r="BU75" i="117" s="1"/>
  <c r="BV37" i="117"/>
  <c r="BV75" i="117" s="1"/>
  <c r="BU44" i="117"/>
  <c r="BV44" i="117"/>
  <c r="BU45" i="117"/>
  <c r="BU61" i="117" s="1"/>
  <c r="BU46" i="117"/>
  <c r="BV46" i="117"/>
  <c r="BU47" i="117"/>
  <c r="BV47" i="117"/>
  <c r="BU48" i="117"/>
  <c r="BV48" i="117"/>
  <c r="BU50" i="117"/>
  <c r="BV50" i="117"/>
  <c r="BU54" i="117"/>
  <c r="BU82" i="117" s="1"/>
  <c r="BV54" i="117"/>
  <c r="EU55" i="117"/>
  <c r="EU56" i="117"/>
  <c r="BU58" i="117"/>
  <c r="BV58" i="117"/>
  <c r="BU59" i="117"/>
  <c r="BU85" i="117" s="1"/>
  <c r="BV59" i="117"/>
  <c r="BV85" i="117" s="1"/>
  <c r="EU66" i="117"/>
  <c r="EU67" i="117"/>
  <c r="EU70" i="117"/>
  <c r="EU71" i="117"/>
  <c r="BU71" i="117"/>
  <c r="BV71" i="117"/>
  <c r="ET74" i="117"/>
  <c r="EU74" i="117"/>
  <c r="ET75" i="117"/>
  <c r="EU75" i="117"/>
  <c r="BU240" i="117"/>
  <c r="BU241" i="117" s="1"/>
  <c r="BU243" i="117" s="1"/>
  <c r="BU245" i="117" s="1"/>
  <c r="BV240" i="117"/>
  <c r="DD1060" i="115" l="1"/>
  <c r="DF1060" i="115" s="1"/>
  <c r="DA1170" i="115"/>
  <c r="BV17" i="117"/>
  <c r="EU33" i="117" s="1"/>
  <c r="BU64" i="117"/>
  <c r="BV218" i="117"/>
  <c r="BV250" i="117" s="1"/>
  <c r="AR23" i="111"/>
  <c r="AQ31" i="111"/>
  <c r="AQ32" i="111" s="1"/>
  <c r="BV251" i="117"/>
  <c r="BV72" i="117"/>
  <c r="BU72" i="117"/>
  <c r="BU19" i="117"/>
  <c r="BU21" i="117" s="1"/>
  <c r="BU24" i="117" s="1"/>
  <c r="BU133" i="117"/>
  <c r="BU139" i="117" s="1"/>
  <c r="BU202" i="117" s="1"/>
  <c r="BU204" i="117" s="1"/>
  <c r="BU206" i="117" s="1"/>
  <c r="BU208" i="117" s="1"/>
  <c r="BU66" i="117"/>
  <c r="BU127" i="117"/>
  <c r="BU130" i="117" s="1"/>
  <c r="BU131" i="117" s="1"/>
  <c r="BU63" i="117"/>
  <c r="BU38" i="117"/>
  <c r="BU120" i="117"/>
  <c r="EU31" i="117"/>
  <c r="BU62" i="117"/>
  <c r="EU30" i="117"/>
  <c r="DA1175" i="115"/>
  <c r="DD1061" i="115" s="1"/>
  <c r="DF1061" i="115" s="1"/>
  <c r="DB1171" i="115"/>
  <c r="DB1174" i="115"/>
  <c r="DA1173" i="115"/>
  <c r="DD1103" i="115" s="1"/>
  <c r="ET8" i="117"/>
  <c r="BU251" i="117"/>
  <c r="EU25" i="117"/>
  <c r="BV63" i="117"/>
  <c r="BV32" i="117"/>
  <c r="BV74" i="117" s="1"/>
  <c r="BV38" i="117"/>
  <c r="EU28" i="117"/>
  <c r="EU15" i="117"/>
  <c r="EU18" i="117" s="1"/>
  <c r="EU8" i="117"/>
  <c r="EU9" i="117"/>
  <c r="BV62" i="117"/>
  <c r="BV82" i="117"/>
  <c r="EU49" i="117"/>
  <c r="BV190" i="117"/>
  <c r="BV198" i="117" s="1"/>
  <c r="DB993" i="115"/>
  <c r="DB1130" i="115"/>
  <c r="DB1137" i="115" s="1"/>
  <c r="AH99" i="111"/>
  <c r="DA1130" i="115"/>
  <c r="DA1137" i="115" s="1"/>
  <c r="AH86" i="111" l="1"/>
  <c r="DD1064" i="115"/>
  <c r="DF1064" i="115" s="1"/>
  <c r="AH87" i="111" s="1"/>
  <c r="DF1139" i="115"/>
  <c r="DF1144" i="115"/>
  <c r="DD1144" i="115"/>
  <c r="DF1103" i="115"/>
  <c r="DD1139" i="115"/>
  <c r="EU32" i="117"/>
  <c r="BV225" i="117"/>
  <c r="EU24" i="117"/>
  <c r="BV66" i="117"/>
  <c r="BV127" i="117"/>
  <c r="BV130" i="117" s="1"/>
  <c r="BV131" i="117" s="1"/>
  <c r="BV19" i="117"/>
  <c r="BV21" i="117" s="1"/>
  <c r="EU35" i="117" s="1"/>
  <c r="BV133" i="117"/>
  <c r="BV139" i="117" s="1"/>
  <c r="BV142" i="117" s="1"/>
  <c r="BV224" i="117"/>
  <c r="BV233" i="117" s="1"/>
  <c r="BV227" i="117"/>
  <c r="AS23" i="111"/>
  <c r="AR31" i="111"/>
  <c r="AR32" i="111" s="1"/>
  <c r="BU115" i="117"/>
  <c r="BU117" i="117" s="1"/>
  <c r="BU119" i="117" s="1"/>
  <c r="BU123" i="117" s="1"/>
  <c r="BU160" i="117"/>
  <c r="BU142" i="117"/>
  <c r="BU70" i="117"/>
  <c r="BU141" i="117"/>
  <c r="BU68" i="117"/>
  <c r="BU100" i="117"/>
  <c r="BU108" i="117" s="1"/>
  <c r="BU26" i="117"/>
  <c r="DA1176" i="115"/>
  <c r="BV207" i="117"/>
  <c r="BV120" i="117"/>
  <c r="DF1065" i="115" l="1"/>
  <c r="DF1311" i="115" s="1"/>
  <c r="DF1312" i="115" s="1"/>
  <c r="BU246" i="117"/>
  <c r="BU247" i="117" s="1"/>
  <c r="DD1104" i="115"/>
  <c r="BV202" i="117"/>
  <c r="BV204" i="117" s="1"/>
  <c r="BV206" i="117" s="1"/>
  <c r="BV211" i="117" s="1"/>
  <c r="BV68" i="117"/>
  <c r="BV141" i="117"/>
  <c r="EU26" i="117"/>
  <c r="BV160" i="117"/>
  <c r="BV161" i="117" s="1"/>
  <c r="BV24" i="117"/>
  <c r="EU10" i="117"/>
  <c r="BV115" i="117"/>
  <c r="BV117" i="117" s="1"/>
  <c r="BV119" i="117" s="1"/>
  <c r="BV123" i="117" s="1"/>
  <c r="DD1204" i="115"/>
  <c r="DD1205" i="115" s="1"/>
  <c r="BV237" i="117"/>
  <c r="BV239" i="117" s="1"/>
  <c r="BV241" i="117" s="1"/>
  <c r="BV243" i="117" s="1"/>
  <c r="BV245" i="117" s="1"/>
  <c r="BU121" i="117"/>
  <c r="BU28" i="117"/>
  <c r="BV45" i="117"/>
  <c r="ET42" i="117"/>
  <c r="DF1104" i="115" l="1"/>
  <c r="DD1106" i="115"/>
  <c r="BV208" i="117"/>
  <c r="BV121" i="117"/>
  <c r="BV26" i="117"/>
  <c r="BV70" i="117"/>
  <c r="BV100" i="117"/>
  <c r="BV108" i="117" s="1"/>
  <c r="BV110" i="117" s="1"/>
  <c r="BV61" i="117"/>
  <c r="EU7" i="117"/>
  <c r="EU42" i="117"/>
  <c r="DA266" i="115"/>
  <c r="DA978" i="115"/>
  <c r="BV28" i="117" l="1"/>
  <c r="DF1106" i="115"/>
  <c r="DF1107" i="115" s="1"/>
  <c r="DD1202" i="115"/>
  <c r="DD1203" i="115" s="1"/>
  <c r="BV246" i="117"/>
  <c r="BV247" i="117" s="1"/>
  <c r="DB978" i="115"/>
  <c r="EU39" i="117"/>
  <c r="EU72" i="117" s="1"/>
  <c r="DB266" i="115"/>
  <c r="DA268" i="115"/>
  <c r="DD269" i="115" s="1"/>
  <c r="DA262" i="115"/>
  <c r="DA261" i="115"/>
  <c r="DA263" i="115"/>
  <c r="DA514" i="115"/>
  <c r="DA267" i="115"/>
  <c r="DA1158" i="115"/>
  <c r="DA1180" i="115"/>
  <c r="DA1159" i="115"/>
  <c r="DF1209" i="115" l="1"/>
  <c r="DF1109" i="115"/>
  <c r="DF1119" i="115"/>
  <c r="AR157" i="123" s="1"/>
  <c r="DF1118" i="115"/>
  <c r="AR156" i="123" s="1"/>
  <c r="DA985" i="115"/>
  <c r="DA269" i="115"/>
  <c r="DB514" i="115"/>
  <c r="EU40" i="117"/>
  <c r="DB268" i="115"/>
  <c r="DB261" i="115"/>
  <c r="DB263" i="115"/>
  <c r="DB262" i="115"/>
  <c r="DA270" i="115"/>
  <c r="DA264" i="115"/>
  <c r="DB267" i="115"/>
  <c r="EU79" i="117"/>
  <c r="AR144" i="123" l="1"/>
  <c r="AR90" i="123"/>
  <c r="AR143" i="123"/>
  <c r="AR89" i="123"/>
  <c r="DB270" i="115"/>
  <c r="EU73" i="117" s="1"/>
  <c r="DB264" i="115"/>
  <c r="EU43" i="117"/>
  <c r="DB269" i="115"/>
  <c r="DB985" i="115"/>
  <c r="EW51" i="117" l="1"/>
  <c r="AT7" i="111" l="1"/>
  <c r="AU7" i="111" s="1"/>
  <c r="AT8" i="111"/>
  <c r="AU8" i="111" s="1"/>
  <c r="AV8" i="111" s="1"/>
  <c r="AW8" i="111" s="1"/>
  <c r="AX8" i="111" s="1"/>
  <c r="AY8" i="111" s="1"/>
  <c r="AZ8" i="111" s="1"/>
  <c r="BA8" i="111" s="1"/>
  <c r="BB8" i="111" s="1"/>
  <c r="BC8" i="111" s="1"/>
  <c r="BD8" i="111" s="1"/>
  <c r="BE8" i="111" s="1"/>
  <c r="BF8" i="111" s="1"/>
  <c r="BG8" i="111" s="1"/>
  <c r="BH8" i="111" s="1"/>
  <c r="BI8" i="111" s="1"/>
  <c r="BJ8" i="111" s="1"/>
  <c r="BK8" i="111" s="1"/>
  <c r="BL8" i="111" s="1"/>
  <c r="BM8" i="111" s="1"/>
  <c r="BN8" i="111" s="1"/>
  <c r="BO8" i="111" s="1"/>
  <c r="BP8" i="111" s="1"/>
  <c r="BQ8" i="111" s="1"/>
  <c r="BR8" i="111" s="1"/>
  <c r="BS8" i="111" s="1"/>
  <c r="BT8" i="111" s="1"/>
  <c r="BU8" i="111" s="1"/>
  <c r="BV8" i="111" s="1"/>
  <c r="BW8" i="111" s="1"/>
  <c r="BX8" i="111" s="1"/>
  <c r="BY8" i="111" s="1"/>
  <c r="BZ8" i="111" s="1"/>
  <c r="CA8" i="111" s="1"/>
  <c r="CB8" i="111" s="1"/>
  <c r="CC8" i="111" s="1"/>
  <c r="CD8" i="111" s="1"/>
  <c r="CE8" i="111" s="1"/>
  <c r="CF8" i="111" s="1"/>
  <c r="CG8" i="111" s="1"/>
  <c r="AS9" i="111"/>
  <c r="AS12" i="111" s="1"/>
  <c r="AT17" i="111"/>
  <c r="AU17" i="111" s="1"/>
  <c r="AV17" i="111" s="1"/>
  <c r="AT18" i="111"/>
  <c r="AU18" i="111" s="1"/>
  <c r="AV18" i="111" s="1"/>
  <c r="AS19" i="111"/>
  <c r="AS30" i="111" s="1"/>
  <c r="AS20" i="111"/>
  <c r="AS31" i="111" s="1"/>
  <c r="AT22" i="111"/>
  <c r="AU22" i="111" s="1"/>
  <c r="AV22" i="111" s="1"/>
  <c r="AW22" i="111" s="1"/>
  <c r="AT23" i="111"/>
  <c r="AU23" i="111" s="1"/>
  <c r="AT27" i="111"/>
  <c r="AU27" i="111" s="1"/>
  <c r="AV27" i="111" s="1"/>
  <c r="AW27" i="111" s="1"/>
  <c r="AX27" i="111" s="1"/>
  <c r="AY27" i="111" s="1"/>
  <c r="AZ27" i="111" s="1"/>
  <c r="BA27" i="111" s="1"/>
  <c r="BB27" i="111" s="1"/>
  <c r="BC27" i="111" s="1"/>
  <c r="BD27" i="111" s="1"/>
  <c r="BE27" i="111" s="1"/>
  <c r="BF27" i="111" s="1"/>
  <c r="BG27" i="111" s="1"/>
  <c r="BH27" i="111" s="1"/>
  <c r="BI27" i="111" s="1"/>
  <c r="BJ27" i="111" s="1"/>
  <c r="BK27" i="111" s="1"/>
  <c r="BL27" i="111" s="1"/>
  <c r="BM27" i="111" s="1"/>
  <c r="BN27" i="111" s="1"/>
  <c r="BO27" i="111" s="1"/>
  <c r="BP27" i="111" s="1"/>
  <c r="BQ27" i="111" s="1"/>
  <c r="BR27" i="111" s="1"/>
  <c r="BS27" i="111" s="1"/>
  <c r="BT27" i="111" s="1"/>
  <c r="BU27" i="111" s="1"/>
  <c r="BV27" i="111" s="1"/>
  <c r="BW27" i="111" s="1"/>
  <c r="BX27" i="111" s="1"/>
  <c r="BY27" i="111" s="1"/>
  <c r="BZ27" i="111" s="1"/>
  <c r="CA27" i="111" s="1"/>
  <c r="CB27" i="111" s="1"/>
  <c r="CC27" i="111" s="1"/>
  <c r="CD27" i="111" s="1"/>
  <c r="CE27" i="111" s="1"/>
  <c r="CF27" i="111" s="1"/>
  <c r="CG27" i="111" s="1"/>
  <c r="AS32" i="111" l="1"/>
  <c r="AT19" i="111"/>
  <c r="AT30" i="111" s="1"/>
  <c r="AT20" i="111"/>
  <c r="AX22" i="111"/>
  <c r="AW17" i="111"/>
  <c r="AW18" i="111"/>
  <c r="AV20" i="111"/>
  <c r="AV7" i="111"/>
  <c r="AU9" i="111"/>
  <c r="AV23" i="111"/>
  <c r="AS21" i="111"/>
  <c r="AU20" i="111"/>
  <c r="AU31" i="111" s="1"/>
  <c r="AU19" i="111"/>
  <c r="AT9" i="111"/>
  <c r="AT12" i="111" s="1"/>
  <c r="AT21" i="111" l="1"/>
  <c r="AT31" i="111"/>
  <c r="AT32" i="111" s="1"/>
  <c r="AX17" i="111"/>
  <c r="AW20" i="111"/>
  <c r="AX18" i="111"/>
  <c r="AW7" i="111"/>
  <c r="AW19" i="111" s="1"/>
  <c r="AV9" i="111"/>
  <c r="AV12" i="111" s="1"/>
  <c r="AW23" i="111"/>
  <c r="AV31" i="111"/>
  <c r="AU21" i="111"/>
  <c r="AU30" i="111"/>
  <c r="AU32" i="111" s="1"/>
  <c r="AU12" i="111"/>
  <c r="AV19" i="111"/>
  <c r="AY22" i="111"/>
  <c r="AW21" i="111" l="1"/>
  <c r="AW30" i="111"/>
  <c r="AZ22" i="111"/>
  <c r="AX7" i="111"/>
  <c r="AW9" i="111"/>
  <c r="AW12" i="111" s="1"/>
  <c r="AV21" i="111"/>
  <c r="AV30" i="111"/>
  <c r="AV32" i="111" s="1"/>
  <c r="AY18" i="111"/>
  <c r="AX20" i="111"/>
  <c r="AY17" i="111"/>
  <c r="AX23" i="111"/>
  <c r="AW31" i="111"/>
  <c r="AZ18" i="111" l="1"/>
  <c r="AY20" i="111"/>
  <c r="AY23" i="111"/>
  <c r="AX31" i="111"/>
  <c r="AY7" i="111"/>
  <c r="AY19" i="111" s="1"/>
  <c r="AX9" i="111"/>
  <c r="AX12" i="111" s="1"/>
  <c r="BA22" i="111"/>
  <c r="AX19" i="111"/>
  <c r="AW32" i="111"/>
  <c r="AZ17" i="111"/>
  <c r="BA17" i="111" l="1"/>
  <c r="BB22" i="111"/>
  <c r="AZ23" i="111"/>
  <c r="AY31" i="111"/>
  <c r="AY21" i="111"/>
  <c r="AY30" i="111"/>
  <c r="AX21" i="111"/>
  <c r="AX30" i="111"/>
  <c r="AX32" i="111" s="1"/>
  <c r="AZ7" i="111"/>
  <c r="AY9" i="111"/>
  <c r="AY12" i="111" s="1"/>
  <c r="BA18" i="111"/>
  <c r="AZ20" i="111"/>
  <c r="AY32" i="111" l="1"/>
  <c r="BB17" i="111"/>
  <c r="BA7" i="111"/>
  <c r="AZ9" i="111"/>
  <c r="AZ12" i="111" s="1"/>
  <c r="BC22" i="111"/>
  <c r="BA20" i="111"/>
  <c r="BB18" i="111"/>
  <c r="BA23" i="111"/>
  <c r="AZ31" i="111"/>
  <c r="AZ19" i="111"/>
  <c r="BB23" i="111" l="1"/>
  <c r="BA31" i="111"/>
  <c r="BB7" i="111"/>
  <c r="BA9" i="111"/>
  <c r="BA12" i="111" s="1"/>
  <c r="AZ21" i="111"/>
  <c r="AZ30" i="111"/>
  <c r="AZ32" i="111" s="1"/>
  <c r="BC18" i="111"/>
  <c r="BB20" i="111"/>
  <c r="BD22" i="111"/>
  <c r="BA19" i="111"/>
  <c r="BC17" i="111"/>
  <c r="BD17" i="111" l="1"/>
  <c r="BA21" i="111"/>
  <c r="BA30" i="111"/>
  <c r="BA32" i="111" s="1"/>
  <c r="BD18" i="111"/>
  <c r="BC20" i="111"/>
  <c r="BC7" i="111"/>
  <c r="BB9" i="111"/>
  <c r="BB12" i="111" s="1"/>
  <c r="BB19" i="111"/>
  <c r="BE22" i="111"/>
  <c r="BC23" i="111"/>
  <c r="BB31" i="111"/>
  <c r="BF22" i="111" l="1"/>
  <c r="BD7" i="111"/>
  <c r="BC9" i="111"/>
  <c r="BC12" i="111" s="1"/>
  <c r="BD23" i="111"/>
  <c r="BC31" i="111"/>
  <c r="BB21" i="111"/>
  <c r="BB30" i="111"/>
  <c r="BB32" i="111" s="1"/>
  <c r="BC19" i="111"/>
  <c r="BE18" i="111"/>
  <c r="BD20" i="111"/>
  <c r="BE17" i="111"/>
  <c r="BE20" i="111" l="1"/>
  <c r="BF18" i="111"/>
  <c r="BE7" i="111"/>
  <c r="BE19" i="111" s="1"/>
  <c r="BD9" i="111"/>
  <c r="BD12" i="111" s="1"/>
  <c r="BD19" i="111"/>
  <c r="BC21" i="111"/>
  <c r="BC30" i="111"/>
  <c r="BC32" i="111" s="1"/>
  <c r="BE23" i="111"/>
  <c r="BD31" i="111"/>
  <c r="BF17" i="111"/>
  <c r="BG22" i="111"/>
  <c r="BE21" i="111" l="1"/>
  <c r="BE30" i="111"/>
  <c r="BF23" i="111"/>
  <c r="BE31" i="111"/>
  <c r="BF7" i="111"/>
  <c r="BF19" i="111" s="1"/>
  <c r="BE9" i="111"/>
  <c r="BE12" i="111" s="1"/>
  <c r="BG17" i="111"/>
  <c r="BG18" i="111"/>
  <c r="BF20" i="111"/>
  <c r="BH22" i="111"/>
  <c r="BD21" i="111"/>
  <c r="BD30" i="111"/>
  <c r="BD32" i="111" s="1"/>
  <c r="BI22" i="111" l="1"/>
  <c r="BF21" i="111"/>
  <c r="BF30" i="111"/>
  <c r="BH17" i="111"/>
  <c r="BH18" i="111"/>
  <c r="BG20" i="111"/>
  <c r="BG23" i="111"/>
  <c r="BF31" i="111"/>
  <c r="BG7" i="111"/>
  <c r="BG19" i="111" s="1"/>
  <c r="BF9" i="111"/>
  <c r="BF12" i="111" s="1"/>
  <c r="BE32" i="111"/>
  <c r="BH23" i="111" l="1"/>
  <c r="BG31" i="111"/>
  <c r="BG21" i="111"/>
  <c r="BG30" i="111"/>
  <c r="BH7" i="111"/>
  <c r="BH19" i="111" s="1"/>
  <c r="BG9" i="111"/>
  <c r="BG12" i="111" s="1"/>
  <c r="BI18" i="111"/>
  <c r="BH20" i="111"/>
  <c r="BF32" i="111"/>
  <c r="BI17" i="111"/>
  <c r="BJ22" i="111"/>
  <c r="BG32" i="111" l="1"/>
  <c r="BI20" i="111"/>
  <c r="BJ18" i="111"/>
  <c r="BK22" i="111"/>
  <c r="BJ17" i="111"/>
  <c r="BH21" i="111"/>
  <c r="BH30" i="111"/>
  <c r="BI7" i="111"/>
  <c r="BH9" i="111"/>
  <c r="BH12" i="111" s="1"/>
  <c r="BI23" i="111"/>
  <c r="BH31" i="111"/>
  <c r="BL22" i="111" l="1"/>
  <c r="BJ23" i="111"/>
  <c r="BI31" i="111"/>
  <c r="BJ7" i="111"/>
  <c r="BJ19" i="111" s="1"/>
  <c r="BI9" i="111"/>
  <c r="BI12" i="111" s="1"/>
  <c r="BI19" i="111"/>
  <c r="BK18" i="111"/>
  <c r="BJ20" i="111"/>
  <c r="BH32" i="111"/>
  <c r="BK17" i="111"/>
  <c r="BL18" i="111" l="1"/>
  <c r="BK20" i="111"/>
  <c r="BJ21" i="111"/>
  <c r="BJ30" i="111"/>
  <c r="BL17" i="111"/>
  <c r="BI21" i="111"/>
  <c r="BI30" i="111"/>
  <c r="BI32" i="111" s="1"/>
  <c r="BK23" i="111"/>
  <c r="BJ31" i="111"/>
  <c r="BK7" i="111"/>
  <c r="BJ9" i="111"/>
  <c r="BJ12" i="111" s="1"/>
  <c r="BM22" i="111"/>
  <c r="BL7" i="111" l="1"/>
  <c r="BL19" i="111" s="1"/>
  <c r="BK9" i="111"/>
  <c r="BK12" i="111" s="1"/>
  <c r="BK19" i="111"/>
  <c r="BN22" i="111"/>
  <c r="BL23" i="111"/>
  <c r="BK31" i="111"/>
  <c r="BM17" i="111"/>
  <c r="BJ32" i="111"/>
  <c r="BM18" i="111"/>
  <c r="BL20" i="111"/>
  <c r="BM23" i="111" l="1"/>
  <c r="BL31" i="111"/>
  <c r="BL21" i="111"/>
  <c r="BL30" i="111"/>
  <c r="BM20" i="111"/>
  <c r="BN18" i="111"/>
  <c r="BN17" i="111"/>
  <c r="BO22" i="111"/>
  <c r="BK21" i="111"/>
  <c r="BK30" i="111"/>
  <c r="BK32" i="111" s="1"/>
  <c r="BM7" i="111"/>
  <c r="BM19" i="111" s="1"/>
  <c r="BL9" i="111"/>
  <c r="BL12" i="111" s="1"/>
  <c r="BL32" i="111" l="1"/>
  <c r="BM21" i="111"/>
  <c r="BM30" i="111"/>
  <c r="BO17" i="111"/>
  <c r="BO18" i="111"/>
  <c r="BN20" i="111"/>
  <c r="BN7" i="111"/>
  <c r="BM9" i="111"/>
  <c r="BM12" i="111" s="1"/>
  <c r="BP22" i="111"/>
  <c r="BN23" i="111"/>
  <c r="BM31" i="111"/>
  <c r="BM32" i="111" l="1"/>
  <c r="BO23" i="111"/>
  <c r="BN31" i="111"/>
  <c r="BP18" i="111"/>
  <c r="BO20" i="111"/>
  <c r="BO7" i="111"/>
  <c r="BN9" i="111"/>
  <c r="BN12" i="111" s="1"/>
  <c r="BN19" i="111"/>
  <c r="BQ22" i="111"/>
  <c r="BP17" i="111"/>
  <c r="BQ17" i="111" l="1"/>
  <c r="BQ18" i="111"/>
  <c r="BP20" i="111"/>
  <c r="BP7" i="111"/>
  <c r="BP19" i="111" s="1"/>
  <c r="BO9" i="111"/>
  <c r="BO12" i="111" s="1"/>
  <c r="BR22" i="111"/>
  <c r="BP23" i="111"/>
  <c r="BO31" i="111"/>
  <c r="BO19" i="111"/>
  <c r="BN21" i="111"/>
  <c r="BN30" i="111"/>
  <c r="BN32" i="111" s="1"/>
  <c r="BO21" i="111" l="1"/>
  <c r="BO30" i="111"/>
  <c r="BO32" i="111" s="1"/>
  <c r="BS22" i="111"/>
  <c r="BQ20" i="111"/>
  <c r="BR18" i="111"/>
  <c r="BP21" i="111"/>
  <c r="BP30" i="111"/>
  <c r="BQ23" i="111"/>
  <c r="BP31" i="111"/>
  <c r="BQ7" i="111"/>
  <c r="BQ19" i="111" s="1"/>
  <c r="BP9" i="111"/>
  <c r="BP12" i="111" s="1"/>
  <c r="BR17" i="111"/>
  <c r="BT22" i="111" l="1"/>
  <c r="BQ21" i="111"/>
  <c r="BQ30" i="111"/>
  <c r="BS17" i="111"/>
  <c r="BR23" i="111"/>
  <c r="BQ31" i="111"/>
  <c r="BS18" i="111"/>
  <c r="BR20" i="111"/>
  <c r="BR7" i="111"/>
  <c r="BQ9" i="111"/>
  <c r="BQ12" i="111" s="1"/>
  <c r="BP32" i="111"/>
  <c r="BT17" i="111" l="1"/>
  <c r="BT18" i="111"/>
  <c r="BS20" i="111"/>
  <c r="BQ32" i="111"/>
  <c r="BS7" i="111"/>
  <c r="BS19" i="111" s="1"/>
  <c r="BR9" i="111"/>
  <c r="BR12" i="111" s="1"/>
  <c r="BS23" i="111"/>
  <c r="BR31" i="111"/>
  <c r="BU22" i="111"/>
  <c r="BR19" i="111"/>
  <c r="BS21" i="111" l="1"/>
  <c r="BS30" i="111"/>
  <c r="BU18" i="111"/>
  <c r="BT20" i="111"/>
  <c r="BR21" i="111"/>
  <c r="BR30" i="111"/>
  <c r="BR32" i="111" s="1"/>
  <c r="BU17" i="111"/>
  <c r="BV22" i="111"/>
  <c r="BT7" i="111"/>
  <c r="BS9" i="111"/>
  <c r="BS12" i="111" s="1"/>
  <c r="BT23" i="111"/>
  <c r="BS31" i="111"/>
  <c r="BU7" i="111" l="1"/>
  <c r="BU19" i="111" s="1"/>
  <c r="BT9" i="111"/>
  <c r="BT12" i="111" s="1"/>
  <c r="BV17" i="111"/>
  <c r="BU20" i="111"/>
  <c r="BV18" i="111"/>
  <c r="BU23" i="111"/>
  <c r="BT31" i="111"/>
  <c r="BW22" i="111"/>
  <c r="BS32" i="111"/>
  <c r="BT19" i="111"/>
  <c r="BU21" i="111" l="1"/>
  <c r="BU30" i="111"/>
  <c r="BV23" i="111"/>
  <c r="BU31" i="111"/>
  <c r="BW17" i="111"/>
  <c r="BW18" i="111"/>
  <c r="BV20" i="111"/>
  <c r="BT21" i="111"/>
  <c r="BT30" i="111"/>
  <c r="BT32" i="111" s="1"/>
  <c r="BX22" i="111"/>
  <c r="BV7" i="111"/>
  <c r="BV19" i="111" s="1"/>
  <c r="BU9" i="111"/>
  <c r="BU12" i="111" s="1"/>
  <c r="BU32" i="111" l="1"/>
  <c r="BY22" i="111"/>
  <c r="BX18" i="111"/>
  <c r="BW20" i="111"/>
  <c r="BW23" i="111"/>
  <c r="BV31" i="111"/>
  <c r="BV21" i="111"/>
  <c r="BV30" i="111"/>
  <c r="BW7" i="111"/>
  <c r="BW19" i="111" s="1"/>
  <c r="BV9" i="111"/>
  <c r="BV12" i="111" s="1"/>
  <c r="BX17" i="111"/>
  <c r="BV32" i="111" l="1"/>
  <c r="BY17" i="111"/>
  <c r="BX23" i="111"/>
  <c r="BW31" i="111"/>
  <c r="BY18" i="111"/>
  <c r="BX20" i="111"/>
  <c r="BW21" i="111"/>
  <c r="BW30" i="111"/>
  <c r="BX7" i="111"/>
  <c r="BW9" i="111"/>
  <c r="BW12" i="111" s="1"/>
  <c r="BZ22" i="111"/>
  <c r="BY23" i="111" l="1"/>
  <c r="BX31" i="111"/>
  <c r="BY7" i="111"/>
  <c r="BX9" i="111"/>
  <c r="BX12" i="111" s="1"/>
  <c r="BY20" i="111"/>
  <c r="BZ18" i="111"/>
  <c r="BX19" i="111"/>
  <c r="CA22" i="111"/>
  <c r="BW32" i="111"/>
  <c r="BZ17" i="111"/>
  <c r="CA17" i="111" l="1"/>
  <c r="BX21" i="111"/>
  <c r="BX30" i="111"/>
  <c r="BX32" i="111" s="1"/>
  <c r="BZ7" i="111"/>
  <c r="BZ19" i="111" s="1"/>
  <c r="BY9" i="111"/>
  <c r="BY12" i="111" s="1"/>
  <c r="CA18" i="111"/>
  <c r="BZ20" i="111"/>
  <c r="BZ23" i="111"/>
  <c r="BY31" i="111"/>
  <c r="BY19" i="111"/>
  <c r="CB22" i="111"/>
  <c r="BY21" i="111" l="1"/>
  <c r="BY30" i="111"/>
  <c r="BY32" i="111" s="1"/>
  <c r="CB18" i="111"/>
  <c r="CA20" i="111"/>
  <c r="CA23" i="111"/>
  <c r="BZ31" i="111"/>
  <c r="BZ21" i="111"/>
  <c r="BZ30" i="111"/>
  <c r="CC22" i="111"/>
  <c r="CA7" i="111"/>
  <c r="BZ9" i="111"/>
  <c r="BZ12" i="111" s="1"/>
  <c r="CB17" i="111"/>
  <c r="BZ32" i="111" l="1"/>
  <c r="CB7" i="111"/>
  <c r="CB19" i="111" s="1"/>
  <c r="CA9" i="111"/>
  <c r="CA12" i="111" s="1"/>
  <c r="CA19" i="111"/>
  <c r="CD22" i="111"/>
  <c r="CB23" i="111"/>
  <c r="CA31" i="111"/>
  <c r="CC18" i="111"/>
  <c r="CB20" i="111"/>
  <c r="CC17" i="111"/>
  <c r="CB21" i="111" l="1"/>
  <c r="CB30" i="111"/>
  <c r="CA21" i="111"/>
  <c r="CA30" i="111"/>
  <c r="CA32" i="111" s="1"/>
  <c r="CC23" i="111"/>
  <c r="CB31" i="111"/>
  <c r="CD17" i="111"/>
  <c r="CC20" i="111"/>
  <c r="CD18" i="111"/>
  <c r="CE22" i="111"/>
  <c r="CC7" i="111"/>
  <c r="CC19" i="111" s="1"/>
  <c r="CB9" i="111"/>
  <c r="CB12" i="111" s="1"/>
  <c r="CC21" i="111" l="1"/>
  <c r="CC30" i="111"/>
  <c r="CF22" i="111"/>
  <c r="CE17" i="111"/>
  <c r="CE18" i="111"/>
  <c r="CD20" i="111"/>
  <c r="CB32" i="111"/>
  <c r="CD7" i="111"/>
  <c r="CC9" i="111"/>
  <c r="CC12" i="111" s="1"/>
  <c r="CD23" i="111"/>
  <c r="CC31" i="111"/>
  <c r="CE7" i="111" l="1"/>
  <c r="CE19" i="111" s="1"/>
  <c r="CD9" i="111"/>
  <c r="CD12" i="111" s="1"/>
  <c r="CD19" i="111"/>
  <c r="CF17" i="111"/>
  <c r="CE23" i="111"/>
  <c r="CD31" i="111"/>
  <c r="CC32" i="111"/>
  <c r="CF18" i="111"/>
  <c r="CE20" i="111"/>
  <c r="CG22" i="111"/>
  <c r="CD21" i="111" l="1"/>
  <c r="CD30" i="111"/>
  <c r="CD32" i="111" s="1"/>
  <c r="CG17" i="111"/>
  <c r="CF23" i="111"/>
  <c r="CE31" i="111"/>
  <c r="CG18" i="111"/>
  <c r="CG20" i="111" s="1"/>
  <c r="CF20" i="111"/>
  <c r="CE21" i="111"/>
  <c r="CE30" i="111"/>
  <c r="CF7" i="111"/>
  <c r="CE9" i="111"/>
  <c r="CE12" i="111" s="1"/>
  <c r="CE32" i="111" l="1"/>
  <c r="CG23" i="111"/>
  <c r="CG31" i="111" s="1"/>
  <c r="CF31" i="111"/>
  <c r="CG7" i="111"/>
  <c r="CG9" i="111" s="1"/>
  <c r="CF9" i="111"/>
  <c r="CF12" i="111" s="1"/>
  <c r="CF19" i="111"/>
  <c r="CG19" i="111" l="1"/>
  <c r="CG30" i="111" s="1"/>
  <c r="CG32" i="111" s="1"/>
  <c r="CF21" i="111"/>
  <c r="CF30" i="111"/>
  <c r="CF32" i="111" s="1"/>
  <c r="CG12" i="111"/>
  <c r="CG21" i="111" l="1"/>
  <c r="AH98" i="111" l="1"/>
  <c r="AM42" i="111"/>
  <c r="AN42" i="111" s="1"/>
  <c r="AO42" i="111" s="1"/>
  <c r="AP42" i="111" s="1"/>
  <c r="AQ42" i="111" s="1"/>
  <c r="AR42" i="111" s="1"/>
  <c r="AS42" i="111" s="1"/>
  <c r="AT42" i="111" s="1"/>
  <c r="AU42" i="111" s="1"/>
  <c r="AV42" i="111" s="1"/>
  <c r="AW42" i="111" s="1"/>
  <c r="AX42" i="111" s="1"/>
  <c r="AY42" i="111" s="1"/>
  <c r="AZ42" i="111" s="1"/>
  <c r="BA42" i="111" s="1"/>
  <c r="BB42" i="111" s="1"/>
  <c r="BC42" i="111" s="1"/>
  <c r="BD42" i="111" s="1"/>
  <c r="BE42" i="111" s="1"/>
  <c r="BF42" i="111" s="1"/>
  <c r="BG42" i="111" s="1"/>
  <c r="BH42" i="111" s="1"/>
  <c r="BI42" i="111" s="1"/>
  <c r="BJ42" i="111" s="1"/>
  <c r="BK42" i="111" s="1"/>
  <c r="BL42" i="111" s="1"/>
  <c r="BM42" i="111" s="1"/>
  <c r="BN42" i="111" s="1"/>
  <c r="BO42" i="111" s="1"/>
  <c r="BP42" i="111" s="1"/>
  <c r="BQ42" i="111" s="1"/>
  <c r="BR42" i="111" s="1"/>
  <c r="BS42" i="111" s="1"/>
  <c r="BT42" i="111" s="1"/>
  <c r="BU42" i="111" s="1"/>
  <c r="BV42" i="111" s="1"/>
  <c r="BW42" i="111" s="1"/>
  <c r="BX42" i="111" s="1"/>
  <c r="BY42" i="111" s="1"/>
  <c r="BZ42" i="111" s="1"/>
  <c r="CA42" i="111" s="1"/>
  <c r="CB42" i="111" s="1"/>
  <c r="CC42" i="111" s="1"/>
  <c r="CD42" i="111" s="1"/>
  <c r="CE42" i="111" s="1"/>
  <c r="CF42" i="111" s="1"/>
  <c r="CG42" i="111" s="1"/>
  <c r="DN1053" i="115" l="1"/>
  <c r="BX7" i="117" l="1"/>
  <c r="BX64" i="117" s="1"/>
  <c r="BX8" i="117"/>
  <c r="BX9" i="117"/>
  <c r="EW17" i="117"/>
  <c r="BX22" i="117"/>
  <c r="BX190" i="117" s="1"/>
  <c r="BX198" i="117" s="1"/>
  <c r="BX120" i="117" s="1"/>
  <c r="BX29" i="117"/>
  <c r="BX30" i="117"/>
  <c r="BX32" i="117" s="1"/>
  <c r="BX74" i="117" s="1"/>
  <c r="BX34" i="117"/>
  <c r="BX35" i="117"/>
  <c r="BX37" i="117"/>
  <c r="BX75" i="117" s="1"/>
  <c r="EW42" i="117"/>
  <c r="BX44" i="117"/>
  <c r="BX45" i="117"/>
  <c r="BX61" i="117" s="1"/>
  <c r="BX46" i="117"/>
  <c r="BX47" i="117"/>
  <c r="BX48" i="117"/>
  <c r="BX50" i="117"/>
  <c r="BX54" i="117"/>
  <c r="BX82" i="117" s="1"/>
  <c r="BX58" i="117"/>
  <c r="BX59" i="117"/>
  <c r="BX85" i="117" s="1"/>
  <c r="BX71" i="117"/>
  <c r="EW74" i="117"/>
  <c r="EW75" i="117"/>
  <c r="BX240" i="117"/>
  <c r="BX241" i="117" s="1"/>
  <c r="BX243" i="117" s="1"/>
  <c r="BX245" i="117" s="1"/>
  <c r="G5" i="111"/>
  <c r="C9" i="111"/>
  <c r="H5" i="111" l="1"/>
  <c r="J5" i="111" s="1"/>
  <c r="AH137" i="111"/>
  <c r="AH138" i="111" s="1"/>
  <c r="EX51" i="117"/>
  <c r="BX62" i="117"/>
  <c r="BX17" i="117"/>
  <c r="BX133" i="117" s="1"/>
  <c r="BX141" i="117" s="1"/>
  <c r="BX63" i="117"/>
  <c r="EY50" i="117"/>
  <c r="BX251" i="117"/>
  <c r="BX72" i="117"/>
  <c r="BX207" i="117"/>
  <c r="EW8" i="117"/>
  <c r="BX38" i="117"/>
  <c r="AH149" i="111" l="1"/>
  <c r="AH151" i="111" s="1"/>
  <c r="AH152" i="111" s="1"/>
  <c r="AH96" i="111"/>
  <c r="BX19" i="117"/>
  <c r="BX127" i="117"/>
  <c r="BX130" i="117" s="1"/>
  <c r="BX131" i="117" s="1"/>
  <c r="BX66" i="117"/>
  <c r="BX139" i="117"/>
  <c r="BX143" i="117" s="1"/>
  <c r="AH97" i="111"/>
  <c r="EY51" i="117"/>
  <c r="DH1204" i="115"/>
  <c r="K29" i="121" l="1"/>
  <c r="M29" i="121" s="1"/>
  <c r="BX21" i="117"/>
  <c r="BX24" i="117" s="1"/>
  <c r="BX70" i="117" s="1"/>
  <c r="BX68" i="117"/>
  <c r="BX160" i="117"/>
  <c r="BX161" i="117" s="1"/>
  <c r="BX202" i="117"/>
  <c r="BX204" i="117" s="1"/>
  <c r="BX206" i="117" s="1"/>
  <c r="BX208" i="117" s="1"/>
  <c r="BX142" i="117"/>
  <c r="BX115" i="117"/>
  <c r="BX117" i="117" s="1"/>
  <c r="BX119" i="117" s="1"/>
  <c r="BX123" i="117" s="1"/>
  <c r="DH1064" i="115"/>
  <c r="DH1202" i="115"/>
  <c r="DH1106" i="115" s="1"/>
  <c r="BX100" i="117" l="1"/>
  <c r="BX108" i="117" s="1"/>
  <c r="BX26" i="117"/>
  <c r="BX28" i="117" s="1"/>
  <c r="BX121" i="117"/>
  <c r="BX246" i="117" l="1"/>
  <c r="BX247" i="117" s="1"/>
  <c r="EY19" i="117" l="1"/>
  <c r="DH1101" i="115" l="1"/>
  <c r="DJ1101" i="115" s="1"/>
  <c r="DH1062" i="115" l="1"/>
  <c r="DH1105" i="115"/>
  <c r="EY20" i="117" l="1"/>
  <c r="DJ757" i="115" l="1"/>
  <c r="DH760" i="115"/>
  <c r="DH758" i="115"/>
  <c r="DH765" i="115"/>
  <c r="DH773" i="115" l="1"/>
  <c r="DH772" i="115"/>
  <c r="DJ760" i="115"/>
  <c r="DI760" i="115"/>
  <c r="DI765" i="115"/>
  <c r="DI771" i="115"/>
  <c r="DI758" i="115"/>
  <c r="DL758" i="115" l="1"/>
  <c r="DL760" i="115"/>
  <c r="DL771" i="115"/>
  <c r="DP772" i="115" s="1"/>
  <c r="DL765" i="115"/>
  <c r="DI773" i="115"/>
  <c r="DI772" i="115"/>
  <c r="DJ771" i="115"/>
  <c r="DN760" i="115" l="1"/>
  <c r="DM765" i="115"/>
  <c r="DM758" i="115"/>
  <c r="DM760" i="115"/>
  <c r="DM771" i="115"/>
  <c r="DL773" i="115"/>
  <c r="DL772" i="115"/>
  <c r="DP773" i="115" l="1"/>
  <c r="DQ772" i="115"/>
  <c r="DM773" i="115"/>
  <c r="DM772" i="115"/>
  <c r="DN771" i="115"/>
  <c r="DI1062" i="115"/>
  <c r="DH1199" i="115"/>
  <c r="DI1105" i="115" s="1"/>
  <c r="DJ1105" i="115" s="1"/>
  <c r="DA1053" i="115" l="1"/>
  <c r="DD1053" i="115"/>
  <c r="DI1199" i="115"/>
  <c r="DL1105" i="115" s="1"/>
  <c r="DL1062" i="115"/>
  <c r="DL1053" i="115" s="1"/>
  <c r="DJ1062" i="115"/>
  <c r="AI88" i="111" s="1"/>
  <c r="DD1054" i="115" l="1"/>
  <c r="DA1054" i="115"/>
  <c r="DB1053" i="115"/>
  <c r="DJ1053" i="115"/>
  <c r="DD1055" i="115" l="1"/>
  <c r="DD1048" i="115" s="1"/>
  <c r="DD1049" i="115" s="1"/>
  <c r="DD1281" i="115" s="1"/>
  <c r="DD1288" i="115" s="1"/>
  <c r="DD1301" i="115" s="1"/>
  <c r="DA1055" i="115"/>
  <c r="DB1054" i="115"/>
  <c r="DH1055" i="115" l="1"/>
  <c r="DH1048" i="115" s="1"/>
  <c r="DD1409" i="115"/>
  <c r="DD1410" i="115" s="1"/>
  <c r="DD1179" i="115"/>
  <c r="DD1252" i="115"/>
  <c r="DD1160" i="115" s="1"/>
  <c r="DD1161" i="115" s="1"/>
  <c r="DD1307" i="115"/>
  <c r="DA1048" i="115"/>
  <c r="DB1055" i="115"/>
  <c r="DB1048" i="115" l="1"/>
  <c r="DA1049" i="115"/>
  <c r="DD1254" i="115"/>
  <c r="EW45" i="117"/>
  <c r="DD1259" i="115"/>
  <c r="DD1267" i="115"/>
  <c r="DD1181" i="115"/>
  <c r="DD1183" i="115" s="1"/>
  <c r="DD1184" i="115" s="1"/>
  <c r="DD1261" i="115"/>
  <c r="DI1055" i="115"/>
  <c r="DD1192" i="115" l="1"/>
  <c r="DD1191" i="115"/>
  <c r="DD1253" i="115"/>
  <c r="DD1391" i="115" s="1"/>
  <c r="DD1256" i="115"/>
  <c r="DL1055" i="115"/>
  <c r="DL1048" i="115" s="1"/>
  <c r="DA1281" i="115"/>
  <c r="DB1049" i="115"/>
  <c r="DI1048" i="115"/>
  <c r="DJ1048" i="115" s="1"/>
  <c r="DJ1055" i="115"/>
  <c r="DD1273" i="115"/>
  <c r="DD1277" i="115"/>
  <c r="DQ1055" i="115" l="1"/>
  <c r="DM1055" i="115"/>
  <c r="DA1288" i="115"/>
  <c r="DB1281" i="115"/>
  <c r="DB1288" i="115" s="1"/>
  <c r="DQ1048" i="115" l="1"/>
  <c r="DR1048" i="115" s="1"/>
  <c r="DR1055" i="115"/>
  <c r="DB1301" i="115"/>
  <c r="DA1301" i="115"/>
  <c r="DN1055" i="115"/>
  <c r="DM1048" i="115"/>
  <c r="DN1048" i="115" s="1"/>
  <c r="DA1409" i="115" l="1"/>
  <c r="DA1410" i="115" s="1"/>
  <c r="DA1252" i="115"/>
  <c r="DA1307" i="115"/>
  <c r="DA1179" i="115"/>
  <c r="DB1252" i="115"/>
  <c r="AG39" i="111"/>
  <c r="DB1409" i="115"/>
  <c r="DB1410" i="115" s="1"/>
  <c r="DC1301" i="115"/>
  <c r="DB1307" i="115"/>
  <c r="EU44" i="117"/>
  <c r="DA1254" i="115" l="1"/>
  <c r="AG40" i="111"/>
  <c r="AG38" i="111"/>
  <c r="M38" i="111" s="1"/>
  <c r="AG42" i="111"/>
  <c r="DA1267" i="115"/>
  <c r="DA1259" i="115"/>
  <c r="DA1261" i="115"/>
  <c r="DA1181" i="115"/>
  <c r="DA1183" i="115" s="1"/>
  <c r="ET45" i="117"/>
  <c r="DA1160" i="115"/>
  <c r="DB1254" i="115"/>
  <c r="DB1267" i="115"/>
  <c r="EU45" i="117"/>
  <c r="DB1256" i="115" l="1"/>
  <c r="DB1253" i="115"/>
  <c r="DB1391" i="115" s="1"/>
  <c r="EU47" i="117"/>
  <c r="DA1273" i="115"/>
  <c r="DA1277" i="115"/>
  <c r="DB1273" i="115"/>
  <c r="DB1277" i="115"/>
  <c r="DA1191" i="115"/>
  <c r="DA1161" i="115"/>
  <c r="DA1192" i="115" s="1"/>
  <c r="AG101" i="111"/>
  <c r="DA1184" i="115"/>
  <c r="DA1253" i="115"/>
  <c r="DA1391" i="115" s="1"/>
  <c r="DA1256" i="115"/>
  <c r="EU48" i="117" l="1"/>
  <c r="EU46" i="117"/>
  <c r="DP1055" i="115" l="1"/>
  <c r="DP1048" i="115" s="1"/>
  <c r="DG14" i="115" l="1"/>
  <c r="DG20" i="115"/>
  <c r="DG26" i="115"/>
  <c r="DG32" i="115"/>
  <c r="DG34" i="115"/>
  <c r="DG37" i="115"/>
  <c r="DG63" i="115"/>
  <c r="DG65" i="115"/>
  <c r="BZ37" i="117"/>
  <c r="DG1135" i="115"/>
  <c r="BY44" i="117"/>
  <c r="DE1130" i="115"/>
  <c r="DE1137" i="115" s="1"/>
  <c r="BY7" i="117"/>
  <c r="BY64" i="117" s="1"/>
  <c r="BZ7" i="117"/>
  <c r="BZ218" i="117" s="1"/>
  <c r="BY22" i="117"/>
  <c r="BY190" i="117" s="1"/>
  <c r="BY198" i="117" s="1"/>
  <c r="BY120" i="117" s="1"/>
  <c r="BZ22" i="117"/>
  <c r="BZ190" i="117" s="1"/>
  <c r="BZ198" i="117" s="1"/>
  <c r="BZ120" i="117" s="1"/>
  <c r="BY29" i="117"/>
  <c r="BZ29" i="117"/>
  <c r="BY34" i="117"/>
  <c r="BZ34" i="117"/>
  <c r="BY35" i="117"/>
  <c r="BZ35" i="117"/>
  <c r="BZ71" i="117"/>
  <c r="AH49" i="111"/>
  <c r="AH71" i="111"/>
  <c r="AH114" i="111"/>
  <c r="AH90" i="111"/>
  <c r="AR38" i="123" l="1"/>
  <c r="AH80" i="111"/>
  <c r="DF1130" i="115"/>
  <c r="DF1137" i="115" s="1"/>
  <c r="DG1238" i="115"/>
  <c r="AH93" i="111"/>
  <c r="AH116" i="111" s="1"/>
  <c r="AH117" i="111" s="1"/>
  <c r="AH118" i="111" s="1"/>
  <c r="AH110" i="111"/>
  <c r="BY46" i="117"/>
  <c r="BY45" i="117"/>
  <c r="BY61" i="117" s="1"/>
  <c r="BY207" i="117"/>
  <c r="BY71" i="117"/>
  <c r="BZ227" i="117"/>
  <c r="BZ250" i="117"/>
  <c r="BZ46" i="117"/>
  <c r="BZ44" i="117"/>
  <c r="BZ45" i="117"/>
  <c r="AH95" i="111"/>
  <c r="BY37" i="117"/>
  <c r="BY75" i="117" s="1"/>
  <c r="AH77" i="111"/>
  <c r="AH59" i="111"/>
  <c r="BZ207" i="117"/>
  <c r="BY17" i="117"/>
  <c r="BY127" i="117" s="1"/>
  <c r="BY130" i="117" s="1"/>
  <c r="BY131" i="117" s="1"/>
  <c r="AH73" i="111"/>
  <c r="AH75" i="111"/>
  <c r="AH108" i="111"/>
  <c r="BZ224" i="117"/>
  <c r="BY62" i="117"/>
  <c r="EX8" i="117"/>
  <c r="BZ75" i="117"/>
  <c r="BZ64" i="117"/>
  <c r="BZ17" i="117"/>
  <c r="DG1240" i="115"/>
  <c r="DH1068" i="115"/>
  <c r="AR136" i="123" l="1"/>
  <c r="AR83" i="123"/>
  <c r="BY133" i="117"/>
  <c r="BY139" i="117" s="1"/>
  <c r="BY19" i="117"/>
  <c r="BY68" i="117" s="1"/>
  <c r="BY66" i="117"/>
  <c r="AH94" i="111"/>
  <c r="EY9" i="117"/>
  <c r="EY8" i="117"/>
  <c r="EY7" i="117"/>
  <c r="BZ61" i="117"/>
  <c r="BZ62" i="117"/>
  <c r="BY47" i="117"/>
  <c r="BY48" i="117"/>
  <c r="DE1169" i="115"/>
  <c r="DH1075" i="115"/>
  <c r="DJ1068" i="115"/>
  <c r="BZ66" i="117"/>
  <c r="EY32" i="117"/>
  <c r="BZ127" i="117"/>
  <c r="BZ130" i="117" s="1"/>
  <c r="BZ131" i="117" s="1"/>
  <c r="BZ19" i="117"/>
  <c r="EY33" i="117"/>
  <c r="BZ133" i="117"/>
  <c r="BZ225" i="117"/>
  <c r="BZ233" i="117"/>
  <c r="BZ237" i="117"/>
  <c r="BZ239" i="117" s="1"/>
  <c r="AH111" i="111"/>
  <c r="AH112" i="111" s="1"/>
  <c r="AH124" i="111"/>
  <c r="DE1171" i="115" l="1"/>
  <c r="DF1174" i="115" s="1"/>
  <c r="BY21" i="117"/>
  <c r="BY24" i="117" s="1"/>
  <c r="BY26" i="117" s="1"/>
  <c r="BY141" i="117"/>
  <c r="BY54" i="117"/>
  <c r="BY82" i="117" s="1"/>
  <c r="BY63" i="117"/>
  <c r="DJ1075" i="115"/>
  <c r="DG1125" i="115"/>
  <c r="BZ47" i="117"/>
  <c r="BY202" i="117"/>
  <c r="BY204" i="117" s="1"/>
  <c r="BY206" i="117" s="1"/>
  <c r="BY208" i="117" s="1"/>
  <c r="BY115" i="117"/>
  <c r="BY117" i="117" s="1"/>
  <c r="BY119" i="117" s="1"/>
  <c r="BY142" i="117"/>
  <c r="BY160" i="117"/>
  <c r="EX17" i="117"/>
  <c r="BZ141" i="117"/>
  <c r="BZ139" i="117"/>
  <c r="EY10" i="117"/>
  <c r="BZ68" i="117"/>
  <c r="BZ21" i="117"/>
  <c r="BZ48" i="117"/>
  <c r="DE1175" i="115" l="1"/>
  <c r="DH1060" i="115"/>
  <c r="DE1173" i="115"/>
  <c r="DH1103" i="115" s="1"/>
  <c r="DE1159" i="115"/>
  <c r="DF1171" i="115"/>
  <c r="BY100" i="117"/>
  <c r="BY108" i="117" s="1"/>
  <c r="BY70" i="117"/>
  <c r="DD1129" i="115"/>
  <c r="BZ240" i="117"/>
  <c r="BZ241" i="117" s="1"/>
  <c r="BZ243" i="117" s="1"/>
  <c r="BZ245" i="117" s="1"/>
  <c r="BY240" i="117"/>
  <c r="BY241" i="117" s="1"/>
  <c r="BY243" i="117" s="1"/>
  <c r="BY245" i="117" s="1"/>
  <c r="BZ54" i="117"/>
  <c r="BY121" i="117"/>
  <c r="BY123" i="117"/>
  <c r="BY28" i="117"/>
  <c r="BY246" i="117"/>
  <c r="EY17" i="117"/>
  <c r="BZ63" i="117"/>
  <c r="EY15" i="117"/>
  <c r="EY18" i="117" s="1"/>
  <c r="BZ115" i="117"/>
  <c r="BZ117" i="117" s="1"/>
  <c r="BZ119" i="117" s="1"/>
  <c r="BZ160" i="117"/>
  <c r="BZ161" i="117" s="1"/>
  <c r="BZ202" i="117"/>
  <c r="BZ204" i="117" s="1"/>
  <c r="BZ206" i="117" s="1"/>
  <c r="BZ142" i="117"/>
  <c r="BZ24" i="117"/>
  <c r="EY35" i="117"/>
  <c r="EY16" i="117"/>
  <c r="DH1061" i="115" l="1"/>
  <c r="DE1176" i="115"/>
  <c r="BY247" i="117"/>
  <c r="BZ121" i="117"/>
  <c r="BZ123" i="117"/>
  <c r="AH91" i="111"/>
  <c r="BZ82" i="117"/>
  <c r="BZ208" i="117"/>
  <c r="BZ211" i="117"/>
  <c r="BZ26" i="117"/>
  <c r="BZ100" i="117"/>
  <c r="BZ108" i="117" s="1"/>
  <c r="BZ110" i="117" s="1"/>
  <c r="BZ70" i="117"/>
  <c r="DH1104" i="115" l="1"/>
  <c r="EY12" i="117"/>
  <c r="EY14" i="117" s="1"/>
  <c r="BZ28" i="117"/>
  <c r="BZ246" i="117"/>
  <c r="BZ247" i="117" s="1"/>
  <c r="EY11" i="117" l="1"/>
  <c r="EY13" i="117" s="1"/>
  <c r="DG158" i="115" l="1"/>
  <c r="DH241" i="115"/>
  <c r="DH963" i="115" s="1"/>
  <c r="DJ963" i="115" s="1"/>
  <c r="DJ241" i="115"/>
  <c r="DG370" i="115"/>
  <c r="EY29" i="117"/>
  <c r="BY50" i="117"/>
  <c r="BZ50" i="117"/>
  <c r="EY49" i="117" s="1"/>
  <c r="EY55" i="117"/>
  <c r="EY56" i="117"/>
  <c r="BY58" i="117"/>
  <c r="BZ58" i="117"/>
  <c r="EY26" i="117" s="1"/>
  <c r="BY59" i="117"/>
  <c r="BY85" i="117" s="1"/>
  <c r="BZ59" i="117"/>
  <c r="BZ85" i="117" s="1"/>
  <c r="EY66" i="117"/>
  <c r="EY67" i="117"/>
  <c r="EY70" i="117"/>
  <c r="EY71" i="117"/>
  <c r="EX74" i="117"/>
  <c r="EY74" i="117"/>
  <c r="EX75" i="117"/>
  <c r="EY75" i="117"/>
  <c r="AH13" i="111"/>
  <c r="AH14" i="111" s="1"/>
  <c r="AH64" i="111"/>
  <c r="AH70" i="111"/>
  <c r="AH62" i="111"/>
  <c r="AH44" i="111" l="1"/>
  <c r="AH45" i="111" s="1"/>
  <c r="AH16" i="111"/>
  <c r="AH68" i="111"/>
  <c r="AH69" i="111" s="1"/>
  <c r="AH67" i="111"/>
  <c r="AH66" i="111"/>
  <c r="AH28" i="111"/>
  <c r="AH65" i="111"/>
  <c r="AH63" i="111"/>
  <c r="EY24" i="117"/>
  <c r="EY25" i="117"/>
  <c r="DG1295" i="115"/>
  <c r="DG1404" i="115"/>
  <c r="DG1403" i="115"/>
  <c r="EY27" i="117" l="1"/>
  <c r="EY28" i="117" s="1"/>
  <c r="DG1405" i="115"/>
  <c r="EX42" i="117" l="1"/>
  <c r="EY30" i="117"/>
  <c r="DE13" i="115"/>
  <c r="DE266" i="115" l="1"/>
  <c r="DE12" i="115"/>
  <c r="DF13" i="115"/>
  <c r="DF12" i="115" s="1"/>
  <c r="DG1422" i="115"/>
  <c r="EY42" i="117"/>
  <c r="DE514" i="115" l="1"/>
  <c r="DE985" i="115" s="1"/>
  <c r="DE267" i="115"/>
  <c r="AH25" i="111"/>
  <c r="AH33" i="111"/>
  <c r="AH24" i="111" s="1"/>
  <c r="DE263" i="115"/>
  <c r="DE262" i="115"/>
  <c r="DH262" i="115" s="1"/>
  <c r="DF266" i="115"/>
  <c r="DE261" i="115"/>
  <c r="DE268" i="115"/>
  <c r="DG1402" i="115"/>
  <c r="EY39" i="117"/>
  <c r="EY72" i="117" s="1"/>
  <c r="DG1297" i="115"/>
  <c r="DG1300" i="115" l="1"/>
  <c r="DF268" i="115"/>
  <c r="DF263" i="115"/>
  <c r="DF262" i="115"/>
  <c r="DF261" i="115"/>
  <c r="EY79" i="117"/>
  <c r="DE269" i="115"/>
  <c r="DH268" i="115"/>
  <c r="DF514" i="115"/>
  <c r="DF985" i="115" s="1"/>
  <c r="DG1407" i="115"/>
  <c r="EY40" i="117"/>
  <c r="DE621" i="115"/>
  <c r="DE624" i="115"/>
  <c r="DI262" i="115"/>
  <c r="BY8" i="117"/>
  <c r="DE264" i="115"/>
  <c r="DF267" i="115"/>
  <c r="DE270" i="115"/>
  <c r="DI268" i="115" l="1"/>
  <c r="DF269" i="115"/>
  <c r="DF621" i="115"/>
  <c r="DF624" i="115"/>
  <c r="AH35" i="111"/>
  <c r="AH26" i="111" s="1"/>
  <c r="AH29" i="111"/>
  <c r="AH126" i="111"/>
  <c r="AH130" i="111" s="1"/>
  <c r="AH131" i="111" s="1"/>
  <c r="DF270" i="115"/>
  <c r="EY73" i="117" s="1"/>
  <c r="DF264" i="115"/>
  <c r="DE622" i="115"/>
  <c r="DE767" i="115" s="1"/>
  <c r="BY9" i="117"/>
  <c r="BY251" i="117"/>
  <c r="DL262" i="115"/>
  <c r="EY43" i="117"/>
  <c r="BY30" i="117"/>
  <c r="BZ8" i="117"/>
  <c r="DE625" i="115"/>
  <c r="DE626" i="115" s="1"/>
  <c r="DE1160" i="115"/>
  <c r="DE1161" i="115" l="1"/>
  <c r="DE1192" i="115" s="1"/>
  <c r="DE1191" i="115"/>
  <c r="EX45" i="117"/>
  <c r="EY31" i="117"/>
  <c r="BZ251" i="117"/>
  <c r="DL268" i="115"/>
  <c r="DG1301" i="115"/>
  <c r="EY44" i="117"/>
  <c r="BY38" i="117"/>
  <c r="BY32" i="117"/>
  <c r="BY74" i="117" s="1"/>
  <c r="BY72" i="117"/>
  <c r="DM262" i="115"/>
  <c r="BZ30" i="117"/>
  <c r="BZ9" i="117"/>
  <c r="DP262" i="115" l="1"/>
  <c r="DM268" i="115"/>
  <c r="AH40" i="111"/>
  <c r="AH38" i="111"/>
  <c r="AH42" i="111"/>
  <c r="BZ38" i="117"/>
  <c r="BZ32" i="117"/>
  <c r="BZ74" i="117" s="1"/>
  <c r="BZ72" i="117"/>
  <c r="EY45" i="117"/>
  <c r="EY47" i="117" l="1"/>
  <c r="DP268" i="115"/>
  <c r="DH1059" i="115"/>
  <c r="AH101" i="111"/>
  <c r="AH103" i="111" s="1"/>
  <c r="AH104" i="111" s="1"/>
  <c r="AH105" i="111" s="1"/>
  <c r="DQ262" i="115"/>
  <c r="DH1102" i="115" l="1"/>
  <c r="DQ268" i="115"/>
  <c r="EY48" i="117"/>
  <c r="EY46" i="117"/>
  <c r="DH1107" i="115" l="1"/>
  <c r="DH1209" i="115" s="1"/>
  <c r="DH1065" i="115"/>
  <c r="DI1058" i="115" s="1"/>
  <c r="FA51" i="117"/>
  <c r="DH1210" i="115" l="1"/>
  <c r="DH1040" i="115"/>
  <c r="DH1311" i="115"/>
  <c r="DH1310" i="115" s="1"/>
  <c r="DH1282" i="115" s="1"/>
  <c r="DH1518" i="115" s="1"/>
  <c r="DH1111" i="115"/>
  <c r="DH1108" i="115" s="1"/>
  <c r="DH1109" i="115" s="1"/>
  <c r="DH1131" i="115"/>
  <c r="DI1101" i="115"/>
  <c r="DI1204" i="115" l="1"/>
  <c r="DH1212" i="115"/>
  <c r="DI1064" i="115" l="1"/>
  <c r="DJ1064" i="115" s="1"/>
  <c r="DI1202" i="115"/>
  <c r="DI1106" i="115" s="1"/>
  <c r="DJ1106" i="115" s="1"/>
  <c r="DH1214" i="115"/>
  <c r="DH1220" i="115"/>
  <c r="DH1232" i="115"/>
  <c r="DH1233" i="115" l="1"/>
  <c r="DH1234" i="115"/>
  <c r="AI83" i="111" l="1"/>
  <c r="AI99" i="111" s="1"/>
  <c r="AI98" i="111" l="1"/>
  <c r="P62" i="111" l="1"/>
  <c r="AN62" i="111"/>
  <c r="AO62" i="111" s="1"/>
  <c r="AP62" i="111" s="1"/>
  <c r="AQ62" i="111" s="1"/>
  <c r="AR62" i="111" s="1"/>
  <c r="K27" i="121" l="1"/>
  <c r="M27" i="121"/>
  <c r="K28" i="121"/>
  <c r="M28" i="121" s="1"/>
  <c r="K34" i="121"/>
  <c r="M34" i="121"/>
  <c r="K36" i="121"/>
  <c r="K37" i="121"/>
  <c r="K38" i="121"/>
  <c r="K39" i="121"/>
  <c r="K40" i="121"/>
  <c r="K41" i="121"/>
  <c r="K42" i="121"/>
  <c r="I3" i="111"/>
  <c r="AV13" i="123"/>
  <c r="AZ13" i="123"/>
  <c r="BD13" i="123"/>
  <c r="AV14" i="123"/>
  <c r="AZ14" i="123"/>
  <c r="BD14" i="123"/>
  <c r="AV15" i="123"/>
  <c r="AZ15" i="123"/>
  <c r="BD15" i="123"/>
  <c r="AV19" i="123"/>
  <c r="AZ19" i="123"/>
  <c r="BD19" i="123"/>
  <c r="AV20" i="123"/>
  <c r="AZ20" i="123"/>
  <c r="BD20" i="123"/>
  <c r="AV21" i="123"/>
  <c r="AZ21" i="123"/>
  <c r="BD21" i="123"/>
  <c r="AV27" i="123"/>
  <c r="AZ27" i="123"/>
  <c r="BD27" i="123"/>
  <c r="AV28" i="123"/>
  <c r="AZ28" i="123"/>
  <c r="BD28" i="123"/>
  <c r="AV32" i="123"/>
  <c r="AZ32" i="123"/>
  <c r="BD32" i="123"/>
  <c r="AV33" i="123"/>
  <c r="AZ33" i="123"/>
  <c r="BD33" i="123"/>
  <c r="AV34" i="123"/>
  <c r="AZ34" i="123"/>
  <c r="BD34" i="123"/>
  <c r="AV36" i="123"/>
  <c r="AZ36" i="123"/>
  <c r="BD36" i="123"/>
  <c r="AV37" i="123"/>
  <c r="AZ37" i="123"/>
  <c r="BD37" i="123"/>
  <c r="AV38" i="123"/>
  <c r="AZ38" i="123"/>
  <c r="BD38" i="123"/>
  <c r="AV40" i="123"/>
  <c r="AZ40" i="123"/>
  <c r="BD40" i="123"/>
  <c r="AV41" i="123"/>
  <c r="AZ41" i="123"/>
  <c r="BD41" i="123"/>
  <c r="AV42" i="123"/>
  <c r="AZ42" i="123"/>
  <c r="BD42" i="123"/>
  <c r="AV43" i="123"/>
  <c r="AZ43" i="123"/>
  <c r="BD43" i="123"/>
  <c r="AV44" i="123"/>
  <c r="AZ44" i="123"/>
  <c r="BD44" i="123"/>
  <c r="AV45" i="123"/>
  <c r="AZ45" i="123"/>
  <c r="BD45" i="123"/>
  <c r="AV46" i="123"/>
  <c r="AZ46" i="123"/>
  <c r="BD46" i="123"/>
  <c r="AV47" i="123"/>
  <c r="AZ47" i="123"/>
  <c r="BD47" i="123"/>
  <c r="AV78" i="123"/>
  <c r="AZ78" i="123"/>
  <c r="BD78" i="123"/>
  <c r="AV79" i="123"/>
  <c r="AZ79" i="123"/>
  <c r="BD79" i="123"/>
  <c r="AV81" i="123"/>
  <c r="AZ81" i="123"/>
  <c r="BD81" i="123"/>
  <c r="AV82" i="123"/>
  <c r="AZ82" i="123"/>
  <c r="BD82" i="123"/>
  <c r="AV83" i="123"/>
  <c r="AZ83" i="123"/>
  <c r="BD83" i="123"/>
  <c r="AV85" i="123"/>
  <c r="AZ85" i="123"/>
  <c r="BD85" i="123"/>
  <c r="AV86" i="123"/>
  <c r="AZ86" i="123"/>
  <c r="BD86" i="123"/>
  <c r="AV87" i="123"/>
  <c r="AZ87" i="123"/>
  <c r="BD87" i="123"/>
  <c r="AV88" i="123"/>
  <c r="AZ88" i="123"/>
  <c r="BD88" i="123"/>
  <c r="AV89" i="123"/>
  <c r="AZ89" i="123"/>
  <c r="BD89" i="123"/>
  <c r="AV90" i="123"/>
  <c r="AZ90" i="123"/>
  <c r="BD90" i="123"/>
  <c r="AV93" i="123"/>
  <c r="AZ93" i="123"/>
  <c r="BD93" i="123"/>
  <c r="AV94" i="123"/>
  <c r="AZ94" i="123"/>
  <c r="BD94" i="123"/>
  <c r="AV96" i="123"/>
  <c r="AZ96" i="123"/>
  <c r="BD96" i="123"/>
  <c r="AV99" i="123"/>
  <c r="AZ99" i="123"/>
  <c r="BD99" i="123"/>
  <c r="AV100" i="123"/>
  <c r="AZ100" i="123"/>
  <c r="BD100" i="123"/>
  <c r="AV131" i="123"/>
  <c r="AZ131" i="123"/>
  <c r="BD131" i="123"/>
  <c r="AV132" i="123"/>
  <c r="AZ132" i="123"/>
  <c r="BD132" i="123"/>
  <c r="AV134" i="123"/>
  <c r="AZ134" i="123"/>
  <c r="BD134" i="123"/>
  <c r="AV135" i="123"/>
  <c r="AZ135" i="123"/>
  <c r="BD135" i="123"/>
  <c r="AV136" i="123"/>
  <c r="AZ136" i="123"/>
  <c r="BD136" i="123"/>
  <c r="AV138" i="123"/>
  <c r="AZ138" i="123"/>
  <c r="BD138" i="123"/>
  <c r="AV139" i="123"/>
  <c r="AZ139" i="123"/>
  <c r="BD139" i="123"/>
  <c r="AV140" i="123"/>
  <c r="AZ140" i="123"/>
  <c r="BD140" i="123"/>
  <c r="AV141" i="123"/>
  <c r="AZ141" i="123"/>
  <c r="BD141" i="123"/>
  <c r="AV142" i="123"/>
  <c r="AZ142" i="123"/>
  <c r="BD142" i="123"/>
  <c r="AV143" i="123"/>
  <c r="AZ143" i="123"/>
  <c r="BD143" i="123"/>
  <c r="AV144" i="123"/>
  <c r="AZ144" i="123"/>
  <c r="BD144" i="123"/>
  <c r="AV147" i="123"/>
  <c r="AZ147" i="123"/>
  <c r="BD147" i="123"/>
  <c r="AV148" i="123"/>
  <c r="AZ148" i="123"/>
  <c r="BD148" i="123"/>
  <c r="AV150" i="123"/>
  <c r="AZ150" i="123"/>
  <c r="BD150" i="123"/>
  <c r="AV153" i="123"/>
  <c r="AZ153" i="123"/>
  <c r="BD153" i="123"/>
  <c r="AV154" i="123"/>
  <c r="AZ154" i="123"/>
  <c r="BD154" i="123"/>
  <c r="AV156" i="123"/>
  <c r="AZ156" i="123"/>
  <c r="BD156" i="123"/>
  <c r="AV157" i="123"/>
  <c r="AZ157" i="123"/>
  <c r="BD157" i="123"/>
  <c r="DH12" i="115"/>
  <c r="DI12" i="115"/>
  <c r="DJ12" i="115"/>
  <c r="DL12" i="115"/>
  <c r="DM12" i="115"/>
  <c r="DN12" i="115"/>
  <c r="DP12" i="115"/>
  <c r="DQ12" i="115"/>
  <c r="DR12" i="115"/>
  <c r="DH13" i="115"/>
  <c r="DI13" i="115"/>
  <c r="DJ13" i="115"/>
  <c r="DL13" i="115"/>
  <c r="DM13" i="115"/>
  <c r="DN13" i="115"/>
  <c r="DP13" i="115"/>
  <c r="DQ13" i="115"/>
  <c r="DR13" i="115"/>
  <c r="DH14" i="115"/>
  <c r="DI14" i="115"/>
  <c r="DJ14" i="115"/>
  <c r="DK14" i="115"/>
  <c r="DL14" i="115"/>
  <c r="DM14" i="115"/>
  <c r="DN14" i="115"/>
  <c r="DO14" i="115"/>
  <c r="DP14" i="115"/>
  <c r="DQ14" i="115"/>
  <c r="DR14" i="115"/>
  <c r="DS14" i="115"/>
  <c r="DH20" i="115"/>
  <c r="DI20" i="115"/>
  <c r="DJ20" i="115"/>
  <c r="DK20" i="115"/>
  <c r="DL20" i="115"/>
  <c r="DM20" i="115"/>
  <c r="DN20" i="115"/>
  <c r="DO20" i="115"/>
  <c r="DP20" i="115"/>
  <c r="DQ20" i="115"/>
  <c r="DR20" i="115"/>
  <c r="DS20" i="115"/>
  <c r="DH26" i="115"/>
  <c r="DI26" i="115"/>
  <c r="DJ26" i="115"/>
  <c r="DK26" i="115"/>
  <c r="DL26" i="115"/>
  <c r="DM26" i="115"/>
  <c r="DN26" i="115"/>
  <c r="DO26" i="115"/>
  <c r="DP26" i="115"/>
  <c r="DQ26" i="115"/>
  <c r="DR26" i="115"/>
  <c r="DS26" i="115"/>
  <c r="DH32" i="115"/>
  <c r="DI32" i="115"/>
  <c r="DJ32" i="115"/>
  <c r="DK32" i="115"/>
  <c r="DL32" i="115"/>
  <c r="DM32" i="115"/>
  <c r="DN32" i="115"/>
  <c r="DO32" i="115"/>
  <c r="DP32" i="115"/>
  <c r="DQ32" i="115"/>
  <c r="DR32" i="115"/>
  <c r="DS32" i="115"/>
  <c r="DH34" i="115"/>
  <c r="DI34" i="115"/>
  <c r="DJ34" i="115"/>
  <c r="DK34" i="115"/>
  <c r="DL34" i="115"/>
  <c r="DM34" i="115"/>
  <c r="DN34" i="115"/>
  <c r="DO34" i="115"/>
  <c r="DP34" i="115"/>
  <c r="DQ34" i="115"/>
  <c r="DR34" i="115"/>
  <c r="DS34" i="115"/>
  <c r="DH35" i="115"/>
  <c r="DI35" i="115"/>
  <c r="DJ35" i="115"/>
  <c r="DL35" i="115"/>
  <c r="DM35" i="115"/>
  <c r="DN35" i="115"/>
  <c r="DP35" i="115"/>
  <c r="DQ35" i="115"/>
  <c r="DR35" i="115"/>
  <c r="DH37" i="115"/>
  <c r="DI37" i="115"/>
  <c r="DJ37" i="115"/>
  <c r="DK37" i="115"/>
  <c r="DL37" i="115"/>
  <c r="DM37" i="115"/>
  <c r="DN37" i="115"/>
  <c r="DO37" i="115"/>
  <c r="DP37" i="115"/>
  <c r="DQ37" i="115"/>
  <c r="DR37" i="115"/>
  <c r="DS37" i="115"/>
  <c r="CB38" i="115"/>
  <c r="CD38" i="115"/>
  <c r="CB39" i="115"/>
  <c r="CD39" i="115"/>
  <c r="DH39" i="115"/>
  <c r="DI39" i="115"/>
  <c r="DJ39" i="115"/>
  <c r="DL39" i="115"/>
  <c r="DM39" i="115"/>
  <c r="DN39" i="115"/>
  <c r="DP39" i="115"/>
  <c r="DQ39" i="115"/>
  <c r="DR39" i="115"/>
  <c r="CB41" i="115"/>
  <c r="CD41" i="115"/>
  <c r="DH41" i="115"/>
  <c r="DI41" i="115"/>
  <c r="DJ41" i="115"/>
  <c r="DL41" i="115"/>
  <c r="DM41" i="115"/>
  <c r="DN41" i="115"/>
  <c r="DP41" i="115"/>
  <c r="DQ41" i="115"/>
  <c r="DR41" i="115"/>
  <c r="DH43" i="115"/>
  <c r="DI43" i="115"/>
  <c r="DJ43" i="115"/>
  <c r="DL43" i="115"/>
  <c r="DM43" i="115"/>
  <c r="DN43" i="115"/>
  <c r="DP43" i="115"/>
  <c r="DQ43" i="115"/>
  <c r="DR43" i="115"/>
  <c r="DH45" i="115"/>
  <c r="DI45" i="115"/>
  <c r="DJ45" i="115"/>
  <c r="DL45" i="115"/>
  <c r="DM45" i="115"/>
  <c r="DN45" i="115"/>
  <c r="DP45" i="115"/>
  <c r="DQ45" i="115"/>
  <c r="DR45" i="115"/>
  <c r="DH48" i="115"/>
  <c r="DI48" i="115"/>
  <c r="DJ48" i="115"/>
  <c r="DL48" i="115"/>
  <c r="DM48" i="115"/>
  <c r="DN48" i="115"/>
  <c r="DP48" i="115"/>
  <c r="DQ48" i="115"/>
  <c r="DR48" i="115"/>
  <c r="DH50" i="115"/>
  <c r="DI50" i="115"/>
  <c r="DJ50" i="115"/>
  <c r="DL50" i="115"/>
  <c r="DM50" i="115"/>
  <c r="DN50" i="115"/>
  <c r="DP50" i="115"/>
  <c r="DQ50" i="115"/>
  <c r="DR50" i="115"/>
  <c r="DH54" i="115"/>
  <c r="DI54" i="115"/>
  <c r="DJ54" i="115"/>
  <c r="DL54" i="115"/>
  <c r="DM54" i="115"/>
  <c r="DN54" i="115"/>
  <c r="DP54" i="115"/>
  <c r="DQ54" i="115"/>
  <c r="DR54" i="115"/>
  <c r="DH56" i="115"/>
  <c r="DI56" i="115"/>
  <c r="DJ56" i="115"/>
  <c r="DL56" i="115"/>
  <c r="DM56" i="115"/>
  <c r="DN56" i="115"/>
  <c r="DP56" i="115"/>
  <c r="DQ56" i="115"/>
  <c r="DR56" i="115"/>
  <c r="DH58" i="115"/>
  <c r="DI58" i="115"/>
  <c r="DJ58" i="115"/>
  <c r="DL58" i="115"/>
  <c r="DM58" i="115"/>
  <c r="DN58" i="115"/>
  <c r="DP58" i="115"/>
  <c r="DQ58" i="115"/>
  <c r="DR58" i="115"/>
  <c r="DH59" i="115"/>
  <c r="DI59" i="115"/>
  <c r="DJ59" i="115"/>
  <c r="DL59" i="115"/>
  <c r="DM59" i="115"/>
  <c r="DN59" i="115"/>
  <c r="DP59" i="115"/>
  <c r="DQ59" i="115"/>
  <c r="DR59" i="115"/>
  <c r="DH60" i="115"/>
  <c r="DI60" i="115"/>
  <c r="DJ60" i="115"/>
  <c r="DL60" i="115"/>
  <c r="DM60" i="115"/>
  <c r="DN60" i="115"/>
  <c r="DP60" i="115"/>
  <c r="DQ60" i="115"/>
  <c r="DR60" i="115"/>
  <c r="DH63" i="115"/>
  <c r="DI63" i="115"/>
  <c r="DJ63" i="115"/>
  <c r="DK63" i="115"/>
  <c r="DL63" i="115"/>
  <c r="DM63" i="115"/>
  <c r="DN63" i="115"/>
  <c r="DO63" i="115"/>
  <c r="DP63" i="115"/>
  <c r="DQ63" i="115"/>
  <c r="DR63" i="115"/>
  <c r="DS63" i="115"/>
  <c r="DH65" i="115"/>
  <c r="DI65" i="115"/>
  <c r="DJ65" i="115"/>
  <c r="DK65" i="115"/>
  <c r="DL65" i="115"/>
  <c r="DM65" i="115"/>
  <c r="DN65" i="115"/>
  <c r="DO65" i="115"/>
  <c r="DP65" i="115"/>
  <c r="DQ65" i="115"/>
  <c r="DR65" i="115"/>
  <c r="DS65" i="115"/>
  <c r="DH67" i="115"/>
  <c r="DI67" i="115"/>
  <c r="DJ67" i="115"/>
  <c r="DL67" i="115"/>
  <c r="DM67" i="115"/>
  <c r="DN67" i="115"/>
  <c r="DP67" i="115"/>
  <c r="DQ67" i="115"/>
  <c r="DR67" i="115"/>
  <c r="DH68" i="115"/>
  <c r="DI68" i="115"/>
  <c r="DJ68" i="115"/>
  <c r="DL68" i="115"/>
  <c r="DM68" i="115"/>
  <c r="DN68" i="115"/>
  <c r="DP68" i="115"/>
  <c r="DQ68" i="115"/>
  <c r="DR68" i="115"/>
  <c r="DH69" i="115"/>
  <c r="DI69" i="115"/>
  <c r="DJ69" i="115"/>
  <c r="DL69" i="115"/>
  <c r="DM69" i="115"/>
  <c r="DN69" i="115"/>
  <c r="DP69" i="115"/>
  <c r="DQ69" i="115"/>
  <c r="DR69" i="115"/>
  <c r="DH71" i="115"/>
  <c r="DI71" i="115"/>
  <c r="DJ71" i="115"/>
  <c r="DL71" i="115"/>
  <c r="DM71" i="115"/>
  <c r="DN71" i="115"/>
  <c r="DP71" i="115"/>
  <c r="DQ71" i="115"/>
  <c r="DR71" i="115"/>
  <c r="DH72" i="115"/>
  <c r="DI72" i="115"/>
  <c r="DJ72" i="115"/>
  <c r="DL72" i="115"/>
  <c r="DM72" i="115"/>
  <c r="DN72" i="115"/>
  <c r="DP72" i="115"/>
  <c r="DQ72" i="115"/>
  <c r="DR72" i="115"/>
  <c r="DH157" i="115"/>
  <c r="DI157" i="115"/>
  <c r="DJ157" i="115"/>
  <c r="DL157" i="115"/>
  <c r="DM157" i="115"/>
  <c r="DN157" i="115"/>
  <c r="DP157" i="115"/>
  <c r="DQ157" i="115"/>
  <c r="DR157" i="115"/>
  <c r="DH158" i="115"/>
  <c r="DI158" i="115"/>
  <c r="DJ158" i="115"/>
  <c r="DK158" i="115"/>
  <c r="DL158" i="115"/>
  <c r="DM158" i="115"/>
  <c r="DN158" i="115"/>
  <c r="DO158" i="115"/>
  <c r="DP158" i="115"/>
  <c r="DQ158" i="115"/>
  <c r="DR158" i="115"/>
  <c r="DS158" i="115"/>
  <c r="DH169" i="115"/>
  <c r="DI169" i="115"/>
  <c r="DL169" i="115"/>
  <c r="DM169" i="115"/>
  <c r="DP169" i="115"/>
  <c r="DQ169" i="115"/>
  <c r="DH170" i="115"/>
  <c r="DI170" i="115"/>
  <c r="DL170" i="115"/>
  <c r="DM170" i="115"/>
  <c r="DP170" i="115"/>
  <c r="DQ170" i="115"/>
  <c r="DH234" i="115"/>
  <c r="DI234" i="115"/>
  <c r="DJ234" i="115"/>
  <c r="DL234" i="115"/>
  <c r="DM234" i="115"/>
  <c r="DN234" i="115"/>
  <c r="DP234" i="115"/>
  <c r="DQ234" i="115"/>
  <c r="DR234" i="115"/>
  <c r="DH235" i="115"/>
  <c r="DI235" i="115"/>
  <c r="DJ235" i="115"/>
  <c r="DL235" i="115"/>
  <c r="DM235" i="115"/>
  <c r="DN235" i="115"/>
  <c r="DP235" i="115"/>
  <c r="DQ235" i="115"/>
  <c r="DR235" i="115"/>
  <c r="DH237" i="115"/>
  <c r="DI237" i="115"/>
  <c r="DJ237" i="115"/>
  <c r="DL237" i="115"/>
  <c r="DM237" i="115"/>
  <c r="DN237" i="115"/>
  <c r="DP237" i="115"/>
  <c r="DQ237" i="115"/>
  <c r="DR237" i="115"/>
  <c r="DH238" i="115"/>
  <c r="DI238" i="115"/>
  <c r="DJ238" i="115"/>
  <c r="DL238" i="115"/>
  <c r="DM238" i="115"/>
  <c r="DN238" i="115"/>
  <c r="DP238" i="115"/>
  <c r="DQ238" i="115"/>
  <c r="DR238" i="115"/>
  <c r="DI241" i="115"/>
  <c r="DL241" i="115"/>
  <c r="DM241" i="115"/>
  <c r="DN241" i="115"/>
  <c r="DP241" i="115"/>
  <c r="DQ241" i="115"/>
  <c r="DR241" i="115"/>
  <c r="DH243" i="115"/>
  <c r="DI243" i="115"/>
  <c r="DJ243" i="115"/>
  <c r="DL243" i="115"/>
  <c r="DM243" i="115"/>
  <c r="DN243" i="115"/>
  <c r="DP243" i="115"/>
  <c r="DQ243" i="115"/>
  <c r="DR243" i="115"/>
  <c r="DH244" i="115"/>
  <c r="DI244" i="115"/>
  <c r="DJ244" i="115"/>
  <c r="DL244" i="115"/>
  <c r="DM244" i="115"/>
  <c r="DN244" i="115"/>
  <c r="DP244" i="115"/>
  <c r="DQ244" i="115"/>
  <c r="DR244" i="115"/>
  <c r="DN245" i="115"/>
  <c r="DR245" i="115"/>
  <c r="DH250" i="115"/>
  <c r="DI250" i="115"/>
  <c r="DJ250" i="115"/>
  <c r="DL250" i="115"/>
  <c r="DM250" i="115"/>
  <c r="DN250" i="115"/>
  <c r="DP250" i="115"/>
  <c r="DQ250" i="115"/>
  <c r="DR250" i="115"/>
  <c r="DH251" i="115"/>
  <c r="DI251" i="115"/>
  <c r="DJ251" i="115"/>
  <c r="DL251" i="115"/>
  <c r="DM251" i="115"/>
  <c r="DN251" i="115"/>
  <c r="DP251" i="115"/>
  <c r="DQ251" i="115"/>
  <c r="DR251" i="115"/>
  <c r="DH254" i="115"/>
  <c r="DI254" i="115"/>
  <c r="DJ254" i="115"/>
  <c r="DL254" i="115"/>
  <c r="DM254" i="115"/>
  <c r="DN254" i="115"/>
  <c r="DP254" i="115"/>
  <c r="DQ254" i="115"/>
  <c r="DR254" i="115"/>
  <c r="DH255" i="115"/>
  <c r="DI255" i="115"/>
  <c r="DJ255" i="115"/>
  <c r="DL255" i="115"/>
  <c r="DM255" i="115"/>
  <c r="DN255" i="115"/>
  <c r="DP255" i="115"/>
  <c r="DQ255" i="115"/>
  <c r="DR255" i="115"/>
  <c r="DH256" i="115"/>
  <c r="DI256" i="115"/>
  <c r="DJ256" i="115"/>
  <c r="DL256" i="115"/>
  <c r="DM256" i="115"/>
  <c r="DN256" i="115"/>
  <c r="DP256" i="115"/>
  <c r="DQ256" i="115"/>
  <c r="DR256" i="115"/>
  <c r="DH258" i="115"/>
  <c r="DI258" i="115"/>
  <c r="DJ258" i="115"/>
  <c r="DL258" i="115"/>
  <c r="DM258" i="115"/>
  <c r="DN258" i="115"/>
  <c r="DP258" i="115"/>
  <c r="DQ258" i="115"/>
  <c r="DR258" i="115"/>
  <c r="DH260" i="115"/>
  <c r="DI260" i="115"/>
  <c r="DJ260" i="115"/>
  <c r="DL260" i="115"/>
  <c r="DM260" i="115"/>
  <c r="DN260" i="115"/>
  <c r="DP260" i="115"/>
  <c r="DQ260" i="115"/>
  <c r="DR260" i="115"/>
  <c r="DH261" i="115"/>
  <c r="DI261" i="115"/>
  <c r="DJ261" i="115"/>
  <c r="DL261" i="115"/>
  <c r="DM261" i="115"/>
  <c r="DN261" i="115"/>
  <c r="DP261" i="115"/>
  <c r="DQ261" i="115"/>
  <c r="DR261" i="115"/>
  <c r="DJ262" i="115"/>
  <c r="DN262" i="115"/>
  <c r="DR262" i="115"/>
  <c r="DH263" i="115"/>
  <c r="DI263" i="115"/>
  <c r="DJ263" i="115"/>
  <c r="DL263" i="115"/>
  <c r="DM263" i="115"/>
  <c r="DN263" i="115"/>
  <c r="DP263" i="115"/>
  <c r="DQ263" i="115"/>
  <c r="DR263" i="115"/>
  <c r="DH264" i="115"/>
  <c r="DI264" i="115"/>
  <c r="DJ264" i="115"/>
  <c r="DL264" i="115"/>
  <c r="DM264" i="115"/>
  <c r="DN264" i="115"/>
  <c r="DP264" i="115"/>
  <c r="DQ264" i="115"/>
  <c r="DR264" i="115"/>
  <c r="DH266" i="115"/>
  <c r="DI266" i="115"/>
  <c r="DJ266" i="115"/>
  <c r="DL266" i="115"/>
  <c r="DM266" i="115"/>
  <c r="DN266" i="115"/>
  <c r="DP266" i="115"/>
  <c r="DQ266" i="115"/>
  <c r="DR266" i="115"/>
  <c r="DH267" i="115"/>
  <c r="DI267" i="115"/>
  <c r="DJ267" i="115"/>
  <c r="DL267" i="115"/>
  <c r="DM267" i="115"/>
  <c r="DN267" i="115"/>
  <c r="DP267" i="115"/>
  <c r="DQ267" i="115"/>
  <c r="DR267" i="115"/>
  <c r="DJ268" i="115"/>
  <c r="DN268" i="115"/>
  <c r="DR268" i="115"/>
  <c r="DJ269" i="115"/>
  <c r="DN269" i="115"/>
  <c r="DR269" i="115"/>
  <c r="DH270" i="115"/>
  <c r="DI270" i="115"/>
  <c r="DJ270" i="115"/>
  <c r="DL270" i="115"/>
  <c r="DM270" i="115"/>
  <c r="DN270" i="115"/>
  <c r="DP270" i="115"/>
  <c r="DQ270" i="115"/>
  <c r="DR270" i="115"/>
  <c r="DH274" i="115"/>
  <c r="DI274" i="115"/>
  <c r="DJ274" i="115"/>
  <c r="DL274" i="115"/>
  <c r="DM274" i="115"/>
  <c r="DN274" i="115"/>
  <c r="DP274" i="115"/>
  <c r="DQ274" i="115"/>
  <c r="DR274" i="115"/>
  <c r="DH275" i="115"/>
  <c r="DI275" i="115"/>
  <c r="DJ275" i="115"/>
  <c r="DL275" i="115"/>
  <c r="DM275" i="115"/>
  <c r="DN275" i="115"/>
  <c r="DP275" i="115"/>
  <c r="DQ275" i="115"/>
  <c r="DR275" i="115"/>
  <c r="DH365" i="115"/>
  <c r="DI365" i="115"/>
  <c r="DJ365" i="115"/>
  <c r="DL365" i="115"/>
  <c r="DM365" i="115"/>
  <c r="DN365" i="115"/>
  <c r="DP365" i="115"/>
  <c r="DQ365" i="115"/>
  <c r="DR365" i="115"/>
  <c r="DH366" i="115"/>
  <c r="DI366" i="115"/>
  <c r="DJ366" i="115"/>
  <c r="DL366" i="115"/>
  <c r="DM366" i="115"/>
  <c r="DN366" i="115"/>
  <c r="DP366" i="115"/>
  <c r="DQ366" i="115"/>
  <c r="DR366" i="115"/>
  <c r="DH370" i="115"/>
  <c r="DI370" i="115"/>
  <c r="DJ370" i="115"/>
  <c r="DK370" i="115"/>
  <c r="DL370" i="115"/>
  <c r="DM370" i="115"/>
  <c r="DN370" i="115"/>
  <c r="DO370" i="115"/>
  <c r="DP370" i="115"/>
  <c r="DQ370" i="115"/>
  <c r="DR370" i="115"/>
  <c r="DS370" i="115"/>
  <c r="DH375" i="115"/>
  <c r="DI375" i="115"/>
  <c r="DJ375" i="115"/>
  <c r="DL375" i="115"/>
  <c r="DM375" i="115"/>
  <c r="DN375" i="115"/>
  <c r="DP375" i="115"/>
  <c r="DQ375" i="115"/>
  <c r="DR375" i="115"/>
  <c r="DH378" i="115"/>
  <c r="DI378" i="115"/>
  <c r="DJ378" i="115"/>
  <c r="DL378" i="115"/>
  <c r="DM378" i="115"/>
  <c r="DN378" i="115"/>
  <c r="DP378" i="115"/>
  <c r="DQ378" i="115"/>
  <c r="DR378" i="115"/>
  <c r="DH380" i="115"/>
  <c r="DI380" i="115"/>
  <c r="DJ380" i="115"/>
  <c r="DL380" i="115"/>
  <c r="DM380" i="115"/>
  <c r="DN380" i="115"/>
  <c r="DP380" i="115"/>
  <c r="DQ380" i="115"/>
  <c r="DR380" i="115"/>
  <c r="DH381" i="115"/>
  <c r="DI381" i="115"/>
  <c r="DJ381" i="115"/>
  <c r="DL381" i="115"/>
  <c r="DM381" i="115"/>
  <c r="DN381" i="115"/>
  <c r="DP381" i="115"/>
  <c r="DQ381" i="115"/>
  <c r="DR381" i="115"/>
  <c r="DH382" i="115"/>
  <c r="DI382" i="115"/>
  <c r="DJ382" i="115"/>
  <c r="DL382" i="115"/>
  <c r="DM382" i="115"/>
  <c r="DN382" i="115"/>
  <c r="DP382" i="115"/>
  <c r="DQ382" i="115"/>
  <c r="DR382" i="115"/>
  <c r="DH384" i="115"/>
  <c r="DI384" i="115"/>
  <c r="DJ384" i="115"/>
  <c r="DL384" i="115"/>
  <c r="DM384" i="115"/>
  <c r="DN384" i="115"/>
  <c r="DP384" i="115"/>
  <c r="DQ384" i="115"/>
  <c r="DR384" i="115"/>
  <c r="DH385" i="115"/>
  <c r="DI385" i="115"/>
  <c r="DJ385" i="115"/>
  <c r="DL385" i="115"/>
  <c r="DM385" i="115"/>
  <c r="DN385" i="115"/>
  <c r="DP385" i="115"/>
  <c r="DQ385" i="115"/>
  <c r="DR385" i="115"/>
  <c r="DH387" i="115"/>
  <c r="DI387" i="115"/>
  <c r="DJ387" i="115"/>
  <c r="DL387" i="115"/>
  <c r="DM387" i="115"/>
  <c r="DN387" i="115"/>
  <c r="DP387" i="115"/>
  <c r="DQ387" i="115"/>
  <c r="DR387" i="115"/>
  <c r="DH388" i="115"/>
  <c r="DI388" i="115"/>
  <c r="DJ388" i="115"/>
  <c r="DL388" i="115"/>
  <c r="DM388" i="115"/>
  <c r="DN388" i="115"/>
  <c r="DP388" i="115"/>
  <c r="DQ388" i="115"/>
  <c r="DR388" i="115"/>
  <c r="DH434" i="115"/>
  <c r="DI434" i="115"/>
  <c r="DJ434" i="115"/>
  <c r="DL434" i="115"/>
  <c r="DM434" i="115"/>
  <c r="DN434" i="115"/>
  <c r="DP434" i="115"/>
  <c r="DQ434" i="115"/>
  <c r="DR434" i="115"/>
  <c r="DH443" i="115"/>
  <c r="DI443" i="115"/>
  <c r="DJ443" i="115"/>
  <c r="DL443" i="115"/>
  <c r="DM443" i="115"/>
  <c r="DN443" i="115"/>
  <c r="DP443" i="115"/>
  <c r="DQ443" i="115"/>
  <c r="DR443" i="115"/>
  <c r="DH445" i="115"/>
  <c r="DI445" i="115"/>
  <c r="DJ445" i="115"/>
  <c r="DL445" i="115"/>
  <c r="DM445" i="115"/>
  <c r="DN445" i="115"/>
  <c r="DP445" i="115"/>
  <c r="DQ445" i="115"/>
  <c r="DR445" i="115"/>
  <c r="DH447" i="115"/>
  <c r="DI447" i="115"/>
  <c r="DJ447" i="115"/>
  <c r="DL447" i="115"/>
  <c r="DM447" i="115"/>
  <c r="DN447" i="115"/>
  <c r="DP447" i="115"/>
  <c r="DQ447" i="115"/>
  <c r="DR447" i="115"/>
  <c r="DH449" i="115"/>
  <c r="DI449" i="115"/>
  <c r="DJ449" i="115"/>
  <c r="DL449" i="115"/>
  <c r="DM449" i="115"/>
  <c r="DN449" i="115"/>
  <c r="DP449" i="115"/>
  <c r="DQ449" i="115"/>
  <c r="DR449" i="115"/>
  <c r="DH455" i="115"/>
  <c r="DI455" i="115"/>
  <c r="DJ455" i="115"/>
  <c r="DL455" i="115"/>
  <c r="DM455" i="115"/>
  <c r="DN455" i="115"/>
  <c r="DP455" i="115"/>
  <c r="DQ455" i="115"/>
  <c r="DR455" i="115"/>
  <c r="DH456" i="115"/>
  <c r="DI456" i="115"/>
  <c r="DJ456" i="115"/>
  <c r="DL456" i="115"/>
  <c r="DM456" i="115"/>
  <c r="DN456" i="115"/>
  <c r="DP456" i="115"/>
  <c r="DQ456" i="115"/>
  <c r="DR456" i="115"/>
  <c r="DH464" i="115"/>
  <c r="DI464" i="115"/>
  <c r="DJ464" i="115"/>
  <c r="DL464" i="115"/>
  <c r="DM464" i="115"/>
  <c r="DN464" i="115"/>
  <c r="DP464" i="115"/>
  <c r="DQ464" i="115"/>
  <c r="DR464" i="115"/>
  <c r="DH465" i="115"/>
  <c r="DI465" i="115"/>
  <c r="DJ465" i="115"/>
  <c r="DL465" i="115"/>
  <c r="DM465" i="115"/>
  <c r="DN465" i="115"/>
  <c r="DP465" i="115"/>
  <c r="DQ465" i="115"/>
  <c r="DR465" i="115"/>
  <c r="DH467" i="115"/>
  <c r="DI467" i="115"/>
  <c r="DJ467" i="115"/>
  <c r="DL467" i="115"/>
  <c r="DM467" i="115"/>
  <c r="DN467" i="115"/>
  <c r="DP467" i="115"/>
  <c r="DQ467" i="115"/>
  <c r="DR467" i="115"/>
  <c r="DH468" i="115"/>
  <c r="DI468" i="115"/>
  <c r="DJ468" i="115"/>
  <c r="DL468" i="115"/>
  <c r="DM468" i="115"/>
  <c r="DN468" i="115"/>
  <c r="DP468" i="115"/>
  <c r="DQ468" i="115"/>
  <c r="DR468" i="115"/>
  <c r="DH470" i="115"/>
  <c r="DI470" i="115"/>
  <c r="DJ470" i="115"/>
  <c r="DL470" i="115"/>
  <c r="DM470" i="115"/>
  <c r="DN470" i="115"/>
  <c r="DP470" i="115"/>
  <c r="DQ470" i="115"/>
  <c r="DR470" i="115"/>
  <c r="DH472" i="115"/>
  <c r="DI472" i="115"/>
  <c r="DJ472" i="115"/>
  <c r="DL472" i="115"/>
  <c r="DM472" i="115"/>
  <c r="DN472" i="115"/>
  <c r="DP472" i="115"/>
  <c r="DQ472" i="115"/>
  <c r="DR472" i="115"/>
  <c r="DH476" i="115"/>
  <c r="DI476" i="115"/>
  <c r="DJ476" i="115"/>
  <c r="DL476" i="115"/>
  <c r="DM476" i="115"/>
  <c r="DN476" i="115"/>
  <c r="DP476" i="115"/>
  <c r="DQ476" i="115"/>
  <c r="DR476" i="115"/>
  <c r="DH486" i="115"/>
  <c r="DI486" i="115"/>
  <c r="DJ486" i="115"/>
  <c r="DL486" i="115"/>
  <c r="DM486" i="115"/>
  <c r="DN486" i="115"/>
  <c r="DP486" i="115"/>
  <c r="DQ486" i="115"/>
  <c r="DR486" i="115"/>
  <c r="DH487" i="115"/>
  <c r="DI487" i="115"/>
  <c r="DJ487" i="115"/>
  <c r="DL487" i="115"/>
  <c r="DM487" i="115"/>
  <c r="DN487" i="115"/>
  <c r="DP487" i="115"/>
  <c r="DQ487" i="115"/>
  <c r="DR487" i="115"/>
  <c r="DH488" i="115"/>
  <c r="DI488" i="115"/>
  <c r="DJ488" i="115"/>
  <c r="DL488" i="115"/>
  <c r="DM488" i="115"/>
  <c r="DN488" i="115"/>
  <c r="DP488" i="115"/>
  <c r="DQ488" i="115"/>
  <c r="DR488" i="115"/>
  <c r="DH489" i="115"/>
  <c r="DI489" i="115"/>
  <c r="DJ489" i="115"/>
  <c r="DL489" i="115"/>
  <c r="DM489" i="115"/>
  <c r="DN489" i="115"/>
  <c r="DP489" i="115"/>
  <c r="DQ489" i="115"/>
  <c r="DR489" i="115"/>
  <c r="DH505" i="115"/>
  <c r="DI505" i="115"/>
  <c r="DL505" i="115"/>
  <c r="DM505" i="115"/>
  <c r="DP505" i="115"/>
  <c r="DQ505" i="115"/>
  <c r="DH506" i="115"/>
  <c r="DI506" i="115"/>
  <c r="DL506" i="115"/>
  <c r="DM506" i="115"/>
  <c r="DP506" i="115"/>
  <c r="DQ506" i="115"/>
  <c r="DH509" i="115"/>
  <c r="DI509" i="115"/>
  <c r="DL509" i="115"/>
  <c r="DM509" i="115"/>
  <c r="DP509" i="115"/>
  <c r="DQ509" i="115"/>
  <c r="DH510" i="115"/>
  <c r="DI510" i="115"/>
  <c r="DL510" i="115"/>
  <c r="DM510" i="115"/>
  <c r="DP510" i="115"/>
  <c r="DQ510" i="115"/>
  <c r="DJ512" i="115"/>
  <c r="DN512" i="115"/>
  <c r="DR512" i="115"/>
  <c r="DH514" i="115"/>
  <c r="DI514" i="115"/>
  <c r="DJ514" i="115"/>
  <c r="DL514" i="115"/>
  <c r="DM514" i="115"/>
  <c r="DN514" i="115"/>
  <c r="DP514" i="115"/>
  <c r="DQ514" i="115"/>
  <c r="DR514" i="115"/>
  <c r="DH536" i="115"/>
  <c r="DI536" i="115"/>
  <c r="DJ536" i="115"/>
  <c r="DL536" i="115"/>
  <c r="DM536" i="115"/>
  <c r="DN536" i="115"/>
  <c r="DP536" i="115"/>
  <c r="DQ536" i="115"/>
  <c r="DR536" i="115"/>
  <c r="DH538" i="115"/>
  <c r="DI538" i="115"/>
  <c r="DJ538" i="115"/>
  <c r="DL538" i="115"/>
  <c r="DM538" i="115"/>
  <c r="DN538" i="115"/>
  <c r="DP538" i="115"/>
  <c r="DQ538" i="115"/>
  <c r="DR538" i="115"/>
  <c r="DH554" i="115"/>
  <c r="DI554" i="115"/>
  <c r="DJ554" i="115"/>
  <c r="DL554" i="115"/>
  <c r="DM554" i="115"/>
  <c r="DN554" i="115"/>
  <c r="DP554" i="115"/>
  <c r="DQ554" i="115"/>
  <c r="DR554" i="115"/>
  <c r="DH555" i="115"/>
  <c r="DI555" i="115"/>
  <c r="DJ555" i="115"/>
  <c r="DL555" i="115"/>
  <c r="DM555" i="115"/>
  <c r="DN555" i="115"/>
  <c r="DP555" i="115"/>
  <c r="DQ555" i="115"/>
  <c r="DR555" i="115"/>
  <c r="DH557" i="115"/>
  <c r="DI557" i="115"/>
  <c r="DJ557" i="115"/>
  <c r="DL557" i="115"/>
  <c r="DM557" i="115"/>
  <c r="DN557" i="115"/>
  <c r="DP557" i="115"/>
  <c r="DQ557" i="115"/>
  <c r="DR557" i="115"/>
  <c r="DH559" i="115"/>
  <c r="DI559" i="115"/>
  <c r="DJ559" i="115"/>
  <c r="DL559" i="115"/>
  <c r="DM559" i="115"/>
  <c r="DN559" i="115"/>
  <c r="DP559" i="115"/>
  <c r="DQ559" i="115"/>
  <c r="DR559" i="115"/>
  <c r="DH562" i="115"/>
  <c r="DI562" i="115"/>
  <c r="DJ562" i="115"/>
  <c r="DL562" i="115"/>
  <c r="DM562" i="115"/>
  <c r="DN562" i="115"/>
  <c r="DP562" i="115"/>
  <c r="DQ562" i="115"/>
  <c r="DR562" i="115"/>
  <c r="DH563" i="115"/>
  <c r="DI563" i="115"/>
  <c r="DJ563" i="115"/>
  <c r="DL563" i="115"/>
  <c r="DM563" i="115"/>
  <c r="DN563" i="115"/>
  <c r="DP563" i="115"/>
  <c r="DQ563" i="115"/>
  <c r="DR563" i="115"/>
  <c r="DH564" i="115"/>
  <c r="DI564" i="115"/>
  <c r="DJ564" i="115"/>
  <c r="DL564" i="115"/>
  <c r="DM564" i="115"/>
  <c r="DN564" i="115"/>
  <c r="DP564" i="115"/>
  <c r="DQ564" i="115"/>
  <c r="DR564" i="115"/>
  <c r="DH566" i="115"/>
  <c r="DI566" i="115"/>
  <c r="DJ566" i="115"/>
  <c r="DL566" i="115"/>
  <c r="DM566" i="115"/>
  <c r="DN566" i="115"/>
  <c r="DP566" i="115"/>
  <c r="DQ566" i="115"/>
  <c r="DR566" i="115"/>
  <c r="DH567" i="115"/>
  <c r="DI567" i="115"/>
  <c r="DJ567" i="115"/>
  <c r="DL567" i="115"/>
  <c r="DM567" i="115"/>
  <c r="DN567" i="115"/>
  <c r="DP567" i="115"/>
  <c r="DQ567" i="115"/>
  <c r="DR567" i="115"/>
  <c r="DH568" i="115"/>
  <c r="DI568" i="115"/>
  <c r="DJ568" i="115"/>
  <c r="DL568" i="115"/>
  <c r="DM568" i="115"/>
  <c r="DN568" i="115"/>
  <c r="DP568" i="115"/>
  <c r="DQ568" i="115"/>
  <c r="DR568" i="115"/>
  <c r="DH572" i="115"/>
  <c r="DI572" i="115"/>
  <c r="DJ572" i="115"/>
  <c r="DL572" i="115"/>
  <c r="DM572" i="115"/>
  <c r="DN572" i="115"/>
  <c r="DP572" i="115"/>
  <c r="DQ572" i="115"/>
  <c r="DR572" i="115"/>
  <c r="DH573" i="115"/>
  <c r="DI573" i="115"/>
  <c r="DJ573" i="115"/>
  <c r="DL573" i="115"/>
  <c r="DM573" i="115"/>
  <c r="DN573" i="115"/>
  <c r="DP573" i="115"/>
  <c r="DQ573" i="115"/>
  <c r="DR573" i="115"/>
  <c r="DH597" i="115"/>
  <c r="DI597" i="115"/>
  <c r="DJ597" i="115"/>
  <c r="DL597" i="115"/>
  <c r="DM597" i="115"/>
  <c r="DN597" i="115"/>
  <c r="DP597" i="115"/>
  <c r="DQ597" i="115"/>
  <c r="DR597" i="115"/>
  <c r="DH598" i="115"/>
  <c r="DI598" i="115"/>
  <c r="DJ598" i="115"/>
  <c r="DL598" i="115"/>
  <c r="DM598" i="115"/>
  <c r="DN598" i="115"/>
  <c r="DP598" i="115"/>
  <c r="DQ598" i="115"/>
  <c r="DR598" i="115"/>
  <c r="DH602" i="115"/>
  <c r="DI602" i="115"/>
  <c r="DJ602" i="115"/>
  <c r="DL602" i="115"/>
  <c r="DM602" i="115"/>
  <c r="DN602" i="115"/>
  <c r="DP602" i="115"/>
  <c r="DQ602" i="115"/>
  <c r="DR602" i="115"/>
  <c r="DH606" i="115"/>
  <c r="DI606" i="115"/>
  <c r="DJ606" i="115"/>
  <c r="DL606" i="115"/>
  <c r="DM606" i="115"/>
  <c r="DN606" i="115"/>
  <c r="DP606" i="115"/>
  <c r="DQ606" i="115"/>
  <c r="DR606" i="115"/>
  <c r="DH607" i="115"/>
  <c r="DI607" i="115"/>
  <c r="DL607" i="115"/>
  <c r="DM607" i="115"/>
  <c r="DP607" i="115"/>
  <c r="DQ607" i="115"/>
  <c r="DH608" i="115"/>
  <c r="DI608" i="115"/>
  <c r="DJ608" i="115"/>
  <c r="DL608" i="115"/>
  <c r="DM608" i="115"/>
  <c r="DN608" i="115"/>
  <c r="DP608" i="115"/>
  <c r="DQ608" i="115"/>
  <c r="DR608" i="115"/>
  <c r="DJ609" i="115"/>
  <c r="DN609" i="115"/>
  <c r="DR609" i="115"/>
  <c r="DH611" i="115"/>
  <c r="DI611" i="115"/>
  <c r="DJ611" i="115"/>
  <c r="DL611" i="115"/>
  <c r="DM611" i="115"/>
  <c r="DN611" i="115"/>
  <c r="DP611" i="115"/>
  <c r="DQ611" i="115"/>
  <c r="DR611" i="115"/>
  <c r="DH612" i="115"/>
  <c r="DI612" i="115"/>
  <c r="DL612" i="115"/>
  <c r="DM612" i="115"/>
  <c r="DP612" i="115"/>
  <c r="DQ612" i="115"/>
  <c r="DH614" i="115"/>
  <c r="DI614" i="115"/>
  <c r="DJ614" i="115"/>
  <c r="DL614" i="115"/>
  <c r="DM614" i="115"/>
  <c r="DN614" i="115"/>
  <c r="DP614" i="115"/>
  <c r="DQ614" i="115"/>
  <c r="DR614" i="115"/>
  <c r="DH616" i="115"/>
  <c r="DI616" i="115"/>
  <c r="DJ616" i="115"/>
  <c r="DL616" i="115"/>
  <c r="DM616" i="115"/>
  <c r="DN616" i="115"/>
  <c r="DP616" i="115"/>
  <c r="DQ616" i="115"/>
  <c r="DR616" i="115"/>
  <c r="DH618" i="115"/>
  <c r="DI618" i="115"/>
  <c r="DJ618" i="115"/>
  <c r="DL618" i="115"/>
  <c r="DM618" i="115"/>
  <c r="DN618" i="115"/>
  <c r="DP618" i="115"/>
  <c r="DQ618" i="115"/>
  <c r="DR618" i="115"/>
  <c r="DH619" i="115"/>
  <c r="DI619" i="115"/>
  <c r="DL619" i="115"/>
  <c r="DM619" i="115"/>
  <c r="DP619" i="115"/>
  <c r="DQ619" i="115"/>
  <c r="DH621" i="115"/>
  <c r="DI621" i="115"/>
  <c r="DJ621" i="115"/>
  <c r="DL621" i="115"/>
  <c r="DM621" i="115"/>
  <c r="DN621" i="115"/>
  <c r="DP621" i="115"/>
  <c r="DQ621" i="115"/>
  <c r="DR621" i="115"/>
  <c r="DH622" i="115"/>
  <c r="DI622" i="115"/>
  <c r="DL622" i="115"/>
  <c r="DM622" i="115"/>
  <c r="DP622" i="115"/>
  <c r="DQ622" i="115"/>
  <c r="DH624" i="115"/>
  <c r="DI624" i="115"/>
  <c r="DJ624" i="115"/>
  <c r="DL624" i="115"/>
  <c r="DM624" i="115"/>
  <c r="DN624" i="115"/>
  <c r="DP624" i="115"/>
  <c r="DQ624" i="115"/>
  <c r="DR624" i="115"/>
  <c r="DH625" i="115"/>
  <c r="DI625" i="115"/>
  <c r="DL625" i="115"/>
  <c r="DM625" i="115"/>
  <c r="DP625" i="115"/>
  <c r="DQ625" i="115"/>
  <c r="DH626" i="115"/>
  <c r="DI626" i="115"/>
  <c r="DL626" i="115"/>
  <c r="DM626" i="115"/>
  <c r="DP626" i="115"/>
  <c r="DQ626" i="115"/>
  <c r="DH629" i="115"/>
  <c r="DI629" i="115"/>
  <c r="DJ629" i="115"/>
  <c r="DL629" i="115"/>
  <c r="DM629" i="115"/>
  <c r="DN629" i="115"/>
  <c r="DP629" i="115"/>
  <c r="DQ629" i="115"/>
  <c r="DR629" i="115"/>
  <c r="DH630" i="115"/>
  <c r="DI630" i="115"/>
  <c r="DJ630" i="115"/>
  <c r="DL630" i="115"/>
  <c r="DM630" i="115"/>
  <c r="DN630" i="115"/>
  <c r="DP630" i="115"/>
  <c r="DQ630" i="115"/>
  <c r="DR630" i="115"/>
  <c r="DH631" i="115"/>
  <c r="DI631" i="115"/>
  <c r="DJ631" i="115"/>
  <c r="DL631" i="115"/>
  <c r="DM631" i="115"/>
  <c r="DN631" i="115"/>
  <c r="DP631" i="115"/>
  <c r="DQ631" i="115"/>
  <c r="DR631" i="115"/>
  <c r="DH632" i="115"/>
  <c r="DI632" i="115"/>
  <c r="DJ632" i="115"/>
  <c r="DL632" i="115"/>
  <c r="DM632" i="115"/>
  <c r="DN632" i="115"/>
  <c r="DP632" i="115"/>
  <c r="DQ632" i="115"/>
  <c r="DR632" i="115"/>
  <c r="DH633" i="115"/>
  <c r="DI633" i="115"/>
  <c r="DJ633" i="115"/>
  <c r="DL633" i="115"/>
  <c r="DM633" i="115"/>
  <c r="DN633" i="115"/>
  <c r="DP633" i="115"/>
  <c r="DQ633" i="115"/>
  <c r="DR633" i="115"/>
  <c r="DH634" i="115"/>
  <c r="DI634" i="115"/>
  <c r="DJ634" i="115"/>
  <c r="DL634" i="115"/>
  <c r="DM634" i="115"/>
  <c r="DN634" i="115"/>
  <c r="DP634" i="115"/>
  <c r="DQ634" i="115"/>
  <c r="DR634" i="115"/>
  <c r="DH654" i="115"/>
  <c r="DI654" i="115"/>
  <c r="DJ654" i="115"/>
  <c r="DL654" i="115"/>
  <c r="DM654" i="115"/>
  <c r="DN654" i="115"/>
  <c r="DP654" i="115"/>
  <c r="DQ654" i="115"/>
  <c r="DR654" i="115"/>
  <c r="DH656" i="115"/>
  <c r="DI656" i="115"/>
  <c r="DJ656" i="115"/>
  <c r="DL656" i="115"/>
  <c r="DM656" i="115"/>
  <c r="DN656" i="115"/>
  <c r="DP656" i="115"/>
  <c r="DQ656" i="115"/>
  <c r="DR656" i="115"/>
  <c r="DH657" i="115"/>
  <c r="DI657" i="115"/>
  <c r="DJ657" i="115"/>
  <c r="DL657" i="115"/>
  <c r="DM657" i="115"/>
  <c r="DN657" i="115"/>
  <c r="DP657" i="115"/>
  <c r="DQ657" i="115"/>
  <c r="DR657" i="115"/>
  <c r="DH658" i="115"/>
  <c r="DI658" i="115"/>
  <c r="DJ658" i="115"/>
  <c r="DL658" i="115"/>
  <c r="DM658" i="115"/>
  <c r="DN658" i="115"/>
  <c r="DP658" i="115"/>
  <c r="DQ658" i="115"/>
  <c r="DR658" i="115"/>
  <c r="DH659" i="115"/>
  <c r="DI659" i="115"/>
  <c r="DJ659" i="115"/>
  <c r="DL659" i="115"/>
  <c r="DM659" i="115"/>
  <c r="DN659" i="115"/>
  <c r="DP659" i="115"/>
  <c r="DQ659" i="115"/>
  <c r="DR659" i="115"/>
  <c r="DH660" i="115"/>
  <c r="DI660" i="115"/>
  <c r="DJ660" i="115"/>
  <c r="DL660" i="115"/>
  <c r="DM660" i="115"/>
  <c r="DN660" i="115"/>
  <c r="DP660" i="115"/>
  <c r="DQ660" i="115"/>
  <c r="DR660" i="115"/>
  <c r="DH766" i="115"/>
  <c r="DI766" i="115"/>
  <c r="DL766" i="115"/>
  <c r="DM766" i="115"/>
  <c r="DP766" i="115"/>
  <c r="DQ766" i="115"/>
  <c r="DH767" i="115"/>
  <c r="DI767" i="115"/>
  <c r="DL767" i="115"/>
  <c r="DM767" i="115"/>
  <c r="DP767" i="115"/>
  <c r="DQ767" i="115"/>
  <c r="DH770" i="115"/>
  <c r="DI770" i="115"/>
  <c r="DJ770" i="115"/>
  <c r="DL770" i="115"/>
  <c r="DM770" i="115"/>
  <c r="DN770" i="115"/>
  <c r="DP770" i="115"/>
  <c r="DQ770" i="115"/>
  <c r="DR770" i="115"/>
  <c r="DH774" i="115"/>
  <c r="DI774" i="115"/>
  <c r="DJ774" i="115"/>
  <c r="DL774" i="115"/>
  <c r="DM774" i="115"/>
  <c r="DN774" i="115"/>
  <c r="DP774" i="115"/>
  <c r="DQ774" i="115"/>
  <c r="DR774" i="115"/>
  <c r="DH775" i="115"/>
  <c r="DI775" i="115"/>
  <c r="DL775" i="115"/>
  <c r="DM775" i="115"/>
  <c r="DP775" i="115"/>
  <c r="DQ775" i="115"/>
  <c r="DH776" i="115"/>
  <c r="DI776" i="115"/>
  <c r="DJ776" i="115"/>
  <c r="DL776" i="115"/>
  <c r="DM776" i="115"/>
  <c r="DN776" i="115"/>
  <c r="DP776" i="115"/>
  <c r="DQ776" i="115"/>
  <c r="DR776" i="115"/>
  <c r="DH779" i="115"/>
  <c r="DI779" i="115"/>
  <c r="DJ779" i="115"/>
  <c r="DL779" i="115"/>
  <c r="DM779" i="115"/>
  <c r="DN779" i="115"/>
  <c r="DP779" i="115"/>
  <c r="DQ779" i="115"/>
  <c r="DR779" i="115"/>
  <c r="DH782" i="115"/>
  <c r="DI782" i="115"/>
  <c r="DJ782" i="115"/>
  <c r="DL782" i="115"/>
  <c r="DM782" i="115"/>
  <c r="DN782" i="115"/>
  <c r="DP782" i="115"/>
  <c r="DQ782" i="115"/>
  <c r="DR782" i="115"/>
  <c r="DH783" i="115"/>
  <c r="DI783" i="115"/>
  <c r="DL783" i="115"/>
  <c r="DM783" i="115"/>
  <c r="DP783" i="115"/>
  <c r="DQ783" i="115"/>
  <c r="DH784" i="115"/>
  <c r="DI784" i="115"/>
  <c r="DJ784" i="115"/>
  <c r="DL784" i="115"/>
  <c r="DM784" i="115"/>
  <c r="DN784" i="115"/>
  <c r="DP784" i="115"/>
  <c r="DQ784" i="115"/>
  <c r="DR784" i="115"/>
  <c r="BP846" i="115"/>
  <c r="BQ846" i="115"/>
  <c r="BR846" i="115"/>
  <c r="BP847" i="115"/>
  <c r="BQ847" i="115"/>
  <c r="BR847" i="115"/>
  <c r="BP883" i="115"/>
  <c r="BQ883" i="115"/>
  <c r="BR883" i="115"/>
  <c r="BP892" i="115"/>
  <c r="BQ892" i="115"/>
  <c r="BR892" i="115"/>
  <c r="DH901" i="115"/>
  <c r="DI901" i="115"/>
  <c r="DJ901" i="115"/>
  <c r="DL901" i="115"/>
  <c r="DM901" i="115"/>
  <c r="DN901" i="115"/>
  <c r="DP901" i="115"/>
  <c r="DQ901" i="115"/>
  <c r="DR901" i="115"/>
  <c r="DH902" i="115"/>
  <c r="DI902" i="115"/>
  <c r="DJ902" i="115"/>
  <c r="DL902" i="115"/>
  <c r="DM902" i="115"/>
  <c r="DN902" i="115"/>
  <c r="DP902" i="115"/>
  <c r="DQ902" i="115"/>
  <c r="DR902" i="115"/>
  <c r="DH903" i="115"/>
  <c r="DI903" i="115"/>
  <c r="DJ903" i="115"/>
  <c r="DL903" i="115"/>
  <c r="DM903" i="115"/>
  <c r="DN903" i="115"/>
  <c r="DP903" i="115"/>
  <c r="DQ903" i="115"/>
  <c r="DR903" i="115"/>
  <c r="BH922" i="115"/>
  <c r="BI922" i="115"/>
  <c r="BJ922" i="115"/>
  <c r="BL922" i="115"/>
  <c r="BM922" i="115"/>
  <c r="BN922" i="115"/>
  <c r="BP922" i="115"/>
  <c r="BQ922" i="115"/>
  <c r="BR922" i="115"/>
  <c r="BW922" i="115"/>
  <c r="BH923" i="115"/>
  <c r="BI923" i="115"/>
  <c r="BJ923" i="115"/>
  <c r="BL923" i="115"/>
  <c r="BM923" i="115"/>
  <c r="BN923" i="115"/>
  <c r="BP923" i="115"/>
  <c r="BQ923" i="115"/>
  <c r="BR923" i="115"/>
  <c r="BH930" i="115"/>
  <c r="BI930" i="115"/>
  <c r="BJ930" i="115"/>
  <c r="BL930" i="115"/>
  <c r="BM930" i="115"/>
  <c r="BN930" i="115"/>
  <c r="BP930" i="115"/>
  <c r="BQ930" i="115"/>
  <c r="BR930" i="115"/>
  <c r="BH931" i="115"/>
  <c r="BI931" i="115"/>
  <c r="BJ931" i="115"/>
  <c r="BL931" i="115"/>
  <c r="BM931" i="115"/>
  <c r="BN931" i="115"/>
  <c r="BP931" i="115"/>
  <c r="BQ931" i="115"/>
  <c r="BR931" i="115"/>
  <c r="BI934" i="115"/>
  <c r="BL934" i="115"/>
  <c r="BM934" i="115"/>
  <c r="BP934" i="115"/>
  <c r="BQ934" i="115"/>
  <c r="BT934" i="115"/>
  <c r="BI935" i="115"/>
  <c r="BL935" i="115"/>
  <c r="BM935" i="115"/>
  <c r="BP935" i="115"/>
  <c r="BQ935" i="115"/>
  <c r="BT935" i="115"/>
  <c r="DH938" i="115"/>
  <c r="DI938" i="115"/>
  <c r="DL938" i="115"/>
  <c r="DM938" i="115"/>
  <c r="DP938" i="115"/>
  <c r="DQ938" i="115"/>
  <c r="DH939" i="115"/>
  <c r="DI939" i="115"/>
  <c r="DL939" i="115"/>
  <c r="DM939" i="115"/>
  <c r="DP939" i="115"/>
  <c r="DQ939" i="115"/>
  <c r="DI963" i="115"/>
  <c r="DL963" i="115"/>
  <c r="DM963" i="115"/>
  <c r="DN963" i="115"/>
  <c r="DP963" i="115"/>
  <c r="DQ963" i="115"/>
  <c r="DR963" i="115"/>
  <c r="DH965" i="115"/>
  <c r="DI965" i="115"/>
  <c r="DJ965" i="115"/>
  <c r="DL965" i="115"/>
  <c r="DM965" i="115"/>
  <c r="DN965" i="115"/>
  <c r="DP965" i="115"/>
  <c r="DQ965" i="115"/>
  <c r="DR965" i="115"/>
  <c r="DH966" i="115"/>
  <c r="DI966" i="115"/>
  <c r="DJ966" i="115"/>
  <c r="DL966" i="115"/>
  <c r="DM966" i="115"/>
  <c r="DN966" i="115"/>
  <c r="DP966" i="115"/>
  <c r="DQ966" i="115"/>
  <c r="DR966" i="115"/>
  <c r="DH967" i="115"/>
  <c r="DI967" i="115"/>
  <c r="DJ967" i="115"/>
  <c r="DL967" i="115"/>
  <c r="DM967" i="115"/>
  <c r="DN967" i="115"/>
  <c r="DP967" i="115"/>
  <c r="DQ967" i="115"/>
  <c r="DR967" i="115"/>
  <c r="DH968" i="115"/>
  <c r="DI968" i="115"/>
  <c r="DJ968" i="115"/>
  <c r="DL968" i="115"/>
  <c r="DM968" i="115"/>
  <c r="DN968" i="115"/>
  <c r="DP968" i="115"/>
  <c r="DQ968" i="115"/>
  <c r="DR968" i="115"/>
  <c r="DH970" i="115"/>
  <c r="DI970" i="115"/>
  <c r="DJ970" i="115"/>
  <c r="DL970" i="115"/>
  <c r="DM970" i="115"/>
  <c r="DN970" i="115"/>
  <c r="DP970" i="115"/>
  <c r="DQ970" i="115"/>
  <c r="DR970" i="115"/>
  <c r="DH971" i="115"/>
  <c r="DI971" i="115"/>
  <c r="DJ971" i="115"/>
  <c r="DL971" i="115"/>
  <c r="DM971" i="115"/>
  <c r="DN971" i="115"/>
  <c r="DP971" i="115"/>
  <c r="DQ971" i="115"/>
  <c r="DR971" i="115"/>
  <c r="DH974" i="115"/>
  <c r="DI974" i="115"/>
  <c r="DJ974" i="115"/>
  <c r="DL974" i="115"/>
  <c r="DM974" i="115"/>
  <c r="DN974" i="115"/>
  <c r="DP974" i="115"/>
  <c r="DQ974" i="115"/>
  <c r="DR974" i="115"/>
  <c r="DH975" i="115"/>
  <c r="DI975" i="115"/>
  <c r="DJ975" i="115"/>
  <c r="DL975" i="115"/>
  <c r="DM975" i="115"/>
  <c r="DN975" i="115"/>
  <c r="DP975" i="115"/>
  <c r="DQ975" i="115"/>
  <c r="DR975" i="115"/>
  <c r="DH978" i="115"/>
  <c r="DI978" i="115"/>
  <c r="DJ978" i="115"/>
  <c r="DL978" i="115"/>
  <c r="DM978" i="115"/>
  <c r="DN978" i="115"/>
  <c r="DP978" i="115"/>
  <c r="DQ978" i="115"/>
  <c r="DR978" i="115"/>
  <c r="DH982" i="115"/>
  <c r="DI982" i="115"/>
  <c r="DJ982" i="115"/>
  <c r="DL982" i="115"/>
  <c r="DM982" i="115"/>
  <c r="DN982" i="115"/>
  <c r="DP982" i="115"/>
  <c r="DQ982" i="115"/>
  <c r="DR982" i="115"/>
  <c r="DH983" i="115"/>
  <c r="DI983" i="115"/>
  <c r="DJ983" i="115"/>
  <c r="DL983" i="115"/>
  <c r="DM983" i="115"/>
  <c r="DN983" i="115"/>
  <c r="DP983" i="115"/>
  <c r="DQ983" i="115"/>
  <c r="DR983" i="115"/>
  <c r="DH984" i="115"/>
  <c r="DI984" i="115"/>
  <c r="DJ984" i="115"/>
  <c r="DL984" i="115"/>
  <c r="DM984" i="115"/>
  <c r="DN984" i="115"/>
  <c r="DP984" i="115"/>
  <c r="DQ984" i="115"/>
  <c r="DR984" i="115"/>
  <c r="DH985" i="115"/>
  <c r="DI985" i="115"/>
  <c r="DJ985" i="115"/>
  <c r="DL985" i="115"/>
  <c r="DM985" i="115"/>
  <c r="DN985" i="115"/>
  <c r="DP985" i="115"/>
  <c r="DQ985" i="115"/>
  <c r="DR985" i="115"/>
  <c r="DH990" i="115"/>
  <c r="DI990" i="115"/>
  <c r="DJ990" i="115"/>
  <c r="DL990" i="115"/>
  <c r="DM990" i="115"/>
  <c r="DN990" i="115"/>
  <c r="DP990" i="115"/>
  <c r="DQ990" i="115"/>
  <c r="DR990" i="115"/>
  <c r="DH991" i="115"/>
  <c r="DI991" i="115"/>
  <c r="DJ991" i="115"/>
  <c r="DL991" i="115"/>
  <c r="DM991" i="115"/>
  <c r="DN991" i="115"/>
  <c r="DP991" i="115"/>
  <c r="DQ991" i="115"/>
  <c r="DR991" i="115"/>
  <c r="DH992" i="115"/>
  <c r="DI992" i="115"/>
  <c r="DJ992" i="115"/>
  <c r="DL992" i="115"/>
  <c r="DM992" i="115"/>
  <c r="DN992" i="115"/>
  <c r="DP992" i="115"/>
  <c r="DQ992" i="115"/>
  <c r="DR992" i="115"/>
  <c r="DH993" i="115"/>
  <c r="DI993" i="115"/>
  <c r="DJ993" i="115"/>
  <c r="DL993" i="115"/>
  <c r="DM993" i="115"/>
  <c r="DN993" i="115"/>
  <c r="DP993" i="115"/>
  <c r="DQ993" i="115"/>
  <c r="DR993" i="115"/>
  <c r="DH995" i="115"/>
  <c r="DI995" i="115"/>
  <c r="DJ995" i="115"/>
  <c r="DL995" i="115"/>
  <c r="DM995" i="115"/>
  <c r="DN995" i="115"/>
  <c r="DP995" i="115"/>
  <c r="DQ995" i="115"/>
  <c r="DR995" i="115"/>
  <c r="DH997" i="115"/>
  <c r="DI997" i="115"/>
  <c r="DJ997" i="115"/>
  <c r="DL997" i="115"/>
  <c r="DM997" i="115"/>
  <c r="DN997" i="115"/>
  <c r="DP997" i="115"/>
  <c r="DQ997" i="115"/>
  <c r="DR997" i="115"/>
  <c r="DH998" i="115"/>
  <c r="DI998" i="115"/>
  <c r="DJ998" i="115"/>
  <c r="DL998" i="115"/>
  <c r="DM998" i="115"/>
  <c r="DN998" i="115"/>
  <c r="DP998" i="115"/>
  <c r="DQ998" i="115"/>
  <c r="DR998" i="115"/>
  <c r="DH1000" i="115"/>
  <c r="DI1000" i="115"/>
  <c r="DJ1000" i="115"/>
  <c r="DL1000" i="115"/>
  <c r="DM1000" i="115"/>
  <c r="DN1000" i="115"/>
  <c r="DP1000" i="115"/>
  <c r="DQ1000" i="115"/>
  <c r="DR1000" i="115"/>
  <c r="DJ1001" i="115"/>
  <c r="DN1001" i="115"/>
  <c r="DR1001" i="115"/>
  <c r="DH1003" i="115"/>
  <c r="DI1003" i="115"/>
  <c r="DJ1003" i="115"/>
  <c r="DL1003" i="115"/>
  <c r="DM1003" i="115"/>
  <c r="DN1003" i="115"/>
  <c r="DP1003" i="115"/>
  <c r="DQ1003" i="115"/>
  <c r="DR1003" i="115"/>
  <c r="DH1004" i="115"/>
  <c r="DI1004" i="115"/>
  <c r="DL1004" i="115"/>
  <c r="DM1004" i="115"/>
  <c r="DP1004" i="115"/>
  <c r="DQ1004" i="115"/>
  <c r="DH1008" i="115"/>
  <c r="DI1008" i="115"/>
  <c r="DJ1008" i="115"/>
  <c r="DL1008" i="115"/>
  <c r="DM1008" i="115"/>
  <c r="DN1008" i="115"/>
  <c r="DP1008" i="115"/>
  <c r="DQ1008" i="115"/>
  <c r="DR1008" i="115"/>
  <c r="DJ1009" i="115"/>
  <c r="DN1009" i="115"/>
  <c r="DR1009" i="115"/>
  <c r="CB1030" i="115"/>
  <c r="CD1030" i="115"/>
  <c r="CB1036" i="115"/>
  <c r="CD1036" i="115"/>
  <c r="DI1040" i="115"/>
  <c r="DJ1040" i="115"/>
  <c r="DL1040" i="115"/>
  <c r="DM1040" i="115"/>
  <c r="DN1040" i="115"/>
  <c r="DP1040" i="115"/>
  <c r="DQ1040" i="115"/>
  <c r="DR1040" i="115"/>
  <c r="DH1042" i="115"/>
  <c r="DI1042" i="115"/>
  <c r="DJ1042" i="115"/>
  <c r="DL1042" i="115"/>
  <c r="DM1042" i="115"/>
  <c r="DN1042" i="115"/>
  <c r="DP1042" i="115"/>
  <c r="DQ1042" i="115"/>
  <c r="DR1042" i="115"/>
  <c r="DH1043" i="115"/>
  <c r="DI1043" i="115"/>
  <c r="DJ1043" i="115"/>
  <c r="DL1043" i="115"/>
  <c r="DM1043" i="115"/>
  <c r="DN1043" i="115"/>
  <c r="DP1043" i="115"/>
  <c r="DQ1043" i="115"/>
  <c r="DR1043" i="115"/>
  <c r="DH1046" i="115"/>
  <c r="DI1046" i="115"/>
  <c r="DJ1046" i="115"/>
  <c r="DL1046" i="115"/>
  <c r="DM1046" i="115"/>
  <c r="DN1046" i="115"/>
  <c r="DP1046" i="115"/>
  <c r="DQ1046" i="115"/>
  <c r="DR1046" i="115"/>
  <c r="DH1049" i="115"/>
  <c r="DI1049" i="115"/>
  <c r="DJ1049" i="115"/>
  <c r="DL1049" i="115"/>
  <c r="DM1049" i="115"/>
  <c r="DN1049" i="115"/>
  <c r="DP1049" i="115"/>
  <c r="DQ1049" i="115"/>
  <c r="DR1049" i="115"/>
  <c r="DL1058" i="115"/>
  <c r="DM1058" i="115"/>
  <c r="DN1058" i="115"/>
  <c r="DP1058" i="115"/>
  <c r="DQ1058" i="115"/>
  <c r="DR1058" i="115"/>
  <c r="DI1059" i="115"/>
  <c r="DJ1059" i="115"/>
  <c r="DL1059" i="115"/>
  <c r="DM1059" i="115"/>
  <c r="DN1059" i="115"/>
  <c r="DP1059" i="115"/>
  <c r="DQ1059" i="115"/>
  <c r="DR1059" i="115"/>
  <c r="DI1060" i="115"/>
  <c r="DJ1060" i="115"/>
  <c r="DL1060" i="115"/>
  <c r="DM1060" i="115"/>
  <c r="DN1060" i="115"/>
  <c r="DP1060" i="115"/>
  <c r="DQ1060" i="115"/>
  <c r="DR1060" i="115"/>
  <c r="DI1061" i="115"/>
  <c r="DJ1061" i="115"/>
  <c r="DL1061" i="115"/>
  <c r="DM1061" i="115"/>
  <c r="DN1061" i="115"/>
  <c r="DP1061" i="115"/>
  <c r="DQ1061" i="115"/>
  <c r="DR1061" i="115"/>
  <c r="DM1062" i="115"/>
  <c r="DN1062" i="115"/>
  <c r="DP1062" i="115"/>
  <c r="DQ1062" i="115"/>
  <c r="DR1062" i="115"/>
  <c r="DL1064" i="115"/>
  <c r="DM1064" i="115"/>
  <c r="DN1064" i="115"/>
  <c r="DP1064" i="115"/>
  <c r="DQ1064" i="115"/>
  <c r="DR1064" i="115"/>
  <c r="DI1065" i="115"/>
  <c r="DJ1065" i="115"/>
  <c r="DL1065" i="115"/>
  <c r="DM1065" i="115"/>
  <c r="DN1065" i="115"/>
  <c r="DP1065" i="115"/>
  <c r="DQ1065" i="115"/>
  <c r="DR1065" i="115"/>
  <c r="DI1068" i="115"/>
  <c r="DL1068" i="115"/>
  <c r="DM1068" i="115"/>
  <c r="DN1068" i="115"/>
  <c r="DP1068" i="115"/>
  <c r="DQ1068" i="115"/>
  <c r="DR1068" i="115"/>
  <c r="CB1072" i="115"/>
  <c r="CD1072" i="115"/>
  <c r="DH1072" i="115"/>
  <c r="DI1072" i="115"/>
  <c r="DJ1072" i="115"/>
  <c r="DL1072" i="115"/>
  <c r="DM1072" i="115"/>
  <c r="DN1072" i="115"/>
  <c r="DP1072" i="115"/>
  <c r="DQ1072" i="115"/>
  <c r="DR1072" i="115"/>
  <c r="CB1073" i="115"/>
  <c r="CD1073" i="115"/>
  <c r="DH1073" i="115"/>
  <c r="DI1073" i="115"/>
  <c r="DJ1073" i="115"/>
  <c r="DL1073" i="115"/>
  <c r="DM1073" i="115"/>
  <c r="DN1073" i="115"/>
  <c r="DP1073" i="115"/>
  <c r="DQ1073" i="115"/>
  <c r="DR1073" i="115"/>
  <c r="DL1075" i="115"/>
  <c r="DN1075" i="115"/>
  <c r="DP1075" i="115"/>
  <c r="DR1075" i="115"/>
  <c r="DI1076" i="115"/>
  <c r="DJ1076" i="115"/>
  <c r="DM1076" i="115"/>
  <c r="DN1076" i="115"/>
  <c r="DQ1076" i="115"/>
  <c r="DR1076" i="115"/>
  <c r="CB1077" i="115"/>
  <c r="CD1077" i="115"/>
  <c r="CD1078" i="115"/>
  <c r="DH1078" i="115"/>
  <c r="DI1078" i="115"/>
  <c r="DJ1078" i="115"/>
  <c r="DL1078" i="115"/>
  <c r="DM1078" i="115"/>
  <c r="DN1078" i="115"/>
  <c r="DP1078" i="115"/>
  <c r="DQ1078" i="115"/>
  <c r="DR1078" i="115"/>
  <c r="DL1101" i="115"/>
  <c r="DM1101" i="115"/>
  <c r="DN1101" i="115"/>
  <c r="DP1101" i="115"/>
  <c r="DQ1101" i="115"/>
  <c r="DR1101" i="115"/>
  <c r="DI1102" i="115"/>
  <c r="DJ1102" i="115"/>
  <c r="DL1102" i="115"/>
  <c r="DM1102" i="115"/>
  <c r="DN1102" i="115"/>
  <c r="DP1102" i="115"/>
  <c r="DQ1102" i="115"/>
  <c r="DR1102" i="115"/>
  <c r="DI1103" i="115"/>
  <c r="DJ1103" i="115"/>
  <c r="DL1103" i="115"/>
  <c r="DM1103" i="115"/>
  <c r="DN1103" i="115"/>
  <c r="DP1103" i="115"/>
  <c r="DQ1103" i="115"/>
  <c r="DR1103" i="115"/>
  <c r="DI1104" i="115"/>
  <c r="DJ1104" i="115"/>
  <c r="DL1104" i="115"/>
  <c r="DM1104" i="115"/>
  <c r="DN1104" i="115"/>
  <c r="DP1104" i="115"/>
  <c r="DQ1104" i="115"/>
  <c r="DR1104" i="115"/>
  <c r="DM1105" i="115"/>
  <c r="DN1105" i="115"/>
  <c r="DP1105" i="115"/>
  <c r="DQ1105" i="115"/>
  <c r="DR1105" i="115"/>
  <c r="DL1106" i="115"/>
  <c r="DM1106" i="115"/>
  <c r="DN1106" i="115"/>
  <c r="DP1106" i="115"/>
  <c r="DQ1106" i="115"/>
  <c r="DR1106" i="115"/>
  <c r="DI1107" i="115"/>
  <c r="DJ1107" i="115"/>
  <c r="DL1107" i="115"/>
  <c r="DM1107" i="115"/>
  <c r="DN1107" i="115"/>
  <c r="DP1107" i="115"/>
  <c r="DQ1107" i="115"/>
  <c r="DR1107" i="115"/>
  <c r="DI1108" i="115"/>
  <c r="DJ1108" i="115"/>
  <c r="DL1108" i="115"/>
  <c r="DM1108" i="115"/>
  <c r="DN1108" i="115"/>
  <c r="DP1108" i="115"/>
  <c r="DQ1108" i="115"/>
  <c r="DR1108" i="115"/>
  <c r="DI1109" i="115"/>
  <c r="DJ1109" i="115"/>
  <c r="DL1109" i="115"/>
  <c r="DM1109" i="115"/>
  <c r="DN1109" i="115"/>
  <c r="DP1109" i="115"/>
  <c r="DQ1109" i="115"/>
  <c r="DR1109" i="115"/>
  <c r="DI1111" i="115"/>
  <c r="DL1111" i="115"/>
  <c r="DM1111" i="115"/>
  <c r="DP1111" i="115"/>
  <c r="DQ1111" i="115"/>
  <c r="DH1114" i="115"/>
  <c r="DI1114" i="115"/>
  <c r="DJ1114" i="115"/>
  <c r="DL1114" i="115"/>
  <c r="DM1114" i="115"/>
  <c r="DN1114" i="115"/>
  <c r="DP1114" i="115"/>
  <c r="DQ1114" i="115"/>
  <c r="DR1114" i="115"/>
  <c r="DH1116" i="115"/>
  <c r="DI1116" i="115"/>
  <c r="DJ1116" i="115"/>
  <c r="DL1116" i="115"/>
  <c r="DM1116" i="115"/>
  <c r="DN1116" i="115"/>
  <c r="DP1116" i="115"/>
  <c r="DQ1116" i="115"/>
  <c r="DR1116" i="115"/>
  <c r="DH1118" i="115"/>
  <c r="DI1118" i="115"/>
  <c r="DJ1118" i="115"/>
  <c r="DL1118" i="115"/>
  <c r="DM1118" i="115"/>
  <c r="DN1118" i="115"/>
  <c r="DP1118" i="115"/>
  <c r="DQ1118" i="115"/>
  <c r="DR1118" i="115"/>
  <c r="DH1119" i="115"/>
  <c r="DI1119" i="115"/>
  <c r="DJ1119" i="115"/>
  <c r="DL1119" i="115"/>
  <c r="DM1119" i="115"/>
  <c r="DN1119" i="115"/>
  <c r="DP1119" i="115"/>
  <c r="DQ1119" i="115"/>
  <c r="DR1119" i="115"/>
  <c r="DH1125" i="115"/>
  <c r="DI1125" i="115"/>
  <c r="DJ1125" i="115"/>
  <c r="DK1125" i="115"/>
  <c r="DL1125" i="115"/>
  <c r="DM1125" i="115"/>
  <c r="DN1125" i="115"/>
  <c r="DO1125" i="115"/>
  <c r="DP1125" i="115"/>
  <c r="DQ1125" i="115"/>
  <c r="DR1125" i="115"/>
  <c r="DS1125" i="115"/>
  <c r="DH1126" i="115"/>
  <c r="DI1126" i="115"/>
  <c r="DJ1126" i="115"/>
  <c r="DL1126" i="115"/>
  <c r="DM1126" i="115"/>
  <c r="DN1126" i="115"/>
  <c r="DP1126" i="115"/>
  <c r="DQ1126" i="115"/>
  <c r="DR1126" i="115"/>
  <c r="DH1127" i="115"/>
  <c r="DI1127" i="115"/>
  <c r="DJ1127" i="115"/>
  <c r="DL1127" i="115"/>
  <c r="DM1127" i="115"/>
  <c r="DN1127" i="115"/>
  <c r="DP1127" i="115"/>
  <c r="DQ1127" i="115"/>
  <c r="DR1127" i="115"/>
  <c r="DH1128" i="115"/>
  <c r="DI1128" i="115"/>
  <c r="DJ1128" i="115"/>
  <c r="DL1128" i="115"/>
  <c r="DM1128" i="115"/>
  <c r="DN1128" i="115"/>
  <c r="DP1128" i="115"/>
  <c r="DQ1128" i="115"/>
  <c r="DR1128" i="115"/>
  <c r="DH1129" i="115"/>
  <c r="DI1129" i="115"/>
  <c r="DL1129" i="115"/>
  <c r="DM1129" i="115"/>
  <c r="DP1129" i="115"/>
  <c r="DQ1129" i="115"/>
  <c r="DH1130" i="115"/>
  <c r="DI1130" i="115"/>
  <c r="DJ1130" i="115"/>
  <c r="DL1130" i="115"/>
  <c r="DM1130" i="115"/>
  <c r="DN1130" i="115"/>
  <c r="DP1130" i="115"/>
  <c r="DQ1130" i="115"/>
  <c r="DR1130" i="115"/>
  <c r="DI1131" i="115"/>
  <c r="DJ1131" i="115"/>
  <c r="DL1131" i="115"/>
  <c r="DM1131" i="115"/>
  <c r="DN1131" i="115"/>
  <c r="DP1131" i="115"/>
  <c r="DQ1131" i="115"/>
  <c r="DR1131" i="115"/>
  <c r="DH1132" i="115"/>
  <c r="DI1132" i="115"/>
  <c r="DJ1132" i="115"/>
  <c r="DL1132" i="115"/>
  <c r="DM1132" i="115"/>
  <c r="DN1132" i="115"/>
  <c r="DP1132" i="115"/>
  <c r="DQ1132" i="115"/>
  <c r="DR1132" i="115"/>
  <c r="DH1133" i="115"/>
  <c r="DI1133" i="115"/>
  <c r="DJ1133" i="115"/>
  <c r="DL1133" i="115"/>
  <c r="DM1133" i="115"/>
  <c r="DN1133" i="115"/>
  <c r="DP1133" i="115"/>
  <c r="DQ1133" i="115"/>
  <c r="DR1133" i="115"/>
  <c r="DH1134" i="115"/>
  <c r="DI1134" i="115"/>
  <c r="DJ1134" i="115"/>
  <c r="DL1134" i="115"/>
  <c r="DM1134" i="115"/>
  <c r="DN1134" i="115"/>
  <c r="DP1134" i="115"/>
  <c r="DQ1134" i="115"/>
  <c r="DR1134" i="115"/>
  <c r="CB1135" i="115"/>
  <c r="CD1135" i="115"/>
  <c r="CE1135" i="115"/>
  <c r="CI1135" i="115"/>
  <c r="DH1135" i="115"/>
  <c r="DI1135" i="115"/>
  <c r="DJ1135" i="115"/>
  <c r="DK1135" i="115"/>
  <c r="DL1135" i="115"/>
  <c r="DM1135" i="115"/>
  <c r="DN1135" i="115"/>
  <c r="DO1135" i="115"/>
  <c r="DP1135" i="115"/>
  <c r="DQ1135" i="115"/>
  <c r="DR1135" i="115"/>
  <c r="DS1135" i="115"/>
  <c r="CB1136" i="115"/>
  <c r="CD1136" i="115"/>
  <c r="DJ1136" i="115"/>
  <c r="DN1136" i="115"/>
  <c r="DR1136" i="115"/>
  <c r="CB1138" i="115"/>
  <c r="CD1138" i="115"/>
  <c r="DH1138" i="115"/>
  <c r="DI1138" i="115"/>
  <c r="DJ1138" i="115"/>
  <c r="DL1138" i="115"/>
  <c r="DM1138" i="115"/>
  <c r="DN1138" i="115"/>
  <c r="DP1138" i="115"/>
  <c r="DQ1138" i="115"/>
  <c r="DR1138" i="115"/>
  <c r="CB1139" i="115"/>
  <c r="CD1139" i="115"/>
  <c r="DH1139" i="115"/>
  <c r="DI1139" i="115"/>
  <c r="DJ1139" i="115"/>
  <c r="DL1139" i="115"/>
  <c r="DM1139" i="115"/>
  <c r="DN1139" i="115"/>
  <c r="DP1139" i="115"/>
  <c r="DQ1139" i="115"/>
  <c r="DR1139" i="115"/>
  <c r="CB1141" i="115"/>
  <c r="CD1141" i="115"/>
  <c r="DH1141" i="115"/>
  <c r="DI1141" i="115"/>
  <c r="DJ1141" i="115"/>
  <c r="DL1141" i="115"/>
  <c r="DM1141" i="115"/>
  <c r="DN1141" i="115"/>
  <c r="DP1141" i="115"/>
  <c r="DQ1141" i="115"/>
  <c r="DR1141" i="115"/>
  <c r="CB1142" i="115"/>
  <c r="CD1142" i="115"/>
  <c r="DH1142" i="115"/>
  <c r="DI1142" i="115"/>
  <c r="DJ1142" i="115"/>
  <c r="DL1142" i="115"/>
  <c r="DM1142" i="115"/>
  <c r="DN1142" i="115"/>
  <c r="DP1142" i="115"/>
  <c r="DQ1142" i="115"/>
  <c r="DR1142" i="115"/>
  <c r="CB1143" i="115"/>
  <c r="CD1143" i="115"/>
  <c r="DH1143" i="115"/>
  <c r="DI1143" i="115"/>
  <c r="DJ1143" i="115"/>
  <c r="DL1143" i="115"/>
  <c r="DM1143" i="115"/>
  <c r="DN1143" i="115"/>
  <c r="DP1143" i="115"/>
  <c r="DQ1143" i="115"/>
  <c r="DR1143" i="115"/>
  <c r="CB1144" i="115"/>
  <c r="CD1144" i="115"/>
  <c r="DH1144" i="115"/>
  <c r="DI1144" i="115"/>
  <c r="DJ1144" i="115"/>
  <c r="DL1144" i="115"/>
  <c r="DM1144" i="115"/>
  <c r="DN1144" i="115"/>
  <c r="DP1144" i="115"/>
  <c r="DQ1144" i="115"/>
  <c r="DR1144" i="115"/>
  <c r="DH1146" i="115"/>
  <c r="DI1146" i="115"/>
  <c r="DJ1146" i="115"/>
  <c r="DL1146" i="115"/>
  <c r="DM1146" i="115"/>
  <c r="DN1146" i="115"/>
  <c r="DP1146" i="115"/>
  <c r="DQ1146" i="115"/>
  <c r="DR1146" i="115"/>
  <c r="DH1148" i="115"/>
  <c r="DI1148" i="115"/>
  <c r="DJ1148" i="115"/>
  <c r="DL1148" i="115"/>
  <c r="DM1148" i="115"/>
  <c r="DN1148" i="115"/>
  <c r="DP1148" i="115"/>
  <c r="DQ1148" i="115"/>
  <c r="DR1148" i="115"/>
  <c r="DH1153" i="115"/>
  <c r="DI1153" i="115"/>
  <c r="DJ1153" i="115"/>
  <c r="DL1153" i="115"/>
  <c r="DM1153" i="115"/>
  <c r="DN1153" i="115"/>
  <c r="DP1153" i="115"/>
  <c r="DQ1153" i="115"/>
  <c r="DR1153" i="115"/>
  <c r="DH1154" i="115"/>
  <c r="DI1154" i="115"/>
  <c r="DJ1154" i="115"/>
  <c r="DL1154" i="115"/>
  <c r="DM1154" i="115"/>
  <c r="DN1154" i="115"/>
  <c r="DP1154" i="115"/>
  <c r="DQ1154" i="115"/>
  <c r="DR1154" i="115"/>
  <c r="DH1155" i="115"/>
  <c r="DI1155" i="115"/>
  <c r="DJ1155" i="115"/>
  <c r="DL1155" i="115"/>
  <c r="DM1155" i="115"/>
  <c r="DN1155" i="115"/>
  <c r="DP1155" i="115"/>
  <c r="DQ1155" i="115"/>
  <c r="DR1155" i="115"/>
  <c r="DH1156" i="115"/>
  <c r="DI1156" i="115"/>
  <c r="DJ1156" i="115"/>
  <c r="DL1156" i="115"/>
  <c r="DM1156" i="115"/>
  <c r="DN1156" i="115"/>
  <c r="DP1156" i="115"/>
  <c r="DQ1156" i="115"/>
  <c r="DR1156" i="115"/>
  <c r="DH1158" i="115"/>
  <c r="DI1158" i="115"/>
  <c r="DL1158" i="115"/>
  <c r="DM1158" i="115"/>
  <c r="DP1158" i="115"/>
  <c r="DQ1158" i="115"/>
  <c r="BL1159" i="115"/>
  <c r="CB1159" i="115"/>
  <c r="DH1159" i="115"/>
  <c r="DI1159" i="115"/>
  <c r="DL1159" i="115"/>
  <c r="DM1159" i="115"/>
  <c r="DP1159" i="115"/>
  <c r="DQ1159" i="115"/>
  <c r="DH1160" i="115"/>
  <c r="DI1160" i="115"/>
  <c r="DL1160" i="115"/>
  <c r="DM1160" i="115"/>
  <c r="DP1160" i="115"/>
  <c r="DQ1160" i="115"/>
  <c r="CB1161" i="115"/>
  <c r="DH1161" i="115"/>
  <c r="DI1161" i="115"/>
  <c r="DL1161" i="115"/>
  <c r="DM1161" i="115"/>
  <c r="DP1161" i="115"/>
  <c r="DQ1161" i="115"/>
  <c r="DH1163" i="115"/>
  <c r="DI1163" i="115"/>
  <c r="DJ1163" i="115"/>
  <c r="DL1163" i="115"/>
  <c r="DM1163" i="115"/>
  <c r="DN1163" i="115"/>
  <c r="DP1163" i="115"/>
  <c r="DQ1163" i="115"/>
  <c r="DR1163" i="115"/>
  <c r="DJ1164" i="115"/>
  <c r="DN1164" i="115"/>
  <c r="DR1164" i="115"/>
  <c r="DH1166" i="115"/>
  <c r="DI1166" i="115"/>
  <c r="DJ1166" i="115"/>
  <c r="DL1166" i="115"/>
  <c r="DM1166" i="115"/>
  <c r="DN1166" i="115"/>
  <c r="DP1166" i="115"/>
  <c r="DQ1166" i="115"/>
  <c r="DR1166" i="115"/>
  <c r="DH1169" i="115"/>
  <c r="DI1169" i="115"/>
  <c r="DL1169" i="115"/>
  <c r="DM1169" i="115"/>
  <c r="DP1169" i="115"/>
  <c r="DQ1169" i="115"/>
  <c r="BL1170" i="115"/>
  <c r="CD1170" i="115"/>
  <c r="BL1171" i="115"/>
  <c r="CB1171" i="115"/>
  <c r="CD1171" i="115"/>
  <c r="DH1171" i="115"/>
  <c r="DI1171" i="115"/>
  <c r="DJ1171" i="115"/>
  <c r="DL1171" i="115"/>
  <c r="DM1171" i="115"/>
  <c r="DN1171" i="115"/>
  <c r="DP1171" i="115"/>
  <c r="DQ1171" i="115"/>
  <c r="DR1171" i="115"/>
  <c r="BL1173" i="115"/>
  <c r="CB1173" i="115"/>
  <c r="DH1173" i="115"/>
  <c r="DI1173" i="115"/>
  <c r="DL1173" i="115"/>
  <c r="DM1173" i="115"/>
  <c r="DP1173" i="115"/>
  <c r="DQ1173" i="115"/>
  <c r="BN1174" i="115"/>
  <c r="CD1174" i="115"/>
  <c r="DJ1174" i="115"/>
  <c r="DN1174" i="115"/>
  <c r="DR1174" i="115"/>
  <c r="BL1175" i="115"/>
  <c r="CB1175" i="115"/>
  <c r="DH1175" i="115"/>
  <c r="DI1175" i="115"/>
  <c r="DL1175" i="115"/>
  <c r="DM1175" i="115"/>
  <c r="DP1175" i="115"/>
  <c r="DQ1175" i="115"/>
  <c r="BL1176" i="115"/>
  <c r="CB1176" i="115"/>
  <c r="DH1176" i="115"/>
  <c r="DI1176" i="115"/>
  <c r="DL1176" i="115"/>
  <c r="DM1176" i="115"/>
  <c r="DP1176" i="115"/>
  <c r="DQ1176" i="115"/>
  <c r="DH1179" i="115"/>
  <c r="DI1179" i="115"/>
  <c r="DL1179" i="115"/>
  <c r="DM1179" i="115"/>
  <c r="DP1179" i="115"/>
  <c r="DQ1179" i="115"/>
  <c r="DH1180" i="115"/>
  <c r="DI1180" i="115"/>
  <c r="DL1180" i="115"/>
  <c r="DM1180" i="115"/>
  <c r="DP1180" i="115"/>
  <c r="DQ1180" i="115"/>
  <c r="DH1181" i="115"/>
  <c r="DI1181" i="115"/>
  <c r="DL1181" i="115"/>
  <c r="DM1181" i="115"/>
  <c r="DP1181" i="115"/>
  <c r="DQ1181" i="115"/>
  <c r="DH1183" i="115"/>
  <c r="DI1183" i="115"/>
  <c r="DL1183" i="115"/>
  <c r="DM1183" i="115"/>
  <c r="DP1183" i="115"/>
  <c r="DQ1183" i="115"/>
  <c r="DH1184" i="115"/>
  <c r="DI1184" i="115"/>
  <c r="DL1184" i="115"/>
  <c r="DM1184" i="115"/>
  <c r="DP1184" i="115"/>
  <c r="DQ1184" i="115"/>
  <c r="DH1186" i="115"/>
  <c r="DI1186" i="115"/>
  <c r="DL1186" i="115"/>
  <c r="DM1186" i="115"/>
  <c r="DP1186" i="115"/>
  <c r="DQ1186" i="115"/>
  <c r="DH1188" i="115"/>
  <c r="DI1188" i="115"/>
  <c r="DL1188" i="115"/>
  <c r="DM1188" i="115"/>
  <c r="DP1188" i="115"/>
  <c r="DQ1188" i="115"/>
  <c r="DH1191" i="115"/>
  <c r="DI1191" i="115"/>
  <c r="DL1191" i="115"/>
  <c r="DM1191" i="115"/>
  <c r="DP1191" i="115"/>
  <c r="DQ1191" i="115"/>
  <c r="DH1192" i="115"/>
  <c r="DI1192" i="115"/>
  <c r="DL1192" i="115"/>
  <c r="DM1192" i="115"/>
  <c r="DP1192" i="115"/>
  <c r="DQ1192" i="115"/>
  <c r="DH1194" i="115"/>
  <c r="DI1194" i="115"/>
  <c r="DL1194" i="115"/>
  <c r="DM1194" i="115"/>
  <c r="DP1194" i="115"/>
  <c r="DQ1194" i="115"/>
  <c r="DH1195" i="115"/>
  <c r="DI1195" i="115"/>
  <c r="DL1195" i="115"/>
  <c r="DM1195" i="115"/>
  <c r="DP1195" i="115"/>
  <c r="DQ1195" i="115"/>
  <c r="DL1197" i="115"/>
  <c r="DM1197" i="115"/>
  <c r="DP1197" i="115"/>
  <c r="DQ1197" i="115"/>
  <c r="DL1199" i="115"/>
  <c r="DM1199" i="115"/>
  <c r="DP1199" i="115"/>
  <c r="DQ1199" i="115"/>
  <c r="DL1202" i="115"/>
  <c r="DM1202" i="115"/>
  <c r="DP1202" i="115"/>
  <c r="DQ1202" i="115"/>
  <c r="DL1204" i="115"/>
  <c r="DM1204" i="115"/>
  <c r="DP1204" i="115"/>
  <c r="DQ1204" i="115"/>
  <c r="DI1209" i="115"/>
  <c r="DJ1209" i="115"/>
  <c r="DL1209" i="115"/>
  <c r="DM1209" i="115"/>
  <c r="DN1209" i="115"/>
  <c r="DP1209" i="115"/>
  <c r="DQ1209" i="115"/>
  <c r="DR1209" i="115"/>
  <c r="DI1210" i="115"/>
  <c r="DL1210" i="115"/>
  <c r="DM1210" i="115"/>
  <c r="DP1210" i="115"/>
  <c r="DQ1210" i="115"/>
  <c r="DI1212" i="115"/>
  <c r="DJ1212" i="115"/>
  <c r="DL1212" i="115"/>
  <c r="DM1212" i="115"/>
  <c r="DN1212" i="115"/>
  <c r="DP1212" i="115"/>
  <c r="DQ1212" i="115"/>
  <c r="DR1212" i="115"/>
  <c r="DI1214" i="115"/>
  <c r="DJ1214" i="115"/>
  <c r="DL1214" i="115"/>
  <c r="DM1214" i="115"/>
  <c r="DN1214" i="115"/>
  <c r="DP1214" i="115"/>
  <c r="DQ1214" i="115"/>
  <c r="DR1214" i="115"/>
  <c r="DH1216" i="115"/>
  <c r="DI1216" i="115"/>
  <c r="DJ1216" i="115"/>
  <c r="DL1216" i="115"/>
  <c r="DM1216" i="115"/>
  <c r="DN1216" i="115"/>
  <c r="DP1216" i="115"/>
  <c r="DQ1216" i="115"/>
  <c r="DR1216" i="115"/>
  <c r="DH1218" i="115"/>
  <c r="DI1218" i="115"/>
  <c r="DJ1218" i="115"/>
  <c r="DL1218" i="115"/>
  <c r="DM1218" i="115"/>
  <c r="DN1218" i="115"/>
  <c r="DP1218" i="115"/>
  <c r="DQ1218" i="115"/>
  <c r="DR1218" i="115"/>
  <c r="DI1220" i="115"/>
  <c r="DJ1220" i="115"/>
  <c r="DL1220" i="115"/>
  <c r="DM1220" i="115"/>
  <c r="DN1220" i="115"/>
  <c r="DP1220" i="115"/>
  <c r="DQ1220" i="115"/>
  <c r="DR1220" i="115"/>
  <c r="CB1223" i="115"/>
  <c r="CD1223" i="115"/>
  <c r="DH1223" i="115"/>
  <c r="DI1223" i="115"/>
  <c r="DJ1223" i="115"/>
  <c r="DL1223" i="115"/>
  <c r="DM1223" i="115"/>
  <c r="DN1223" i="115"/>
  <c r="DP1223" i="115"/>
  <c r="DQ1223" i="115"/>
  <c r="DR1223" i="115"/>
  <c r="CB1225" i="115"/>
  <c r="CD1225" i="115"/>
  <c r="DH1225" i="115"/>
  <c r="DI1225" i="115"/>
  <c r="DJ1225" i="115"/>
  <c r="DL1225" i="115"/>
  <c r="DM1225" i="115"/>
  <c r="DN1225" i="115"/>
  <c r="DP1225" i="115"/>
  <c r="DQ1225" i="115"/>
  <c r="DR1225" i="115"/>
  <c r="CB1227" i="115"/>
  <c r="CD1227" i="115"/>
  <c r="DH1227" i="115"/>
  <c r="DI1227" i="115"/>
  <c r="DJ1227" i="115"/>
  <c r="DL1227" i="115"/>
  <c r="DM1227" i="115"/>
  <c r="DN1227" i="115"/>
  <c r="DP1227" i="115"/>
  <c r="DQ1227" i="115"/>
  <c r="DR1227" i="115"/>
  <c r="DI1232" i="115"/>
  <c r="DJ1232" i="115"/>
  <c r="DL1232" i="115"/>
  <c r="DM1232" i="115"/>
  <c r="DN1232" i="115"/>
  <c r="DP1232" i="115"/>
  <c r="DQ1232" i="115"/>
  <c r="DR1232" i="115"/>
  <c r="DI1233" i="115"/>
  <c r="DJ1233" i="115"/>
  <c r="DL1233" i="115"/>
  <c r="DM1233" i="115"/>
  <c r="DN1233" i="115"/>
  <c r="DP1233" i="115"/>
  <c r="DQ1233" i="115"/>
  <c r="DR1233" i="115"/>
  <c r="DI1234" i="115"/>
  <c r="DJ1234" i="115"/>
  <c r="DL1234" i="115"/>
  <c r="DM1234" i="115"/>
  <c r="DN1234" i="115"/>
  <c r="DP1234" i="115"/>
  <c r="DQ1234" i="115"/>
  <c r="DR1234" i="115"/>
  <c r="DH1238" i="115"/>
  <c r="DI1238" i="115"/>
  <c r="DJ1238" i="115"/>
  <c r="DK1238" i="115"/>
  <c r="DL1238" i="115"/>
  <c r="DM1238" i="115"/>
  <c r="DN1238" i="115"/>
  <c r="DO1238" i="115"/>
  <c r="DP1238" i="115"/>
  <c r="DQ1238" i="115"/>
  <c r="DR1238" i="115"/>
  <c r="DS1238" i="115"/>
  <c r="DH1240" i="115"/>
  <c r="DI1240" i="115"/>
  <c r="DJ1240" i="115"/>
  <c r="DK1240" i="115"/>
  <c r="DL1240" i="115"/>
  <c r="DM1240" i="115"/>
  <c r="DN1240" i="115"/>
  <c r="DO1240" i="115"/>
  <c r="DP1240" i="115"/>
  <c r="DQ1240" i="115"/>
  <c r="DR1240" i="115"/>
  <c r="DS1240" i="115"/>
  <c r="CB1242" i="115"/>
  <c r="CD1242" i="115"/>
  <c r="DH1242" i="115"/>
  <c r="DI1242" i="115"/>
  <c r="DJ1242" i="115"/>
  <c r="DL1242" i="115"/>
  <c r="DM1242" i="115"/>
  <c r="DN1242" i="115"/>
  <c r="DP1242" i="115"/>
  <c r="DQ1242" i="115"/>
  <c r="DR1242" i="115"/>
  <c r="CB1244" i="115"/>
  <c r="CD1244" i="115"/>
  <c r="DH1244" i="115"/>
  <c r="DI1244" i="115"/>
  <c r="DJ1244" i="115"/>
  <c r="DL1244" i="115"/>
  <c r="DM1244" i="115"/>
  <c r="DN1244" i="115"/>
  <c r="DP1244" i="115"/>
  <c r="DQ1244" i="115"/>
  <c r="DR1244" i="115"/>
  <c r="DH1246" i="115"/>
  <c r="DI1246" i="115"/>
  <c r="DJ1246" i="115"/>
  <c r="DL1246" i="115"/>
  <c r="DM1246" i="115"/>
  <c r="DN1246" i="115"/>
  <c r="DP1246" i="115"/>
  <c r="DQ1246" i="115"/>
  <c r="DR1246" i="115"/>
  <c r="DH1252" i="115"/>
  <c r="DI1252" i="115"/>
  <c r="DJ1252" i="115"/>
  <c r="DL1252" i="115"/>
  <c r="DM1252" i="115"/>
  <c r="DN1252" i="115"/>
  <c r="DP1252" i="115"/>
  <c r="DQ1252" i="115"/>
  <c r="DR1252" i="115"/>
  <c r="DH1253" i="115"/>
  <c r="DI1253" i="115"/>
  <c r="DJ1253" i="115"/>
  <c r="DL1253" i="115"/>
  <c r="DM1253" i="115"/>
  <c r="DN1253" i="115"/>
  <c r="DP1253" i="115"/>
  <c r="DQ1253" i="115"/>
  <c r="DR1253" i="115"/>
  <c r="DH1254" i="115"/>
  <c r="DI1254" i="115"/>
  <c r="DJ1254" i="115"/>
  <c r="DL1254" i="115"/>
  <c r="DM1254" i="115"/>
  <c r="DN1254" i="115"/>
  <c r="DP1254" i="115"/>
  <c r="DQ1254" i="115"/>
  <c r="DR1254" i="115"/>
  <c r="DH1256" i="115"/>
  <c r="DI1256" i="115"/>
  <c r="DJ1256" i="115"/>
  <c r="DL1256" i="115"/>
  <c r="DM1256" i="115"/>
  <c r="DN1256" i="115"/>
  <c r="DP1256" i="115"/>
  <c r="DQ1256" i="115"/>
  <c r="DR1256" i="115"/>
  <c r="DH1259" i="115"/>
  <c r="DI1259" i="115"/>
  <c r="DL1259" i="115"/>
  <c r="DM1259" i="115"/>
  <c r="DP1259" i="115"/>
  <c r="DQ1259" i="115"/>
  <c r="DH1261" i="115"/>
  <c r="DI1261" i="115"/>
  <c r="DL1261" i="115"/>
  <c r="DM1261" i="115"/>
  <c r="DP1261" i="115"/>
  <c r="DQ1261" i="115"/>
  <c r="DH1267" i="115"/>
  <c r="DI1267" i="115"/>
  <c r="DJ1267" i="115"/>
  <c r="DL1267" i="115"/>
  <c r="DM1267" i="115"/>
  <c r="DN1267" i="115"/>
  <c r="DP1267" i="115"/>
  <c r="DQ1267" i="115"/>
  <c r="DR1267" i="115"/>
  <c r="DH1273" i="115"/>
  <c r="DI1273" i="115"/>
  <c r="DJ1273" i="115"/>
  <c r="DL1273" i="115"/>
  <c r="DM1273" i="115"/>
  <c r="DN1273" i="115"/>
  <c r="DP1273" i="115"/>
  <c r="DQ1273" i="115"/>
  <c r="DR1273" i="115"/>
  <c r="DH1277" i="115"/>
  <c r="DI1277" i="115"/>
  <c r="DJ1277" i="115"/>
  <c r="DL1277" i="115"/>
  <c r="DM1277" i="115"/>
  <c r="DN1277" i="115"/>
  <c r="DP1277" i="115"/>
  <c r="DQ1277" i="115"/>
  <c r="DR1277" i="115"/>
  <c r="DH1281" i="115"/>
  <c r="DI1281" i="115"/>
  <c r="DJ1281" i="115"/>
  <c r="DL1281" i="115"/>
  <c r="DM1281" i="115"/>
  <c r="DN1281" i="115"/>
  <c r="DP1281" i="115"/>
  <c r="DQ1281" i="115"/>
  <c r="DR1281" i="115"/>
  <c r="DI1282" i="115"/>
  <c r="DJ1282" i="115"/>
  <c r="DL1282" i="115"/>
  <c r="DM1282" i="115"/>
  <c r="DN1282" i="115"/>
  <c r="DP1282" i="115"/>
  <c r="DQ1282" i="115"/>
  <c r="DR1282" i="115"/>
  <c r="DH1286" i="115"/>
  <c r="DI1286" i="115"/>
  <c r="DJ1286" i="115"/>
  <c r="DL1286" i="115"/>
  <c r="DM1286" i="115"/>
  <c r="DN1286" i="115"/>
  <c r="DP1286" i="115"/>
  <c r="DQ1286" i="115"/>
  <c r="DR1286" i="115"/>
  <c r="DH1288" i="115"/>
  <c r="DI1288" i="115"/>
  <c r="DJ1288" i="115"/>
  <c r="DL1288" i="115"/>
  <c r="DM1288" i="115"/>
  <c r="DN1288" i="115"/>
  <c r="DP1288" i="115"/>
  <c r="DQ1288" i="115"/>
  <c r="DR1288" i="115"/>
  <c r="DH1295" i="115"/>
  <c r="DI1295" i="115"/>
  <c r="DJ1295" i="115"/>
  <c r="DK1295" i="115"/>
  <c r="DL1295" i="115"/>
  <c r="DM1295" i="115"/>
  <c r="DN1295" i="115"/>
  <c r="DO1295" i="115"/>
  <c r="DP1295" i="115"/>
  <c r="DQ1295" i="115"/>
  <c r="DR1295" i="115"/>
  <c r="DS1295" i="115"/>
  <c r="DH1297" i="115"/>
  <c r="DI1297" i="115"/>
  <c r="DJ1297" i="115"/>
  <c r="DK1297" i="115"/>
  <c r="DL1297" i="115"/>
  <c r="DM1297" i="115"/>
  <c r="DN1297" i="115"/>
  <c r="DO1297" i="115"/>
  <c r="DP1297" i="115"/>
  <c r="DQ1297" i="115"/>
  <c r="DR1297" i="115"/>
  <c r="DS1297" i="115"/>
  <c r="DH1300" i="115"/>
  <c r="DI1300" i="115"/>
  <c r="DJ1300" i="115"/>
  <c r="DK1300" i="115"/>
  <c r="DL1300" i="115"/>
  <c r="DM1300" i="115"/>
  <c r="DN1300" i="115"/>
  <c r="DO1300" i="115"/>
  <c r="DP1300" i="115"/>
  <c r="DQ1300" i="115"/>
  <c r="DR1300" i="115"/>
  <c r="DS1300" i="115"/>
  <c r="DH1301" i="115"/>
  <c r="DI1301" i="115"/>
  <c r="DJ1301" i="115"/>
  <c r="DK1301" i="115"/>
  <c r="DL1301" i="115"/>
  <c r="DM1301" i="115"/>
  <c r="DN1301" i="115"/>
  <c r="DO1301" i="115"/>
  <c r="DP1301" i="115"/>
  <c r="DQ1301" i="115"/>
  <c r="DR1301" i="115"/>
  <c r="DS1301" i="115"/>
  <c r="DH1307" i="115"/>
  <c r="DI1307" i="115"/>
  <c r="DJ1307" i="115"/>
  <c r="DL1307" i="115"/>
  <c r="DM1307" i="115"/>
  <c r="DN1307" i="115"/>
  <c r="DP1307" i="115"/>
  <c r="DQ1307" i="115"/>
  <c r="DR1307" i="115"/>
  <c r="DH1308" i="115"/>
  <c r="DI1308" i="115"/>
  <c r="DJ1308" i="115"/>
  <c r="DL1308" i="115"/>
  <c r="DM1308" i="115"/>
  <c r="DN1308" i="115"/>
  <c r="DP1308" i="115"/>
  <c r="DQ1308" i="115"/>
  <c r="DR1308" i="115"/>
  <c r="DI1310" i="115"/>
  <c r="DJ1310" i="115"/>
  <c r="DL1310" i="115"/>
  <c r="DM1310" i="115"/>
  <c r="DN1310" i="115"/>
  <c r="DP1310" i="115"/>
  <c r="DQ1310" i="115"/>
  <c r="DR1310" i="115"/>
  <c r="DI1311" i="115"/>
  <c r="DJ1311" i="115"/>
  <c r="DL1311" i="115"/>
  <c r="DM1311" i="115"/>
  <c r="DN1311" i="115"/>
  <c r="DP1311" i="115"/>
  <c r="DQ1311" i="115"/>
  <c r="DR1311" i="115"/>
  <c r="DJ1312" i="115"/>
  <c r="DN1312" i="115"/>
  <c r="DR1312" i="115"/>
  <c r="DH1336" i="115"/>
  <c r="DI1336" i="115"/>
  <c r="DJ1336" i="115"/>
  <c r="DL1336" i="115"/>
  <c r="DM1336" i="115"/>
  <c r="DN1336" i="115"/>
  <c r="DP1336" i="115"/>
  <c r="DQ1336" i="115"/>
  <c r="DR1336" i="115"/>
  <c r="DH1338" i="115"/>
  <c r="DI1338" i="115"/>
  <c r="DJ1338" i="115"/>
  <c r="DL1338" i="115"/>
  <c r="DM1338" i="115"/>
  <c r="DN1338" i="115"/>
  <c r="DP1338" i="115"/>
  <c r="DQ1338" i="115"/>
  <c r="DR1338" i="115"/>
  <c r="DH1339" i="115"/>
  <c r="DI1339" i="115"/>
  <c r="DJ1339" i="115"/>
  <c r="DL1339" i="115"/>
  <c r="DM1339" i="115"/>
  <c r="DN1339" i="115"/>
  <c r="DP1339" i="115"/>
  <c r="DQ1339" i="115"/>
  <c r="DR1339" i="115"/>
  <c r="DH1340" i="115"/>
  <c r="DI1340" i="115"/>
  <c r="DJ1340" i="115"/>
  <c r="DL1340" i="115"/>
  <c r="DM1340" i="115"/>
  <c r="DN1340" i="115"/>
  <c r="DP1340" i="115"/>
  <c r="DQ1340" i="115"/>
  <c r="DR1340" i="115"/>
  <c r="DH1341" i="115"/>
  <c r="DI1341" i="115"/>
  <c r="DJ1341" i="115"/>
  <c r="DL1341" i="115"/>
  <c r="DM1341" i="115"/>
  <c r="DN1341" i="115"/>
  <c r="DP1341" i="115"/>
  <c r="DQ1341" i="115"/>
  <c r="DR1341" i="115"/>
  <c r="DH1342" i="115"/>
  <c r="DI1342" i="115"/>
  <c r="DJ1342" i="115"/>
  <c r="DL1342" i="115"/>
  <c r="DM1342" i="115"/>
  <c r="DN1342" i="115"/>
  <c r="DP1342" i="115"/>
  <c r="DQ1342" i="115"/>
  <c r="DR1342" i="115"/>
  <c r="DH1361" i="115"/>
  <c r="DI1361" i="115"/>
  <c r="DL1361" i="115"/>
  <c r="DM1361" i="115"/>
  <c r="DP1361" i="115"/>
  <c r="DQ1361" i="115"/>
  <c r="DH1362" i="115"/>
  <c r="DI1362" i="115"/>
  <c r="DL1362" i="115"/>
  <c r="DM1362" i="115"/>
  <c r="DP1362" i="115"/>
  <c r="DQ1362" i="115"/>
  <c r="DH1363" i="115"/>
  <c r="DI1363" i="115"/>
  <c r="DL1363" i="115"/>
  <c r="DM1363" i="115"/>
  <c r="DP1363" i="115"/>
  <c r="DQ1363" i="115"/>
  <c r="DH1391" i="115"/>
  <c r="DI1391" i="115"/>
  <c r="DJ1391" i="115"/>
  <c r="DL1391" i="115"/>
  <c r="DM1391" i="115"/>
  <c r="DN1391" i="115"/>
  <c r="DP1391" i="115"/>
  <c r="DQ1391" i="115"/>
  <c r="DR1391" i="115"/>
  <c r="DH1402" i="115"/>
  <c r="DI1402" i="115"/>
  <c r="DJ1402" i="115"/>
  <c r="DK1402" i="115"/>
  <c r="DL1402" i="115"/>
  <c r="DM1402" i="115"/>
  <c r="DN1402" i="115"/>
  <c r="DO1402" i="115"/>
  <c r="DP1402" i="115"/>
  <c r="DQ1402" i="115"/>
  <c r="DR1402" i="115"/>
  <c r="DS1402" i="115"/>
  <c r="DH1403" i="115"/>
  <c r="DI1403" i="115"/>
  <c r="DJ1403" i="115"/>
  <c r="DK1403" i="115"/>
  <c r="DL1403" i="115"/>
  <c r="DM1403" i="115"/>
  <c r="DN1403" i="115"/>
  <c r="DO1403" i="115"/>
  <c r="DP1403" i="115"/>
  <c r="DQ1403" i="115"/>
  <c r="DR1403" i="115"/>
  <c r="DS1403" i="115"/>
  <c r="DH1404" i="115"/>
  <c r="DI1404" i="115"/>
  <c r="DJ1404" i="115"/>
  <c r="DK1404" i="115"/>
  <c r="DL1404" i="115"/>
  <c r="DM1404" i="115"/>
  <c r="DN1404" i="115"/>
  <c r="DO1404" i="115"/>
  <c r="DP1404" i="115"/>
  <c r="DQ1404" i="115"/>
  <c r="DR1404" i="115"/>
  <c r="DS1404" i="115"/>
  <c r="DH1405" i="115"/>
  <c r="DI1405" i="115"/>
  <c r="DJ1405" i="115"/>
  <c r="DK1405" i="115"/>
  <c r="DL1405" i="115"/>
  <c r="DM1405" i="115"/>
  <c r="DN1405" i="115"/>
  <c r="DO1405" i="115"/>
  <c r="DP1405" i="115"/>
  <c r="DQ1405" i="115"/>
  <c r="DR1405" i="115"/>
  <c r="DS1405" i="115"/>
  <c r="DH1406" i="115"/>
  <c r="DI1406" i="115"/>
  <c r="DJ1406" i="115"/>
  <c r="DL1406" i="115"/>
  <c r="DM1406" i="115"/>
  <c r="DN1406" i="115"/>
  <c r="DP1406" i="115"/>
  <c r="DQ1406" i="115"/>
  <c r="DR1406" i="115"/>
  <c r="DH1407" i="115"/>
  <c r="DI1407" i="115"/>
  <c r="DJ1407" i="115"/>
  <c r="DK1407" i="115"/>
  <c r="DL1407" i="115"/>
  <c r="DM1407" i="115"/>
  <c r="DN1407" i="115"/>
  <c r="DO1407" i="115"/>
  <c r="DP1407" i="115"/>
  <c r="DQ1407" i="115"/>
  <c r="DR1407" i="115"/>
  <c r="DS1407" i="115"/>
  <c r="DH1409" i="115"/>
  <c r="DI1409" i="115"/>
  <c r="DJ1409" i="115"/>
  <c r="DL1409" i="115"/>
  <c r="DM1409" i="115"/>
  <c r="DN1409" i="115"/>
  <c r="DP1409" i="115"/>
  <c r="DQ1409" i="115"/>
  <c r="DR1409" i="115"/>
  <c r="DH1410" i="115"/>
  <c r="DI1410" i="115"/>
  <c r="DJ1410" i="115"/>
  <c r="DL1410" i="115"/>
  <c r="DM1410" i="115"/>
  <c r="DN1410" i="115"/>
  <c r="DP1410" i="115"/>
  <c r="DQ1410" i="115"/>
  <c r="DR1410" i="115"/>
  <c r="DH1419" i="115"/>
  <c r="DI1419" i="115"/>
  <c r="DJ1419" i="115"/>
  <c r="DL1419" i="115"/>
  <c r="DM1419" i="115"/>
  <c r="DN1419" i="115"/>
  <c r="DP1419" i="115"/>
  <c r="DQ1419" i="115"/>
  <c r="DR1419" i="115"/>
  <c r="DH1420" i="115"/>
  <c r="DI1420" i="115"/>
  <c r="DJ1420" i="115"/>
  <c r="DL1420" i="115"/>
  <c r="DM1420" i="115"/>
  <c r="DN1420" i="115"/>
  <c r="DP1420" i="115"/>
  <c r="DQ1420" i="115"/>
  <c r="DR1420" i="115"/>
  <c r="DH1421" i="115"/>
  <c r="DI1421" i="115"/>
  <c r="DJ1421" i="115"/>
  <c r="DL1421" i="115"/>
  <c r="DM1421" i="115"/>
  <c r="DN1421" i="115"/>
  <c r="DP1421" i="115"/>
  <c r="DQ1421" i="115"/>
  <c r="DR1421" i="115"/>
  <c r="DH1422" i="115"/>
  <c r="DI1422" i="115"/>
  <c r="DJ1422" i="115"/>
  <c r="DK1422" i="115"/>
  <c r="DL1422" i="115"/>
  <c r="DM1422" i="115"/>
  <c r="DN1422" i="115"/>
  <c r="DO1422" i="115"/>
  <c r="DP1422" i="115"/>
  <c r="DQ1422" i="115"/>
  <c r="DR1422" i="115"/>
  <c r="DS1422" i="115"/>
  <c r="DH1483" i="115"/>
  <c r="DI1483" i="115"/>
  <c r="DJ1483" i="115"/>
  <c r="DL1483" i="115"/>
  <c r="DM1483" i="115"/>
  <c r="DN1483" i="115"/>
  <c r="DP1483" i="115"/>
  <c r="DQ1483" i="115"/>
  <c r="DR1483" i="115"/>
  <c r="DH1484" i="115"/>
  <c r="DI1484" i="115"/>
  <c r="DJ1484" i="115"/>
  <c r="DL1484" i="115"/>
  <c r="DM1484" i="115"/>
  <c r="DN1484" i="115"/>
  <c r="DP1484" i="115"/>
  <c r="DQ1484" i="115"/>
  <c r="DR1484" i="115"/>
  <c r="DJ1485" i="115"/>
  <c r="DN1485" i="115"/>
  <c r="DR1485" i="115"/>
  <c r="DJ1486" i="115"/>
  <c r="DN1486" i="115"/>
  <c r="DR1486" i="115"/>
  <c r="DJ1487" i="115"/>
  <c r="DN1487" i="115"/>
  <c r="DR1487" i="115"/>
  <c r="DH1488" i="115"/>
  <c r="DI1488" i="115"/>
  <c r="DJ1488" i="115"/>
  <c r="DL1488" i="115"/>
  <c r="DM1488" i="115"/>
  <c r="DN1488" i="115"/>
  <c r="DP1488" i="115"/>
  <c r="DQ1488" i="115"/>
  <c r="DR1488" i="115"/>
  <c r="DH1489" i="115"/>
  <c r="DI1489" i="115"/>
  <c r="DL1489" i="115"/>
  <c r="DM1489" i="115"/>
  <c r="DP1489" i="115"/>
  <c r="DQ1489" i="115"/>
  <c r="DH1490" i="115"/>
  <c r="DI1490" i="115"/>
  <c r="DJ1490" i="115"/>
  <c r="DL1490" i="115"/>
  <c r="DM1490" i="115"/>
  <c r="DN1490" i="115"/>
  <c r="DP1490" i="115"/>
  <c r="DQ1490" i="115"/>
  <c r="DR1490" i="115"/>
  <c r="DH1492" i="115"/>
  <c r="DI1492" i="115"/>
  <c r="DL1492" i="115"/>
  <c r="DM1492" i="115"/>
  <c r="DP1492" i="115"/>
  <c r="DQ1492" i="115"/>
  <c r="DH1493" i="115"/>
  <c r="DI1493" i="115"/>
  <c r="DL1493" i="115"/>
  <c r="DM1493" i="115"/>
  <c r="DP1493" i="115"/>
  <c r="DQ1493" i="115"/>
  <c r="DH1497" i="115"/>
  <c r="DI1497" i="115"/>
  <c r="DJ1497" i="115"/>
  <c r="DL1497" i="115"/>
  <c r="DM1497" i="115"/>
  <c r="DN1497" i="115"/>
  <c r="DP1497" i="115"/>
  <c r="DQ1497" i="115"/>
  <c r="DR1497" i="115"/>
  <c r="DH1498" i="115"/>
  <c r="DI1498" i="115"/>
  <c r="DJ1498" i="115"/>
  <c r="DL1498" i="115"/>
  <c r="DM1498" i="115"/>
  <c r="DN1498" i="115"/>
  <c r="DP1498" i="115"/>
  <c r="DQ1498" i="115"/>
  <c r="DR1498" i="115"/>
  <c r="DH1499" i="115"/>
  <c r="DI1499" i="115"/>
  <c r="DJ1499" i="115"/>
  <c r="DL1499" i="115"/>
  <c r="DM1499" i="115"/>
  <c r="DN1499" i="115"/>
  <c r="DP1499" i="115"/>
  <c r="DQ1499" i="115"/>
  <c r="DR1499" i="115"/>
  <c r="DH1504" i="115"/>
  <c r="DI1504" i="115"/>
  <c r="DJ1504" i="115"/>
  <c r="DL1504" i="115"/>
  <c r="DM1504" i="115"/>
  <c r="DN1504" i="115"/>
  <c r="DP1504" i="115"/>
  <c r="DQ1504" i="115"/>
  <c r="DR1504" i="115"/>
  <c r="DH1506" i="115"/>
  <c r="DI1506" i="115"/>
  <c r="DJ1506" i="115"/>
  <c r="DL1506" i="115"/>
  <c r="DM1506" i="115"/>
  <c r="DN1506" i="115"/>
  <c r="DP1506" i="115"/>
  <c r="DQ1506" i="115"/>
  <c r="DR1506" i="115"/>
  <c r="DH1507" i="115"/>
  <c r="DI1507" i="115"/>
  <c r="DJ1507" i="115"/>
  <c r="DL1507" i="115"/>
  <c r="DM1507" i="115"/>
  <c r="DN1507" i="115"/>
  <c r="DP1507" i="115"/>
  <c r="DQ1507" i="115"/>
  <c r="DR1507" i="115"/>
  <c r="DH1508" i="115"/>
  <c r="DI1508" i="115"/>
  <c r="DJ1508" i="115"/>
  <c r="DL1508" i="115"/>
  <c r="DM1508" i="115"/>
  <c r="DN1508" i="115"/>
  <c r="DP1508" i="115"/>
  <c r="DQ1508" i="115"/>
  <c r="DR1508" i="115"/>
  <c r="DH1509" i="115"/>
  <c r="DI1509" i="115"/>
  <c r="DJ1509" i="115"/>
  <c r="DL1509" i="115"/>
  <c r="DM1509" i="115"/>
  <c r="DN1509" i="115"/>
  <c r="DP1509" i="115"/>
  <c r="DQ1509" i="115"/>
  <c r="DR1509" i="115"/>
  <c r="DH1510" i="115"/>
  <c r="DI1510" i="115"/>
  <c r="DJ1510" i="115"/>
  <c r="DL1510" i="115"/>
  <c r="DM1510" i="115"/>
  <c r="DN1510" i="115"/>
  <c r="DP1510" i="115"/>
  <c r="DQ1510" i="115"/>
  <c r="DR1510" i="115"/>
  <c r="DH1512" i="115"/>
  <c r="DI1512" i="115"/>
  <c r="DJ1512" i="115"/>
  <c r="DL1512" i="115"/>
  <c r="DM1512" i="115"/>
  <c r="DN1512" i="115"/>
  <c r="DP1512" i="115"/>
  <c r="DQ1512" i="115"/>
  <c r="DR1512" i="115"/>
  <c r="DH1517" i="115"/>
  <c r="DI1517" i="115"/>
  <c r="DJ1517" i="115"/>
  <c r="DL1517" i="115"/>
  <c r="DM1517" i="115"/>
  <c r="DN1517" i="115"/>
  <c r="DP1517" i="115"/>
  <c r="DQ1517" i="115"/>
  <c r="DR1517" i="115"/>
  <c r="DI1518" i="115"/>
  <c r="DJ1518" i="115"/>
  <c r="DL1518" i="115"/>
  <c r="DM1518" i="115"/>
  <c r="DN1518" i="115"/>
  <c r="DP1518" i="115"/>
  <c r="DQ1518" i="115"/>
  <c r="DR1518" i="115"/>
  <c r="DH1519" i="115"/>
  <c r="DI1519" i="115"/>
  <c r="DJ1519" i="115"/>
  <c r="DL1519" i="115"/>
  <c r="DM1519" i="115"/>
  <c r="DN1519" i="115"/>
  <c r="DP1519" i="115"/>
  <c r="DQ1519" i="115"/>
  <c r="DR1519" i="115"/>
  <c r="DH1521" i="115"/>
  <c r="DI1521" i="115"/>
  <c r="DJ1521" i="115"/>
  <c r="DL1521" i="115"/>
  <c r="DM1521" i="115"/>
  <c r="DN1521" i="115"/>
  <c r="DP1521" i="115"/>
  <c r="DQ1521" i="115"/>
  <c r="DR1521" i="115"/>
  <c r="DH1523" i="115"/>
  <c r="DI1523" i="115"/>
  <c r="DJ1523" i="115"/>
  <c r="DL1523" i="115"/>
  <c r="DM1523" i="115"/>
  <c r="DN1523" i="115"/>
  <c r="DP1523" i="115"/>
  <c r="DQ1523" i="115"/>
  <c r="DR1523" i="115"/>
  <c r="DH1524" i="115"/>
  <c r="DI1524" i="115"/>
  <c r="DJ1524" i="115"/>
  <c r="DL1524" i="115"/>
  <c r="DM1524" i="115"/>
  <c r="DN1524" i="115"/>
  <c r="DP1524" i="115"/>
  <c r="DQ1524" i="115"/>
  <c r="DR1524" i="115"/>
  <c r="DH1525" i="115"/>
  <c r="DI1525" i="115"/>
  <c r="DJ1525" i="115"/>
  <c r="DL1525" i="115"/>
  <c r="DM1525" i="115"/>
  <c r="DN1525" i="115"/>
  <c r="DP1525" i="115"/>
  <c r="DQ1525" i="115"/>
  <c r="DR1525" i="115"/>
  <c r="DH1526" i="115"/>
  <c r="DI1526" i="115"/>
  <c r="DJ1526" i="115"/>
  <c r="DL1526" i="115"/>
  <c r="DM1526" i="115"/>
  <c r="DN1526" i="115"/>
  <c r="DP1526" i="115"/>
  <c r="DQ1526" i="115"/>
  <c r="DR1526" i="115"/>
  <c r="DH1527" i="115"/>
  <c r="DI1527" i="115"/>
  <c r="DJ1527" i="115"/>
  <c r="DL1527" i="115"/>
  <c r="DM1527" i="115"/>
  <c r="DN1527" i="115"/>
  <c r="DP1527" i="115"/>
  <c r="DQ1527" i="115"/>
  <c r="DR1527" i="115"/>
  <c r="DH1528" i="115"/>
  <c r="DI1528" i="115"/>
  <c r="DJ1528" i="115"/>
  <c r="DL1528" i="115"/>
  <c r="DM1528" i="115"/>
  <c r="DN1528" i="115"/>
  <c r="DP1528" i="115"/>
  <c r="DQ1528" i="115"/>
  <c r="DR1528" i="115"/>
  <c r="DH1529" i="115"/>
  <c r="DI1529" i="115"/>
  <c r="DJ1529" i="115"/>
  <c r="DL1529" i="115"/>
  <c r="DM1529" i="115"/>
  <c r="DN1529" i="115"/>
  <c r="DP1529" i="115"/>
  <c r="DQ1529" i="115"/>
  <c r="DR1529" i="115"/>
  <c r="DH1530" i="115"/>
  <c r="DI1530" i="115"/>
  <c r="DJ1530" i="115"/>
  <c r="DL1530" i="115"/>
  <c r="DM1530" i="115"/>
  <c r="DN1530" i="115"/>
  <c r="DP1530" i="115"/>
  <c r="DQ1530" i="115"/>
  <c r="DR1530" i="115"/>
  <c r="DH1532" i="115"/>
  <c r="DI1532" i="115"/>
  <c r="DJ1532" i="115"/>
  <c r="DL1532" i="115"/>
  <c r="DM1532" i="115"/>
  <c r="DN1532" i="115"/>
  <c r="DP1532" i="115"/>
  <c r="DQ1532" i="115"/>
  <c r="DR1532" i="115"/>
  <c r="DH1533" i="115"/>
  <c r="DI1533" i="115"/>
  <c r="DJ1533" i="115"/>
  <c r="DL1533" i="115"/>
  <c r="DM1533" i="115"/>
  <c r="DN1533" i="115"/>
  <c r="DP1533" i="115"/>
  <c r="DQ1533" i="115"/>
  <c r="DR1533" i="115"/>
  <c r="DH1534" i="115"/>
  <c r="DI1534" i="115"/>
  <c r="DJ1534" i="115"/>
  <c r="DL1534" i="115"/>
  <c r="DM1534" i="115"/>
  <c r="DN1534" i="115"/>
  <c r="DP1534" i="115"/>
  <c r="DQ1534" i="115"/>
  <c r="DR1534" i="115"/>
  <c r="DH1535" i="115"/>
  <c r="DI1535" i="115"/>
  <c r="DJ1535" i="115"/>
  <c r="DL1535" i="115"/>
  <c r="DM1535" i="115"/>
  <c r="DN1535" i="115"/>
  <c r="DP1535" i="115"/>
  <c r="DQ1535" i="115"/>
  <c r="DR1535" i="115"/>
  <c r="DH1536" i="115"/>
  <c r="DI1536" i="115"/>
  <c r="DJ1536" i="115"/>
  <c r="DL1536" i="115"/>
  <c r="DM1536" i="115"/>
  <c r="DN1536" i="115"/>
  <c r="DP1536" i="115"/>
  <c r="DQ1536" i="115"/>
  <c r="DR1536" i="115"/>
  <c r="DH1537" i="115"/>
  <c r="DI1537" i="115"/>
  <c r="DJ1537" i="115"/>
  <c r="DL1537" i="115"/>
  <c r="DM1537" i="115"/>
  <c r="DN1537" i="115"/>
  <c r="DP1537" i="115"/>
  <c r="DQ1537" i="115"/>
  <c r="DR1537" i="115"/>
  <c r="DH1538" i="115"/>
  <c r="DI1538" i="115"/>
  <c r="DJ1538" i="115"/>
  <c r="DL1538" i="115"/>
  <c r="DM1538" i="115"/>
  <c r="DN1538" i="115"/>
  <c r="DP1538" i="115"/>
  <c r="DQ1538" i="115"/>
  <c r="DR1538" i="115"/>
  <c r="DH1539" i="115"/>
  <c r="DI1539" i="115"/>
  <c r="DJ1539" i="115"/>
  <c r="DL1539" i="115"/>
  <c r="DM1539" i="115"/>
  <c r="DN1539" i="115"/>
  <c r="DP1539" i="115"/>
  <c r="DQ1539" i="115"/>
  <c r="DR1539" i="115"/>
  <c r="DH1540" i="115"/>
  <c r="DI1540" i="115"/>
  <c r="DJ1540" i="115"/>
  <c r="DL1540" i="115"/>
  <c r="DM1540" i="115"/>
  <c r="DN1540" i="115"/>
  <c r="DP1540" i="115"/>
  <c r="DQ1540" i="115"/>
  <c r="DR1540" i="115"/>
  <c r="DH1541" i="115"/>
  <c r="DI1541" i="115"/>
  <c r="DJ1541" i="115"/>
  <c r="DL1541" i="115"/>
  <c r="DM1541" i="115"/>
  <c r="DN1541" i="115"/>
  <c r="DP1541" i="115"/>
  <c r="DQ1541" i="115"/>
  <c r="DR1541" i="115"/>
  <c r="DH1542" i="115"/>
  <c r="DI1542" i="115"/>
  <c r="DJ1542" i="115"/>
  <c r="DL1542" i="115"/>
  <c r="DM1542" i="115"/>
  <c r="DN1542" i="115"/>
  <c r="DP1542" i="115"/>
  <c r="DQ1542" i="115"/>
  <c r="DR1542" i="115"/>
  <c r="DH1543" i="115"/>
  <c r="DI1543" i="115"/>
  <c r="DJ1543" i="115"/>
  <c r="DL1543" i="115"/>
  <c r="DM1543" i="115"/>
  <c r="DN1543" i="115"/>
  <c r="DP1543" i="115"/>
  <c r="DQ1543" i="115"/>
  <c r="DR1543" i="115"/>
  <c r="DH1544" i="115"/>
  <c r="DI1544" i="115"/>
  <c r="DJ1544" i="115"/>
  <c r="DL1544" i="115"/>
  <c r="DM1544" i="115"/>
  <c r="DN1544" i="115"/>
  <c r="DP1544" i="115"/>
  <c r="DQ1544" i="115"/>
  <c r="DR1544" i="115"/>
  <c r="DH1545" i="115"/>
  <c r="DI1545" i="115"/>
  <c r="DJ1545" i="115"/>
  <c r="DL1545" i="115"/>
  <c r="DM1545" i="115"/>
  <c r="DN1545" i="115"/>
  <c r="DP1545" i="115"/>
  <c r="DQ1545" i="115"/>
  <c r="DR1545" i="115"/>
  <c r="DH1546" i="115"/>
  <c r="DI1546" i="115"/>
  <c r="DJ1546" i="115"/>
  <c r="DL1546" i="115"/>
  <c r="DM1546" i="115"/>
  <c r="DN1546" i="115"/>
  <c r="DP1546" i="115"/>
  <c r="DQ1546" i="115"/>
  <c r="DR1546" i="115"/>
  <c r="DH1547" i="115"/>
  <c r="DI1547" i="115"/>
  <c r="DJ1547" i="115"/>
  <c r="DL1547" i="115"/>
  <c r="DM1547" i="115"/>
  <c r="DN1547" i="115"/>
  <c r="DP1547" i="115"/>
  <c r="DQ1547" i="115"/>
  <c r="DR1547" i="115"/>
  <c r="DH1548" i="115"/>
  <c r="DI1548" i="115"/>
  <c r="DJ1548" i="115"/>
  <c r="DL1548" i="115"/>
  <c r="DM1548" i="115"/>
  <c r="DN1548" i="115"/>
  <c r="DP1548" i="115"/>
  <c r="DQ1548" i="115"/>
  <c r="DR1548" i="115"/>
  <c r="DH1549" i="115"/>
  <c r="DI1549" i="115"/>
  <c r="DJ1549" i="115"/>
  <c r="DL1549" i="115"/>
  <c r="DM1549" i="115"/>
  <c r="DN1549" i="115"/>
  <c r="DP1549" i="115"/>
  <c r="DQ1549" i="115"/>
  <c r="DR1549" i="115"/>
  <c r="DH1553" i="115"/>
  <c r="DI1553" i="115"/>
  <c r="DJ1553" i="115"/>
  <c r="DL1553" i="115"/>
  <c r="DM1553" i="115"/>
  <c r="DN1553" i="115"/>
  <c r="DP1553" i="115"/>
  <c r="DQ1553" i="115"/>
  <c r="DR1553" i="115"/>
  <c r="DH1555" i="115"/>
  <c r="DI1555" i="115"/>
  <c r="DJ1555" i="115"/>
  <c r="DL1555" i="115"/>
  <c r="DM1555" i="115"/>
  <c r="DN1555" i="115"/>
  <c r="DP1555" i="115"/>
  <c r="DQ1555" i="115"/>
  <c r="DR1555" i="115"/>
  <c r="DH1557" i="115"/>
  <c r="DI1557" i="115"/>
  <c r="DJ1557" i="115"/>
  <c r="DL1557" i="115"/>
  <c r="DM1557" i="115"/>
  <c r="DN1557" i="115"/>
  <c r="DP1557" i="115"/>
  <c r="DQ1557" i="115"/>
  <c r="DR1557" i="115"/>
  <c r="DH1559" i="115"/>
  <c r="DI1559" i="115"/>
  <c r="DJ1559" i="115"/>
  <c r="DL1559" i="115"/>
  <c r="DM1559" i="115"/>
  <c r="DN1559" i="115"/>
  <c r="DP1559" i="115"/>
  <c r="DQ1559" i="115"/>
  <c r="DR1559" i="115"/>
  <c r="DH1561" i="115"/>
  <c r="DI1561" i="115"/>
  <c r="DJ1561" i="115"/>
  <c r="DL1561" i="115"/>
  <c r="DM1561" i="115"/>
  <c r="DN1561" i="115"/>
  <c r="DP1561" i="115"/>
  <c r="DQ1561" i="115"/>
  <c r="DR1561" i="115"/>
  <c r="DH1562" i="115"/>
  <c r="DI1562" i="115"/>
  <c r="DJ1562" i="115"/>
  <c r="DL1562" i="115"/>
  <c r="DM1562" i="115"/>
  <c r="DN1562" i="115"/>
  <c r="DP1562" i="115"/>
  <c r="DQ1562" i="115"/>
  <c r="DR1562" i="115"/>
  <c r="DH1564" i="115"/>
  <c r="DI1564" i="115"/>
  <c r="DJ1564" i="115"/>
  <c r="DL1564" i="115"/>
  <c r="DM1564" i="115"/>
  <c r="DN1564" i="115"/>
  <c r="DP1564" i="115"/>
  <c r="DQ1564" i="115"/>
  <c r="DR1564" i="115"/>
  <c r="DH1566" i="115"/>
  <c r="DI1566" i="115"/>
  <c r="DJ1566" i="115"/>
  <c r="DL1566" i="115"/>
  <c r="DM1566" i="115"/>
  <c r="DN1566" i="115"/>
  <c r="DP1566" i="115"/>
  <c r="DQ1566" i="115"/>
  <c r="DR1566" i="115"/>
  <c r="DH1567" i="115"/>
  <c r="DI1567" i="115"/>
  <c r="DJ1567" i="115"/>
  <c r="DL1567" i="115"/>
  <c r="DM1567" i="115"/>
  <c r="DN1567" i="115"/>
  <c r="DP1567" i="115"/>
  <c r="DQ1567" i="115"/>
  <c r="DR1567" i="115"/>
  <c r="DH1568" i="115"/>
  <c r="DI1568" i="115"/>
  <c r="DJ1568" i="115"/>
  <c r="DL1568" i="115"/>
  <c r="DM1568" i="115"/>
  <c r="DN1568" i="115"/>
  <c r="DP1568" i="115"/>
  <c r="DQ1568" i="115"/>
  <c r="DR1568" i="115"/>
  <c r="DH1569" i="115"/>
  <c r="DI1569" i="115"/>
  <c r="DJ1569" i="115"/>
  <c r="DL1569" i="115"/>
  <c r="DM1569" i="115"/>
  <c r="DN1569" i="115"/>
  <c r="DP1569" i="115"/>
  <c r="DQ1569" i="115"/>
  <c r="DR1569" i="115"/>
  <c r="BP1604" i="115"/>
  <c r="BQ1604" i="115"/>
  <c r="BR1604" i="115"/>
  <c r="BP1609" i="115"/>
  <c r="BQ1609" i="115"/>
  <c r="BR1609" i="115"/>
  <c r="CB7" i="117"/>
  <c r="CC7" i="117"/>
  <c r="CD7" i="117"/>
  <c r="CF7" i="117"/>
  <c r="CG7" i="117"/>
  <c r="CH7" i="117"/>
  <c r="CJ7" i="117"/>
  <c r="CK7" i="117"/>
  <c r="CL7" i="117"/>
  <c r="FC7" i="117"/>
  <c r="FG7" i="117"/>
  <c r="FK7" i="117"/>
  <c r="CB8" i="117"/>
  <c r="CC8" i="117"/>
  <c r="CD8" i="117"/>
  <c r="CF8" i="117"/>
  <c r="CG8" i="117"/>
  <c r="CH8" i="117"/>
  <c r="CJ8" i="117"/>
  <c r="CK8" i="117"/>
  <c r="CL8" i="117"/>
  <c r="FA8" i="117"/>
  <c r="FB8" i="117"/>
  <c r="FC8" i="117"/>
  <c r="FE8" i="117"/>
  <c r="FF8" i="117"/>
  <c r="FG8" i="117"/>
  <c r="FI8" i="117"/>
  <c r="FJ8" i="117"/>
  <c r="FK8" i="117"/>
  <c r="CB9" i="117"/>
  <c r="CC9" i="117"/>
  <c r="CD9" i="117"/>
  <c r="CF9" i="117"/>
  <c r="CG9" i="117"/>
  <c r="CH9" i="117"/>
  <c r="CJ9" i="117"/>
  <c r="CK9" i="117"/>
  <c r="CL9" i="117"/>
  <c r="DW9" i="117"/>
  <c r="FC9" i="117"/>
  <c r="FG9" i="117"/>
  <c r="FK9" i="117"/>
  <c r="FC10" i="117"/>
  <c r="FG10" i="117"/>
  <c r="FK10" i="117"/>
  <c r="FC11" i="117"/>
  <c r="FG11" i="117"/>
  <c r="FK11" i="117"/>
  <c r="FC12" i="117"/>
  <c r="FG12" i="117"/>
  <c r="FK12" i="117"/>
  <c r="FC13" i="117"/>
  <c r="FG13" i="117"/>
  <c r="FK13" i="117"/>
  <c r="FC14" i="117"/>
  <c r="FG14" i="117"/>
  <c r="FK14" i="117"/>
  <c r="FC15" i="117"/>
  <c r="FG15" i="117"/>
  <c r="FK15" i="117"/>
  <c r="FC16" i="117"/>
  <c r="FG16" i="117"/>
  <c r="FK16" i="117"/>
  <c r="CB17" i="117"/>
  <c r="CC17" i="117"/>
  <c r="CD17" i="117"/>
  <c r="CF17" i="117"/>
  <c r="CG17" i="117"/>
  <c r="CH17" i="117"/>
  <c r="CJ17" i="117"/>
  <c r="CK17" i="117"/>
  <c r="CL17" i="117"/>
  <c r="DU17" i="117"/>
  <c r="DW17" i="117"/>
  <c r="FA17" i="117"/>
  <c r="FB17" i="117"/>
  <c r="FC17" i="117"/>
  <c r="FE17" i="117"/>
  <c r="FF17" i="117"/>
  <c r="FG17" i="117"/>
  <c r="FI17" i="117"/>
  <c r="FJ17" i="117"/>
  <c r="FK17" i="117"/>
  <c r="FC18" i="117"/>
  <c r="FG18" i="117"/>
  <c r="FK18" i="117"/>
  <c r="CB19" i="117"/>
  <c r="CC19" i="117"/>
  <c r="CD19" i="117"/>
  <c r="CF19" i="117"/>
  <c r="CG19" i="117"/>
  <c r="CH19" i="117"/>
  <c r="CJ19" i="117"/>
  <c r="CK19" i="117"/>
  <c r="CL19" i="117"/>
  <c r="FC19" i="117"/>
  <c r="FG19" i="117"/>
  <c r="FK19" i="117"/>
  <c r="FC20" i="117"/>
  <c r="FG20" i="117"/>
  <c r="FK20" i="117"/>
  <c r="CB21" i="117"/>
  <c r="CC21" i="117"/>
  <c r="CD21" i="117"/>
  <c r="CF21" i="117"/>
  <c r="CG21" i="117"/>
  <c r="CH21" i="117"/>
  <c r="CJ21" i="117"/>
  <c r="CK21" i="117"/>
  <c r="CL21" i="117"/>
  <c r="CB22" i="117"/>
  <c r="CC22" i="117"/>
  <c r="CD22" i="117"/>
  <c r="CF22" i="117"/>
  <c r="CG22" i="117"/>
  <c r="CH22" i="117"/>
  <c r="CJ22" i="117"/>
  <c r="CK22" i="117"/>
  <c r="CL22" i="117"/>
  <c r="CB24" i="117"/>
  <c r="CC24" i="117"/>
  <c r="CD24" i="117"/>
  <c r="CF24" i="117"/>
  <c r="CG24" i="117"/>
  <c r="CH24" i="117"/>
  <c r="CJ24" i="117"/>
  <c r="CK24" i="117"/>
  <c r="CL24" i="117"/>
  <c r="FC24" i="117"/>
  <c r="FG24" i="117"/>
  <c r="FK24" i="117"/>
  <c r="AV25" i="117"/>
  <c r="AX25" i="117"/>
  <c r="FC25" i="117"/>
  <c r="FG25" i="117"/>
  <c r="FK25" i="117"/>
  <c r="AV26" i="117"/>
  <c r="AX26" i="117"/>
  <c r="CB26" i="117"/>
  <c r="CC26" i="117"/>
  <c r="CD26" i="117"/>
  <c r="CF26" i="117"/>
  <c r="CG26" i="117"/>
  <c r="CH26" i="117"/>
  <c r="CJ26" i="117"/>
  <c r="CK26" i="117"/>
  <c r="CL26" i="117"/>
  <c r="FC26" i="117"/>
  <c r="FG26" i="117"/>
  <c r="FK26" i="117"/>
  <c r="FC27" i="117"/>
  <c r="FG27" i="117"/>
  <c r="FK27" i="117"/>
  <c r="AV28" i="117"/>
  <c r="AX28" i="117"/>
  <c r="CB28" i="117"/>
  <c r="CC28" i="117"/>
  <c r="CD28" i="117"/>
  <c r="CF28" i="117"/>
  <c r="CG28" i="117"/>
  <c r="CH28" i="117"/>
  <c r="CJ28" i="117"/>
  <c r="CK28" i="117"/>
  <c r="CL28" i="117"/>
  <c r="FC28" i="117"/>
  <c r="FG28" i="117"/>
  <c r="FK28" i="117"/>
  <c r="CB29" i="117"/>
  <c r="CC29" i="117"/>
  <c r="CD29" i="117"/>
  <c r="CF29" i="117"/>
  <c r="CG29" i="117"/>
  <c r="CH29" i="117"/>
  <c r="CJ29" i="117"/>
  <c r="CK29" i="117"/>
  <c r="CL29" i="117"/>
  <c r="FC29" i="117"/>
  <c r="FG29" i="117"/>
  <c r="FK29" i="117"/>
  <c r="CB30" i="117"/>
  <c r="CC30" i="117"/>
  <c r="CD30" i="117"/>
  <c r="CF30" i="117"/>
  <c r="CG30" i="117"/>
  <c r="CH30" i="117"/>
  <c r="CJ30" i="117"/>
  <c r="CK30" i="117"/>
  <c r="CL30" i="117"/>
  <c r="FC30" i="117"/>
  <c r="FG30" i="117"/>
  <c r="FK30" i="117"/>
  <c r="FC31" i="117"/>
  <c r="FG31" i="117"/>
  <c r="FK31" i="117"/>
  <c r="CB32" i="117"/>
  <c r="CC32" i="117"/>
  <c r="CD32" i="117"/>
  <c r="CF32" i="117"/>
  <c r="CG32" i="117"/>
  <c r="CH32" i="117"/>
  <c r="CJ32" i="117"/>
  <c r="CK32" i="117"/>
  <c r="CL32" i="117"/>
  <c r="FC32" i="117"/>
  <c r="FG32" i="117"/>
  <c r="FK32" i="117"/>
  <c r="FC33" i="117"/>
  <c r="FG33" i="117"/>
  <c r="FK33" i="117"/>
  <c r="CB34" i="117"/>
  <c r="CC34" i="117"/>
  <c r="CD34" i="117"/>
  <c r="CF34" i="117"/>
  <c r="CG34" i="117"/>
  <c r="CH34" i="117"/>
  <c r="CJ34" i="117"/>
  <c r="CK34" i="117"/>
  <c r="CL34" i="117"/>
  <c r="FA34" i="117"/>
  <c r="FB34" i="117"/>
  <c r="FC34" i="117"/>
  <c r="FE34" i="117"/>
  <c r="FF34" i="117"/>
  <c r="FG34" i="117"/>
  <c r="FI34" i="117"/>
  <c r="FJ34" i="117"/>
  <c r="FK34" i="117"/>
  <c r="CB35" i="117"/>
  <c r="CC35" i="117"/>
  <c r="CD35" i="117"/>
  <c r="CF35" i="117"/>
  <c r="CG35" i="117"/>
  <c r="CH35" i="117"/>
  <c r="CJ35" i="117"/>
  <c r="CK35" i="117"/>
  <c r="CL35" i="117"/>
  <c r="FC35" i="117"/>
  <c r="FG35" i="117"/>
  <c r="FK35" i="117"/>
  <c r="CB37" i="117"/>
  <c r="CC37" i="117"/>
  <c r="CD37" i="117"/>
  <c r="CF37" i="117"/>
  <c r="CG37" i="117"/>
  <c r="CH37" i="117"/>
  <c r="CJ37" i="117"/>
  <c r="CK37" i="117"/>
  <c r="CL37" i="117"/>
  <c r="CB38" i="117"/>
  <c r="CC38" i="117"/>
  <c r="CD38" i="117"/>
  <c r="CF38" i="117"/>
  <c r="CG38" i="117"/>
  <c r="CH38" i="117"/>
  <c r="CJ38" i="117"/>
  <c r="CK38" i="117"/>
  <c r="CL38" i="117"/>
  <c r="FC39" i="117"/>
  <c r="FG39" i="117"/>
  <c r="FK39" i="117"/>
  <c r="FC40" i="117"/>
  <c r="FG40" i="117"/>
  <c r="FK40" i="117"/>
  <c r="FA42" i="117"/>
  <c r="FB42" i="117"/>
  <c r="FC42" i="117"/>
  <c r="FE42" i="117"/>
  <c r="FF42" i="117"/>
  <c r="FG42" i="117"/>
  <c r="FI42" i="117"/>
  <c r="FJ42" i="117"/>
  <c r="FK42" i="117"/>
  <c r="FC43" i="117"/>
  <c r="FG43" i="117"/>
  <c r="FK43" i="117"/>
  <c r="AV44" i="117"/>
  <c r="AX44" i="117"/>
  <c r="CB44" i="117"/>
  <c r="CC44" i="117"/>
  <c r="CD44" i="117"/>
  <c r="CF44" i="117"/>
  <c r="CG44" i="117"/>
  <c r="CH44" i="117"/>
  <c r="CJ44" i="117"/>
  <c r="CK44" i="117"/>
  <c r="CL44" i="117"/>
  <c r="FC44" i="117"/>
  <c r="FG44" i="117"/>
  <c r="FK44" i="117"/>
  <c r="CB45" i="117"/>
  <c r="CC45" i="117"/>
  <c r="CD45" i="117"/>
  <c r="CF45" i="117"/>
  <c r="CG45" i="117"/>
  <c r="CH45" i="117"/>
  <c r="CJ45" i="117"/>
  <c r="CK45" i="117"/>
  <c r="CL45" i="117"/>
  <c r="FA45" i="117"/>
  <c r="FB45" i="117"/>
  <c r="FC45" i="117"/>
  <c r="FE45" i="117"/>
  <c r="FF45" i="117"/>
  <c r="FG45" i="117"/>
  <c r="FI45" i="117"/>
  <c r="FJ45" i="117"/>
  <c r="FK45" i="117"/>
  <c r="AV46" i="117"/>
  <c r="AX46" i="117"/>
  <c r="CB46" i="117"/>
  <c r="CC46" i="117"/>
  <c r="CD46" i="117"/>
  <c r="CF46" i="117"/>
  <c r="CG46" i="117"/>
  <c r="CH46" i="117"/>
  <c r="CJ46" i="117"/>
  <c r="CK46" i="117"/>
  <c r="CL46" i="117"/>
  <c r="FC46" i="117"/>
  <c r="FG46" i="117"/>
  <c r="FK46" i="117"/>
  <c r="CB47" i="117"/>
  <c r="CC47" i="117"/>
  <c r="CD47" i="117"/>
  <c r="CF47" i="117"/>
  <c r="CG47" i="117"/>
  <c r="CH47" i="117"/>
  <c r="CJ47" i="117"/>
  <c r="CK47" i="117"/>
  <c r="CL47" i="117"/>
  <c r="FC47" i="117"/>
  <c r="FG47" i="117"/>
  <c r="FK47" i="117"/>
  <c r="CB48" i="117"/>
  <c r="CC48" i="117"/>
  <c r="CD48" i="117"/>
  <c r="CF48" i="117"/>
  <c r="CG48" i="117"/>
  <c r="CH48" i="117"/>
  <c r="CJ48" i="117"/>
  <c r="CK48" i="117"/>
  <c r="CL48" i="117"/>
  <c r="FC48" i="117"/>
  <c r="FG48" i="117"/>
  <c r="FK48" i="117"/>
  <c r="FC49" i="117"/>
  <c r="FG49" i="117"/>
  <c r="FK49" i="117"/>
  <c r="CB50" i="117"/>
  <c r="CC50" i="117"/>
  <c r="CD50" i="117"/>
  <c r="CF50" i="117"/>
  <c r="CG50" i="117"/>
  <c r="CH50" i="117"/>
  <c r="CJ50" i="117"/>
  <c r="CK50" i="117"/>
  <c r="CL50" i="117"/>
  <c r="DW50" i="117"/>
  <c r="FC50" i="117"/>
  <c r="FG50" i="117"/>
  <c r="FK50" i="117"/>
  <c r="FB51" i="117"/>
  <c r="FC51" i="117"/>
  <c r="FE51" i="117"/>
  <c r="FF51" i="117"/>
  <c r="FG51" i="117"/>
  <c r="FI51" i="117"/>
  <c r="FJ51" i="117"/>
  <c r="FK51" i="117"/>
  <c r="CB54" i="117"/>
  <c r="CC54" i="117"/>
  <c r="CD54" i="117"/>
  <c r="CF54" i="117"/>
  <c r="CG54" i="117"/>
  <c r="CH54" i="117"/>
  <c r="CJ54" i="117"/>
  <c r="CK54" i="117"/>
  <c r="CL54" i="117"/>
  <c r="FC55" i="117"/>
  <c r="FG55" i="117"/>
  <c r="FK55" i="117"/>
  <c r="FC56" i="117"/>
  <c r="FG56" i="117"/>
  <c r="FK56" i="117"/>
  <c r="CB58" i="117"/>
  <c r="CC58" i="117"/>
  <c r="CD58" i="117"/>
  <c r="CF58" i="117"/>
  <c r="CG58" i="117"/>
  <c r="CH58" i="117"/>
  <c r="CJ58" i="117"/>
  <c r="CK58" i="117"/>
  <c r="CL58" i="117"/>
  <c r="CB59" i="117"/>
  <c r="CC59" i="117"/>
  <c r="CD59" i="117"/>
  <c r="CF59" i="117"/>
  <c r="CG59" i="117"/>
  <c r="CH59" i="117"/>
  <c r="CJ59" i="117"/>
  <c r="CK59" i="117"/>
  <c r="CL59" i="117"/>
  <c r="CB61" i="117"/>
  <c r="CC61" i="117"/>
  <c r="CD61" i="117"/>
  <c r="CF61" i="117"/>
  <c r="CG61" i="117"/>
  <c r="CH61" i="117"/>
  <c r="CJ61" i="117"/>
  <c r="CK61" i="117"/>
  <c r="CL61" i="117"/>
  <c r="AV62" i="117"/>
  <c r="AX62" i="117"/>
  <c r="AZ62" i="117"/>
  <c r="BB62" i="117"/>
  <c r="CB62" i="117"/>
  <c r="CC62" i="117"/>
  <c r="CD62" i="117"/>
  <c r="CF62" i="117"/>
  <c r="CG62" i="117"/>
  <c r="CH62" i="117"/>
  <c r="CJ62" i="117"/>
  <c r="CK62" i="117"/>
  <c r="CL62" i="117"/>
  <c r="CB63" i="117"/>
  <c r="CC63" i="117"/>
  <c r="CD63" i="117"/>
  <c r="CF63" i="117"/>
  <c r="CG63" i="117"/>
  <c r="CH63" i="117"/>
  <c r="CJ63" i="117"/>
  <c r="CK63" i="117"/>
  <c r="CL63" i="117"/>
  <c r="CB64" i="117"/>
  <c r="CC64" i="117"/>
  <c r="CD64" i="117"/>
  <c r="CF64" i="117"/>
  <c r="CG64" i="117"/>
  <c r="CH64" i="117"/>
  <c r="CJ64" i="117"/>
  <c r="CK64" i="117"/>
  <c r="CL64" i="117"/>
  <c r="CB66" i="117"/>
  <c r="CC66" i="117"/>
  <c r="CD66" i="117"/>
  <c r="CF66" i="117"/>
  <c r="CG66" i="117"/>
  <c r="CH66" i="117"/>
  <c r="CJ66" i="117"/>
  <c r="CK66" i="117"/>
  <c r="CL66" i="117"/>
  <c r="FC66" i="117"/>
  <c r="FG66" i="117"/>
  <c r="FK66" i="117"/>
  <c r="FC67" i="117"/>
  <c r="FG67" i="117"/>
  <c r="FK67" i="117"/>
  <c r="CB68" i="117"/>
  <c r="CC68" i="117"/>
  <c r="CD68" i="117"/>
  <c r="CF68" i="117"/>
  <c r="CG68" i="117"/>
  <c r="CH68" i="117"/>
  <c r="CJ68" i="117"/>
  <c r="CK68" i="117"/>
  <c r="CL68" i="117"/>
  <c r="CB70" i="117"/>
  <c r="CC70" i="117"/>
  <c r="CD70" i="117"/>
  <c r="CF70" i="117"/>
  <c r="CG70" i="117"/>
  <c r="CH70" i="117"/>
  <c r="CJ70" i="117"/>
  <c r="CK70" i="117"/>
  <c r="CL70" i="117"/>
  <c r="FC70" i="117"/>
  <c r="FG70" i="117"/>
  <c r="FK70" i="117"/>
  <c r="AV71" i="117"/>
  <c r="AX71" i="117"/>
  <c r="BB71" i="117"/>
  <c r="CB71" i="117"/>
  <c r="CC71" i="117"/>
  <c r="CD71" i="117"/>
  <c r="CF71" i="117"/>
  <c r="CG71" i="117"/>
  <c r="CH71" i="117"/>
  <c r="CJ71" i="117"/>
  <c r="CK71" i="117"/>
  <c r="CL71" i="117"/>
  <c r="FC71" i="117"/>
  <c r="FG71" i="117"/>
  <c r="FK71" i="117"/>
  <c r="CB72" i="117"/>
  <c r="CC72" i="117"/>
  <c r="CD72" i="117"/>
  <c r="CF72" i="117"/>
  <c r="CG72" i="117"/>
  <c r="CH72" i="117"/>
  <c r="CJ72" i="117"/>
  <c r="CK72" i="117"/>
  <c r="CL72" i="117"/>
  <c r="FC72" i="117"/>
  <c r="FG72" i="117"/>
  <c r="FK72" i="117"/>
  <c r="FC73" i="117"/>
  <c r="FG73" i="117"/>
  <c r="FK73" i="117"/>
  <c r="CB74" i="117"/>
  <c r="CC74" i="117"/>
  <c r="CD74" i="117"/>
  <c r="CF74" i="117"/>
  <c r="CG74" i="117"/>
  <c r="CH74" i="117"/>
  <c r="CJ74" i="117"/>
  <c r="CK74" i="117"/>
  <c r="CL74" i="117"/>
  <c r="FA74" i="117"/>
  <c r="FB74" i="117"/>
  <c r="FC74" i="117"/>
  <c r="FE74" i="117"/>
  <c r="FF74" i="117"/>
  <c r="FG74" i="117"/>
  <c r="FI74" i="117"/>
  <c r="FJ74" i="117"/>
  <c r="FK74" i="117"/>
  <c r="CB75" i="117"/>
  <c r="CC75" i="117"/>
  <c r="CD75" i="117"/>
  <c r="CF75" i="117"/>
  <c r="CG75" i="117"/>
  <c r="CH75" i="117"/>
  <c r="CJ75" i="117"/>
  <c r="CK75" i="117"/>
  <c r="CL75" i="117"/>
  <c r="FA75" i="117"/>
  <c r="FB75" i="117"/>
  <c r="FC75" i="117"/>
  <c r="FE75" i="117"/>
  <c r="FF75" i="117"/>
  <c r="FG75" i="117"/>
  <c r="FI75" i="117"/>
  <c r="FJ75" i="117"/>
  <c r="FK75" i="117"/>
  <c r="FC79" i="117"/>
  <c r="FG79" i="117"/>
  <c r="FK79" i="117"/>
  <c r="CB82" i="117"/>
  <c r="CC82" i="117"/>
  <c r="CD82" i="117"/>
  <c r="CF82" i="117"/>
  <c r="CG82" i="117"/>
  <c r="CH82" i="117"/>
  <c r="CJ82" i="117"/>
  <c r="CK82" i="117"/>
  <c r="CL82" i="117"/>
  <c r="CB85" i="117"/>
  <c r="CC85" i="117"/>
  <c r="CD85" i="117"/>
  <c r="CH85" i="117"/>
  <c r="CL85" i="117"/>
  <c r="CB100" i="117"/>
  <c r="CC100" i="117"/>
  <c r="CD100" i="117"/>
  <c r="CF100" i="117"/>
  <c r="CG100" i="117"/>
  <c r="CH100" i="117"/>
  <c r="CJ100" i="117"/>
  <c r="CK100" i="117"/>
  <c r="CL100" i="117"/>
  <c r="CB108" i="117"/>
  <c r="CC108" i="117"/>
  <c r="CD108" i="117"/>
  <c r="CF108" i="117"/>
  <c r="CG108" i="117"/>
  <c r="CH108" i="117"/>
  <c r="CJ108" i="117"/>
  <c r="CK108" i="117"/>
  <c r="CL108" i="117"/>
  <c r="CD110" i="117"/>
  <c r="CH110" i="117"/>
  <c r="CL110" i="117"/>
  <c r="CB115" i="117"/>
  <c r="CC115" i="117"/>
  <c r="CD115" i="117"/>
  <c r="CF115" i="117"/>
  <c r="CG115" i="117"/>
  <c r="CH115" i="117"/>
  <c r="CJ115" i="117"/>
  <c r="CK115" i="117"/>
  <c r="CL115" i="117"/>
  <c r="CB117" i="117"/>
  <c r="CC117" i="117"/>
  <c r="CD117" i="117"/>
  <c r="CF117" i="117"/>
  <c r="CG117" i="117"/>
  <c r="CH117" i="117"/>
  <c r="CJ117" i="117"/>
  <c r="CK117" i="117"/>
  <c r="CL117" i="117"/>
  <c r="CB119" i="117"/>
  <c r="CC119" i="117"/>
  <c r="CD119" i="117"/>
  <c r="CF119" i="117"/>
  <c r="CG119" i="117"/>
  <c r="CH119" i="117"/>
  <c r="CJ119" i="117"/>
  <c r="CK119" i="117"/>
  <c r="CL119" i="117"/>
  <c r="CB120" i="117"/>
  <c r="CC120" i="117"/>
  <c r="CD120" i="117"/>
  <c r="CF120" i="117"/>
  <c r="CG120" i="117"/>
  <c r="CH120" i="117"/>
  <c r="CJ120" i="117"/>
  <c r="CK120" i="117"/>
  <c r="CL120" i="117"/>
  <c r="CB121" i="117"/>
  <c r="CC121" i="117"/>
  <c r="CD121" i="117"/>
  <c r="CF121" i="117"/>
  <c r="CG121" i="117"/>
  <c r="CH121" i="117"/>
  <c r="CJ121" i="117"/>
  <c r="CK121" i="117"/>
  <c r="CL121" i="117"/>
  <c r="CB123" i="117"/>
  <c r="CC123" i="117"/>
  <c r="CD123" i="117"/>
  <c r="CF123" i="117"/>
  <c r="CG123" i="117"/>
  <c r="CH123" i="117"/>
  <c r="CJ123" i="117"/>
  <c r="CK123" i="117"/>
  <c r="CL123" i="117"/>
  <c r="CB127" i="117"/>
  <c r="CC127" i="117"/>
  <c r="CD127" i="117"/>
  <c r="CF127" i="117"/>
  <c r="CG127" i="117"/>
  <c r="CH127" i="117"/>
  <c r="CJ127" i="117"/>
  <c r="CK127" i="117"/>
  <c r="CL127" i="117"/>
  <c r="CB130" i="117"/>
  <c r="CC130" i="117"/>
  <c r="CD130" i="117"/>
  <c r="CF130" i="117"/>
  <c r="CG130" i="117"/>
  <c r="CH130" i="117"/>
  <c r="CJ130" i="117"/>
  <c r="CK130" i="117"/>
  <c r="CL130" i="117"/>
  <c r="CB131" i="117"/>
  <c r="CC131" i="117"/>
  <c r="CD131" i="117"/>
  <c r="CF131" i="117"/>
  <c r="CG131" i="117"/>
  <c r="CH131" i="117"/>
  <c r="CJ131" i="117"/>
  <c r="CK131" i="117"/>
  <c r="CL131" i="117"/>
  <c r="CB133" i="117"/>
  <c r="CC133" i="117"/>
  <c r="CD133" i="117"/>
  <c r="CF133" i="117"/>
  <c r="CG133" i="117"/>
  <c r="CH133" i="117"/>
  <c r="CJ133" i="117"/>
  <c r="CK133" i="117"/>
  <c r="CL133" i="117"/>
  <c r="CB139" i="117"/>
  <c r="CC139" i="117"/>
  <c r="CD139" i="117"/>
  <c r="CF139" i="117"/>
  <c r="CG139" i="117"/>
  <c r="CH139" i="117"/>
  <c r="CJ139" i="117"/>
  <c r="CK139" i="117"/>
  <c r="CL139" i="117"/>
  <c r="CB141" i="117"/>
  <c r="CC141" i="117"/>
  <c r="CD141" i="117"/>
  <c r="CF141" i="117"/>
  <c r="CG141" i="117"/>
  <c r="CH141" i="117"/>
  <c r="CJ141" i="117"/>
  <c r="CK141" i="117"/>
  <c r="CL141" i="117"/>
  <c r="CB142" i="117"/>
  <c r="CC142" i="117"/>
  <c r="CD142" i="117"/>
  <c r="CF142" i="117"/>
  <c r="CG142" i="117"/>
  <c r="CH142" i="117"/>
  <c r="CJ142" i="117"/>
  <c r="CK142" i="117"/>
  <c r="CL142" i="117"/>
  <c r="CB143" i="117"/>
  <c r="CF143" i="117"/>
  <c r="CJ143" i="117"/>
  <c r="AB151" i="117"/>
  <c r="AC151" i="117"/>
  <c r="AD151" i="117"/>
  <c r="AF151" i="117"/>
  <c r="AG151" i="117"/>
  <c r="AH151" i="117"/>
  <c r="AJ151" i="117"/>
  <c r="AK151" i="117"/>
  <c r="AL151" i="117"/>
  <c r="AB153" i="117"/>
  <c r="AC153" i="117"/>
  <c r="AD153" i="117"/>
  <c r="AF153" i="117"/>
  <c r="AG153" i="117"/>
  <c r="AH153" i="117"/>
  <c r="AJ153" i="117"/>
  <c r="AK153" i="117"/>
  <c r="AL153" i="117"/>
  <c r="AB154" i="117"/>
  <c r="AC154" i="117"/>
  <c r="AD154" i="117"/>
  <c r="AF154" i="117"/>
  <c r="AG154" i="117"/>
  <c r="AH154" i="117"/>
  <c r="AJ154" i="117"/>
  <c r="AK154" i="117"/>
  <c r="AL154" i="117"/>
  <c r="CB160" i="117"/>
  <c r="CC160" i="117"/>
  <c r="CD160" i="117"/>
  <c r="CF160" i="117"/>
  <c r="CG160" i="117"/>
  <c r="CH160" i="117"/>
  <c r="CJ160" i="117"/>
  <c r="CK160" i="117"/>
  <c r="CL160" i="117"/>
  <c r="CB161" i="117"/>
  <c r="CD161" i="117"/>
  <c r="CF161" i="117"/>
  <c r="CH161" i="117"/>
  <c r="CJ161" i="117"/>
  <c r="CL161" i="117"/>
  <c r="CB190" i="117"/>
  <c r="CC190" i="117"/>
  <c r="CD190" i="117"/>
  <c r="CF190" i="117"/>
  <c r="CG190" i="117"/>
  <c r="CH190" i="117"/>
  <c r="CJ190" i="117"/>
  <c r="CK190" i="117"/>
  <c r="CL190" i="117"/>
  <c r="CB198" i="117"/>
  <c r="CC198" i="117"/>
  <c r="CD198" i="117"/>
  <c r="CF198" i="117"/>
  <c r="CG198" i="117"/>
  <c r="CH198" i="117"/>
  <c r="CJ198" i="117"/>
  <c r="CK198" i="117"/>
  <c r="CL198" i="117"/>
  <c r="CB202" i="117"/>
  <c r="CC202" i="117"/>
  <c r="CD202" i="117"/>
  <c r="CF202" i="117"/>
  <c r="CG202" i="117"/>
  <c r="CH202" i="117"/>
  <c r="CJ202" i="117"/>
  <c r="CK202" i="117"/>
  <c r="CL202" i="117"/>
  <c r="CB204" i="117"/>
  <c r="CC204" i="117"/>
  <c r="CD204" i="117"/>
  <c r="CF204" i="117"/>
  <c r="CG204" i="117"/>
  <c r="CH204" i="117"/>
  <c r="CJ204" i="117"/>
  <c r="CK204" i="117"/>
  <c r="CL204" i="117"/>
  <c r="CB206" i="117"/>
  <c r="CC206" i="117"/>
  <c r="CD206" i="117"/>
  <c r="CF206" i="117"/>
  <c r="CG206" i="117"/>
  <c r="CH206" i="117"/>
  <c r="CJ206" i="117"/>
  <c r="CK206" i="117"/>
  <c r="CL206" i="117"/>
  <c r="CB207" i="117"/>
  <c r="CC207" i="117"/>
  <c r="CD207" i="117"/>
  <c r="CF207" i="117"/>
  <c r="CG207" i="117"/>
  <c r="CH207" i="117"/>
  <c r="CJ207" i="117"/>
  <c r="CK207" i="117"/>
  <c r="CL207" i="117"/>
  <c r="CB208" i="117"/>
  <c r="CC208" i="117"/>
  <c r="CD208" i="117"/>
  <c r="CF208" i="117"/>
  <c r="CG208" i="117"/>
  <c r="CH208" i="117"/>
  <c r="CJ208" i="117"/>
  <c r="CK208" i="117"/>
  <c r="CL208" i="117"/>
  <c r="CD211" i="117"/>
  <c r="CH211" i="117"/>
  <c r="CL211" i="117"/>
  <c r="CD218" i="117"/>
  <c r="CH218" i="117"/>
  <c r="CL218" i="117"/>
  <c r="CD224" i="117"/>
  <c r="CH224" i="117"/>
  <c r="CL224" i="117"/>
  <c r="CD225" i="117"/>
  <c r="CH225" i="117"/>
  <c r="CL225" i="117"/>
  <c r="CD227" i="117"/>
  <c r="CH227" i="117"/>
  <c r="CL227" i="117"/>
  <c r="CD233" i="117"/>
  <c r="CH233" i="117"/>
  <c r="CL233" i="117"/>
  <c r="CD237" i="117"/>
  <c r="CH237" i="117"/>
  <c r="CL237" i="117"/>
  <c r="CD239" i="117"/>
  <c r="CH239" i="117"/>
  <c r="CL239" i="117"/>
  <c r="CB240" i="117"/>
  <c r="CC240" i="117"/>
  <c r="CD240" i="117"/>
  <c r="CF240" i="117"/>
  <c r="CG240" i="117"/>
  <c r="CH240" i="117"/>
  <c r="CJ240" i="117"/>
  <c r="CK240" i="117"/>
  <c r="CL240" i="117"/>
  <c r="CB241" i="117"/>
  <c r="CC241" i="117"/>
  <c r="CD241" i="117"/>
  <c r="CF241" i="117"/>
  <c r="CG241" i="117"/>
  <c r="CH241" i="117"/>
  <c r="CJ241" i="117"/>
  <c r="CK241" i="117"/>
  <c r="CL241" i="117"/>
  <c r="CB243" i="117"/>
  <c r="CC243" i="117"/>
  <c r="CD243" i="117"/>
  <c r="CF243" i="117"/>
  <c r="CG243" i="117"/>
  <c r="CH243" i="117"/>
  <c r="CJ243" i="117"/>
  <c r="CK243" i="117"/>
  <c r="CL243" i="117"/>
  <c r="AV244" i="117"/>
  <c r="AX244" i="117"/>
  <c r="AV245" i="117"/>
  <c r="AX245" i="117"/>
  <c r="CB245" i="117"/>
  <c r="CC245" i="117"/>
  <c r="CD245" i="117"/>
  <c r="CF245" i="117"/>
  <c r="CG245" i="117"/>
  <c r="CH245" i="117"/>
  <c r="CJ245" i="117"/>
  <c r="CK245" i="117"/>
  <c r="CL245" i="117"/>
  <c r="AV246" i="117"/>
  <c r="AX246" i="117"/>
  <c r="CB246" i="117"/>
  <c r="CC246" i="117"/>
  <c r="CD246" i="117"/>
  <c r="CF246" i="117"/>
  <c r="CG246" i="117"/>
  <c r="CH246" i="117"/>
  <c r="CJ246" i="117"/>
  <c r="CK246" i="117"/>
  <c r="CL246" i="117"/>
  <c r="AV247" i="117"/>
  <c r="AX247" i="117"/>
  <c r="CB247" i="117"/>
  <c r="CC247" i="117"/>
  <c r="CD247" i="117"/>
  <c r="CF247" i="117"/>
  <c r="CG247" i="117"/>
  <c r="CH247" i="117"/>
  <c r="CJ247" i="117"/>
  <c r="CK247" i="117"/>
  <c r="CL247" i="117"/>
  <c r="CD250" i="117"/>
  <c r="CH250" i="117"/>
  <c r="CL250" i="117"/>
  <c r="CB251" i="117"/>
  <c r="CC251" i="117"/>
  <c r="CD251" i="117"/>
  <c r="CF251" i="117"/>
  <c r="CG251" i="117"/>
  <c r="CH251" i="117"/>
  <c r="CJ251" i="117"/>
  <c r="CK251" i="117"/>
  <c r="CL251" i="117"/>
  <c r="C6" i="111"/>
  <c r="G6" i="111"/>
  <c r="H6" i="111"/>
  <c r="J6" i="111"/>
  <c r="G7" i="111"/>
  <c r="H7" i="111"/>
  <c r="J7" i="111"/>
  <c r="G8" i="111"/>
  <c r="H8" i="111"/>
  <c r="J8" i="111"/>
  <c r="G9" i="111"/>
  <c r="H9" i="111"/>
  <c r="J9" i="111"/>
  <c r="G10" i="111"/>
  <c r="H10" i="111"/>
  <c r="J10" i="111"/>
  <c r="G12" i="111"/>
  <c r="H12" i="111"/>
  <c r="J12" i="111"/>
  <c r="H13" i="111"/>
  <c r="J13" i="111"/>
  <c r="AI13" i="111"/>
  <c r="AJ13" i="111"/>
  <c r="AK13" i="111"/>
  <c r="AL13" i="111"/>
  <c r="AM13" i="111"/>
  <c r="AN13" i="111"/>
  <c r="AO13" i="111"/>
  <c r="AP13" i="111"/>
  <c r="AQ13" i="111"/>
  <c r="AR13" i="111"/>
  <c r="AS13" i="111"/>
  <c r="AT13" i="111"/>
  <c r="AU13" i="111"/>
  <c r="AV13" i="111"/>
  <c r="AW13" i="111"/>
  <c r="AX13" i="111"/>
  <c r="AY13" i="111"/>
  <c r="AZ13" i="111"/>
  <c r="BA13" i="111"/>
  <c r="BB13" i="111"/>
  <c r="BC13" i="111"/>
  <c r="BD13" i="111"/>
  <c r="BE13" i="111"/>
  <c r="BF13" i="111"/>
  <c r="BG13" i="111"/>
  <c r="BH13" i="111"/>
  <c r="BI13" i="111"/>
  <c r="BJ13" i="111"/>
  <c r="BK13" i="111"/>
  <c r="BL13" i="111"/>
  <c r="BM13" i="111"/>
  <c r="BN13" i="111"/>
  <c r="BO13" i="111"/>
  <c r="BP13" i="111"/>
  <c r="BQ13" i="111"/>
  <c r="BR13" i="111"/>
  <c r="BS13" i="111"/>
  <c r="BT13" i="111"/>
  <c r="BU13" i="111"/>
  <c r="BV13" i="111"/>
  <c r="BW13" i="111"/>
  <c r="BX13" i="111"/>
  <c r="BY13" i="111"/>
  <c r="BZ13" i="111"/>
  <c r="CA13" i="111"/>
  <c r="CB13" i="111"/>
  <c r="CC13" i="111"/>
  <c r="CD13" i="111"/>
  <c r="CE13" i="111"/>
  <c r="CF13" i="111"/>
  <c r="CG13" i="111"/>
  <c r="H14" i="111"/>
  <c r="AI14" i="111"/>
  <c r="AJ14" i="111"/>
  <c r="AK14" i="111"/>
  <c r="AI15" i="111"/>
  <c r="AJ15" i="111"/>
  <c r="AK15" i="111"/>
  <c r="AL15" i="111"/>
  <c r="AM15" i="111"/>
  <c r="AN15" i="111"/>
  <c r="AO15" i="111"/>
  <c r="AP15" i="111"/>
  <c r="AQ15" i="111"/>
  <c r="AR15" i="111"/>
  <c r="AS15" i="111"/>
  <c r="AT15" i="111"/>
  <c r="AU15" i="111"/>
  <c r="AV15" i="111"/>
  <c r="AW15" i="111"/>
  <c r="AX15" i="111"/>
  <c r="AY15" i="111"/>
  <c r="AZ15" i="111"/>
  <c r="BA15" i="111"/>
  <c r="BB15" i="111"/>
  <c r="BC15" i="111"/>
  <c r="BD15" i="111"/>
  <c r="BE15" i="111"/>
  <c r="BF15" i="111"/>
  <c r="BG15" i="111"/>
  <c r="BH15" i="111"/>
  <c r="BI15" i="111"/>
  <c r="BJ15" i="111"/>
  <c r="BK15" i="111"/>
  <c r="BL15" i="111"/>
  <c r="BM15" i="111"/>
  <c r="BN15" i="111"/>
  <c r="BO15" i="111"/>
  <c r="BP15" i="111"/>
  <c r="BQ15" i="111"/>
  <c r="BR15" i="111"/>
  <c r="BS15" i="111"/>
  <c r="BT15" i="111"/>
  <c r="BU15" i="111"/>
  <c r="BV15" i="111"/>
  <c r="BW15" i="111"/>
  <c r="BX15" i="111"/>
  <c r="BY15" i="111"/>
  <c r="BZ15" i="111"/>
  <c r="CA15" i="111"/>
  <c r="CB15" i="111"/>
  <c r="CC15" i="111"/>
  <c r="CD15" i="111"/>
  <c r="CE15" i="111"/>
  <c r="CF15" i="111"/>
  <c r="CG15" i="111"/>
  <c r="AI16" i="111"/>
  <c r="AJ16" i="111"/>
  <c r="AK16" i="111"/>
  <c r="AL16" i="111"/>
  <c r="AM16" i="111"/>
  <c r="AN16" i="111"/>
  <c r="AO16" i="111"/>
  <c r="AP16" i="111"/>
  <c r="AQ16" i="111"/>
  <c r="AR16" i="111"/>
  <c r="AS16" i="111"/>
  <c r="AT16" i="111"/>
  <c r="AU16" i="111"/>
  <c r="AV16" i="111"/>
  <c r="AW16" i="111"/>
  <c r="AX16" i="111"/>
  <c r="AY16" i="111"/>
  <c r="AZ16" i="111"/>
  <c r="BA16" i="111"/>
  <c r="BB16" i="111"/>
  <c r="BC16" i="111"/>
  <c r="BD16" i="111"/>
  <c r="BE16" i="111"/>
  <c r="BF16" i="111"/>
  <c r="BG16" i="111"/>
  <c r="BH16" i="111"/>
  <c r="BI16" i="111"/>
  <c r="BJ16" i="111"/>
  <c r="BK16" i="111"/>
  <c r="BL16" i="111"/>
  <c r="BM16" i="111"/>
  <c r="BN16" i="111"/>
  <c r="BO16" i="111"/>
  <c r="BP16" i="111"/>
  <c r="BQ16" i="111"/>
  <c r="BR16" i="111"/>
  <c r="BS16" i="111"/>
  <c r="BT16" i="111"/>
  <c r="BU16" i="111"/>
  <c r="BV16" i="111"/>
  <c r="BW16" i="111"/>
  <c r="BX16" i="111"/>
  <c r="BY16" i="111"/>
  <c r="BZ16" i="111"/>
  <c r="CA16" i="111"/>
  <c r="CB16" i="111"/>
  <c r="CC16" i="111"/>
  <c r="CD16" i="111"/>
  <c r="CE16" i="111"/>
  <c r="CF16" i="111"/>
  <c r="CG16" i="111"/>
  <c r="G18" i="111"/>
  <c r="H18" i="111"/>
  <c r="G19" i="111"/>
  <c r="H19" i="111"/>
  <c r="G20" i="111"/>
  <c r="H20" i="111"/>
  <c r="G21" i="111"/>
  <c r="H21" i="111"/>
  <c r="C22" i="111"/>
  <c r="G22" i="111"/>
  <c r="H22" i="111"/>
  <c r="C23" i="111"/>
  <c r="G24" i="111"/>
  <c r="H24" i="111"/>
  <c r="AI24" i="111"/>
  <c r="AJ24" i="111"/>
  <c r="AK24" i="111"/>
  <c r="AL24" i="111"/>
  <c r="AM24" i="111"/>
  <c r="AN24" i="111"/>
  <c r="AO24" i="111"/>
  <c r="AP24" i="111"/>
  <c r="AQ24" i="111"/>
  <c r="AR24" i="111"/>
  <c r="AS24" i="111"/>
  <c r="AT24" i="111"/>
  <c r="AU24" i="111"/>
  <c r="AV24" i="111"/>
  <c r="AW24" i="111"/>
  <c r="AX24" i="111"/>
  <c r="AY24" i="111"/>
  <c r="AZ24" i="111"/>
  <c r="BA24" i="111"/>
  <c r="BB24" i="111"/>
  <c r="BC24" i="111"/>
  <c r="BD24" i="111"/>
  <c r="BE24" i="111"/>
  <c r="BF24" i="111"/>
  <c r="BG24" i="111"/>
  <c r="BH24" i="111"/>
  <c r="BI24" i="111"/>
  <c r="BJ24" i="111"/>
  <c r="BK24" i="111"/>
  <c r="BL24" i="111"/>
  <c r="BM24" i="111"/>
  <c r="BN24" i="111"/>
  <c r="BO24" i="111"/>
  <c r="BP24" i="111"/>
  <c r="BQ24" i="111"/>
  <c r="BR24" i="111"/>
  <c r="BS24" i="111"/>
  <c r="BT24" i="111"/>
  <c r="BU24" i="111"/>
  <c r="BV24" i="111"/>
  <c r="BW24" i="111"/>
  <c r="BX24" i="111"/>
  <c r="BY24" i="111"/>
  <c r="BZ24" i="111"/>
  <c r="CA24" i="111"/>
  <c r="CB24" i="111"/>
  <c r="CC24" i="111"/>
  <c r="CD24" i="111"/>
  <c r="CE24" i="111"/>
  <c r="CF24" i="111"/>
  <c r="CG24" i="111"/>
  <c r="H25" i="111"/>
  <c r="AI25" i="111"/>
  <c r="AJ25" i="111"/>
  <c r="AK25" i="111"/>
  <c r="AL25" i="111"/>
  <c r="AM25" i="111"/>
  <c r="AN25" i="111"/>
  <c r="AO25" i="111"/>
  <c r="AP25" i="111"/>
  <c r="AQ25" i="111"/>
  <c r="AR25" i="111"/>
  <c r="AS25" i="111"/>
  <c r="AT25" i="111"/>
  <c r="AU25" i="111"/>
  <c r="AV25" i="111"/>
  <c r="AW25" i="111"/>
  <c r="AX25" i="111"/>
  <c r="AY25" i="111"/>
  <c r="AZ25" i="111"/>
  <c r="BA25" i="111"/>
  <c r="BB25" i="111"/>
  <c r="BC25" i="111"/>
  <c r="BD25" i="111"/>
  <c r="BE25" i="111"/>
  <c r="BF25" i="111"/>
  <c r="BG25" i="111"/>
  <c r="BH25" i="111"/>
  <c r="BI25" i="111"/>
  <c r="BJ25" i="111"/>
  <c r="BK25" i="111"/>
  <c r="BL25" i="111"/>
  <c r="BM25" i="111"/>
  <c r="BN25" i="111"/>
  <c r="BO25" i="111"/>
  <c r="BP25" i="111"/>
  <c r="BQ25" i="111"/>
  <c r="BR25" i="111"/>
  <c r="BS25" i="111"/>
  <c r="BT25" i="111"/>
  <c r="BU25" i="111"/>
  <c r="BV25" i="111"/>
  <c r="BW25" i="111"/>
  <c r="BX25" i="111"/>
  <c r="BY25" i="111"/>
  <c r="BZ25" i="111"/>
  <c r="CA25" i="111"/>
  <c r="CB25" i="111"/>
  <c r="CC25" i="111"/>
  <c r="CD25" i="111"/>
  <c r="CE25" i="111"/>
  <c r="CF25" i="111"/>
  <c r="CG25" i="111"/>
  <c r="H26" i="111"/>
  <c r="AI26" i="111"/>
  <c r="AJ26" i="111"/>
  <c r="AK26" i="111"/>
  <c r="AL26" i="111"/>
  <c r="AM26" i="111"/>
  <c r="AN26" i="111"/>
  <c r="AO26" i="111"/>
  <c r="AP26" i="111"/>
  <c r="AQ26" i="111"/>
  <c r="AR26" i="111"/>
  <c r="AS26" i="111"/>
  <c r="AT26" i="111"/>
  <c r="AU26" i="111"/>
  <c r="AV26" i="111"/>
  <c r="AW26" i="111"/>
  <c r="AX26" i="111"/>
  <c r="AY26" i="111"/>
  <c r="AZ26" i="111"/>
  <c r="BA26" i="111"/>
  <c r="BB26" i="111"/>
  <c r="BC26" i="111"/>
  <c r="BD26" i="111"/>
  <c r="BE26" i="111"/>
  <c r="BF26" i="111"/>
  <c r="BG26" i="111"/>
  <c r="BH26" i="111"/>
  <c r="BI26" i="111"/>
  <c r="BJ26" i="111"/>
  <c r="BK26" i="111"/>
  <c r="BL26" i="111"/>
  <c r="BM26" i="111"/>
  <c r="BN26" i="111"/>
  <c r="BO26" i="111"/>
  <c r="BP26" i="111"/>
  <c r="BQ26" i="111"/>
  <c r="BR26" i="111"/>
  <c r="BS26" i="111"/>
  <c r="BT26" i="111"/>
  <c r="BU26" i="111"/>
  <c r="BV26" i="111"/>
  <c r="BW26" i="111"/>
  <c r="BX26" i="111"/>
  <c r="BY26" i="111"/>
  <c r="BZ26" i="111"/>
  <c r="CA26" i="111"/>
  <c r="CB26" i="111"/>
  <c r="CC26" i="111"/>
  <c r="CD26" i="111"/>
  <c r="CE26" i="111"/>
  <c r="CF26" i="111"/>
  <c r="CG26" i="111"/>
  <c r="AI28" i="111"/>
  <c r="AJ28" i="111"/>
  <c r="AK28" i="111"/>
  <c r="AL28" i="111"/>
  <c r="AM28" i="111"/>
  <c r="AN28" i="111"/>
  <c r="AO28" i="111"/>
  <c r="AP28" i="111"/>
  <c r="AQ28" i="111"/>
  <c r="AR28" i="111"/>
  <c r="AS28" i="111"/>
  <c r="AT28" i="111"/>
  <c r="AU28" i="111"/>
  <c r="AV28" i="111"/>
  <c r="AW28" i="111"/>
  <c r="AX28" i="111"/>
  <c r="AY28" i="111"/>
  <c r="AZ28" i="111"/>
  <c r="BA28" i="111"/>
  <c r="BB28" i="111"/>
  <c r="BC28" i="111"/>
  <c r="BD28" i="111"/>
  <c r="BE28" i="111"/>
  <c r="BF28" i="111"/>
  <c r="BG28" i="111"/>
  <c r="BH28" i="111"/>
  <c r="BI28" i="111"/>
  <c r="BJ28" i="111"/>
  <c r="BK28" i="111"/>
  <c r="BL28" i="111"/>
  <c r="BM28" i="111"/>
  <c r="BN28" i="111"/>
  <c r="BO28" i="111"/>
  <c r="BP28" i="111"/>
  <c r="BQ28" i="111"/>
  <c r="BR28" i="111"/>
  <c r="BS28" i="111"/>
  <c r="BT28" i="111"/>
  <c r="BU28" i="111"/>
  <c r="BV28" i="111"/>
  <c r="BW28" i="111"/>
  <c r="BX28" i="111"/>
  <c r="BY28" i="111"/>
  <c r="BZ28" i="111"/>
  <c r="CA28" i="111"/>
  <c r="CB28" i="111"/>
  <c r="CC28" i="111"/>
  <c r="CD28" i="111"/>
  <c r="CE28" i="111"/>
  <c r="CF28" i="111"/>
  <c r="CG28" i="111"/>
  <c r="AI29" i="111"/>
  <c r="AJ29" i="111"/>
  <c r="AK29" i="111"/>
  <c r="AL29" i="111"/>
  <c r="AM29" i="111"/>
  <c r="AN29" i="111"/>
  <c r="AO29" i="111"/>
  <c r="AP29" i="111"/>
  <c r="AQ29" i="111"/>
  <c r="AR29" i="111"/>
  <c r="AS29" i="111"/>
  <c r="AT29" i="111"/>
  <c r="AU29" i="111"/>
  <c r="AV29" i="111"/>
  <c r="AW29" i="111"/>
  <c r="AX29" i="111"/>
  <c r="AY29" i="111"/>
  <c r="AZ29" i="111"/>
  <c r="BA29" i="111"/>
  <c r="BB29" i="111"/>
  <c r="BC29" i="111"/>
  <c r="BD29" i="111"/>
  <c r="BE29" i="111"/>
  <c r="BF29" i="111"/>
  <c r="BG29" i="111"/>
  <c r="BH29" i="111"/>
  <c r="BI29" i="111"/>
  <c r="BJ29" i="111"/>
  <c r="BK29" i="111"/>
  <c r="BL29" i="111"/>
  <c r="BM29" i="111"/>
  <c r="BN29" i="111"/>
  <c r="BO29" i="111"/>
  <c r="BP29" i="111"/>
  <c r="BQ29" i="111"/>
  <c r="BR29" i="111"/>
  <c r="BS29" i="111"/>
  <c r="BT29" i="111"/>
  <c r="BU29" i="111"/>
  <c r="BV29" i="111"/>
  <c r="BW29" i="111"/>
  <c r="BX29" i="111"/>
  <c r="BY29" i="111"/>
  <c r="BZ29" i="111"/>
  <c r="CA29" i="111"/>
  <c r="CB29" i="111"/>
  <c r="CC29" i="111"/>
  <c r="CD29" i="111"/>
  <c r="CE29" i="111"/>
  <c r="CF29" i="111"/>
  <c r="CG29" i="111"/>
  <c r="G31" i="111"/>
  <c r="H31" i="111"/>
  <c r="AI33" i="111"/>
  <c r="AJ33" i="111"/>
  <c r="AK33" i="111"/>
  <c r="AL33" i="111"/>
  <c r="AM33" i="111"/>
  <c r="AN33" i="111"/>
  <c r="AO33" i="111"/>
  <c r="AP33" i="111"/>
  <c r="AQ33" i="111"/>
  <c r="AR33" i="111"/>
  <c r="AS33" i="111"/>
  <c r="AT33" i="111"/>
  <c r="AU33" i="111"/>
  <c r="AV33" i="111"/>
  <c r="AW33" i="111"/>
  <c r="AX33" i="111"/>
  <c r="AY33" i="111"/>
  <c r="AZ33" i="111"/>
  <c r="BA33" i="111"/>
  <c r="BB33" i="111"/>
  <c r="BC33" i="111"/>
  <c r="BD33" i="111"/>
  <c r="BE33" i="111"/>
  <c r="BF33" i="111"/>
  <c r="BG33" i="111"/>
  <c r="BH33" i="111"/>
  <c r="BI33" i="111"/>
  <c r="BJ33" i="111"/>
  <c r="BK33" i="111"/>
  <c r="BL33" i="111"/>
  <c r="BM33" i="111"/>
  <c r="BN33" i="111"/>
  <c r="BO33" i="111"/>
  <c r="BP33" i="111"/>
  <c r="BQ33" i="111"/>
  <c r="BR33" i="111"/>
  <c r="BS33" i="111"/>
  <c r="BT33" i="111"/>
  <c r="BU33" i="111"/>
  <c r="BV33" i="111"/>
  <c r="BW33" i="111"/>
  <c r="BX33" i="111"/>
  <c r="BY33" i="111"/>
  <c r="BZ33" i="111"/>
  <c r="CA33" i="111"/>
  <c r="CB33" i="111"/>
  <c r="CC33" i="111"/>
  <c r="CD33" i="111"/>
  <c r="CE33" i="111"/>
  <c r="CF33" i="111"/>
  <c r="CG33" i="111"/>
  <c r="C34" i="111"/>
  <c r="AI34" i="111"/>
  <c r="AJ34" i="111"/>
  <c r="AK34" i="111"/>
  <c r="AL34" i="111"/>
  <c r="AM34" i="111"/>
  <c r="AN34" i="111"/>
  <c r="AO34" i="111"/>
  <c r="AP34" i="111"/>
  <c r="AQ34" i="111"/>
  <c r="AR34" i="111"/>
  <c r="AS34" i="111"/>
  <c r="AT34" i="111"/>
  <c r="AU34" i="111"/>
  <c r="AV34" i="111"/>
  <c r="AW34" i="111"/>
  <c r="AX34" i="111"/>
  <c r="AY34" i="111"/>
  <c r="AZ34" i="111"/>
  <c r="BA34" i="111"/>
  <c r="BB34" i="111"/>
  <c r="BC34" i="111"/>
  <c r="BD34" i="111"/>
  <c r="BE34" i="111"/>
  <c r="BF34" i="111"/>
  <c r="BG34" i="111"/>
  <c r="BH34" i="111"/>
  <c r="BI34" i="111"/>
  <c r="BJ34" i="111"/>
  <c r="BK34" i="111"/>
  <c r="BL34" i="111"/>
  <c r="BM34" i="111"/>
  <c r="BN34" i="111"/>
  <c r="BO34" i="111"/>
  <c r="BP34" i="111"/>
  <c r="BQ34" i="111"/>
  <c r="BR34" i="111"/>
  <c r="BS34" i="111"/>
  <c r="BT34" i="111"/>
  <c r="BU34" i="111"/>
  <c r="BV34" i="111"/>
  <c r="BW34" i="111"/>
  <c r="BX34" i="111"/>
  <c r="BY34" i="111"/>
  <c r="BZ34" i="111"/>
  <c r="CA34" i="111"/>
  <c r="CB34" i="111"/>
  <c r="CC34" i="111"/>
  <c r="CD34" i="111"/>
  <c r="CE34" i="111"/>
  <c r="CF34" i="111"/>
  <c r="CG34" i="111"/>
  <c r="C35" i="111"/>
  <c r="G35" i="111"/>
  <c r="H35" i="111"/>
  <c r="AI35" i="111"/>
  <c r="AJ35" i="111"/>
  <c r="AK35" i="111"/>
  <c r="AL35" i="111"/>
  <c r="AM35" i="111"/>
  <c r="AN35" i="111"/>
  <c r="AO35" i="111"/>
  <c r="AP35" i="111"/>
  <c r="AQ35" i="111"/>
  <c r="AR35" i="111"/>
  <c r="AS35" i="111"/>
  <c r="AT35" i="111"/>
  <c r="AU35" i="111"/>
  <c r="AV35" i="111"/>
  <c r="AW35" i="111"/>
  <c r="AX35" i="111"/>
  <c r="AY35" i="111"/>
  <c r="AZ35" i="111"/>
  <c r="BA35" i="111"/>
  <c r="BB35" i="111"/>
  <c r="BC35" i="111"/>
  <c r="BD35" i="111"/>
  <c r="BE35" i="111"/>
  <c r="BF35" i="111"/>
  <c r="BG35" i="111"/>
  <c r="BH35" i="111"/>
  <c r="BI35" i="111"/>
  <c r="BJ35" i="111"/>
  <c r="BK35" i="111"/>
  <c r="BL35" i="111"/>
  <c r="BM35" i="111"/>
  <c r="BN35" i="111"/>
  <c r="BO35" i="111"/>
  <c r="BP35" i="111"/>
  <c r="BQ35" i="111"/>
  <c r="BR35" i="111"/>
  <c r="BS35" i="111"/>
  <c r="BT35" i="111"/>
  <c r="BU35" i="111"/>
  <c r="BV35" i="111"/>
  <c r="BW35" i="111"/>
  <c r="BX35" i="111"/>
  <c r="BY35" i="111"/>
  <c r="BZ35" i="111"/>
  <c r="CA35" i="111"/>
  <c r="CB35" i="111"/>
  <c r="CC35" i="111"/>
  <c r="CD35" i="111"/>
  <c r="CE35" i="111"/>
  <c r="CF35" i="111"/>
  <c r="CG35" i="111"/>
  <c r="C36" i="111"/>
  <c r="H36" i="111"/>
  <c r="AI36" i="111"/>
  <c r="AJ36" i="111"/>
  <c r="AK36" i="111"/>
  <c r="AL36" i="111"/>
  <c r="AM36" i="111"/>
  <c r="AN36" i="111"/>
  <c r="AO36" i="111"/>
  <c r="AP36" i="111"/>
  <c r="AQ36" i="111"/>
  <c r="AR36" i="111"/>
  <c r="AS36" i="111"/>
  <c r="AT36" i="111"/>
  <c r="AU36" i="111"/>
  <c r="AV36" i="111"/>
  <c r="AW36" i="111"/>
  <c r="AX36" i="111"/>
  <c r="AY36" i="111"/>
  <c r="AZ36" i="111"/>
  <c r="BA36" i="111"/>
  <c r="BB36" i="111"/>
  <c r="BC36" i="111"/>
  <c r="BD36" i="111"/>
  <c r="BE36" i="111"/>
  <c r="BF36" i="111"/>
  <c r="BG36" i="111"/>
  <c r="BH36" i="111"/>
  <c r="BI36" i="111"/>
  <c r="BJ36" i="111"/>
  <c r="BK36" i="111"/>
  <c r="BL36" i="111"/>
  <c r="BM36" i="111"/>
  <c r="BN36" i="111"/>
  <c r="BO36" i="111"/>
  <c r="BP36" i="111"/>
  <c r="BQ36" i="111"/>
  <c r="BR36" i="111"/>
  <c r="BS36" i="111"/>
  <c r="BT36" i="111"/>
  <c r="BU36" i="111"/>
  <c r="BV36" i="111"/>
  <c r="BW36" i="111"/>
  <c r="BX36" i="111"/>
  <c r="BY36" i="111"/>
  <c r="BZ36" i="111"/>
  <c r="CA36" i="111"/>
  <c r="CB36" i="111"/>
  <c r="CC36" i="111"/>
  <c r="CD36" i="111"/>
  <c r="CE36" i="111"/>
  <c r="CF36" i="111"/>
  <c r="CG36" i="111"/>
  <c r="C37" i="111"/>
  <c r="H37" i="111"/>
  <c r="N38" i="111"/>
  <c r="O38" i="111"/>
  <c r="P38" i="111"/>
  <c r="AI38" i="111"/>
  <c r="AJ38" i="111"/>
  <c r="AK38" i="111"/>
  <c r="AL38" i="111"/>
  <c r="AM38" i="111"/>
  <c r="AN38" i="111"/>
  <c r="AO38" i="111"/>
  <c r="AP38" i="111"/>
  <c r="AQ38" i="111"/>
  <c r="AR38" i="111"/>
  <c r="AS38" i="111"/>
  <c r="AT38" i="111"/>
  <c r="AU38" i="111"/>
  <c r="AV38" i="111"/>
  <c r="AW38" i="111"/>
  <c r="AX38" i="111"/>
  <c r="AY38" i="111"/>
  <c r="AZ38" i="111"/>
  <c r="BA38" i="111"/>
  <c r="BB38" i="111"/>
  <c r="BC38" i="111"/>
  <c r="BD38" i="111"/>
  <c r="BE38" i="111"/>
  <c r="BF38" i="111"/>
  <c r="BG38" i="111"/>
  <c r="BH38" i="111"/>
  <c r="BI38" i="111"/>
  <c r="BJ38" i="111"/>
  <c r="BK38" i="111"/>
  <c r="BL38" i="111"/>
  <c r="BM38" i="111"/>
  <c r="BN38" i="111"/>
  <c r="BO38" i="111"/>
  <c r="BP38" i="111"/>
  <c r="BQ38" i="111"/>
  <c r="BR38" i="111"/>
  <c r="BS38" i="111"/>
  <c r="BT38" i="111"/>
  <c r="BU38" i="111"/>
  <c r="BV38" i="111"/>
  <c r="BW38" i="111"/>
  <c r="BX38" i="111"/>
  <c r="BY38" i="111"/>
  <c r="BZ38" i="111"/>
  <c r="CA38" i="111"/>
  <c r="CB38" i="111"/>
  <c r="CC38" i="111"/>
  <c r="CD38" i="111"/>
  <c r="CE38" i="111"/>
  <c r="CF38" i="111"/>
  <c r="CG38" i="111"/>
  <c r="C39" i="111"/>
  <c r="AI39" i="111"/>
  <c r="AJ39" i="111"/>
  <c r="AK39" i="111"/>
  <c r="AL39" i="111"/>
  <c r="AM39" i="111"/>
  <c r="AN39" i="111"/>
  <c r="AO39" i="111"/>
  <c r="AP39" i="111"/>
  <c r="AQ39" i="111"/>
  <c r="AR39" i="111"/>
  <c r="AS39" i="111"/>
  <c r="AT39" i="111"/>
  <c r="AU39" i="111"/>
  <c r="AV39" i="111"/>
  <c r="AW39" i="111"/>
  <c r="AX39" i="111"/>
  <c r="AY39" i="111"/>
  <c r="AZ39" i="111"/>
  <c r="BA39" i="111"/>
  <c r="BB39" i="111"/>
  <c r="BC39" i="111"/>
  <c r="BD39" i="111"/>
  <c r="BE39" i="111"/>
  <c r="BF39" i="111"/>
  <c r="BG39" i="111"/>
  <c r="BH39" i="111"/>
  <c r="BI39" i="111"/>
  <c r="BJ39" i="111"/>
  <c r="BK39" i="111"/>
  <c r="BL39" i="111"/>
  <c r="BM39" i="111"/>
  <c r="BN39" i="111"/>
  <c r="BO39" i="111"/>
  <c r="BP39" i="111"/>
  <c r="BQ39" i="111"/>
  <c r="BR39" i="111"/>
  <c r="BS39" i="111"/>
  <c r="BT39" i="111"/>
  <c r="BU39" i="111"/>
  <c r="BV39" i="111"/>
  <c r="BW39" i="111"/>
  <c r="BX39" i="111"/>
  <c r="BY39" i="111"/>
  <c r="BZ39" i="111"/>
  <c r="CA39" i="111"/>
  <c r="CB39" i="111"/>
  <c r="CC39" i="111"/>
  <c r="CD39" i="111"/>
  <c r="CE39" i="111"/>
  <c r="CF39" i="111"/>
  <c r="CG39" i="111"/>
  <c r="C40" i="111"/>
  <c r="AI40" i="111"/>
  <c r="AJ40" i="111"/>
  <c r="AK40" i="111"/>
  <c r="AL40" i="111"/>
  <c r="AM40" i="111"/>
  <c r="AN40" i="111"/>
  <c r="AO40" i="111"/>
  <c r="AP40" i="111"/>
  <c r="AQ40" i="111"/>
  <c r="AR40" i="111"/>
  <c r="AS40" i="111"/>
  <c r="AT40" i="111"/>
  <c r="AU40" i="111"/>
  <c r="AV40" i="111"/>
  <c r="AW40" i="111"/>
  <c r="AX40" i="111"/>
  <c r="AY40" i="111"/>
  <c r="AZ40" i="111"/>
  <c r="BA40" i="111"/>
  <c r="BB40" i="111"/>
  <c r="BC40" i="111"/>
  <c r="BD40" i="111"/>
  <c r="BE40" i="111"/>
  <c r="BF40" i="111"/>
  <c r="BG40" i="111"/>
  <c r="BH40" i="111"/>
  <c r="BI40" i="111"/>
  <c r="BJ40" i="111"/>
  <c r="BK40" i="111"/>
  <c r="BL40" i="111"/>
  <c r="BM40" i="111"/>
  <c r="BN40" i="111"/>
  <c r="BO40" i="111"/>
  <c r="BP40" i="111"/>
  <c r="BQ40" i="111"/>
  <c r="BR40" i="111"/>
  <c r="BS40" i="111"/>
  <c r="BT40" i="111"/>
  <c r="BU40" i="111"/>
  <c r="BV40" i="111"/>
  <c r="BW40" i="111"/>
  <c r="BX40" i="111"/>
  <c r="BY40" i="111"/>
  <c r="BZ40" i="111"/>
  <c r="CA40" i="111"/>
  <c r="CB40" i="111"/>
  <c r="CC40" i="111"/>
  <c r="CD40" i="111"/>
  <c r="CE40" i="111"/>
  <c r="CF40" i="111"/>
  <c r="CG40" i="111"/>
  <c r="G41" i="111"/>
  <c r="H41" i="111"/>
  <c r="AI41" i="111"/>
  <c r="AJ41" i="111"/>
  <c r="AK41" i="111"/>
  <c r="AL41" i="111"/>
  <c r="AM41" i="111"/>
  <c r="AN41" i="111"/>
  <c r="AO41" i="111"/>
  <c r="AP41" i="111"/>
  <c r="AQ41" i="111"/>
  <c r="AR41" i="111"/>
  <c r="AS41" i="111"/>
  <c r="AT41" i="111"/>
  <c r="AU41" i="111"/>
  <c r="AV41" i="111"/>
  <c r="AW41" i="111"/>
  <c r="AX41" i="111"/>
  <c r="AY41" i="111"/>
  <c r="AZ41" i="111"/>
  <c r="BA41" i="111"/>
  <c r="BB41" i="111"/>
  <c r="BC41" i="111"/>
  <c r="BD41" i="111"/>
  <c r="BE41" i="111"/>
  <c r="BF41" i="111"/>
  <c r="BG41" i="111"/>
  <c r="BH41" i="111"/>
  <c r="BI41" i="111"/>
  <c r="BJ41" i="111"/>
  <c r="BK41" i="111"/>
  <c r="BL41" i="111"/>
  <c r="BM41" i="111"/>
  <c r="BN41" i="111"/>
  <c r="BO41" i="111"/>
  <c r="BP41" i="111"/>
  <c r="BQ41" i="111"/>
  <c r="BR41" i="111"/>
  <c r="BS41" i="111"/>
  <c r="BT41" i="111"/>
  <c r="BU41" i="111"/>
  <c r="BV41" i="111"/>
  <c r="BW41" i="111"/>
  <c r="BX41" i="111"/>
  <c r="BY41" i="111"/>
  <c r="BZ41" i="111"/>
  <c r="CA41" i="111"/>
  <c r="CB41" i="111"/>
  <c r="CC41" i="111"/>
  <c r="CD41" i="111"/>
  <c r="CE41" i="111"/>
  <c r="CF41" i="111"/>
  <c r="CG41" i="111"/>
  <c r="AI42" i="111"/>
  <c r="AJ42" i="111"/>
  <c r="AK42" i="111"/>
  <c r="AI44" i="111"/>
  <c r="AJ44" i="111"/>
  <c r="AK44" i="111"/>
  <c r="AL44" i="111"/>
  <c r="AM44" i="111"/>
  <c r="AN44" i="111"/>
  <c r="AO44" i="111"/>
  <c r="AP44" i="111"/>
  <c r="AQ44" i="111"/>
  <c r="AR44" i="111"/>
  <c r="AS44" i="111"/>
  <c r="AT44" i="111"/>
  <c r="AU44" i="111"/>
  <c r="AV44" i="111"/>
  <c r="AW44" i="111"/>
  <c r="AX44" i="111"/>
  <c r="AY44" i="111"/>
  <c r="AZ44" i="111"/>
  <c r="BA44" i="111"/>
  <c r="BB44" i="111"/>
  <c r="BC44" i="111"/>
  <c r="BD44" i="111"/>
  <c r="BE44" i="111"/>
  <c r="BF44" i="111"/>
  <c r="BG44" i="111"/>
  <c r="BH44" i="111"/>
  <c r="BI44" i="111"/>
  <c r="BJ44" i="111"/>
  <c r="BK44" i="111"/>
  <c r="BL44" i="111"/>
  <c r="BM44" i="111"/>
  <c r="BN44" i="111"/>
  <c r="BO44" i="111"/>
  <c r="BP44" i="111"/>
  <c r="BQ44" i="111"/>
  <c r="BR44" i="111"/>
  <c r="BS44" i="111"/>
  <c r="BT44" i="111"/>
  <c r="BU44" i="111"/>
  <c r="BV44" i="111"/>
  <c r="BW44" i="111"/>
  <c r="BX44" i="111"/>
  <c r="BY44" i="111"/>
  <c r="BZ44" i="111"/>
  <c r="CA44" i="111"/>
  <c r="CB44" i="111"/>
  <c r="CC44" i="111"/>
  <c r="CD44" i="111"/>
  <c r="CE44" i="111"/>
  <c r="CF44" i="111"/>
  <c r="CG44" i="111"/>
  <c r="G45" i="111"/>
  <c r="H45" i="111"/>
  <c r="AI45" i="111"/>
  <c r="AJ45" i="111"/>
  <c r="AK45" i="111"/>
  <c r="AL45" i="111"/>
  <c r="AM45" i="111"/>
  <c r="AN45" i="111"/>
  <c r="AO45" i="111"/>
  <c r="AP45" i="111"/>
  <c r="AQ45" i="111"/>
  <c r="AR45" i="111"/>
  <c r="AS45" i="111"/>
  <c r="AT45" i="111"/>
  <c r="AU45" i="111"/>
  <c r="AV45" i="111"/>
  <c r="AW45" i="111"/>
  <c r="AX45" i="111"/>
  <c r="AY45" i="111"/>
  <c r="AZ45" i="111"/>
  <c r="BA45" i="111"/>
  <c r="BB45" i="111"/>
  <c r="BC45" i="111"/>
  <c r="BD45" i="111"/>
  <c r="BE45" i="111"/>
  <c r="BF45" i="111"/>
  <c r="BG45" i="111"/>
  <c r="BH45" i="111"/>
  <c r="BI45" i="111"/>
  <c r="BJ45" i="111"/>
  <c r="BK45" i="111"/>
  <c r="BL45" i="111"/>
  <c r="BM45" i="111"/>
  <c r="BN45" i="111"/>
  <c r="BO45" i="111"/>
  <c r="BP45" i="111"/>
  <c r="BQ45" i="111"/>
  <c r="BR45" i="111"/>
  <c r="BS45" i="111"/>
  <c r="BT45" i="111"/>
  <c r="BU45" i="111"/>
  <c r="BV45" i="111"/>
  <c r="BW45" i="111"/>
  <c r="BX45" i="111"/>
  <c r="BY45" i="111"/>
  <c r="BZ45" i="111"/>
  <c r="CA45" i="111"/>
  <c r="CB45" i="111"/>
  <c r="CC45" i="111"/>
  <c r="CD45" i="111"/>
  <c r="CE45" i="111"/>
  <c r="CF45" i="111"/>
  <c r="CG45" i="111"/>
  <c r="C46" i="111"/>
  <c r="G46" i="111"/>
  <c r="H46" i="111"/>
  <c r="AI46" i="111"/>
  <c r="AJ46" i="111"/>
  <c r="AK46" i="111"/>
  <c r="AL46" i="111"/>
  <c r="AM46" i="111"/>
  <c r="AN46" i="111"/>
  <c r="AO46" i="111"/>
  <c r="AP46" i="111"/>
  <c r="AQ46" i="111"/>
  <c r="AR46" i="111"/>
  <c r="AS46" i="111"/>
  <c r="AT46" i="111"/>
  <c r="AU46" i="111"/>
  <c r="AV46" i="111"/>
  <c r="AW46" i="111"/>
  <c r="AX46" i="111"/>
  <c r="AY46" i="111"/>
  <c r="AZ46" i="111"/>
  <c r="BA46" i="111"/>
  <c r="BB46" i="111"/>
  <c r="BC46" i="111"/>
  <c r="BD46" i="111"/>
  <c r="BE46" i="111"/>
  <c r="BF46" i="111"/>
  <c r="BG46" i="111"/>
  <c r="BH46" i="111"/>
  <c r="BI46" i="111"/>
  <c r="BJ46" i="111"/>
  <c r="BK46" i="111"/>
  <c r="BL46" i="111"/>
  <c r="BM46" i="111"/>
  <c r="BN46" i="111"/>
  <c r="BO46" i="111"/>
  <c r="BP46" i="111"/>
  <c r="BQ46" i="111"/>
  <c r="BR46" i="111"/>
  <c r="BS46" i="111"/>
  <c r="BT46" i="111"/>
  <c r="BU46" i="111"/>
  <c r="BV46" i="111"/>
  <c r="BW46" i="111"/>
  <c r="BX46" i="111"/>
  <c r="BY46" i="111"/>
  <c r="BZ46" i="111"/>
  <c r="CA46" i="111"/>
  <c r="CB46" i="111"/>
  <c r="CC46" i="111"/>
  <c r="CD46" i="111"/>
  <c r="CE46" i="111"/>
  <c r="CF46" i="111"/>
  <c r="CG46" i="111"/>
  <c r="C47" i="111"/>
  <c r="G47" i="111"/>
  <c r="H47" i="111"/>
  <c r="AI47" i="111"/>
  <c r="AJ47" i="111"/>
  <c r="AK47" i="111"/>
  <c r="AL47" i="111"/>
  <c r="AM47" i="111"/>
  <c r="AN47" i="111"/>
  <c r="AO47" i="111"/>
  <c r="AP47" i="111"/>
  <c r="AQ47" i="111"/>
  <c r="AR47" i="111"/>
  <c r="AS47" i="111"/>
  <c r="AT47" i="111"/>
  <c r="AU47" i="111"/>
  <c r="AV47" i="111"/>
  <c r="AW47" i="111"/>
  <c r="AX47" i="111"/>
  <c r="AY47" i="111"/>
  <c r="AZ47" i="111"/>
  <c r="BA47" i="111"/>
  <c r="BB47" i="111"/>
  <c r="BC47" i="111"/>
  <c r="BD47" i="111"/>
  <c r="BE47" i="111"/>
  <c r="BF47" i="111"/>
  <c r="BG47" i="111"/>
  <c r="BH47" i="111"/>
  <c r="BI47" i="111"/>
  <c r="BJ47" i="111"/>
  <c r="BK47" i="111"/>
  <c r="BL47" i="111"/>
  <c r="BM47" i="111"/>
  <c r="BN47" i="111"/>
  <c r="BO47" i="111"/>
  <c r="BP47" i="111"/>
  <c r="BQ47" i="111"/>
  <c r="BR47" i="111"/>
  <c r="BS47" i="111"/>
  <c r="BT47" i="111"/>
  <c r="BU47" i="111"/>
  <c r="BV47" i="111"/>
  <c r="BW47" i="111"/>
  <c r="BX47" i="111"/>
  <c r="BY47" i="111"/>
  <c r="BZ47" i="111"/>
  <c r="CA47" i="111"/>
  <c r="CB47" i="111"/>
  <c r="CC47" i="111"/>
  <c r="CD47" i="111"/>
  <c r="CE47" i="111"/>
  <c r="CF47" i="111"/>
  <c r="CG47" i="111"/>
  <c r="C48" i="111"/>
  <c r="H48" i="111"/>
  <c r="C49" i="111"/>
  <c r="H49" i="111"/>
  <c r="AI49" i="111"/>
  <c r="AJ49" i="111"/>
  <c r="AK49" i="111"/>
  <c r="AL49" i="111"/>
  <c r="AM49" i="111"/>
  <c r="AN49" i="111"/>
  <c r="AO49" i="111"/>
  <c r="AP49" i="111"/>
  <c r="AQ49" i="111"/>
  <c r="AR49" i="111"/>
  <c r="AI51" i="111"/>
  <c r="AJ51" i="111"/>
  <c r="AK51" i="111"/>
  <c r="AL51" i="111"/>
  <c r="AM51" i="111"/>
  <c r="AN51" i="111"/>
  <c r="AO51" i="111"/>
  <c r="AP51" i="111"/>
  <c r="AQ51" i="111"/>
  <c r="AR51" i="111"/>
  <c r="C53" i="111"/>
  <c r="AI53" i="111"/>
  <c r="AJ53" i="111"/>
  <c r="AK53" i="111"/>
  <c r="AL53" i="111"/>
  <c r="AM53" i="111"/>
  <c r="AN53" i="111"/>
  <c r="AO53" i="111"/>
  <c r="AP53" i="111"/>
  <c r="AQ53" i="111"/>
  <c r="AR53" i="111"/>
  <c r="C54" i="111"/>
  <c r="C55" i="111"/>
  <c r="AI55" i="111"/>
  <c r="AJ55" i="111"/>
  <c r="AK55" i="111"/>
  <c r="AL55" i="111"/>
  <c r="AM55" i="111"/>
  <c r="AN55" i="111"/>
  <c r="AO55" i="111"/>
  <c r="AP55" i="111"/>
  <c r="AQ55" i="111"/>
  <c r="AR55" i="111"/>
  <c r="C56" i="111"/>
  <c r="AI56" i="111"/>
  <c r="AJ56" i="111"/>
  <c r="AK56" i="111"/>
  <c r="AL56" i="111"/>
  <c r="AM56" i="111"/>
  <c r="AN56" i="111"/>
  <c r="AO56" i="111"/>
  <c r="AP56" i="111"/>
  <c r="AQ56" i="111"/>
  <c r="AR56" i="111"/>
  <c r="G58" i="111"/>
  <c r="H58" i="111"/>
  <c r="AI58" i="111"/>
  <c r="AJ58" i="111"/>
  <c r="AK58" i="111"/>
  <c r="AL58" i="111"/>
  <c r="AM58" i="111"/>
  <c r="AN58" i="111"/>
  <c r="AO58" i="111"/>
  <c r="AP58" i="111"/>
  <c r="AQ58" i="111"/>
  <c r="AR58" i="111"/>
  <c r="AS58" i="111"/>
  <c r="AT58" i="111"/>
  <c r="AU58" i="111"/>
  <c r="AV58" i="111"/>
  <c r="AW58" i="111"/>
  <c r="AX58" i="111"/>
  <c r="AY58" i="111"/>
  <c r="AZ58" i="111"/>
  <c r="BA58" i="111"/>
  <c r="BB58" i="111"/>
  <c r="BC58" i="111"/>
  <c r="BD58" i="111"/>
  <c r="BE58" i="111"/>
  <c r="BF58" i="111"/>
  <c r="BG58" i="111"/>
  <c r="BH58" i="111"/>
  <c r="BI58" i="111"/>
  <c r="BJ58" i="111"/>
  <c r="BK58" i="111"/>
  <c r="BL58" i="111"/>
  <c r="BM58" i="111"/>
  <c r="BN58" i="111"/>
  <c r="BO58" i="111"/>
  <c r="BP58" i="111"/>
  <c r="BQ58" i="111"/>
  <c r="BR58" i="111"/>
  <c r="BS58" i="111"/>
  <c r="BT58" i="111"/>
  <c r="BU58" i="111"/>
  <c r="BV58" i="111"/>
  <c r="BW58" i="111"/>
  <c r="BX58" i="111"/>
  <c r="BY58" i="111"/>
  <c r="BZ58" i="111"/>
  <c r="CA58" i="111"/>
  <c r="CB58" i="111"/>
  <c r="CC58" i="111"/>
  <c r="CD58" i="111"/>
  <c r="CE58" i="111"/>
  <c r="CF58" i="111"/>
  <c r="CG58" i="111"/>
  <c r="G59" i="111"/>
  <c r="H59" i="111"/>
  <c r="AA59" i="111"/>
  <c r="AI59" i="111"/>
  <c r="AJ59" i="111"/>
  <c r="AK59" i="111"/>
  <c r="G60" i="111"/>
  <c r="H60" i="111"/>
  <c r="AA60" i="111"/>
  <c r="AI60" i="111"/>
  <c r="AJ60" i="111"/>
  <c r="AK60" i="111"/>
  <c r="AL60" i="111"/>
  <c r="AM60" i="111"/>
  <c r="AN60" i="111"/>
  <c r="AO60" i="111"/>
  <c r="AP60" i="111"/>
  <c r="AQ60" i="111"/>
  <c r="AR60" i="111"/>
  <c r="AS60" i="111"/>
  <c r="AT60" i="111"/>
  <c r="AU60" i="111"/>
  <c r="AV60" i="111"/>
  <c r="AW60" i="111"/>
  <c r="AX60" i="111"/>
  <c r="AY60" i="111"/>
  <c r="AZ60" i="111"/>
  <c r="BA60" i="111"/>
  <c r="BB60" i="111"/>
  <c r="BC60" i="111"/>
  <c r="BD60" i="111"/>
  <c r="BE60" i="111"/>
  <c r="BF60" i="111"/>
  <c r="BG60" i="111"/>
  <c r="BH60" i="111"/>
  <c r="BI60" i="111"/>
  <c r="BJ60" i="111"/>
  <c r="BK60" i="111"/>
  <c r="BL60" i="111"/>
  <c r="BM60" i="111"/>
  <c r="BN60" i="111"/>
  <c r="BO60" i="111"/>
  <c r="BP60" i="111"/>
  <c r="BQ60" i="111"/>
  <c r="BR60" i="111"/>
  <c r="BS60" i="111"/>
  <c r="BT60" i="111"/>
  <c r="BU60" i="111"/>
  <c r="BV60" i="111"/>
  <c r="BW60" i="111"/>
  <c r="BX60" i="111"/>
  <c r="BY60" i="111"/>
  <c r="BZ60" i="111"/>
  <c r="CA60" i="111"/>
  <c r="CB60" i="111"/>
  <c r="CC60" i="111"/>
  <c r="CD60" i="111"/>
  <c r="CE60" i="111"/>
  <c r="CF60" i="111"/>
  <c r="CG60" i="111"/>
  <c r="G61" i="111"/>
  <c r="H61" i="111"/>
  <c r="H62" i="111"/>
  <c r="N62" i="111"/>
  <c r="O62" i="111"/>
  <c r="T62" i="111"/>
  <c r="AI62" i="111"/>
  <c r="AJ62" i="111"/>
  <c r="AK62" i="111"/>
  <c r="H63" i="111"/>
  <c r="AI63" i="111"/>
  <c r="AJ63" i="111"/>
  <c r="AK63" i="111"/>
  <c r="AL63" i="111"/>
  <c r="AM63" i="111"/>
  <c r="AN63" i="111"/>
  <c r="AO63" i="111"/>
  <c r="AP63" i="111"/>
  <c r="AQ63" i="111"/>
  <c r="AR63" i="111"/>
  <c r="N64" i="111"/>
  <c r="O64" i="111"/>
  <c r="P64" i="111"/>
  <c r="AI64" i="111"/>
  <c r="AJ64" i="111"/>
  <c r="AK64" i="111"/>
  <c r="AL64" i="111"/>
  <c r="AM64" i="111"/>
  <c r="AN64" i="111"/>
  <c r="AO64" i="111"/>
  <c r="AP64" i="111"/>
  <c r="AQ64" i="111"/>
  <c r="AR64" i="111"/>
  <c r="AI65" i="111"/>
  <c r="AJ65" i="111"/>
  <c r="AK65" i="111"/>
  <c r="AL65" i="111"/>
  <c r="AM65" i="111"/>
  <c r="AN65" i="111"/>
  <c r="AO65" i="111"/>
  <c r="AP65" i="111"/>
  <c r="AQ65" i="111"/>
  <c r="AR65" i="111"/>
  <c r="AI66" i="111"/>
  <c r="AJ66" i="111"/>
  <c r="AK66" i="111"/>
  <c r="AL66" i="111"/>
  <c r="AM66" i="111"/>
  <c r="AN66" i="111"/>
  <c r="AO66" i="111"/>
  <c r="AP66" i="111"/>
  <c r="AQ66" i="111"/>
  <c r="AR66" i="111"/>
  <c r="AI67" i="111"/>
  <c r="AJ67" i="111"/>
  <c r="AK67" i="111"/>
  <c r="AL67" i="111"/>
  <c r="AM67" i="111"/>
  <c r="AN67" i="111"/>
  <c r="AO67" i="111"/>
  <c r="AP67" i="111"/>
  <c r="AQ67" i="111"/>
  <c r="AR67" i="111"/>
  <c r="AI68" i="111"/>
  <c r="AJ68" i="111"/>
  <c r="AK68" i="111"/>
  <c r="AL68" i="111"/>
  <c r="AM68" i="111"/>
  <c r="AN68" i="111"/>
  <c r="AO68" i="111"/>
  <c r="AP68" i="111"/>
  <c r="AQ68" i="111"/>
  <c r="AR68" i="111"/>
  <c r="AS68" i="111"/>
  <c r="AT68" i="111"/>
  <c r="AU68" i="111"/>
  <c r="AV68" i="111"/>
  <c r="AW68" i="111"/>
  <c r="AX68" i="111"/>
  <c r="AY68" i="111"/>
  <c r="AZ68" i="111"/>
  <c r="BA68" i="111"/>
  <c r="BB68" i="111"/>
  <c r="BC68" i="111"/>
  <c r="BD68" i="111"/>
  <c r="BE68" i="111"/>
  <c r="BF68" i="111"/>
  <c r="BG68" i="111"/>
  <c r="BH68" i="111"/>
  <c r="BI68" i="111"/>
  <c r="BJ68" i="111"/>
  <c r="BK68" i="111"/>
  <c r="BL68" i="111"/>
  <c r="BM68" i="111"/>
  <c r="BN68" i="111"/>
  <c r="BO68" i="111"/>
  <c r="BP68" i="111"/>
  <c r="BQ68" i="111"/>
  <c r="BR68" i="111"/>
  <c r="BS68" i="111"/>
  <c r="BT68" i="111"/>
  <c r="BU68" i="111"/>
  <c r="BV68" i="111"/>
  <c r="BW68" i="111"/>
  <c r="BX68" i="111"/>
  <c r="BY68" i="111"/>
  <c r="BZ68" i="111"/>
  <c r="CA68" i="111"/>
  <c r="CB68" i="111"/>
  <c r="CC68" i="111"/>
  <c r="CD68" i="111"/>
  <c r="CE68" i="111"/>
  <c r="CF68" i="111"/>
  <c r="CG68" i="111"/>
  <c r="H69" i="111"/>
  <c r="AI69" i="111"/>
  <c r="AJ69" i="111"/>
  <c r="AK69" i="111"/>
  <c r="AL69" i="111"/>
  <c r="AM69" i="111"/>
  <c r="AN69" i="111"/>
  <c r="AO69" i="111"/>
  <c r="AP69" i="111"/>
  <c r="AQ69" i="111"/>
  <c r="AR69" i="111"/>
  <c r="H70" i="111"/>
  <c r="T70" i="111"/>
  <c r="AI70" i="111"/>
  <c r="AJ70" i="111"/>
  <c r="AK70" i="111"/>
  <c r="AL70" i="111"/>
  <c r="AM70" i="111"/>
  <c r="AN70" i="111"/>
  <c r="AO70" i="111"/>
  <c r="AP70" i="111"/>
  <c r="AQ70" i="111"/>
  <c r="AR70" i="111"/>
  <c r="AS70" i="111"/>
  <c r="AT70" i="111"/>
  <c r="AU70" i="111"/>
  <c r="AV70" i="111"/>
  <c r="AW70" i="111"/>
  <c r="AX70" i="111"/>
  <c r="AY70" i="111"/>
  <c r="AZ70" i="111"/>
  <c r="BA70" i="111"/>
  <c r="BB70" i="111"/>
  <c r="BC70" i="111"/>
  <c r="BD70" i="111"/>
  <c r="BE70" i="111"/>
  <c r="BF70" i="111"/>
  <c r="BG70" i="111"/>
  <c r="BH70" i="111"/>
  <c r="BI70" i="111"/>
  <c r="BJ70" i="111"/>
  <c r="BK70" i="111"/>
  <c r="BL70" i="111"/>
  <c r="BM70" i="111"/>
  <c r="BN70" i="111"/>
  <c r="BO70" i="111"/>
  <c r="BP70" i="111"/>
  <c r="BQ70" i="111"/>
  <c r="BR70" i="111"/>
  <c r="BS70" i="111"/>
  <c r="BT70" i="111"/>
  <c r="BU70" i="111"/>
  <c r="BV70" i="111"/>
  <c r="BW70" i="111"/>
  <c r="BX70" i="111"/>
  <c r="BY70" i="111"/>
  <c r="BZ70" i="111"/>
  <c r="CA70" i="111"/>
  <c r="CB70" i="111"/>
  <c r="CC70" i="111"/>
  <c r="CD70" i="111"/>
  <c r="CE70" i="111"/>
  <c r="CF70" i="111"/>
  <c r="CG70" i="111"/>
  <c r="T71" i="111"/>
  <c r="AI71" i="111"/>
  <c r="AJ71" i="111"/>
  <c r="AK71" i="111"/>
  <c r="AL71" i="111"/>
  <c r="AM71" i="111"/>
  <c r="AN71" i="111"/>
  <c r="AO71" i="111"/>
  <c r="AP71" i="111"/>
  <c r="AQ71" i="111"/>
  <c r="AR71" i="111"/>
  <c r="AS71" i="111"/>
  <c r="AT71" i="111"/>
  <c r="AU71" i="111"/>
  <c r="AV71" i="111"/>
  <c r="AW71" i="111"/>
  <c r="AX71" i="111"/>
  <c r="AY71" i="111"/>
  <c r="AZ71" i="111"/>
  <c r="BA71" i="111"/>
  <c r="BB71" i="111"/>
  <c r="BC71" i="111"/>
  <c r="BD71" i="111"/>
  <c r="BE71" i="111"/>
  <c r="BF71" i="111"/>
  <c r="BG71" i="111"/>
  <c r="BH71" i="111"/>
  <c r="BI71" i="111"/>
  <c r="BJ71" i="111"/>
  <c r="BK71" i="111"/>
  <c r="BL71" i="111"/>
  <c r="BM71" i="111"/>
  <c r="BN71" i="111"/>
  <c r="BO71" i="111"/>
  <c r="BP71" i="111"/>
  <c r="BQ71" i="111"/>
  <c r="BR71" i="111"/>
  <c r="BS71" i="111"/>
  <c r="BT71" i="111"/>
  <c r="BU71" i="111"/>
  <c r="BV71" i="111"/>
  <c r="BW71" i="111"/>
  <c r="BX71" i="111"/>
  <c r="BY71" i="111"/>
  <c r="BZ71" i="111"/>
  <c r="CA71" i="111"/>
  <c r="CB71" i="111"/>
  <c r="CC71" i="111"/>
  <c r="CD71" i="111"/>
  <c r="CE71" i="111"/>
  <c r="CF71" i="111"/>
  <c r="CG71" i="111"/>
  <c r="N73" i="111"/>
  <c r="O73" i="111"/>
  <c r="P73" i="111"/>
  <c r="AI73" i="111"/>
  <c r="AJ73" i="111"/>
  <c r="AK73" i="111"/>
  <c r="AL73" i="111"/>
  <c r="AM73" i="111"/>
  <c r="AN73" i="111"/>
  <c r="AO73" i="111"/>
  <c r="AP73" i="111"/>
  <c r="AQ73" i="111"/>
  <c r="AR73" i="111"/>
  <c r="N75" i="111"/>
  <c r="O75" i="111"/>
  <c r="P75" i="111"/>
  <c r="AI75" i="111"/>
  <c r="AJ75" i="111"/>
  <c r="AK75" i="111"/>
  <c r="AL75" i="111"/>
  <c r="AM75" i="111"/>
  <c r="AN75" i="111"/>
  <c r="AO75" i="111"/>
  <c r="AP75" i="111"/>
  <c r="AQ75" i="111"/>
  <c r="AR75" i="111"/>
  <c r="T77" i="111"/>
  <c r="AI77" i="111"/>
  <c r="AJ77" i="111"/>
  <c r="AK77" i="111"/>
  <c r="AL77" i="111"/>
  <c r="AM77" i="111"/>
  <c r="AN77" i="111"/>
  <c r="AO77" i="111"/>
  <c r="AP77" i="111"/>
  <c r="AQ77" i="111"/>
  <c r="AR77" i="111"/>
  <c r="H80" i="111"/>
  <c r="AI80" i="111"/>
  <c r="AJ80" i="111"/>
  <c r="AK80" i="111"/>
  <c r="H81" i="111"/>
  <c r="H83" i="111"/>
  <c r="AJ83" i="111"/>
  <c r="AK83" i="111"/>
  <c r="AL83" i="111"/>
  <c r="AM83" i="111"/>
  <c r="AN83" i="111"/>
  <c r="AO83" i="111"/>
  <c r="AP83" i="111"/>
  <c r="AQ83" i="111"/>
  <c r="AR83" i="111"/>
  <c r="AS83" i="111"/>
  <c r="AT83" i="111"/>
  <c r="AU83" i="111"/>
  <c r="AV83" i="111"/>
  <c r="AW83" i="111"/>
  <c r="AX83" i="111"/>
  <c r="AY83" i="111"/>
  <c r="AZ83" i="111"/>
  <c r="BA83" i="111"/>
  <c r="BB83" i="111"/>
  <c r="BC83" i="111"/>
  <c r="BD83" i="111"/>
  <c r="BE83" i="111"/>
  <c r="BF83" i="111"/>
  <c r="BG83" i="111"/>
  <c r="BH83" i="111"/>
  <c r="BI83" i="111"/>
  <c r="BJ83" i="111"/>
  <c r="BK83" i="111"/>
  <c r="BL83" i="111"/>
  <c r="BM83" i="111"/>
  <c r="BN83" i="111"/>
  <c r="BO83" i="111"/>
  <c r="BP83" i="111"/>
  <c r="BQ83" i="111"/>
  <c r="BR83" i="111"/>
  <c r="BS83" i="111"/>
  <c r="BT83" i="111"/>
  <c r="BU83" i="111"/>
  <c r="BV83" i="111"/>
  <c r="BW83" i="111"/>
  <c r="BX83" i="111"/>
  <c r="BY83" i="111"/>
  <c r="BZ83" i="111"/>
  <c r="CA83" i="111"/>
  <c r="CB83" i="111"/>
  <c r="CC83" i="111"/>
  <c r="CD83" i="111"/>
  <c r="CE83" i="111"/>
  <c r="CF83" i="111"/>
  <c r="CG83" i="111"/>
  <c r="AA84" i="111"/>
  <c r="AI84" i="111"/>
  <c r="AJ84" i="111"/>
  <c r="AK84" i="111"/>
  <c r="AL84" i="111"/>
  <c r="AM84" i="111"/>
  <c r="AN84" i="111"/>
  <c r="AO84" i="111"/>
  <c r="AP84" i="111"/>
  <c r="AQ84" i="111"/>
  <c r="AR84" i="111"/>
  <c r="AS84" i="111"/>
  <c r="AT84" i="111"/>
  <c r="AU84" i="111"/>
  <c r="AV84" i="111"/>
  <c r="AW84" i="111"/>
  <c r="AX84" i="111"/>
  <c r="AY84" i="111"/>
  <c r="AZ84" i="111"/>
  <c r="BA84" i="111"/>
  <c r="BB84" i="111"/>
  <c r="BC84" i="111"/>
  <c r="BD84" i="111"/>
  <c r="BE84" i="111"/>
  <c r="BF84" i="111"/>
  <c r="BG84" i="111"/>
  <c r="BH84" i="111"/>
  <c r="BI84" i="111"/>
  <c r="BJ84" i="111"/>
  <c r="BK84" i="111"/>
  <c r="BL84" i="111"/>
  <c r="BM84" i="111"/>
  <c r="BN84" i="111"/>
  <c r="BO84" i="111"/>
  <c r="BP84" i="111"/>
  <c r="BQ84" i="111"/>
  <c r="BR84" i="111"/>
  <c r="BS84" i="111"/>
  <c r="BT84" i="111"/>
  <c r="BU84" i="111"/>
  <c r="BV84" i="111"/>
  <c r="BW84" i="111"/>
  <c r="BX84" i="111"/>
  <c r="BY84" i="111"/>
  <c r="BZ84" i="111"/>
  <c r="CA84" i="111"/>
  <c r="CB84" i="111"/>
  <c r="CC84" i="111"/>
  <c r="CD84" i="111"/>
  <c r="CE84" i="111"/>
  <c r="CF84" i="111"/>
  <c r="CG84" i="111"/>
  <c r="AI85" i="111"/>
  <c r="AJ85" i="111"/>
  <c r="AK85" i="111"/>
  <c r="AL85" i="111"/>
  <c r="AM85" i="111"/>
  <c r="AN85" i="111"/>
  <c r="AO85" i="111"/>
  <c r="AP85" i="111"/>
  <c r="AQ85" i="111"/>
  <c r="AR85" i="111"/>
  <c r="AS85" i="111"/>
  <c r="AT85" i="111"/>
  <c r="AU85" i="111"/>
  <c r="AV85" i="111"/>
  <c r="AW85" i="111"/>
  <c r="AX85" i="111"/>
  <c r="AY85" i="111"/>
  <c r="AZ85" i="111"/>
  <c r="BA85" i="111"/>
  <c r="BB85" i="111"/>
  <c r="BC85" i="111"/>
  <c r="BD85" i="111"/>
  <c r="BE85" i="111"/>
  <c r="BF85" i="111"/>
  <c r="BG85" i="111"/>
  <c r="BH85" i="111"/>
  <c r="BI85" i="111"/>
  <c r="BJ85" i="111"/>
  <c r="BK85" i="111"/>
  <c r="BL85" i="111"/>
  <c r="BM85" i="111"/>
  <c r="BN85" i="111"/>
  <c r="BO85" i="111"/>
  <c r="BP85" i="111"/>
  <c r="BQ85" i="111"/>
  <c r="BR85" i="111"/>
  <c r="BS85" i="111"/>
  <c r="BT85" i="111"/>
  <c r="BU85" i="111"/>
  <c r="BV85" i="111"/>
  <c r="BW85" i="111"/>
  <c r="BX85" i="111"/>
  <c r="BY85" i="111"/>
  <c r="BZ85" i="111"/>
  <c r="CA85" i="111"/>
  <c r="CB85" i="111"/>
  <c r="CC85" i="111"/>
  <c r="CD85" i="111"/>
  <c r="CE85" i="111"/>
  <c r="CF85" i="111"/>
  <c r="CG85" i="111"/>
  <c r="AI86" i="111"/>
  <c r="AJ86" i="111"/>
  <c r="AK86" i="111"/>
  <c r="AL86" i="111"/>
  <c r="AM86" i="111"/>
  <c r="AN86" i="111"/>
  <c r="AO86" i="111"/>
  <c r="AP86" i="111"/>
  <c r="AQ86" i="111"/>
  <c r="AR86" i="111"/>
  <c r="AS86" i="111"/>
  <c r="AT86" i="111"/>
  <c r="AU86" i="111"/>
  <c r="AV86" i="111"/>
  <c r="AW86" i="111"/>
  <c r="AX86" i="111"/>
  <c r="AY86" i="111"/>
  <c r="AZ86" i="111"/>
  <c r="BA86" i="111"/>
  <c r="BB86" i="111"/>
  <c r="BC86" i="111"/>
  <c r="BD86" i="111"/>
  <c r="BE86" i="111"/>
  <c r="BF86" i="111"/>
  <c r="BG86" i="111"/>
  <c r="BH86" i="111"/>
  <c r="BI86" i="111"/>
  <c r="BJ86" i="111"/>
  <c r="BK86" i="111"/>
  <c r="BL86" i="111"/>
  <c r="BM86" i="111"/>
  <c r="BN86" i="111"/>
  <c r="BO86" i="111"/>
  <c r="BP86" i="111"/>
  <c r="BQ86" i="111"/>
  <c r="BR86" i="111"/>
  <c r="BS86" i="111"/>
  <c r="BT86" i="111"/>
  <c r="BU86" i="111"/>
  <c r="BV86" i="111"/>
  <c r="BW86" i="111"/>
  <c r="BX86" i="111"/>
  <c r="BY86" i="111"/>
  <c r="BZ86" i="111"/>
  <c r="CA86" i="111"/>
  <c r="CB86" i="111"/>
  <c r="CC86" i="111"/>
  <c r="CD86" i="111"/>
  <c r="CE86" i="111"/>
  <c r="CF86" i="111"/>
  <c r="CG86" i="111"/>
  <c r="AI87" i="111"/>
  <c r="AJ87" i="111"/>
  <c r="AK87" i="111"/>
  <c r="AL87" i="111"/>
  <c r="AM87" i="111"/>
  <c r="AN87" i="111"/>
  <c r="AO87" i="111"/>
  <c r="AP87" i="111"/>
  <c r="AQ87" i="111"/>
  <c r="AR87" i="111"/>
  <c r="AS87" i="111"/>
  <c r="AT87" i="111"/>
  <c r="AU87" i="111"/>
  <c r="AV87" i="111"/>
  <c r="AW87" i="111"/>
  <c r="AX87" i="111"/>
  <c r="AY87" i="111"/>
  <c r="AZ87" i="111"/>
  <c r="BA87" i="111"/>
  <c r="BB87" i="111"/>
  <c r="BC87" i="111"/>
  <c r="BD87" i="111"/>
  <c r="BE87" i="111"/>
  <c r="BF87" i="111"/>
  <c r="BG87" i="111"/>
  <c r="BH87" i="111"/>
  <c r="BI87" i="111"/>
  <c r="BJ87" i="111"/>
  <c r="BK87" i="111"/>
  <c r="BL87" i="111"/>
  <c r="BM87" i="111"/>
  <c r="BN87" i="111"/>
  <c r="BO87" i="111"/>
  <c r="BP87" i="111"/>
  <c r="BQ87" i="111"/>
  <c r="BR87" i="111"/>
  <c r="BS87" i="111"/>
  <c r="BT87" i="111"/>
  <c r="BU87" i="111"/>
  <c r="BV87" i="111"/>
  <c r="BW87" i="111"/>
  <c r="BX87" i="111"/>
  <c r="BY87" i="111"/>
  <c r="BZ87" i="111"/>
  <c r="CA87" i="111"/>
  <c r="CB87" i="111"/>
  <c r="CC87" i="111"/>
  <c r="CD87" i="111"/>
  <c r="CE87" i="111"/>
  <c r="CF87" i="111"/>
  <c r="CG87" i="111"/>
  <c r="AJ88" i="111"/>
  <c r="AK88" i="111"/>
  <c r="AL88" i="111"/>
  <c r="AM88" i="111"/>
  <c r="AN88" i="111"/>
  <c r="AO88" i="111"/>
  <c r="AP88" i="111"/>
  <c r="AQ88" i="111"/>
  <c r="AR88" i="111"/>
  <c r="AS88" i="111"/>
  <c r="AT88" i="111"/>
  <c r="AU88" i="111"/>
  <c r="AV88" i="111"/>
  <c r="AW88" i="111"/>
  <c r="AX88" i="111"/>
  <c r="AY88" i="111"/>
  <c r="AZ88" i="111"/>
  <c r="BA88" i="111"/>
  <c r="BB88" i="111"/>
  <c r="BC88" i="111"/>
  <c r="BD88" i="111"/>
  <c r="BE88" i="111"/>
  <c r="BF88" i="111"/>
  <c r="BG88" i="111"/>
  <c r="BH88" i="111"/>
  <c r="BI88" i="111"/>
  <c r="BJ88" i="111"/>
  <c r="BK88" i="111"/>
  <c r="BL88" i="111"/>
  <c r="BM88" i="111"/>
  <c r="BN88" i="111"/>
  <c r="BO88" i="111"/>
  <c r="BP88" i="111"/>
  <c r="BQ88" i="111"/>
  <c r="BR88" i="111"/>
  <c r="BS88" i="111"/>
  <c r="BT88" i="111"/>
  <c r="BU88" i="111"/>
  <c r="BV88" i="111"/>
  <c r="BW88" i="111"/>
  <c r="BX88" i="111"/>
  <c r="BY88" i="111"/>
  <c r="BZ88" i="111"/>
  <c r="CA88" i="111"/>
  <c r="CB88" i="111"/>
  <c r="CC88" i="111"/>
  <c r="CD88" i="111"/>
  <c r="CE88" i="111"/>
  <c r="CF88" i="111"/>
  <c r="CG88" i="111"/>
  <c r="AA89" i="111"/>
  <c r="AL89" i="111"/>
  <c r="AM89" i="111"/>
  <c r="AN89" i="111"/>
  <c r="AO89" i="111"/>
  <c r="AP89" i="111"/>
  <c r="AQ89" i="111"/>
  <c r="AR89" i="111"/>
  <c r="AS89" i="111"/>
  <c r="AT89" i="111"/>
  <c r="AU89" i="111"/>
  <c r="AV89" i="111"/>
  <c r="AW89" i="111"/>
  <c r="AX89" i="111"/>
  <c r="AY89" i="111"/>
  <c r="AZ89" i="111"/>
  <c r="BA89" i="111"/>
  <c r="BB89" i="111"/>
  <c r="BC89" i="111"/>
  <c r="BD89" i="111"/>
  <c r="BE89" i="111"/>
  <c r="BF89" i="111"/>
  <c r="BG89" i="111"/>
  <c r="BH89" i="111"/>
  <c r="BI89" i="111"/>
  <c r="BJ89" i="111"/>
  <c r="BK89" i="111"/>
  <c r="BL89" i="111"/>
  <c r="BM89" i="111"/>
  <c r="BN89" i="111"/>
  <c r="BO89" i="111"/>
  <c r="BP89" i="111"/>
  <c r="BQ89" i="111"/>
  <c r="BR89" i="111"/>
  <c r="BS89" i="111"/>
  <c r="BT89" i="111"/>
  <c r="BU89" i="111"/>
  <c r="BV89" i="111"/>
  <c r="BW89" i="111"/>
  <c r="BX89" i="111"/>
  <c r="BY89" i="111"/>
  <c r="BZ89" i="111"/>
  <c r="CA89" i="111"/>
  <c r="CB89" i="111"/>
  <c r="CC89" i="111"/>
  <c r="CD89" i="111"/>
  <c r="CE89" i="111"/>
  <c r="CF89" i="111"/>
  <c r="CG89" i="111"/>
  <c r="AA90" i="111"/>
  <c r="AI90" i="111"/>
  <c r="AJ90" i="111"/>
  <c r="AK90" i="111"/>
  <c r="AL90" i="111"/>
  <c r="AM90" i="111"/>
  <c r="AN90" i="111"/>
  <c r="AO90" i="111"/>
  <c r="AP90" i="111"/>
  <c r="AQ90" i="111"/>
  <c r="AR90" i="111"/>
  <c r="AS90" i="111"/>
  <c r="AT90" i="111"/>
  <c r="AU90" i="111"/>
  <c r="AV90" i="111"/>
  <c r="AW90" i="111"/>
  <c r="AX90" i="111"/>
  <c r="AY90" i="111"/>
  <c r="AZ90" i="111"/>
  <c r="BA90" i="111"/>
  <c r="BB90" i="111"/>
  <c r="BC90" i="111"/>
  <c r="BD90" i="111"/>
  <c r="BE90" i="111"/>
  <c r="BF90" i="111"/>
  <c r="BG90" i="111"/>
  <c r="BH90" i="111"/>
  <c r="BI90" i="111"/>
  <c r="BJ90" i="111"/>
  <c r="BK90" i="111"/>
  <c r="BL90" i="111"/>
  <c r="BM90" i="111"/>
  <c r="BN90" i="111"/>
  <c r="BO90" i="111"/>
  <c r="BP90" i="111"/>
  <c r="BQ90" i="111"/>
  <c r="BR90" i="111"/>
  <c r="BS90" i="111"/>
  <c r="BT90" i="111"/>
  <c r="BU90" i="111"/>
  <c r="BV90" i="111"/>
  <c r="BW90" i="111"/>
  <c r="BX90" i="111"/>
  <c r="BY90" i="111"/>
  <c r="BZ90" i="111"/>
  <c r="CA90" i="111"/>
  <c r="CB90" i="111"/>
  <c r="CC90" i="111"/>
  <c r="CD90" i="111"/>
  <c r="CE90" i="111"/>
  <c r="CF90" i="111"/>
  <c r="CG90" i="111"/>
  <c r="AI91" i="111"/>
  <c r="AJ91" i="111"/>
  <c r="AK91" i="111"/>
  <c r="AL91" i="111"/>
  <c r="AM91" i="111"/>
  <c r="AN91" i="111"/>
  <c r="AO91" i="111"/>
  <c r="AP91" i="111"/>
  <c r="AQ91" i="111"/>
  <c r="AR91" i="111"/>
  <c r="AS91" i="111"/>
  <c r="AT91" i="111"/>
  <c r="AU91" i="111"/>
  <c r="AV91" i="111"/>
  <c r="AW91" i="111"/>
  <c r="AX91" i="111"/>
  <c r="AY91" i="111"/>
  <c r="AZ91" i="111"/>
  <c r="BA91" i="111"/>
  <c r="BB91" i="111"/>
  <c r="BC91" i="111"/>
  <c r="BD91" i="111"/>
  <c r="BE91" i="111"/>
  <c r="BF91" i="111"/>
  <c r="BG91" i="111"/>
  <c r="BH91" i="111"/>
  <c r="BI91" i="111"/>
  <c r="BJ91" i="111"/>
  <c r="BK91" i="111"/>
  <c r="BL91" i="111"/>
  <c r="BM91" i="111"/>
  <c r="BN91" i="111"/>
  <c r="BO91" i="111"/>
  <c r="BP91" i="111"/>
  <c r="BQ91" i="111"/>
  <c r="BR91" i="111"/>
  <c r="BS91" i="111"/>
  <c r="BT91" i="111"/>
  <c r="BU91" i="111"/>
  <c r="BV91" i="111"/>
  <c r="BW91" i="111"/>
  <c r="BX91" i="111"/>
  <c r="BY91" i="111"/>
  <c r="BZ91" i="111"/>
  <c r="CA91" i="111"/>
  <c r="CB91" i="111"/>
  <c r="CC91" i="111"/>
  <c r="CD91" i="111"/>
  <c r="CE91" i="111"/>
  <c r="CF91" i="111"/>
  <c r="CG91" i="111"/>
  <c r="AI93" i="111"/>
  <c r="AJ93" i="111"/>
  <c r="AK93" i="111"/>
  <c r="AL93" i="111"/>
  <c r="AM93" i="111"/>
  <c r="AN93" i="111"/>
  <c r="AO93" i="111"/>
  <c r="AP93" i="111"/>
  <c r="AQ93" i="111"/>
  <c r="AR93" i="111"/>
  <c r="AS93" i="111"/>
  <c r="AT93" i="111"/>
  <c r="AU93" i="111"/>
  <c r="AV93" i="111"/>
  <c r="AW93" i="111"/>
  <c r="AX93" i="111"/>
  <c r="AY93" i="111"/>
  <c r="AZ93" i="111"/>
  <c r="BA93" i="111"/>
  <c r="BB93" i="111"/>
  <c r="BC93" i="111"/>
  <c r="BD93" i="111"/>
  <c r="BE93" i="111"/>
  <c r="BF93" i="111"/>
  <c r="BG93" i="111"/>
  <c r="BH93" i="111"/>
  <c r="BI93" i="111"/>
  <c r="BJ93" i="111"/>
  <c r="BK93" i="111"/>
  <c r="BL93" i="111"/>
  <c r="BM93" i="111"/>
  <c r="BN93" i="111"/>
  <c r="BO93" i="111"/>
  <c r="BP93" i="111"/>
  <c r="BQ93" i="111"/>
  <c r="BR93" i="111"/>
  <c r="BS93" i="111"/>
  <c r="BT93" i="111"/>
  <c r="BU93" i="111"/>
  <c r="BV93" i="111"/>
  <c r="BW93" i="111"/>
  <c r="BX93" i="111"/>
  <c r="BY93" i="111"/>
  <c r="BZ93" i="111"/>
  <c r="CA93" i="111"/>
  <c r="CB93" i="111"/>
  <c r="CC93" i="111"/>
  <c r="CD93" i="111"/>
  <c r="CE93" i="111"/>
  <c r="CF93" i="111"/>
  <c r="CG93" i="111"/>
  <c r="AI94" i="111"/>
  <c r="AJ94" i="111"/>
  <c r="AK94" i="111"/>
  <c r="AL94" i="111"/>
  <c r="AM94" i="111"/>
  <c r="AN94" i="111"/>
  <c r="AO94" i="111"/>
  <c r="AP94" i="111"/>
  <c r="AQ94" i="111"/>
  <c r="AR94" i="111"/>
  <c r="T95" i="111"/>
  <c r="AI95" i="111"/>
  <c r="AJ95" i="111"/>
  <c r="AK95" i="111"/>
  <c r="AI96" i="111"/>
  <c r="AJ96" i="111"/>
  <c r="AK96" i="111"/>
  <c r="AI97" i="111"/>
  <c r="AJ97" i="111"/>
  <c r="AK97" i="111"/>
  <c r="AJ98" i="111"/>
  <c r="AK98" i="111"/>
  <c r="AL98" i="111"/>
  <c r="AM98" i="111"/>
  <c r="AN98" i="111"/>
  <c r="AO98" i="111"/>
  <c r="AP98" i="111"/>
  <c r="AQ98" i="111"/>
  <c r="AR98" i="111"/>
  <c r="AS98" i="111"/>
  <c r="AT98" i="111"/>
  <c r="AU98" i="111"/>
  <c r="AV98" i="111"/>
  <c r="AW98" i="111"/>
  <c r="AX98" i="111"/>
  <c r="AY98" i="111"/>
  <c r="AZ98" i="111"/>
  <c r="BA98" i="111"/>
  <c r="BB98" i="111"/>
  <c r="BC98" i="111"/>
  <c r="BD98" i="111"/>
  <c r="BE98" i="111"/>
  <c r="BF98" i="111"/>
  <c r="BG98" i="111"/>
  <c r="BH98" i="111"/>
  <c r="BI98" i="111"/>
  <c r="BJ98" i="111"/>
  <c r="BK98" i="111"/>
  <c r="BL98" i="111"/>
  <c r="BM98" i="111"/>
  <c r="BN98" i="111"/>
  <c r="BO98" i="111"/>
  <c r="BP98" i="111"/>
  <c r="BQ98" i="111"/>
  <c r="BR98" i="111"/>
  <c r="BS98" i="111"/>
  <c r="BT98" i="111"/>
  <c r="BU98" i="111"/>
  <c r="BV98" i="111"/>
  <c r="BW98" i="111"/>
  <c r="BX98" i="111"/>
  <c r="BY98" i="111"/>
  <c r="BZ98" i="111"/>
  <c r="CA98" i="111"/>
  <c r="CB98" i="111"/>
  <c r="CC98" i="111"/>
  <c r="CD98" i="111"/>
  <c r="CE98" i="111"/>
  <c r="CF98" i="111"/>
  <c r="CG98" i="111"/>
  <c r="AA99" i="111"/>
  <c r="AJ99" i="111"/>
  <c r="AK99" i="111"/>
  <c r="AI101" i="111"/>
  <c r="AJ101" i="111"/>
  <c r="AK101" i="111"/>
  <c r="AL101" i="111"/>
  <c r="AM101" i="111"/>
  <c r="AN101" i="111"/>
  <c r="AO101" i="111"/>
  <c r="AP101" i="111"/>
  <c r="AQ101" i="111"/>
  <c r="AR101" i="111"/>
  <c r="AS101" i="111"/>
  <c r="AT101" i="111"/>
  <c r="AU101" i="111"/>
  <c r="AV101" i="111"/>
  <c r="AW101" i="111"/>
  <c r="AX101" i="111"/>
  <c r="AY101" i="111"/>
  <c r="AZ101" i="111"/>
  <c r="BA101" i="111"/>
  <c r="BB101" i="111"/>
  <c r="BC101" i="111"/>
  <c r="BD101" i="111"/>
  <c r="BE101" i="111"/>
  <c r="BF101" i="111"/>
  <c r="BG101" i="111"/>
  <c r="BH101" i="111"/>
  <c r="BI101" i="111"/>
  <c r="BJ101" i="111"/>
  <c r="BK101" i="111"/>
  <c r="BL101" i="111"/>
  <c r="BM101" i="111"/>
  <c r="BN101" i="111"/>
  <c r="BO101" i="111"/>
  <c r="BP101" i="111"/>
  <c r="BQ101" i="111"/>
  <c r="BR101" i="111"/>
  <c r="BS101" i="111"/>
  <c r="BT101" i="111"/>
  <c r="BU101" i="111"/>
  <c r="BV101" i="111"/>
  <c r="BW101" i="111"/>
  <c r="BX101" i="111"/>
  <c r="BY101" i="111"/>
  <c r="BZ101" i="111"/>
  <c r="CA101" i="111"/>
  <c r="CB101" i="111"/>
  <c r="CC101" i="111"/>
  <c r="CD101" i="111"/>
  <c r="CE101" i="111"/>
  <c r="CF101" i="111"/>
  <c r="CG101" i="111"/>
  <c r="AI103" i="111"/>
  <c r="AJ103" i="111"/>
  <c r="AK103" i="111"/>
  <c r="AL103" i="111"/>
  <c r="AM103" i="111"/>
  <c r="AN103" i="111"/>
  <c r="AO103" i="111"/>
  <c r="AP103" i="111"/>
  <c r="AQ103" i="111"/>
  <c r="AR103" i="111"/>
  <c r="AS103" i="111"/>
  <c r="AT103" i="111"/>
  <c r="AU103" i="111"/>
  <c r="AV103" i="111"/>
  <c r="AW103" i="111"/>
  <c r="AX103" i="111"/>
  <c r="AY103" i="111"/>
  <c r="AZ103" i="111"/>
  <c r="BA103" i="111"/>
  <c r="BB103" i="111"/>
  <c r="BC103" i="111"/>
  <c r="BD103" i="111"/>
  <c r="BE103" i="111"/>
  <c r="BF103" i="111"/>
  <c r="BG103" i="111"/>
  <c r="BH103" i="111"/>
  <c r="BI103" i="111"/>
  <c r="BJ103" i="111"/>
  <c r="BK103" i="111"/>
  <c r="BL103" i="111"/>
  <c r="BM103" i="111"/>
  <c r="BN103" i="111"/>
  <c r="BO103" i="111"/>
  <c r="BP103" i="111"/>
  <c r="BQ103" i="111"/>
  <c r="BR103" i="111"/>
  <c r="BS103" i="111"/>
  <c r="BT103" i="111"/>
  <c r="BU103" i="111"/>
  <c r="BV103" i="111"/>
  <c r="BW103" i="111"/>
  <c r="BX103" i="111"/>
  <c r="BY103" i="111"/>
  <c r="BZ103" i="111"/>
  <c r="CA103" i="111"/>
  <c r="CB103" i="111"/>
  <c r="CC103" i="111"/>
  <c r="CD103" i="111"/>
  <c r="CE103" i="111"/>
  <c r="CF103" i="111"/>
  <c r="CG103" i="111"/>
  <c r="AI104" i="111"/>
  <c r="AJ104" i="111"/>
  <c r="AK104" i="111"/>
  <c r="AL104" i="111"/>
  <c r="AM104" i="111"/>
  <c r="AN104" i="111"/>
  <c r="AO104" i="111"/>
  <c r="AP104" i="111"/>
  <c r="AQ104" i="111"/>
  <c r="AR104" i="111"/>
  <c r="AS104" i="111"/>
  <c r="AT104" i="111"/>
  <c r="AU104" i="111"/>
  <c r="AV104" i="111"/>
  <c r="AW104" i="111"/>
  <c r="AX104" i="111"/>
  <c r="AY104" i="111"/>
  <c r="AZ104" i="111"/>
  <c r="BA104" i="111"/>
  <c r="BB104" i="111"/>
  <c r="BC104" i="111"/>
  <c r="BD104" i="111"/>
  <c r="BE104" i="111"/>
  <c r="BF104" i="111"/>
  <c r="BG104" i="111"/>
  <c r="BH104" i="111"/>
  <c r="BI104" i="111"/>
  <c r="BJ104" i="111"/>
  <c r="BK104" i="111"/>
  <c r="BL104" i="111"/>
  <c r="BM104" i="111"/>
  <c r="BN104" i="111"/>
  <c r="BO104" i="111"/>
  <c r="BP104" i="111"/>
  <c r="BQ104" i="111"/>
  <c r="BR104" i="111"/>
  <c r="BS104" i="111"/>
  <c r="BT104" i="111"/>
  <c r="BU104" i="111"/>
  <c r="BV104" i="111"/>
  <c r="BW104" i="111"/>
  <c r="BX104" i="111"/>
  <c r="BY104" i="111"/>
  <c r="BZ104" i="111"/>
  <c r="CA104" i="111"/>
  <c r="CB104" i="111"/>
  <c r="CC104" i="111"/>
  <c r="CD104" i="111"/>
  <c r="CE104" i="111"/>
  <c r="CF104" i="111"/>
  <c r="CG104" i="111"/>
  <c r="AI105" i="111"/>
  <c r="AJ105" i="111"/>
  <c r="AK105" i="111"/>
  <c r="AL105" i="111"/>
  <c r="AM105" i="111"/>
  <c r="AN105" i="111"/>
  <c r="AO105" i="111"/>
  <c r="AP105" i="111"/>
  <c r="AQ105" i="111"/>
  <c r="AR105" i="111"/>
  <c r="AS105" i="111"/>
  <c r="AT105" i="111"/>
  <c r="AU105" i="111"/>
  <c r="AV105" i="111"/>
  <c r="AW105" i="111"/>
  <c r="AX105" i="111"/>
  <c r="AY105" i="111"/>
  <c r="AZ105" i="111"/>
  <c r="BA105" i="111"/>
  <c r="BB105" i="111"/>
  <c r="BC105" i="111"/>
  <c r="BD105" i="111"/>
  <c r="BE105" i="111"/>
  <c r="BF105" i="111"/>
  <c r="BG105" i="111"/>
  <c r="BH105" i="111"/>
  <c r="BI105" i="111"/>
  <c r="BJ105" i="111"/>
  <c r="BK105" i="111"/>
  <c r="BL105" i="111"/>
  <c r="BM105" i="111"/>
  <c r="BN105" i="111"/>
  <c r="BO105" i="111"/>
  <c r="BP105" i="111"/>
  <c r="BQ105" i="111"/>
  <c r="BR105" i="111"/>
  <c r="BS105" i="111"/>
  <c r="BT105" i="111"/>
  <c r="BU105" i="111"/>
  <c r="BV105" i="111"/>
  <c r="BW105" i="111"/>
  <c r="BX105" i="111"/>
  <c r="BY105" i="111"/>
  <c r="BZ105" i="111"/>
  <c r="CA105" i="111"/>
  <c r="CB105" i="111"/>
  <c r="CC105" i="111"/>
  <c r="CD105" i="111"/>
  <c r="CE105" i="111"/>
  <c r="CF105" i="111"/>
  <c r="CG105" i="111"/>
  <c r="AI108" i="111"/>
  <c r="AJ108" i="111"/>
  <c r="AK108" i="111"/>
  <c r="AL108" i="111"/>
  <c r="AM108" i="111"/>
  <c r="AN108" i="111"/>
  <c r="AO108" i="111"/>
  <c r="AP108" i="111"/>
  <c r="AQ108" i="111"/>
  <c r="AR108" i="111"/>
  <c r="AS108" i="111"/>
  <c r="AT108" i="111"/>
  <c r="AU108" i="111"/>
  <c r="AV108" i="111"/>
  <c r="AW108" i="111"/>
  <c r="AX108" i="111"/>
  <c r="AY108" i="111"/>
  <c r="AZ108" i="111"/>
  <c r="BA108" i="111"/>
  <c r="BB108" i="111"/>
  <c r="BC108" i="111"/>
  <c r="BD108" i="111"/>
  <c r="BE108" i="111"/>
  <c r="BF108" i="111"/>
  <c r="BG108" i="111"/>
  <c r="BH108" i="111"/>
  <c r="BI108" i="111"/>
  <c r="BJ108" i="111"/>
  <c r="BK108" i="111"/>
  <c r="BL108" i="111"/>
  <c r="BM108" i="111"/>
  <c r="BN108" i="111"/>
  <c r="BO108" i="111"/>
  <c r="BP108" i="111"/>
  <c r="BQ108" i="111"/>
  <c r="BR108" i="111"/>
  <c r="BS108" i="111"/>
  <c r="BT108" i="111"/>
  <c r="BU108" i="111"/>
  <c r="BV108" i="111"/>
  <c r="BW108" i="111"/>
  <c r="BX108" i="111"/>
  <c r="BY108" i="111"/>
  <c r="BZ108" i="111"/>
  <c r="CA108" i="111"/>
  <c r="CB108" i="111"/>
  <c r="CC108" i="111"/>
  <c r="CD108" i="111"/>
  <c r="CE108" i="111"/>
  <c r="CF108" i="111"/>
  <c r="CG108" i="111"/>
  <c r="AI110" i="111"/>
  <c r="AJ110" i="111"/>
  <c r="AK110" i="111"/>
  <c r="AL110" i="111"/>
  <c r="AM110" i="111"/>
  <c r="AN110" i="111"/>
  <c r="AO110" i="111"/>
  <c r="AP110" i="111"/>
  <c r="AQ110" i="111"/>
  <c r="AR110" i="111"/>
  <c r="AS110" i="111"/>
  <c r="AT110" i="111"/>
  <c r="AU110" i="111"/>
  <c r="AV110" i="111"/>
  <c r="AW110" i="111"/>
  <c r="AX110" i="111"/>
  <c r="AY110" i="111"/>
  <c r="AZ110" i="111"/>
  <c r="BA110" i="111"/>
  <c r="BB110" i="111"/>
  <c r="BC110" i="111"/>
  <c r="BD110" i="111"/>
  <c r="BE110" i="111"/>
  <c r="BF110" i="111"/>
  <c r="BG110" i="111"/>
  <c r="BH110" i="111"/>
  <c r="BI110" i="111"/>
  <c r="BJ110" i="111"/>
  <c r="BK110" i="111"/>
  <c r="BL110" i="111"/>
  <c r="BM110" i="111"/>
  <c r="BN110" i="111"/>
  <c r="BO110" i="111"/>
  <c r="BP110" i="111"/>
  <c r="BQ110" i="111"/>
  <c r="BR110" i="111"/>
  <c r="BS110" i="111"/>
  <c r="BT110" i="111"/>
  <c r="BU110" i="111"/>
  <c r="BV110" i="111"/>
  <c r="BW110" i="111"/>
  <c r="BX110" i="111"/>
  <c r="BY110" i="111"/>
  <c r="BZ110" i="111"/>
  <c r="CA110" i="111"/>
  <c r="CB110" i="111"/>
  <c r="CC110" i="111"/>
  <c r="CD110" i="111"/>
  <c r="CE110" i="111"/>
  <c r="CF110" i="111"/>
  <c r="CG110" i="111"/>
  <c r="AI111" i="111"/>
  <c r="AJ111" i="111"/>
  <c r="AK111" i="111"/>
  <c r="AL111" i="111"/>
  <c r="AM111" i="111"/>
  <c r="AN111" i="111"/>
  <c r="AO111" i="111"/>
  <c r="AP111" i="111"/>
  <c r="AQ111" i="111"/>
  <c r="AR111" i="111"/>
  <c r="AS111" i="111"/>
  <c r="AT111" i="111"/>
  <c r="AU111" i="111"/>
  <c r="AV111" i="111"/>
  <c r="AW111" i="111"/>
  <c r="AX111" i="111"/>
  <c r="AY111" i="111"/>
  <c r="AZ111" i="111"/>
  <c r="BA111" i="111"/>
  <c r="BB111" i="111"/>
  <c r="BC111" i="111"/>
  <c r="BD111" i="111"/>
  <c r="BE111" i="111"/>
  <c r="BF111" i="111"/>
  <c r="BG111" i="111"/>
  <c r="BH111" i="111"/>
  <c r="BI111" i="111"/>
  <c r="BJ111" i="111"/>
  <c r="BK111" i="111"/>
  <c r="BL111" i="111"/>
  <c r="BM111" i="111"/>
  <c r="BN111" i="111"/>
  <c r="BO111" i="111"/>
  <c r="BP111" i="111"/>
  <c r="BQ111" i="111"/>
  <c r="BR111" i="111"/>
  <c r="BS111" i="111"/>
  <c r="BT111" i="111"/>
  <c r="BU111" i="111"/>
  <c r="BV111" i="111"/>
  <c r="BW111" i="111"/>
  <c r="BX111" i="111"/>
  <c r="BY111" i="111"/>
  <c r="BZ111" i="111"/>
  <c r="CA111" i="111"/>
  <c r="CB111" i="111"/>
  <c r="CC111" i="111"/>
  <c r="CD111" i="111"/>
  <c r="CE111" i="111"/>
  <c r="CF111" i="111"/>
  <c r="CG111" i="111"/>
  <c r="S112" i="111"/>
  <c r="AI112" i="111"/>
  <c r="AJ112" i="111"/>
  <c r="AK112" i="111"/>
  <c r="AL112" i="111"/>
  <c r="AM112" i="111"/>
  <c r="AN112" i="111"/>
  <c r="AO112" i="111"/>
  <c r="AP112" i="111"/>
  <c r="AQ112" i="111"/>
  <c r="AR112" i="111"/>
  <c r="AS112" i="111"/>
  <c r="AT112" i="111"/>
  <c r="AU112" i="111"/>
  <c r="AV112" i="111"/>
  <c r="AW112" i="111"/>
  <c r="AX112" i="111"/>
  <c r="AY112" i="111"/>
  <c r="AZ112" i="111"/>
  <c r="BA112" i="111"/>
  <c r="BB112" i="111"/>
  <c r="BC112" i="111"/>
  <c r="BD112" i="111"/>
  <c r="BE112" i="111"/>
  <c r="BF112" i="111"/>
  <c r="BG112" i="111"/>
  <c r="BH112" i="111"/>
  <c r="BI112" i="111"/>
  <c r="BJ112" i="111"/>
  <c r="BK112" i="111"/>
  <c r="BL112" i="111"/>
  <c r="BM112" i="111"/>
  <c r="BN112" i="111"/>
  <c r="BO112" i="111"/>
  <c r="BP112" i="111"/>
  <c r="BQ112" i="111"/>
  <c r="BR112" i="111"/>
  <c r="BS112" i="111"/>
  <c r="BT112" i="111"/>
  <c r="BU112" i="111"/>
  <c r="BV112" i="111"/>
  <c r="BW112" i="111"/>
  <c r="BX112" i="111"/>
  <c r="BY112" i="111"/>
  <c r="BZ112" i="111"/>
  <c r="CA112" i="111"/>
  <c r="CB112" i="111"/>
  <c r="CC112" i="111"/>
  <c r="CD112" i="111"/>
  <c r="CE112" i="111"/>
  <c r="CF112" i="111"/>
  <c r="CG112" i="111"/>
  <c r="AI114" i="111"/>
  <c r="AJ114" i="111"/>
  <c r="AK114" i="111"/>
  <c r="AL114" i="111"/>
  <c r="AM114" i="111"/>
  <c r="AN114" i="111"/>
  <c r="AO114" i="111"/>
  <c r="AP114" i="111"/>
  <c r="AQ114" i="111"/>
  <c r="AR114" i="111"/>
  <c r="AS114" i="111"/>
  <c r="AT114" i="111"/>
  <c r="AU114" i="111"/>
  <c r="AV114" i="111"/>
  <c r="AW114" i="111"/>
  <c r="AX114" i="111"/>
  <c r="AY114" i="111"/>
  <c r="AZ114" i="111"/>
  <c r="BA114" i="111"/>
  <c r="BB114" i="111"/>
  <c r="BC114" i="111"/>
  <c r="BD114" i="111"/>
  <c r="BE114" i="111"/>
  <c r="BF114" i="111"/>
  <c r="BG114" i="111"/>
  <c r="BH114" i="111"/>
  <c r="BI114" i="111"/>
  <c r="BJ114" i="111"/>
  <c r="BK114" i="111"/>
  <c r="BL114" i="111"/>
  <c r="BM114" i="111"/>
  <c r="BN114" i="111"/>
  <c r="BO114" i="111"/>
  <c r="BP114" i="111"/>
  <c r="BQ114" i="111"/>
  <c r="BR114" i="111"/>
  <c r="BS114" i="111"/>
  <c r="BT114" i="111"/>
  <c r="BU114" i="111"/>
  <c r="BV114" i="111"/>
  <c r="BW114" i="111"/>
  <c r="BX114" i="111"/>
  <c r="BY114" i="111"/>
  <c r="BZ114" i="111"/>
  <c r="CA114" i="111"/>
  <c r="CB114" i="111"/>
  <c r="CC114" i="111"/>
  <c r="CD114" i="111"/>
  <c r="CE114" i="111"/>
  <c r="CF114" i="111"/>
  <c r="CG114" i="111"/>
  <c r="AI116" i="111"/>
  <c r="AJ116" i="111"/>
  <c r="AK116" i="111"/>
  <c r="AL116" i="111"/>
  <c r="AM116" i="111"/>
  <c r="AN116" i="111"/>
  <c r="AO116" i="111"/>
  <c r="AP116" i="111"/>
  <c r="AQ116" i="111"/>
  <c r="AR116" i="111"/>
  <c r="AS116" i="111"/>
  <c r="AT116" i="111"/>
  <c r="AU116" i="111"/>
  <c r="AV116" i="111"/>
  <c r="AW116" i="111"/>
  <c r="AX116" i="111"/>
  <c r="AY116" i="111"/>
  <c r="AZ116" i="111"/>
  <c r="BA116" i="111"/>
  <c r="BB116" i="111"/>
  <c r="BC116" i="111"/>
  <c r="BD116" i="111"/>
  <c r="BE116" i="111"/>
  <c r="BF116" i="111"/>
  <c r="BG116" i="111"/>
  <c r="BH116" i="111"/>
  <c r="BI116" i="111"/>
  <c r="BJ116" i="111"/>
  <c r="BK116" i="111"/>
  <c r="BL116" i="111"/>
  <c r="BM116" i="111"/>
  <c r="BN116" i="111"/>
  <c r="BO116" i="111"/>
  <c r="BP116" i="111"/>
  <c r="BQ116" i="111"/>
  <c r="BR116" i="111"/>
  <c r="BS116" i="111"/>
  <c r="BT116" i="111"/>
  <c r="BU116" i="111"/>
  <c r="BV116" i="111"/>
  <c r="BW116" i="111"/>
  <c r="BX116" i="111"/>
  <c r="BY116" i="111"/>
  <c r="BZ116" i="111"/>
  <c r="CA116" i="111"/>
  <c r="CB116" i="111"/>
  <c r="CC116" i="111"/>
  <c r="CD116" i="111"/>
  <c r="CE116" i="111"/>
  <c r="CF116" i="111"/>
  <c r="CG116" i="111"/>
  <c r="AI117" i="111"/>
  <c r="AJ117" i="111"/>
  <c r="AK117" i="111"/>
  <c r="AL117" i="111"/>
  <c r="AM117" i="111"/>
  <c r="AN117" i="111"/>
  <c r="AO117" i="111"/>
  <c r="AP117" i="111"/>
  <c r="AQ117" i="111"/>
  <c r="AR117" i="111"/>
  <c r="AS117" i="111"/>
  <c r="AT117" i="111"/>
  <c r="AU117" i="111"/>
  <c r="AV117" i="111"/>
  <c r="AW117" i="111"/>
  <c r="AX117" i="111"/>
  <c r="AY117" i="111"/>
  <c r="AZ117" i="111"/>
  <c r="BA117" i="111"/>
  <c r="BB117" i="111"/>
  <c r="BC117" i="111"/>
  <c r="BD117" i="111"/>
  <c r="BE117" i="111"/>
  <c r="BF117" i="111"/>
  <c r="BG117" i="111"/>
  <c r="BH117" i="111"/>
  <c r="BI117" i="111"/>
  <c r="BJ117" i="111"/>
  <c r="BK117" i="111"/>
  <c r="BL117" i="111"/>
  <c r="BM117" i="111"/>
  <c r="BN117" i="111"/>
  <c r="BO117" i="111"/>
  <c r="BP117" i="111"/>
  <c r="BQ117" i="111"/>
  <c r="BR117" i="111"/>
  <c r="BS117" i="111"/>
  <c r="BT117" i="111"/>
  <c r="BU117" i="111"/>
  <c r="BV117" i="111"/>
  <c r="BW117" i="111"/>
  <c r="BX117" i="111"/>
  <c r="BY117" i="111"/>
  <c r="BZ117" i="111"/>
  <c r="CA117" i="111"/>
  <c r="CB117" i="111"/>
  <c r="CC117" i="111"/>
  <c r="CD117" i="111"/>
  <c r="CE117" i="111"/>
  <c r="CF117" i="111"/>
  <c r="CG117" i="111"/>
  <c r="S118" i="111"/>
  <c r="AI118" i="111"/>
  <c r="AJ118" i="111"/>
  <c r="AK118" i="111"/>
  <c r="AL118" i="111"/>
  <c r="AM118" i="111"/>
  <c r="AN118" i="111"/>
  <c r="AO118" i="111"/>
  <c r="AP118" i="111"/>
  <c r="AQ118" i="111"/>
  <c r="AR118" i="111"/>
  <c r="AS118" i="111"/>
  <c r="AT118" i="111"/>
  <c r="AU118" i="111"/>
  <c r="AV118" i="111"/>
  <c r="AW118" i="111"/>
  <c r="AX118" i="111"/>
  <c r="AY118" i="111"/>
  <c r="AZ118" i="111"/>
  <c r="BA118" i="111"/>
  <c r="BB118" i="111"/>
  <c r="BC118" i="111"/>
  <c r="BD118" i="111"/>
  <c r="BE118" i="111"/>
  <c r="BF118" i="111"/>
  <c r="BG118" i="111"/>
  <c r="BH118" i="111"/>
  <c r="BI118" i="111"/>
  <c r="BJ118" i="111"/>
  <c r="BK118" i="111"/>
  <c r="BL118" i="111"/>
  <c r="BM118" i="111"/>
  <c r="BN118" i="111"/>
  <c r="BO118" i="111"/>
  <c r="BP118" i="111"/>
  <c r="BQ118" i="111"/>
  <c r="BR118" i="111"/>
  <c r="BS118" i="111"/>
  <c r="BT118" i="111"/>
  <c r="BU118" i="111"/>
  <c r="BV118" i="111"/>
  <c r="BW118" i="111"/>
  <c r="BX118" i="111"/>
  <c r="BY118" i="111"/>
  <c r="BZ118" i="111"/>
  <c r="CA118" i="111"/>
  <c r="CB118" i="111"/>
  <c r="CC118" i="111"/>
  <c r="CD118" i="111"/>
  <c r="CE118" i="111"/>
  <c r="CF118" i="111"/>
  <c r="CG118" i="111"/>
  <c r="AH120" i="111"/>
  <c r="AI120" i="111"/>
  <c r="AJ120" i="111"/>
  <c r="AK120" i="111"/>
  <c r="AL120" i="111"/>
  <c r="AI124" i="111"/>
  <c r="AJ124" i="111"/>
  <c r="AK124" i="111"/>
  <c r="AL124" i="111"/>
  <c r="AM124" i="111"/>
  <c r="AN124" i="111"/>
  <c r="AO124" i="111"/>
  <c r="AP124" i="111"/>
  <c r="AQ124" i="111"/>
  <c r="AR124" i="111"/>
  <c r="AI126" i="111"/>
  <c r="AJ126" i="111"/>
  <c r="AK126" i="111"/>
  <c r="AL126" i="111"/>
  <c r="AM126" i="111"/>
  <c r="AN126" i="111"/>
  <c r="AO126" i="111"/>
  <c r="AP126" i="111"/>
  <c r="AQ126" i="111"/>
  <c r="AR126" i="111"/>
  <c r="AI130" i="111"/>
  <c r="AJ130" i="111"/>
  <c r="AK130" i="111"/>
  <c r="AL130" i="111"/>
  <c r="AM130" i="111"/>
  <c r="AN130" i="111"/>
  <c r="AO130" i="111"/>
  <c r="AP130" i="111"/>
  <c r="AQ130" i="111"/>
  <c r="AR130" i="111"/>
  <c r="AI131" i="111"/>
  <c r="AJ131" i="111"/>
  <c r="AK131" i="111"/>
  <c r="AL131" i="111"/>
  <c r="AM131" i="111"/>
  <c r="AN131" i="111"/>
  <c r="AO131" i="111"/>
  <c r="AP131" i="111"/>
  <c r="AQ131" i="111"/>
  <c r="AR131" i="111"/>
  <c r="S133" i="111"/>
  <c r="AI137" i="111"/>
  <c r="AJ137" i="111"/>
  <c r="AK137" i="111"/>
  <c r="AL137" i="111"/>
  <c r="AM137" i="111"/>
  <c r="AN137" i="111"/>
  <c r="AO137" i="111"/>
  <c r="AP137" i="111"/>
  <c r="AQ137" i="111"/>
  <c r="AR137" i="111"/>
  <c r="AI138" i="111"/>
  <c r="AJ138" i="111"/>
  <c r="AK138" i="111"/>
  <c r="AL138" i="111"/>
  <c r="AM138" i="111"/>
  <c r="AN138" i="111"/>
  <c r="AO138" i="111"/>
  <c r="AP138" i="111"/>
  <c r="AQ138" i="111"/>
  <c r="AR138" i="111"/>
  <c r="S140" i="111"/>
  <c r="S145" i="111"/>
  <c r="AI149" i="111"/>
  <c r="AJ149" i="111"/>
  <c r="AK149" i="111"/>
  <c r="AL149" i="111"/>
  <c r="AM149" i="111"/>
  <c r="AN149" i="111"/>
  <c r="AO149" i="111"/>
  <c r="AP149" i="111"/>
  <c r="AQ149" i="111"/>
  <c r="AR149" i="111"/>
  <c r="AI151" i="111"/>
  <c r="AJ151" i="111"/>
  <c r="AK151" i="111"/>
  <c r="AL151" i="111"/>
  <c r="AM151" i="111"/>
  <c r="AN151" i="111"/>
  <c r="AO151" i="111"/>
  <c r="AP151" i="111"/>
  <c r="AQ151" i="111"/>
  <c r="AR151" i="111"/>
  <c r="S152" i="111"/>
  <c r="AI152" i="111"/>
  <c r="AJ152" i="111"/>
  <c r="AK152" i="111"/>
  <c r="AL152" i="111"/>
  <c r="AM152" i="111"/>
  <c r="AN152" i="111"/>
  <c r="AO152" i="111"/>
  <c r="AP152" i="111"/>
  <c r="AQ152" i="111"/>
  <c r="AR152" i="1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Stadnik, Andrei (Research)</author>
    <author>Wiles, Richard (Research)</author>
    <author>O'Neill, Emilie (Research)</author>
  </authors>
  <commentList>
    <comment ref="AN134" authorId="0" shapeId="0" xr:uid="{00000000-0006-0000-0300-000001000000}">
      <text>
        <r>
          <rPr>
            <b/>
            <sz val="9"/>
            <color indexed="81"/>
            <rFont val="Tahoma"/>
            <family val="2"/>
          </rPr>
          <t>Stadnik, Andrei (Research):</t>
        </r>
        <r>
          <rPr>
            <sz val="9"/>
            <color indexed="81"/>
            <rFont val="Tahoma"/>
            <family val="2"/>
          </rPr>
          <t xml:space="preserve">
esanda restated from 66 at Fy16 res to 109 at FY17 res</t>
        </r>
      </text>
    </comment>
    <comment ref="AL135" authorId="1" shapeId="0" xr:uid="{00000000-0006-0000-0300-000002000000}">
      <text>
        <r>
          <rPr>
            <b/>
            <sz val="9"/>
            <color indexed="81"/>
            <rFont val="Tahoma"/>
            <family val="2"/>
          </rPr>
          <t>Wiles, Richard (Research):</t>
        </r>
        <r>
          <rPr>
            <sz val="9"/>
            <color indexed="81"/>
            <rFont val="Tahoma"/>
            <family val="2"/>
          </rPr>
          <t xml:space="preserve">
refer FY16 p 18 - signed changed to be consistent</t>
        </r>
      </text>
    </comment>
    <comment ref="AP135" authorId="1" shapeId="0" xr:uid="{00000000-0006-0000-0300-000003000000}">
      <text>
        <r>
          <rPr>
            <b/>
            <sz val="9"/>
            <color indexed="81"/>
            <rFont val="Tahoma"/>
            <family val="2"/>
          </rPr>
          <t>Wiles, Richard (Research):</t>
        </r>
        <r>
          <rPr>
            <sz val="9"/>
            <color indexed="81"/>
            <rFont val="Tahoma"/>
            <family val="2"/>
          </rPr>
          <t xml:space="preserve">
refer FY17 p 14</t>
        </r>
      </text>
    </comment>
    <comment ref="AT135" authorId="1" shapeId="0" xr:uid="{00000000-0006-0000-0300-000004000000}">
      <text>
        <r>
          <rPr>
            <b/>
            <sz val="9"/>
            <color indexed="81"/>
            <rFont val="Tahoma"/>
            <family val="2"/>
          </rPr>
          <t>Wiles, Richard (Research):</t>
        </r>
        <r>
          <rPr>
            <sz val="9"/>
            <color indexed="81"/>
            <rFont val="Tahoma"/>
            <family val="2"/>
          </rPr>
          <t xml:space="preserve">
refer FY18 p18</t>
        </r>
      </text>
    </comment>
    <comment ref="AP136" authorId="1" shapeId="0" xr:uid="{00000000-0006-0000-0300-000005000000}">
      <text>
        <r>
          <rPr>
            <b/>
            <sz val="9"/>
            <color indexed="81"/>
            <rFont val="Tahoma"/>
            <family val="2"/>
          </rPr>
          <t>Wiles, Richard (Research):</t>
        </r>
        <r>
          <rPr>
            <sz val="9"/>
            <color indexed="81"/>
            <rFont val="Tahoma"/>
            <family val="2"/>
          </rPr>
          <t xml:space="preserve">
refer FY17 p 14</t>
        </r>
      </text>
    </comment>
    <comment ref="AJ148" authorId="0" shapeId="0" xr:uid="{00000000-0006-0000-0300-000006000000}">
      <text>
        <r>
          <rPr>
            <b/>
            <sz val="9"/>
            <color indexed="81"/>
            <rFont val="Tahoma"/>
            <family val="2"/>
          </rPr>
          <t>Stadnik, Andrei (Research):</t>
        </r>
        <r>
          <rPr>
            <sz val="9"/>
            <color indexed="81"/>
            <rFont val="Tahoma"/>
            <family val="2"/>
          </rPr>
          <t xml:space="preserve">
fy16 result page 18</t>
        </r>
      </text>
    </comment>
    <comment ref="AK148" authorId="0" shapeId="0" xr:uid="{00000000-0006-0000-0300-000007000000}">
      <text>
        <r>
          <rPr>
            <b/>
            <sz val="9"/>
            <color indexed="81"/>
            <rFont val="Tahoma"/>
            <family val="2"/>
          </rPr>
          <t>Stadnik, Andrei (Research):</t>
        </r>
        <r>
          <rPr>
            <sz val="9"/>
            <color indexed="81"/>
            <rFont val="Tahoma"/>
            <family val="2"/>
          </rPr>
          <t xml:space="preserve">
fy16 result page 18</t>
        </r>
      </text>
    </comment>
    <comment ref="AN148" authorId="0" shapeId="0" xr:uid="{00000000-0006-0000-0300-000008000000}">
      <text>
        <r>
          <rPr>
            <b/>
            <sz val="9"/>
            <color indexed="81"/>
            <rFont val="Tahoma"/>
            <family val="2"/>
          </rPr>
          <t>Stadnik, Andrei (Research):</t>
        </r>
        <r>
          <rPr>
            <sz val="9"/>
            <color indexed="81"/>
            <rFont val="Tahoma"/>
            <family val="2"/>
          </rPr>
          <t xml:space="preserve">
fy17 result page 14</t>
        </r>
      </text>
    </comment>
    <comment ref="AO148" authorId="0" shapeId="0" xr:uid="{00000000-0006-0000-0300-000009000000}">
      <text>
        <r>
          <rPr>
            <b/>
            <sz val="9"/>
            <color indexed="81"/>
            <rFont val="Tahoma"/>
            <family val="2"/>
          </rPr>
          <t>Stadnik, Andrei (Research):</t>
        </r>
        <r>
          <rPr>
            <sz val="9"/>
            <color indexed="81"/>
            <rFont val="Tahoma"/>
            <family val="2"/>
          </rPr>
          <t xml:space="preserve">
fy17 result page 14</t>
        </r>
      </text>
    </comment>
    <comment ref="AW175" authorId="2" shapeId="0" xr:uid="{00000000-0006-0000-0300-00000A000000}">
      <text>
        <r>
          <rPr>
            <b/>
            <sz val="9"/>
            <color indexed="81"/>
            <rFont val="Tahoma"/>
            <family val="2"/>
          </rPr>
          <t>O'Neill, Emilie (Research):</t>
        </r>
        <r>
          <rPr>
            <sz val="9"/>
            <color indexed="81"/>
            <rFont val="Tahoma"/>
            <family val="2"/>
          </rPr>
          <t xml:space="preserve">
Announced in preso not in our model pg 40 and in continuing cash profit</t>
        </r>
      </text>
    </comment>
    <comment ref="AT187" authorId="1" shapeId="0" xr:uid="{00000000-0006-0000-0300-00000B000000}">
      <text>
        <r>
          <rPr>
            <b/>
            <sz val="9"/>
            <color indexed="81"/>
            <rFont val="Tahoma"/>
            <family val="2"/>
          </rPr>
          <t>Wiles, Richard (Research):</t>
        </r>
        <r>
          <rPr>
            <sz val="9"/>
            <color indexed="81"/>
            <rFont val="Tahoma"/>
            <family val="2"/>
          </rPr>
          <t xml:space="preserve">
refer FY18 p18</t>
        </r>
      </text>
    </comment>
    <comment ref="AX187" authorId="1" shapeId="0" xr:uid="{00000000-0006-0000-0300-00000C000000}">
      <text>
        <r>
          <rPr>
            <b/>
            <sz val="9"/>
            <color indexed="81"/>
            <rFont val="Tahoma"/>
            <family val="2"/>
          </rPr>
          <t>Wiles, Richard (Research):</t>
        </r>
        <r>
          <rPr>
            <sz val="9"/>
            <color indexed="81"/>
            <rFont val="Tahoma"/>
            <family val="2"/>
          </rPr>
          <t xml:space="preserve">
refer FY18 p18</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O'Neill, Emilie (Research)</author>
    <author>Hong, Sally (Research)</author>
    <author>Dunger, Matt (Research)</author>
    <author>Wiles, Richard (Research)</author>
    <author>Dunger</author>
    <author>Stadnik, Andrei (Research)</author>
    <author>Fernandes, Sona F (Research)</author>
    <author>Fernandes, Sona (Research)</author>
    <author>arvids</author>
    <author>richwile</author>
  </authors>
  <commentList>
    <comment ref="BX14" authorId="0" shapeId="0" xr:uid="{00000000-0006-0000-0400-000001000000}">
      <text>
        <r>
          <rPr>
            <b/>
            <sz val="9"/>
            <color indexed="81"/>
            <rFont val="Tahoma"/>
            <family val="2"/>
          </rPr>
          <t>O'Neill, Emilie (Research):</t>
        </r>
        <r>
          <rPr>
            <sz val="9"/>
            <color indexed="81"/>
            <rFont val="Tahoma"/>
            <family val="2"/>
          </rPr>
          <t xml:space="preserve">
Restated 1H18</t>
        </r>
      </text>
    </comment>
    <comment ref="CV14" authorId="1" shapeId="0" xr:uid="{D7B8EACE-DAD3-44CF-9F87-C04C8D997995}">
      <text>
        <r>
          <rPr>
            <b/>
            <sz val="9"/>
            <color indexed="81"/>
            <rFont val="Tahoma"/>
            <family val="2"/>
          </rPr>
          <t>Hong, Sally (Research):</t>
        </r>
        <r>
          <rPr>
            <sz val="9"/>
            <color indexed="81"/>
            <rFont val="Tahoma"/>
            <family val="2"/>
          </rPr>
          <t xml:space="preserve">
Restated in 1H24
</t>
        </r>
      </text>
    </comment>
    <comment ref="CW14" authorId="1" shapeId="0" xr:uid="{D5F5C9CF-863C-4CF6-9320-9059E88C645C}">
      <text>
        <r>
          <rPr>
            <b/>
            <sz val="9"/>
            <color indexed="81"/>
            <rFont val="Tahoma"/>
            <family val="2"/>
          </rPr>
          <t>Hong, Sally (Research):</t>
        </r>
        <r>
          <rPr>
            <sz val="9"/>
            <color indexed="81"/>
            <rFont val="Tahoma"/>
            <family val="2"/>
          </rPr>
          <t xml:space="preserve">
Restated in 1H24
</t>
        </r>
      </text>
    </comment>
    <comment ref="BL15" authorId="2" shapeId="0" xr:uid="{00000000-0006-0000-0400-000002000000}">
      <text>
        <r>
          <rPr>
            <b/>
            <sz val="9"/>
            <color indexed="81"/>
            <rFont val="Tahoma"/>
            <family val="2"/>
          </rPr>
          <t>Dunger, Matt (Research):</t>
        </r>
        <r>
          <rPr>
            <sz val="9"/>
            <color indexed="81"/>
            <rFont val="Tahoma"/>
            <family val="2"/>
          </rPr>
          <t xml:space="preserve">
restated 1H15
</t>
        </r>
      </text>
    </comment>
    <comment ref="BM15" authorId="2" shapeId="0" xr:uid="{00000000-0006-0000-0400-000003000000}">
      <text>
        <r>
          <rPr>
            <b/>
            <sz val="9"/>
            <color indexed="81"/>
            <rFont val="Tahoma"/>
            <family val="2"/>
          </rPr>
          <t>Dunger, Matt (Research):</t>
        </r>
        <r>
          <rPr>
            <sz val="9"/>
            <color indexed="81"/>
            <rFont val="Tahoma"/>
            <family val="2"/>
          </rPr>
          <t xml:space="preserve">
restated 1H15
</t>
        </r>
      </text>
    </comment>
    <comment ref="BP15" authorId="2" shapeId="0" xr:uid="{00000000-0006-0000-0400-000004000000}">
      <text>
        <r>
          <rPr>
            <b/>
            <sz val="9"/>
            <color indexed="81"/>
            <rFont val="Tahoma"/>
            <family val="2"/>
          </rPr>
          <t>Dunger, Matt (Research):</t>
        </r>
        <r>
          <rPr>
            <sz val="9"/>
            <color indexed="81"/>
            <rFont val="Tahoma"/>
            <family val="2"/>
          </rPr>
          <t xml:space="preserve">
Restated at 2H16</t>
        </r>
      </text>
    </comment>
    <comment ref="BQ15" authorId="2" shapeId="0" xr:uid="{00000000-0006-0000-0400-000005000000}">
      <text>
        <r>
          <rPr>
            <b/>
            <sz val="9"/>
            <color indexed="81"/>
            <rFont val="Tahoma"/>
            <family val="2"/>
          </rPr>
          <t>Dunger, Matt (Research):</t>
        </r>
        <r>
          <rPr>
            <sz val="9"/>
            <color indexed="81"/>
            <rFont val="Tahoma"/>
            <family val="2"/>
          </rPr>
          <t xml:space="preserve">
Restated at 2H16</t>
        </r>
      </text>
    </comment>
    <comment ref="BT15" authorId="0" shapeId="0" xr:uid="{00000000-0006-0000-0400-000006000000}">
      <text>
        <r>
          <rPr>
            <b/>
            <sz val="9"/>
            <color indexed="81"/>
            <rFont val="Tahoma"/>
            <family val="2"/>
          </rPr>
          <t>O'Neill, Emilie (Research):</t>
        </r>
        <r>
          <rPr>
            <sz val="9"/>
            <color indexed="81"/>
            <rFont val="Tahoma"/>
            <family val="2"/>
          </rPr>
          <t xml:space="preserve">
restatement 1H17</t>
        </r>
      </text>
    </comment>
    <comment ref="BU15" authorId="0" shapeId="0" xr:uid="{00000000-0006-0000-0400-000007000000}">
      <text>
        <r>
          <rPr>
            <b/>
            <sz val="9"/>
            <color indexed="81"/>
            <rFont val="Tahoma"/>
            <family val="2"/>
          </rPr>
          <t>O'Neill, Emilie (Research):</t>
        </r>
        <r>
          <rPr>
            <sz val="9"/>
            <color indexed="81"/>
            <rFont val="Tahoma"/>
            <family val="2"/>
          </rPr>
          <t xml:space="preserve">
restatement 1H17</t>
        </r>
      </text>
    </comment>
    <comment ref="BP16" authorId="2" shapeId="0" xr:uid="{00000000-0006-0000-0400-000008000000}">
      <text>
        <r>
          <rPr>
            <b/>
            <sz val="9"/>
            <color indexed="81"/>
            <rFont val="Tahoma"/>
            <family val="2"/>
          </rPr>
          <t>Dunger, Matt (Research):</t>
        </r>
        <r>
          <rPr>
            <sz val="9"/>
            <color indexed="81"/>
            <rFont val="Tahoma"/>
            <family val="2"/>
          </rPr>
          <t xml:space="preserve">
Restated at 2H16 - refer to Markets income</t>
        </r>
      </text>
    </comment>
    <comment ref="BQ16" authorId="2" shapeId="0" xr:uid="{00000000-0006-0000-0400-000009000000}">
      <text>
        <r>
          <rPr>
            <b/>
            <sz val="9"/>
            <color indexed="81"/>
            <rFont val="Tahoma"/>
            <family val="2"/>
          </rPr>
          <t>Dunger, Matt (Research):</t>
        </r>
        <r>
          <rPr>
            <sz val="9"/>
            <color indexed="81"/>
            <rFont val="Tahoma"/>
            <family val="2"/>
          </rPr>
          <t xml:space="preserve">
Restated at 2H16 - refer to Markets income</t>
        </r>
      </text>
    </comment>
    <comment ref="BT16" authorId="0" shapeId="0" xr:uid="{00000000-0006-0000-0400-00000A000000}">
      <text>
        <r>
          <rPr>
            <b/>
            <sz val="9"/>
            <color indexed="81"/>
            <rFont val="Tahoma"/>
            <family val="2"/>
          </rPr>
          <t>O'Neill, Emilie (Research):</t>
        </r>
        <r>
          <rPr>
            <sz val="9"/>
            <color indexed="81"/>
            <rFont val="Tahoma"/>
            <family val="2"/>
          </rPr>
          <t xml:space="preserve">
restatement 1H17</t>
        </r>
      </text>
    </comment>
    <comment ref="CB16" authorId="0" shapeId="0" xr:uid="{00000000-0006-0000-0400-00000B000000}">
      <text>
        <r>
          <rPr>
            <b/>
            <sz val="9"/>
            <color indexed="81"/>
            <rFont val="Tahoma"/>
            <family val="2"/>
          </rPr>
          <t>O'Neill, Emilie (Research):</t>
        </r>
        <r>
          <rPr>
            <sz val="9"/>
            <color indexed="81"/>
            <rFont val="Tahoma"/>
            <family val="2"/>
          </rPr>
          <t xml:space="preserve">
Restated 1H19
</t>
        </r>
      </text>
    </comment>
    <comment ref="CC16" authorId="0" shapeId="0" xr:uid="{00000000-0006-0000-0400-00000C000000}">
      <text>
        <r>
          <rPr>
            <b/>
            <sz val="9"/>
            <color indexed="81"/>
            <rFont val="Tahoma"/>
            <family val="2"/>
          </rPr>
          <t>O'Neill, Emilie (Research):</t>
        </r>
        <r>
          <rPr>
            <sz val="9"/>
            <color indexed="81"/>
            <rFont val="Tahoma"/>
            <family val="2"/>
          </rPr>
          <t xml:space="preserve">
Restated 1H19
</t>
        </r>
      </text>
    </comment>
    <comment ref="CG16" authorId="0" shapeId="0" xr:uid="{00000000-0006-0000-0400-00000D000000}">
      <text>
        <r>
          <rPr>
            <b/>
            <sz val="9"/>
            <color indexed="81"/>
            <rFont val="Tahoma"/>
            <family val="2"/>
          </rPr>
          <t>O'Neill, Emilie (Research):</t>
        </r>
        <r>
          <rPr>
            <sz val="9"/>
            <color indexed="81"/>
            <rFont val="Tahoma"/>
            <family val="2"/>
          </rPr>
          <t xml:space="preserve">
Restated 1H19
</t>
        </r>
      </text>
    </comment>
    <comment ref="DD17" authorId="1" shapeId="0" xr:uid="{67548092-9730-443A-A073-B62D24889A70}">
      <text>
        <r>
          <rPr>
            <b/>
            <sz val="9"/>
            <color indexed="81"/>
            <rFont val="Tahoma"/>
            <family val="2"/>
          </rPr>
          <t>Hong, Sally (Research):</t>
        </r>
        <r>
          <rPr>
            <sz val="9"/>
            <color indexed="81"/>
            <rFont val="Tahoma"/>
            <family val="2"/>
          </rPr>
          <t xml:space="preserve">
Page 22 1H25 4D
Footnote 2 for associates profit</t>
        </r>
      </text>
    </comment>
    <comment ref="DE17" authorId="1" shapeId="0" xr:uid="{6DE7764D-95CD-4DA8-B0D9-34FEC03D358C}">
      <text>
        <r>
          <rPr>
            <b/>
            <sz val="9"/>
            <color indexed="81"/>
            <rFont val="Tahoma"/>
            <family val="2"/>
          </rPr>
          <t>Hong, Sally (Research):</t>
        </r>
        <r>
          <rPr>
            <sz val="9"/>
            <color indexed="81"/>
            <rFont val="Tahoma"/>
            <family val="2"/>
          </rPr>
          <t xml:space="preserve">
Page 84 FY25 4E</t>
        </r>
      </text>
    </comment>
    <comment ref="BL18" authorId="2" shapeId="0" xr:uid="{00000000-0006-0000-0400-00000E000000}">
      <text>
        <r>
          <rPr>
            <b/>
            <sz val="9"/>
            <color indexed="81"/>
            <rFont val="Tahoma"/>
            <family val="2"/>
          </rPr>
          <t>Dunger, Matt (Research):</t>
        </r>
        <r>
          <rPr>
            <sz val="9"/>
            <color indexed="81"/>
            <rFont val="Tahoma"/>
            <family val="2"/>
          </rPr>
          <t xml:space="preserve">
restated 1H15
</t>
        </r>
      </text>
    </comment>
    <comment ref="BM18" authorId="2" shapeId="0" xr:uid="{00000000-0006-0000-0400-00000F000000}">
      <text>
        <r>
          <rPr>
            <b/>
            <sz val="9"/>
            <color indexed="81"/>
            <rFont val="Tahoma"/>
            <family val="2"/>
          </rPr>
          <t>Dunger, Matt (Research):</t>
        </r>
        <r>
          <rPr>
            <sz val="9"/>
            <color indexed="81"/>
            <rFont val="Tahoma"/>
            <family val="2"/>
          </rPr>
          <t xml:space="preserve">
restated 1H15
</t>
        </r>
      </text>
    </comment>
    <comment ref="BP18" authorId="2" shapeId="0" xr:uid="{00000000-0006-0000-0400-000010000000}">
      <text>
        <r>
          <rPr>
            <b/>
            <sz val="9"/>
            <color indexed="81"/>
            <rFont val="Tahoma"/>
            <family val="2"/>
          </rPr>
          <t>Dunger, Matt (Research):</t>
        </r>
        <r>
          <rPr>
            <sz val="9"/>
            <color indexed="81"/>
            <rFont val="Tahoma"/>
            <family val="2"/>
          </rPr>
          <t xml:space="preserve">
Restated 1H16</t>
        </r>
      </text>
    </comment>
    <comment ref="BQ18" authorId="2" shapeId="0" xr:uid="{00000000-0006-0000-0400-000011000000}">
      <text>
        <r>
          <rPr>
            <b/>
            <sz val="9"/>
            <color indexed="81"/>
            <rFont val="Tahoma"/>
            <family val="2"/>
          </rPr>
          <t>Dunger, Matt (Research):</t>
        </r>
        <r>
          <rPr>
            <sz val="9"/>
            <color indexed="81"/>
            <rFont val="Tahoma"/>
            <family val="2"/>
          </rPr>
          <t xml:space="preserve">
Restated 1H16</t>
        </r>
      </text>
    </comment>
    <comment ref="BT18" authorId="0" shapeId="0" xr:uid="{00000000-0006-0000-0400-000012000000}">
      <text>
        <r>
          <rPr>
            <b/>
            <sz val="9"/>
            <color indexed="81"/>
            <rFont val="Tahoma"/>
            <family val="2"/>
          </rPr>
          <t>O'Neill, Emilie (Research):</t>
        </r>
        <r>
          <rPr>
            <sz val="9"/>
            <color indexed="81"/>
            <rFont val="Tahoma"/>
            <family val="2"/>
          </rPr>
          <t xml:space="preserve">
Restatament 1H17</t>
        </r>
      </text>
    </comment>
    <comment ref="BX18" authorId="0" shapeId="0" xr:uid="{00000000-0006-0000-0400-000013000000}">
      <text>
        <r>
          <rPr>
            <b/>
            <sz val="9"/>
            <color indexed="81"/>
            <rFont val="Tahoma"/>
            <family val="2"/>
          </rPr>
          <t>O'Neill, Emilie (Research):</t>
        </r>
        <r>
          <rPr>
            <sz val="9"/>
            <color indexed="81"/>
            <rFont val="Tahoma"/>
            <family val="2"/>
          </rPr>
          <t xml:space="preserve">
Restated 1H18</t>
        </r>
      </text>
    </comment>
    <comment ref="BY18" authorId="0" shapeId="0" xr:uid="{00000000-0006-0000-0400-000014000000}">
      <text>
        <r>
          <rPr>
            <b/>
            <sz val="9"/>
            <color indexed="81"/>
            <rFont val="Tahoma"/>
            <family val="2"/>
          </rPr>
          <t>O'Neill, Emilie (Research):</t>
        </r>
        <r>
          <rPr>
            <sz val="9"/>
            <color indexed="81"/>
            <rFont val="Tahoma"/>
            <family val="2"/>
          </rPr>
          <t xml:space="preserve">
Restated 1H18</t>
        </r>
      </text>
    </comment>
    <comment ref="CB18" authorId="0" shapeId="0" xr:uid="{00000000-0006-0000-0400-000015000000}">
      <text>
        <r>
          <rPr>
            <b/>
            <sz val="9"/>
            <color indexed="81"/>
            <rFont val="Tahoma"/>
            <family val="2"/>
          </rPr>
          <t>O'Neill, Emilie (Research):</t>
        </r>
        <r>
          <rPr>
            <sz val="9"/>
            <color indexed="81"/>
            <rFont val="Tahoma"/>
            <family val="2"/>
          </rPr>
          <t xml:space="preserve">
Restated 1H19
</t>
        </r>
      </text>
    </comment>
    <comment ref="CC18" authorId="0" shapeId="0" xr:uid="{00000000-0006-0000-0400-000016000000}">
      <text>
        <r>
          <rPr>
            <b/>
            <sz val="9"/>
            <color indexed="81"/>
            <rFont val="Tahoma"/>
            <family val="2"/>
          </rPr>
          <t>O'Neill, Emilie (Research):</t>
        </r>
        <r>
          <rPr>
            <sz val="9"/>
            <color indexed="81"/>
            <rFont val="Tahoma"/>
            <family val="2"/>
          </rPr>
          <t xml:space="preserve">
Restated 1H19
</t>
        </r>
      </text>
    </comment>
    <comment ref="CJ18" authorId="3" shapeId="0" xr:uid="{00000000-0006-0000-0400-000017000000}">
      <text>
        <r>
          <rPr>
            <b/>
            <sz val="9"/>
            <color indexed="81"/>
            <rFont val="Tahoma"/>
            <family val="2"/>
          </rPr>
          <t>Wiles, Richard (Research):</t>
        </r>
        <r>
          <rPr>
            <sz val="9"/>
            <color indexed="81"/>
            <rFont val="Tahoma"/>
            <family val="2"/>
          </rPr>
          <t xml:space="preserve">
includes A$815m impairment for Asian partnerships (A$595m for Ambank and A$220m for Panin)</t>
        </r>
      </text>
    </comment>
    <comment ref="DE18" authorId="1" shapeId="0" xr:uid="{E9873E7F-E02D-4B52-AF29-05C135E0C1DF}">
      <text>
        <r>
          <rPr>
            <b/>
            <sz val="9"/>
            <color indexed="81"/>
            <rFont val="Tahoma"/>
            <family val="2"/>
          </rPr>
          <t>Hong, Sally (Research):</t>
        </r>
        <r>
          <rPr>
            <sz val="9"/>
            <color indexed="81"/>
            <rFont val="Tahoma"/>
            <family val="2"/>
          </rPr>
          <t xml:space="preserve">
Includes -285m of PT Panin Impairment</t>
        </r>
      </text>
    </comment>
    <comment ref="BL21" authorId="4" shapeId="0" xr:uid="{00000000-0006-0000-0400-000018000000}">
      <text>
        <r>
          <rPr>
            <b/>
            <sz val="8"/>
            <color indexed="81"/>
            <rFont val="Tahoma"/>
            <family val="2"/>
          </rPr>
          <t>Dunger:</t>
        </r>
        <r>
          <rPr>
            <sz val="8"/>
            <color indexed="81"/>
            <rFont val="Tahoma"/>
            <family val="2"/>
          </rPr>
          <t xml:space="preserve">
p70, divisional review
</t>
        </r>
      </text>
    </comment>
    <comment ref="BX21" authorId="0" shapeId="0" xr:uid="{00000000-0006-0000-0400-000019000000}">
      <text>
        <r>
          <rPr>
            <b/>
            <sz val="9"/>
            <color indexed="81"/>
            <rFont val="Tahoma"/>
            <family val="2"/>
          </rPr>
          <t>O'Neill, Emilie (Research):</t>
        </r>
        <r>
          <rPr>
            <sz val="9"/>
            <color indexed="81"/>
            <rFont val="Tahoma"/>
            <family val="2"/>
          </rPr>
          <t xml:space="preserve">
Restated 1H18 for continuing operations</t>
        </r>
      </text>
    </comment>
    <comment ref="BL22" authorId="4" shapeId="0" xr:uid="{00000000-0006-0000-0400-00001A000000}">
      <text>
        <r>
          <rPr>
            <b/>
            <sz val="8"/>
            <color indexed="81"/>
            <rFont val="Tahoma"/>
            <family val="2"/>
          </rPr>
          <t>Dunger:</t>
        </r>
        <r>
          <rPr>
            <sz val="8"/>
            <color indexed="81"/>
            <rFont val="Tahoma"/>
            <family val="2"/>
          </rPr>
          <t xml:space="preserve">
p70, divisional review
</t>
        </r>
      </text>
    </comment>
    <comment ref="BT22" authorId="0" shapeId="0" xr:uid="{00000000-0006-0000-0400-00001B000000}">
      <text>
        <r>
          <rPr>
            <b/>
            <sz val="9"/>
            <color indexed="81"/>
            <rFont val="Tahoma"/>
            <family val="2"/>
          </rPr>
          <t>O'Neill, Emilie (Research):</t>
        </r>
        <r>
          <rPr>
            <sz val="9"/>
            <color indexed="81"/>
            <rFont val="Tahoma"/>
            <family val="2"/>
          </rPr>
          <t xml:space="preserve">
Restatament 1H17</t>
        </r>
      </text>
    </comment>
    <comment ref="BU22" authorId="0" shapeId="0" xr:uid="{00000000-0006-0000-0400-00001C000000}">
      <text>
        <r>
          <rPr>
            <b/>
            <sz val="9"/>
            <color indexed="81"/>
            <rFont val="Tahoma"/>
            <family val="2"/>
          </rPr>
          <t>O'Neill, Emilie (Research):</t>
        </r>
        <r>
          <rPr>
            <sz val="9"/>
            <color indexed="81"/>
            <rFont val="Tahoma"/>
            <family val="2"/>
          </rPr>
          <t xml:space="preserve">
Restatament 1H17</t>
        </r>
      </text>
    </comment>
    <comment ref="BX22" authorId="0" shapeId="0" xr:uid="{00000000-0006-0000-0400-00001D000000}">
      <text>
        <r>
          <rPr>
            <b/>
            <sz val="9"/>
            <color indexed="81"/>
            <rFont val="Tahoma"/>
            <family val="2"/>
          </rPr>
          <t>O'Neill, Emilie (Research):</t>
        </r>
        <r>
          <rPr>
            <sz val="9"/>
            <color indexed="81"/>
            <rFont val="Tahoma"/>
            <family val="2"/>
          </rPr>
          <t xml:space="preserve">
Restated 1H18 for continuing operations</t>
        </r>
      </text>
    </comment>
    <comment ref="BY22" authorId="0" shapeId="0" xr:uid="{00000000-0006-0000-0400-00001E000000}">
      <text>
        <r>
          <rPr>
            <b/>
            <sz val="9"/>
            <color indexed="81"/>
            <rFont val="Tahoma"/>
            <family val="2"/>
          </rPr>
          <t>O'Neill, Emilie (Research):</t>
        </r>
        <r>
          <rPr>
            <sz val="9"/>
            <color indexed="81"/>
            <rFont val="Tahoma"/>
            <family val="2"/>
          </rPr>
          <t xml:space="preserve">
Restated 1H18 for continuing operations</t>
        </r>
      </text>
    </comment>
    <comment ref="BP23" authorId="2" shapeId="0" xr:uid="{00000000-0006-0000-0400-00001F000000}">
      <text>
        <r>
          <rPr>
            <b/>
            <sz val="9"/>
            <color indexed="81"/>
            <rFont val="Tahoma"/>
            <family val="2"/>
          </rPr>
          <t>Dunger, Matt (Research):</t>
        </r>
        <r>
          <rPr>
            <sz val="9"/>
            <color indexed="81"/>
            <rFont val="Tahoma"/>
            <family val="2"/>
          </rPr>
          <t xml:space="preserve">
Restated 1H16</t>
        </r>
      </text>
    </comment>
    <comment ref="BQ23" authorId="2" shapeId="0" xr:uid="{00000000-0006-0000-0400-000020000000}">
      <text>
        <r>
          <rPr>
            <b/>
            <sz val="9"/>
            <color indexed="81"/>
            <rFont val="Tahoma"/>
            <family val="2"/>
          </rPr>
          <t>Dunger, Matt (Research):</t>
        </r>
        <r>
          <rPr>
            <sz val="9"/>
            <color indexed="81"/>
            <rFont val="Tahoma"/>
            <family val="2"/>
          </rPr>
          <t xml:space="preserve">
Restated 1H16</t>
        </r>
      </text>
    </comment>
    <comment ref="BX23" authorId="0" shapeId="0" xr:uid="{00000000-0006-0000-0400-000021000000}">
      <text>
        <r>
          <rPr>
            <b/>
            <sz val="9"/>
            <color indexed="81"/>
            <rFont val="Tahoma"/>
            <family val="2"/>
          </rPr>
          <t>O'Neill, Emilie (Research):</t>
        </r>
        <r>
          <rPr>
            <sz val="9"/>
            <color indexed="81"/>
            <rFont val="Tahoma"/>
            <family val="2"/>
          </rPr>
          <t xml:space="preserve">
Restated 1H18 for continuing operations</t>
        </r>
      </text>
    </comment>
    <comment ref="BY23" authorId="0" shapeId="0" xr:uid="{00000000-0006-0000-0400-000022000000}">
      <text>
        <r>
          <rPr>
            <b/>
            <sz val="9"/>
            <color indexed="81"/>
            <rFont val="Tahoma"/>
            <family val="2"/>
          </rPr>
          <t>O'Neill, Emilie (Research):</t>
        </r>
        <r>
          <rPr>
            <sz val="9"/>
            <color indexed="81"/>
            <rFont val="Tahoma"/>
            <family val="2"/>
          </rPr>
          <t xml:space="preserve">
Restated 1H18 for continuing operations</t>
        </r>
      </text>
    </comment>
    <comment ref="BX24" authorId="0" shapeId="0" xr:uid="{00000000-0006-0000-0400-000023000000}">
      <text>
        <r>
          <rPr>
            <b/>
            <sz val="9"/>
            <color indexed="81"/>
            <rFont val="Tahoma"/>
            <family val="2"/>
          </rPr>
          <t>O'Neill, Emilie (Research):</t>
        </r>
        <r>
          <rPr>
            <sz val="9"/>
            <color indexed="81"/>
            <rFont val="Tahoma"/>
            <family val="2"/>
          </rPr>
          <t xml:space="preserve">
Remaining Wealth business. Restated 1H18</t>
        </r>
      </text>
    </comment>
    <comment ref="BY24" authorId="0" shapeId="0" xr:uid="{00000000-0006-0000-0400-000024000000}">
      <text>
        <r>
          <rPr>
            <b/>
            <sz val="9"/>
            <color indexed="81"/>
            <rFont val="Tahoma"/>
            <family val="2"/>
          </rPr>
          <t>O'Neill, Emilie (Research):</t>
        </r>
        <r>
          <rPr>
            <sz val="9"/>
            <color indexed="81"/>
            <rFont val="Tahoma"/>
            <family val="2"/>
          </rPr>
          <t xml:space="preserve">
Remaining Wealth business. Restated 1H18</t>
        </r>
      </text>
    </comment>
    <comment ref="CB24" authorId="0" shapeId="0" xr:uid="{00000000-0006-0000-0400-000025000000}">
      <text>
        <r>
          <rPr>
            <b/>
            <sz val="9"/>
            <color indexed="81"/>
            <rFont val="Tahoma"/>
            <family val="2"/>
          </rPr>
          <t>O'Neill, Emilie (Research):</t>
        </r>
        <r>
          <rPr>
            <sz val="9"/>
            <color indexed="81"/>
            <rFont val="Tahoma"/>
            <family val="2"/>
          </rPr>
          <t xml:space="preserve">
Restated 1H19</t>
        </r>
      </text>
    </comment>
    <comment ref="CC24" authorId="0" shapeId="0" xr:uid="{00000000-0006-0000-0400-000026000000}">
      <text>
        <r>
          <rPr>
            <b/>
            <sz val="9"/>
            <color indexed="81"/>
            <rFont val="Tahoma"/>
            <family val="2"/>
          </rPr>
          <t>O'Neill, Emilie (Research):</t>
        </r>
        <r>
          <rPr>
            <sz val="9"/>
            <color indexed="81"/>
            <rFont val="Tahoma"/>
            <family val="2"/>
          </rPr>
          <t xml:space="preserve">
Restated 1H19</t>
        </r>
      </text>
    </comment>
    <comment ref="CF24" authorId="0" shapeId="0" xr:uid="{00000000-0006-0000-0400-000027000000}">
      <text>
        <r>
          <rPr>
            <b/>
            <sz val="9"/>
            <color indexed="81"/>
            <rFont val="Tahoma"/>
            <family val="2"/>
          </rPr>
          <t>O'Neill, Emilie (Research):</t>
        </r>
        <r>
          <rPr>
            <sz val="9"/>
            <color indexed="81"/>
            <rFont val="Tahoma"/>
            <family val="2"/>
          </rPr>
          <t xml:space="preserve">
Disclosure change: Reports net funds management income as insurance income + other but other includes FX impact</t>
        </r>
      </text>
    </comment>
    <comment ref="CG24" authorId="5" shapeId="0" xr:uid="{00000000-0006-0000-0400-000028000000}">
      <text>
        <r>
          <rPr>
            <b/>
            <sz val="9"/>
            <color indexed="81"/>
            <rFont val="Tahoma"/>
            <family val="2"/>
          </rPr>
          <t>Stadnik, Andrei (Research):</t>
        </r>
        <r>
          <rPr>
            <sz val="9"/>
            <color indexed="81"/>
            <rFont val="Tahoma"/>
            <family val="2"/>
          </rPr>
          <t xml:space="preserve">
page 81 of 2019 4E</t>
        </r>
      </text>
    </comment>
    <comment ref="CJ24" authorId="6" shapeId="0" xr:uid="{00000000-0006-0000-0400-000029000000}">
      <text>
        <r>
          <rPr>
            <b/>
            <sz val="9"/>
            <color indexed="81"/>
            <rFont val="Tahoma"/>
            <family val="2"/>
          </rPr>
          <t>Fernandes, Sona F (Research):</t>
        </r>
        <r>
          <rPr>
            <sz val="9"/>
            <color indexed="81"/>
            <rFont val="Tahoma"/>
            <family val="2"/>
          </rPr>
          <t xml:space="preserve">
Net income from insurance business </t>
        </r>
      </text>
    </comment>
    <comment ref="CK24" authorId="6" shapeId="0" xr:uid="{00000000-0006-0000-0400-00002A000000}">
      <text>
        <r>
          <rPr>
            <b/>
            <sz val="9"/>
            <color indexed="81"/>
            <rFont val="Tahoma"/>
            <family val="2"/>
          </rPr>
          <t>Fernandes, Sona F (Research):</t>
        </r>
        <r>
          <rPr>
            <sz val="9"/>
            <color indexed="81"/>
            <rFont val="Tahoma"/>
            <family val="2"/>
          </rPr>
          <t xml:space="preserve">
Net income from insurance business pg 82</t>
        </r>
      </text>
    </comment>
    <comment ref="CN24" authorId="6" shapeId="0" xr:uid="{00000000-0006-0000-0400-00002B000000}">
      <text>
        <r>
          <rPr>
            <b/>
            <sz val="9"/>
            <color indexed="81"/>
            <rFont val="Tahoma"/>
            <family val="2"/>
          </rPr>
          <t>Fernandes, Sona F (Research):</t>
        </r>
        <r>
          <rPr>
            <sz val="9"/>
            <color indexed="81"/>
            <rFont val="Tahoma"/>
            <family val="2"/>
          </rPr>
          <t xml:space="preserve">
Net income from insurance business pg 77</t>
        </r>
      </text>
    </comment>
    <comment ref="CO24" authorId="6" shapeId="0" xr:uid="{00000000-0006-0000-0400-00002C000000}">
      <text>
        <r>
          <rPr>
            <b/>
            <sz val="9"/>
            <color indexed="81"/>
            <rFont val="Tahoma"/>
            <family val="2"/>
          </rPr>
          <t>Wiles (Research):</t>
        </r>
        <r>
          <rPr>
            <sz val="9"/>
            <color indexed="81"/>
            <rFont val="Tahoma"/>
            <family val="2"/>
          </rPr>
          <t xml:space="preserve">
Net income from insurance business FY21 pg 94</t>
        </r>
      </text>
    </comment>
    <comment ref="CR24" authorId="1" shapeId="0" xr:uid="{00000000-0006-0000-0400-00002D000000}">
      <text>
        <r>
          <rPr>
            <b/>
            <sz val="9"/>
            <color indexed="81"/>
            <rFont val="Tahoma"/>
            <family val="2"/>
          </rPr>
          <t>Hong, Sally (Research):</t>
        </r>
        <r>
          <rPr>
            <sz val="9"/>
            <color indexed="81"/>
            <rFont val="Tahoma"/>
            <family val="2"/>
          </rPr>
          <t xml:space="preserve">
Page 77 of the 1H22 Results 4D:
Net income from insurance business</t>
        </r>
      </text>
    </comment>
    <comment ref="CS24" authorId="1" shapeId="0" xr:uid="{9FF198C4-D0A9-4FD7-8CCA-C82891983480}">
      <text>
        <r>
          <rPr>
            <b/>
            <sz val="9"/>
            <color indexed="81"/>
            <rFont val="Tahoma"/>
            <family val="2"/>
          </rPr>
          <t>Hong, Sally (Research):</t>
        </r>
        <r>
          <rPr>
            <sz val="9"/>
            <color indexed="81"/>
            <rFont val="Tahoma"/>
            <family val="2"/>
          </rPr>
          <t xml:space="preserve">
Page 80 of the FY22 Results 4E: Net Income from Insurance Business</t>
        </r>
      </text>
    </comment>
    <comment ref="CV24" authorId="1" shapeId="0" xr:uid="{BC495667-7B7F-4E7B-9A59-5800B0003714}">
      <text>
        <r>
          <rPr>
            <b/>
            <sz val="9"/>
            <color indexed="81"/>
            <rFont val="Tahoma"/>
            <family val="2"/>
          </rPr>
          <t>Hong, Sally (Research):</t>
        </r>
        <r>
          <rPr>
            <sz val="9"/>
            <color indexed="81"/>
            <rFont val="Tahoma"/>
            <family val="2"/>
          </rPr>
          <t xml:space="preserve">
Restated in 1H24</t>
        </r>
      </text>
    </comment>
    <comment ref="CW24" authorId="1" shapeId="0" xr:uid="{749FF071-3475-4199-88F6-C36D46A84200}">
      <text>
        <r>
          <rPr>
            <b/>
            <sz val="9"/>
            <color indexed="81"/>
            <rFont val="Tahoma"/>
            <family val="2"/>
          </rPr>
          <t>Hong, Sally (Research):
Restated in 1H24
Page 71 1H24 4D</t>
        </r>
        <r>
          <rPr>
            <sz val="9"/>
            <color indexed="81"/>
            <rFont val="Tahoma"/>
            <family val="2"/>
          </rPr>
          <t xml:space="preserve">
Page 78 of the FY23 Results 4E - net income from insurance business</t>
        </r>
      </text>
    </comment>
    <comment ref="DD24" authorId="1" shapeId="0" xr:uid="{091B24C4-BE63-4B0D-8357-B5960F979651}">
      <text>
        <r>
          <rPr>
            <b/>
            <sz val="9"/>
            <color indexed="81"/>
            <rFont val="Tahoma"/>
            <family val="2"/>
          </rPr>
          <t>Hong, Sally (Research):</t>
        </r>
        <r>
          <rPr>
            <sz val="9"/>
            <color indexed="81"/>
            <rFont val="Tahoma"/>
            <family val="2"/>
          </rPr>
          <t xml:space="preserve">
Page 87 1H25 4D Net income from insurance business</t>
        </r>
      </text>
    </comment>
    <comment ref="DV24" authorId="6" shapeId="0" xr:uid="{00000000-0006-0000-0400-00002E000000}">
      <text>
        <r>
          <rPr>
            <b/>
            <sz val="9"/>
            <color indexed="81"/>
            <rFont val="Tahoma"/>
            <family val="2"/>
          </rPr>
          <t>Fernandes, Sona F (Research):</t>
        </r>
        <r>
          <rPr>
            <sz val="9"/>
            <color indexed="81"/>
            <rFont val="Tahoma"/>
            <family val="2"/>
          </rPr>
          <t xml:space="preserve">
Net income from insurance business </t>
        </r>
      </text>
    </comment>
    <comment ref="BL27" authorId="2" shapeId="0" xr:uid="{00000000-0006-0000-0400-00002F000000}">
      <text>
        <r>
          <rPr>
            <b/>
            <sz val="9"/>
            <color indexed="81"/>
            <rFont val="Tahoma"/>
            <family val="2"/>
          </rPr>
          <t>Dunger, Matt (Research):</t>
        </r>
        <r>
          <rPr>
            <sz val="9"/>
            <color indexed="81"/>
            <rFont val="Tahoma"/>
            <family val="2"/>
          </rPr>
          <t xml:space="preserve">
restated 2H14</t>
        </r>
      </text>
    </comment>
    <comment ref="BX27" authorId="0" shapeId="0" xr:uid="{00000000-0006-0000-0400-000030000000}">
      <text>
        <r>
          <rPr>
            <b/>
            <sz val="9"/>
            <color indexed="81"/>
            <rFont val="Tahoma"/>
            <family val="2"/>
          </rPr>
          <t>O'Neill, Emilie (Research):</t>
        </r>
        <r>
          <rPr>
            <sz val="9"/>
            <color indexed="81"/>
            <rFont val="Tahoma"/>
            <family val="2"/>
          </rPr>
          <t xml:space="preserve">
Restated in 1H18 for continuing operations</t>
        </r>
      </text>
    </comment>
    <comment ref="BY27" authorId="0" shapeId="0" xr:uid="{00000000-0006-0000-0400-000031000000}">
      <text>
        <r>
          <rPr>
            <b/>
            <sz val="9"/>
            <color indexed="81"/>
            <rFont val="Tahoma"/>
            <family val="2"/>
          </rPr>
          <t>O'Neill, Emilie (Research):</t>
        </r>
        <r>
          <rPr>
            <sz val="9"/>
            <color indexed="81"/>
            <rFont val="Tahoma"/>
            <family val="2"/>
          </rPr>
          <t xml:space="preserve">
Restated in 1H18 for continuing operations</t>
        </r>
      </text>
    </comment>
    <comment ref="BL28" authorId="2" shapeId="0" xr:uid="{00000000-0006-0000-0400-000032000000}">
      <text>
        <r>
          <rPr>
            <b/>
            <sz val="9"/>
            <color indexed="81"/>
            <rFont val="Tahoma"/>
            <family val="2"/>
          </rPr>
          <t>Dunger, Matt (Research):</t>
        </r>
        <r>
          <rPr>
            <sz val="9"/>
            <color indexed="81"/>
            <rFont val="Tahoma"/>
            <family val="2"/>
          </rPr>
          <t xml:space="preserve">
restated 2H14</t>
        </r>
      </text>
    </comment>
    <comment ref="BX28" authorId="0" shapeId="0" xr:uid="{00000000-0006-0000-0400-000033000000}">
      <text>
        <r>
          <rPr>
            <b/>
            <sz val="9"/>
            <color indexed="81"/>
            <rFont val="Tahoma"/>
            <family val="2"/>
          </rPr>
          <t>O'Neill, Emilie (Research):</t>
        </r>
        <r>
          <rPr>
            <sz val="9"/>
            <color indexed="81"/>
            <rFont val="Tahoma"/>
            <family val="2"/>
          </rPr>
          <t xml:space="preserve">
Restated in 1H18 for continuing operations</t>
        </r>
      </text>
    </comment>
    <comment ref="BY28" authorId="0" shapeId="0" xr:uid="{00000000-0006-0000-0400-000034000000}">
      <text>
        <r>
          <rPr>
            <b/>
            <sz val="9"/>
            <color indexed="81"/>
            <rFont val="Tahoma"/>
            <family val="2"/>
          </rPr>
          <t>O'Neill, Emilie (Research):</t>
        </r>
        <r>
          <rPr>
            <sz val="9"/>
            <color indexed="81"/>
            <rFont val="Tahoma"/>
            <family val="2"/>
          </rPr>
          <t xml:space="preserve">
Restated in 1H18 for continuing operations</t>
        </r>
      </text>
    </comment>
    <comment ref="BL29" authorId="2" shapeId="0" xr:uid="{00000000-0006-0000-0400-000035000000}">
      <text>
        <r>
          <rPr>
            <b/>
            <sz val="9"/>
            <color indexed="81"/>
            <rFont val="Tahoma"/>
            <family val="2"/>
          </rPr>
          <t>Dunger, Matt (Research):</t>
        </r>
        <r>
          <rPr>
            <sz val="9"/>
            <color indexed="81"/>
            <rFont val="Tahoma"/>
            <family val="2"/>
          </rPr>
          <t xml:space="preserve">
restated 2H14</t>
        </r>
      </text>
    </comment>
    <comment ref="BT29" authorId="0" shapeId="0" xr:uid="{00000000-0006-0000-0400-000036000000}">
      <text>
        <r>
          <rPr>
            <b/>
            <sz val="9"/>
            <color indexed="81"/>
            <rFont val="Tahoma"/>
            <family val="2"/>
          </rPr>
          <t>O'Neill, Emilie (Research):</t>
        </r>
        <r>
          <rPr>
            <sz val="9"/>
            <color indexed="81"/>
            <rFont val="Tahoma"/>
            <family val="2"/>
          </rPr>
          <t xml:space="preserve">
Restatament 1H17</t>
        </r>
      </text>
    </comment>
    <comment ref="BU29" authorId="0" shapeId="0" xr:uid="{00000000-0006-0000-0400-000037000000}">
      <text>
        <r>
          <rPr>
            <b/>
            <sz val="9"/>
            <color indexed="81"/>
            <rFont val="Tahoma"/>
            <family val="2"/>
          </rPr>
          <t>O'Neill, Emilie (Research):</t>
        </r>
        <r>
          <rPr>
            <sz val="9"/>
            <color indexed="81"/>
            <rFont val="Tahoma"/>
            <family val="2"/>
          </rPr>
          <t xml:space="preserve">
Restatament 1H17</t>
        </r>
      </text>
    </comment>
    <comment ref="BX29" authorId="0" shapeId="0" xr:uid="{00000000-0006-0000-0400-000038000000}">
      <text>
        <r>
          <rPr>
            <b/>
            <sz val="9"/>
            <color indexed="81"/>
            <rFont val="Tahoma"/>
            <family val="2"/>
          </rPr>
          <t>O'Neill, Emilie (Research):</t>
        </r>
        <r>
          <rPr>
            <sz val="9"/>
            <color indexed="81"/>
            <rFont val="Tahoma"/>
            <family val="2"/>
          </rPr>
          <t xml:space="preserve">
Restated in 1H18 for continuing operations</t>
        </r>
      </text>
    </comment>
    <comment ref="BY29" authorId="0" shapeId="0" xr:uid="{00000000-0006-0000-0400-000039000000}">
      <text>
        <r>
          <rPr>
            <b/>
            <sz val="9"/>
            <color indexed="81"/>
            <rFont val="Tahoma"/>
            <family val="2"/>
          </rPr>
          <t>O'Neill, Emilie (Research):</t>
        </r>
        <r>
          <rPr>
            <sz val="9"/>
            <color indexed="81"/>
            <rFont val="Tahoma"/>
            <family val="2"/>
          </rPr>
          <t xml:space="preserve">
Restated in 1H18 for continuing operations</t>
        </r>
      </text>
    </comment>
    <comment ref="BL30" authorId="2" shapeId="0" xr:uid="{00000000-0006-0000-0400-00003A000000}">
      <text>
        <r>
          <rPr>
            <b/>
            <sz val="9"/>
            <color indexed="81"/>
            <rFont val="Tahoma"/>
            <family val="2"/>
          </rPr>
          <t>Dunger, Matt (Research):</t>
        </r>
        <r>
          <rPr>
            <sz val="9"/>
            <color indexed="81"/>
            <rFont val="Tahoma"/>
            <family val="2"/>
          </rPr>
          <t xml:space="preserve">
restated 2H14</t>
        </r>
      </text>
    </comment>
    <comment ref="BP30" authorId="2" shapeId="0" xr:uid="{00000000-0006-0000-0400-00003B000000}">
      <text>
        <r>
          <rPr>
            <b/>
            <sz val="9"/>
            <color indexed="81"/>
            <rFont val="Tahoma"/>
            <family val="2"/>
          </rPr>
          <t>Dunger, Matt (Research):</t>
        </r>
        <r>
          <rPr>
            <sz val="9"/>
            <color indexed="81"/>
            <rFont val="Tahoma"/>
            <family val="2"/>
          </rPr>
          <t xml:space="preserve">
Restated 1H16</t>
        </r>
      </text>
    </comment>
    <comment ref="BQ30" authorId="2" shapeId="0" xr:uid="{00000000-0006-0000-0400-00003C000000}">
      <text>
        <r>
          <rPr>
            <b/>
            <sz val="9"/>
            <color indexed="81"/>
            <rFont val="Tahoma"/>
            <family val="2"/>
          </rPr>
          <t>Dunger, Matt (Research):</t>
        </r>
        <r>
          <rPr>
            <sz val="9"/>
            <color indexed="81"/>
            <rFont val="Tahoma"/>
            <family val="2"/>
          </rPr>
          <t xml:space="preserve">
Restated 1H16</t>
        </r>
      </text>
    </comment>
    <comment ref="BX30" authorId="0" shapeId="0" xr:uid="{00000000-0006-0000-0400-00003D000000}">
      <text>
        <r>
          <rPr>
            <b/>
            <sz val="9"/>
            <color indexed="81"/>
            <rFont val="Tahoma"/>
            <family val="2"/>
          </rPr>
          <t>O'Neill, Emilie (Research):</t>
        </r>
        <r>
          <rPr>
            <sz val="9"/>
            <color indexed="81"/>
            <rFont val="Tahoma"/>
            <family val="2"/>
          </rPr>
          <t xml:space="preserve">
Restated in 1H18 for continuing operations and includes 36m restructuring charge</t>
        </r>
      </text>
    </comment>
    <comment ref="BY30" authorId="0" shapeId="0" xr:uid="{00000000-0006-0000-0400-00003E000000}">
      <text>
        <r>
          <rPr>
            <b/>
            <sz val="9"/>
            <color indexed="81"/>
            <rFont val="Tahoma"/>
            <family val="2"/>
          </rPr>
          <t>O'Neill, Emilie (Research):</t>
        </r>
        <r>
          <rPr>
            <sz val="9"/>
            <color indexed="81"/>
            <rFont val="Tahoma"/>
            <family val="2"/>
          </rPr>
          <t xml:space="preserve">
Restated in 1H18 for continuing operations and includes 36m restructuring charge</t>
        </r>
      </text>
    </comment>
    <comment ref="CB30" authorId="0" shapeId="0" xr:uid="{00000000-0006-0000-0400-00003F000000}">
      <text>
        <r>
          <rPr>
            <b/>
            <sz val="9"/>
            <color indexed="81"/>
            <rFont val="Tahoma"/>
            <family val="2"/>
          </rPr>
          <t>O'Neill, Emilie (Research):</t>
        </r>
        <r>
          <rPr>
            <sz val="9"/>
            <color indexed="81"/>
            <rFont val="Tahoma"/>
            <family val="2"/>
          </rPr>
          <t xml:space="preserve">
Restated 1H19</t>
        </r>
      </text>
    </comment>
    <comment ref="CC30" authorId="0" shapeId="0" xr:uid="{00000000-0006-0000-0400-000040000000}">
      <text>
        <r>
          <rPr>
            <b/>
            <sz val="9"/>
            <color indexed="81"/>
            <rFont val="Tahoma"/>
            <family val="2"/>
          </rPr>
          <t>O'Neill, Emilie (Research):</t>
        </r>
        <r>
          <rPr>
            <sz val="9"/>
            <color indexed="81"/>
            <rFont val="Tahoma"/>
            <family val="2"/>
          </rPr>
          <t xml:space="preserve">
Restated 1H19</t>
        </r>
      </text>
    </comment>
    <comment ref="BX35" authorId="0" shapeId="0" xr:uid="{00000000-0006-0000-0400-000041000000}">
      <text>
        <r>
          <rPr>
            <b/>
            <sz val="9"/>
            <color indexed="81"/>
            <rFont val="Tahoma"/>
            <family val="2"/>
          </rPr>
          <t>O'Neill, Emilie (Research):</t>
        </r>
        <r>
          <rPr>
            <sz val="9"/>
            <color indexed="81"/>
            <rFont val="Tahoma"/>
            <family val="2"/>
          </rPr>
          <t xml:space="preserve">
Restated 1H18 for continuing operations</t>
        </r>
      </text>
    </comment>
    <comment ref="BY35" authorId="0" shapeId="0" xr:uid="{00000000-0006-0000-0400-000042000000}">
      <text>
        <r>
          <rPr>
            <b/>
            <sz val="9"/>
            <color indexed="81"/>
            <rFont val="Tahoma"/>
            <family val="2"/>
          </rPr>
          <t>O'Neill, Emilie (Research):</t>
        </r>
        <r>
          <rPr>
            <sz val="9"/>
            <color indexed="81"/>
            <rFont val="Tahoma"/>
            <family val="2"/>
          </rPr>
          <t xml:space="preserve">
Restated 1H18 for continuing operations</t>
        </r>
      </text>
    </comment>
    <comment ref="CV35" authorId="1" shapeId="0" xr:uid="{5B586DEA-6052-4912-94C2-8D362D6CBDD9}">
      <text>
        <r>
          <rPr>
            <b/>
            <sz val="9"/>
            <color indexed="81"/>
            <rFont val="Tahoma"/>
            <family val="2"/>
          </rPr>
          <t>Hong, Sally (Research):</t>
        </r>
        <r>
          <rPr>
            <sz val="9"/>
            <color indexed="81"/>
            <rFont val="Tahoma"/>
            <family val="2"/>
          </rPr>
          <t xml:space="preserve">
Restated in 1H24</t>
        </r>
      </text>
    </comment>
    <comment ref="CW35" authorId="1" shapeId="0" xr:uid="{96945460-8AE8-4DEB-AB8F-49E8F10644B9}">
      <text>
        <r>
          <rPr>
            <b/>
            <sz val="9"/>
            <color indexed="81"/>
            <rFont val="Tahoma"/>
            <family val="2"/>
          </rPr>
          <t>Hong, Sally (Research):</t>
        </r>
        <r>
          <rPr>
            <sz val="9"/>
            <color indexed="81"/>
            <rFont val="Tahoma"/>
            <family val="2"/>
          </rPr>
          <t xml:space="preserve">
Restated in 1H24</t>
        </r>
      </text>
    </comment>
    <comment ref="CR77" authorId="1" shapeId="0" xr:uid="{00000000-0006-0000-0400-000043000000}">
      <text>
        <r>
          <rPr>
            <b/>
            <sz val="9"/>
            <color indexed="81"/>
            <rFont val="Tahoma"/>
            <family val="2"/>
          </rPr>
          <t>Hong, Sally (Research):</t>
        </r>
        <r>
          <rPr>
            <sz val="9"/>
            <color indexed="81"/>
            <rFont val="Tahoma"/>
            <family val="2"/>
          </rPr>
          <t xml:space="preserve">
Page 130 of the 1H22 4D</t>
        </r>
      </text>
    </comment>
    <comment ref="DA91" authorId="1" shapeId="0" xr:uid="{B0F2FD29-0E38-4704-B2F5-D91F0EEA9CF9}">
      <text>
        <r>
          <rPr>
            <b/>
            <sz val="9"/>
            <color indexed="81"/>
            <rFont val="Tahoma"/>
            <family val="2"/>
          </rPr>
          <t>Hong, Sally (Research):</t>
        </r>
        <r>
          <rPr>
            <sz val="9"/>
            <color indexed="81"/>
            <rFont val="Tahoma"/>
            <family val="2"/>
          </rPr>
          <t xml:space="preserve">
Add in SUN Housing Loans A$66.2bn</t>
        </r>
      </text>
    </comment>
    <comment ref="CK98" authorId="3" shapeId="0" xr:uid="{00000000-0006-0000-0400-000044000000}">
      <text>
        <r>
          <rPr>
            <b/>
            <sz val="9"/>
            <color indexed="81"/>
            <rFont val="Tahoma"/>
            <family val="2"/>
          </rPr>
          <t>Wiles, Richard (Research):</t>
        </r>
        <r>
          <rPr>
            <sz val="9"/>
            <color indexed="81"/>
            <rFont val="Tahoma"/>
            <family val="2"/>
          </rPr>
          <t xml:space="preserve">
restated up by approx A$700m</t>
        </r>
      </text>
    </comment>
    <comment ref="CR103" authorId="3" shapeId="0" xr:uid="{00000000-0006-0000-0400-000045000000}">
      <text>
        <r>
          <rPr>
            <b/>
            <sz val="9"/>
            <color indexed="81"/>
            <rFont val="Tahoma"/>
            <family val="2"/>
          </rPr>
          <t>Wiles, Richard (Research):</t>
        </r>
        <r>
          <rPr>
            <sz val="9"/>
            <color indexed="81"/>
            <rFont val="Tahoma"/>
            <family val="2"/>
          </rPr>
          <t xml:space="preserve">
A$300m run off of asset finance back book in 1H22, …. 0.5% impact on loan growth, A$1.2bn still to go </t>
        </r>
      </text>
    </comment>
    <comment ref="DA103" authorId="1" shapeId="0" xr:uid="{911262A1-A1D4-4C0D-ADC5-89146C5FB8E9}">
      <text>
        <r>
          <rPr>
            <b/>
            <sz val="9"/>
            <color indexed="81"/>
            <rFont val="Tahoma"/>
            <family val="2"/>
          </rPr>
          <t>Hong, Sally (Research):</t>
        </r>
        <r>
          <rPr>
            <sz val="9"/>
            <color indexed="81"/>
            <rFont val="Tahoma"/>
            <family val="2"/>
          </rPr>
          <t xml:space="preserve">
Add in SUN Non-Housing Loans A$12.9bn</t>
        </r>
      </text>
    </comment>
    <comment ref="CW105" authorId="1" shapeId="0" xr:uid="{1EDDE1EF-C477-40B6-B2E0-A863E37B79A3}">
      <text>
        <r>
          <rPr>
            <b/>
            <sz val="9"/>
            <color indexed="81"/>
            <rFont val="Tahoma"/>
            <family val="2"/>
          </rPr>
          <t>Hong, Sally (Research):</t>
        </r>
        <r>
          <rPr>
            <sz val="9"/>
            <color indexed="81"/>
            <rFont val="Tahoma"/>
            <family val="2"/>
          </rPr>
          <t xml:space="preserve">
BEN ASX annoucnement: 7/7/22 
Reduce Margin Lending loans by $715m for divestment of ANZ's Investment Lending Portfolio to BE. To be completed by 1HCY23…implies 2H23</t>
        </r>
      </text>
    </comment>
    <comment ref="BI111" authorId="2" shapeId="0" xr:uid="{00000000-0006-0000-0400-000046000000}">
      <text>
        <r>
          <rPr>
            <b/>
            <sz val="9"/>
            <color indexed="81"/>
            <rFont val="Tahoma"/>
            <family val="2"/>
          </rPr>
          <t>Dunger, Matt (Research):</t>
        </r>
        <r>
          <rPr>
            <sz val="9"/>
            <color indexed="81"/>
            <rFont val="Tahoma"/>
            <family val="2"/>
          </rPr>
          <t xml:space="preserve">
restated FY14
</t>
        </r>
      </text>
    </comment>
    <comment ref="BL111" authorId="2" shapeId="0" xr:uid="{00000000-0006-0000-0400-000047000000}">
      <text>
        <r>
          <rPr>
            <b/>
            <sz val="9"/>
            <color indexed="81"/>
            <rFont val="Tahoma"/>
            <family val="2"/>
          </rPr>
          <t>Dunger, Matt (Research):</t>
        </r>
        <r>
          <rPr>
            <sz val="9"/>
            <color indexed="81"/>
            <rFont val="Tahoma"/>
            <family val="2"/>
          </rPr>
          <t xml:space="preserve">
restated FY14
</t>
        </r>
      </text>
    </comment>
    <comment ref="CS126" authorId="1" shapeId="0" xr:uid="{5F03FBF0-93D5-4491-8C21-21A8391CEAAB}">
      <text>
        <r>
          <rPr>
            <b/>
            <sz val="9"/>
            <color indexed="81"/>
            <rFont val="Tahoma"/>
            <family val="2"/>
          </rPr>
          <t>Hong, Sally (Research):</t>
        </r>
        <r>
          <rPr>
            <sz val="9"/>
            <color indexed="81"/>
            <rFont val="Tahoma"/>
            <family val="2"/>
          </rPr>
          <t xml:space="preserve">
Slide 11 of the FY22 Results Presentation… growing NZ at 0.8x system</t>
        </r>
      </text>
    </comment>
    <comment ref="CW149" authorId="1" shapeId="0" xr:uid="{EE659368-7ECF-4894-B123-C6FCB891D41D}">
      <text>
        <r>
          <rPr>
            <b/>
            <sz val="9"/>
            <color indexed="81"/>
            <rFont val="Tahoma"/>
            <family val="2"/>
          </rPr>
          <t>Hong, Sally (Research):</t>
        </r>
        <r>
          <rPr>
            <sz val="9"/>
            <color indexed="81"/>
            <rFont val="Tahoma"/>
            <family val="2"/>
          </rPr>
          <t xml:space="preserve">
Page 127 FY23 Annual Report</t>
        </r>
      </text>
    </comment>
    <comment ref="CW151" authorId="1" shapeId="0" xr:uid="{E7A8FA55-150B-43BE-96D3-1055C5113247}">
      <text>
        <r>
          <rPr>
            <b/>
            <sz val="9"/>
            <color indexed="81"/>
            <rFont val="Tahoma"/>
            <family val="2"/>
          </rPr>
          <t>Hong, Sally (Research):</t>
        </r>
        <r>
          <rPr>
            <sz val="9"/>
            <color indexed="81"/>
            <rFont val="Tahoma"/>
            <family val="2"/>
          </rPr>
          <t xml:space="preserve">
Page 127 FY23 Annual Report</t>
        </r>
      </text>
    </comment>
    <comment ref="BX152" authorId="0" shapeId="0" xr:uid="{00000000-0006-0000-0400-000048000000}">
      <text>
        <r>
          <rPr>
            <b/>
            <sz val="9"/>
            <color indexed="81"/>
            <rFont val="Tahoma"/>
            <family val="2"/>
          </rPr>
          <t>O'Neill, Emilie (Research):</t>
        </r>
        <r>
          <rPr>
            <sz val="9"/>
            <color indexed="81"/>
            <rFont val="Tahoma"/>
            <family val="2"/>
          </rPr>
          <t xml:space="preserve">
Restated FY17</t>
        </r>
      </text>
    </comment>
    <comment ref="CJ152" authorId="7" shapeId="0" xr:uid="{00000000-0006-0000-0400-000049000000}">
      <text>
        <r>
          <rPr>
            <b/>
            <sz val="9"/>
            <color indexed="81"/>
            <rFont val="Tahoma"/>
            <family val="2"/>
          </rPr>
          <t>Fernandes, Sona (Research):</t>
        </r>
        <r>
          <rPr>
            <sz val="9"/>
            <color indexed="81"/>
            <rFont val="Tahoma"/>
            <family val="2"/>
          </rPr>
          <t xml:space="preserve">
Restated 1H21</t>
        </r>
      </text>
    </comment>
    <comment ref="CK152" authorId="7" shapeId="0" xr:uid="{00000000-0006-0000-0400-00004A000000}">
      <text>
        <r>
          <rPr>
            <b/>
            <sz val="9"/>
            <color indexed="81"/>
            <rFont val="Tahoma"/>
            <family val="2"/>
          </rPr>
          <t>Fernandes, Sona (Research):</t>
        </r>
        <r>
          <rPr>
            <sz val="9"/>
            <color indexed="81"/>
            <rFont val="Tahoma"/>
            <family val="2"/>
          </rPr>
          <t xml:space="preserve">
Restated 1H21</t>
        </r>
      </text>
    </comment>
    <comment ref="CS152" authorId="3" shapeId="0" xr:uid="{750CB955-6284-41E9-9F92-8C6887696C4D}">
      <text>
        <r>
          <rPr>
            <b/>
            <sz val="9"/>
            <color indexed="81"/>
            <rFont val="Tahoma"/>
            <family val="2"/>
          </rPr>
          <t>Wiles, Richard (Research):</t>
        </r>
        <r>
          <rPr>
            <sz val="9"/>
            <color indexed="81"/>
            <rFont val="Tahoma"/>
            <family val="2"/>
          </rPr>
          <t xml:space="preserve">
revised treatment of ongoing trailing commissions in 2H22</t>
        </r>
      </text>
    </comment>
    <comment ref="CW152" authorId="1" shapeId="0" xr:uid="{68970A31-5EC6-42F8-AA77-5A3CDFC275BF}">
      <text>
        <r>
          <rPr>
            <b/>
            <sz val="9"/>
            <color indexed="81"/>
            <rFont val="Tahoma"/>
            <family val="2"/>
          </rPr>
          <t>Hong, Sally (Research):</t>
        </r>
        <r>
          <rPr>
            <sz val="9"/>
            <color indexed="81"/>
            <rFont val="Tahoma"/>
            <family val="2"/>
          </rPr>
          <t xml:space="preserve">
See Page 127 FY23 Annual Report</t>
        </r>
      </text>
    </comment>
    <comment ref="CW154" authorId="1" shapeId="0" xr:uid="{FC3C254B-34D0-428D-8311-AFF390D3845A}">
      <text>
        <r>
          <rPr>
            <b/>
            <sz val="9"/>
            <color indexed="81"/>
            <rFont val="Tahoma"/>
            <family val="2"/>
          </rPr>
          <t>Hong, Sally (Research):</t>
        </r>
        <r>
          <rPr>
            <sz val="9"/>
            <color indexed="81"/>
            <rFont val="Tahoma"/>
            <family val="2"/>
          </rPr>
          <t xml:space="preserve">
Page 127 FY23 Annual Report</t>
        </r>
      </text>
    </comment>
    <comment ref="BE155" authorId="8" shapeId="0" xr:uid="{00000000-0006-0000-0400-00004B000000}">
      <text>
        <r>
          <rPr>
            <b/>
            <sz val="8"/>
            <color indexed="81"/>
            <rFont val="Tahoma"/>
            <family val="2"/>
          </rPr>
          <t>arvids:</t>
        </r>
        <r>
          <rPr>
            <sz val="8"/>
            <color indexed="81"/>
            <rFont val="Tahoma"/>
            <family val="2"/>
          </rPr>
          <t xml:space="preserve">
restated FY13</t>
        </r>
      </text>
    </comment>
    <comment ref="BI155" authorId="2" shapeId="0" xr:uid="{00000000-0006-0000-0400-00004C000000}">
      <text>
        <r>
          <rPr>
            <b/>
            <sz val="9"/>
            <color indexed="81"/>
            <rFont val="Tahoma"/>
            <family val="2"/>
          </rPr>
          <t>Dunger, Matt (Research):</t>
        </r>
        <r>
          <rPr>
            <sz val="9"/>
            <color indexed="81"/>
            <rFont val="Tahoma"/>
            <family val="2"/>
          </rPr>
          <t xml:space="preserve">
restated FY14
</t>
        </r>
      </text>
    </comment>
    <comment ref="BL155" authorId="2" shapeId="0" xr:uid="{00000000-0006-0000-0400-00004D000000}">
      <text>
        <r>
          <rPr>
            <b/>
            <sz val="9"/>
            <color indexed="81"/>
            <rFont val="Tahoma"/>
            <family val="2"/>
          </rPr>
          <t>Dunger, Matt (Research):</t>
        </r>
        <r>
          <rPr>
            <sz val="9"/>
            <color indexed="81"/>
            <rFont val="Tahoma"/>
            <family val="2"/>
          </rPr>
          <t xml:space="preserve">
restated FY14
</t>
        </r>
      </text>
    </comment>
    <comment ref="CJ155" authorId="7" shapeId="0" xr:uid="{00000000-0006-0000-0400-00004E000000}">
      <text>
        <r>
          <rPr>
            <b/>
            <sz val="9"/>
            <color indexed="81"/>
            <rFont val="Tahoma"/>
            <family val="2"/>
          </rPr>
          <t>Fernandes, Sona (Research):</t>
        </r>
        <r>
          <rPr>
            <sz val="9"/>
            <color indexed="81"/>
            <rFont val="Tahoma"/>
            <family val="2"/>
          </rPr>
          <t xml:space="preserve">
Restated 1H21</t>
        </r>
      </text>
    </comment>
    <comment ref="CK155" authorId="7" shapeId="0" xr:uid="{00000000-0006-0000-0400-00004F000000}">
      <text>
        <r>
          <rPr>
            <b/>
            <sz val="9"/>
            <color indexed="81"/>
            <rFont val="Tahoma"/>
            <family val="2"/>
          </rPr>
          <t>Fernandes, Sona (Research):</t>
        </r>
        <r>
          <rPr>
            <sz val="9"/>
            <color indexed="81"/>
            <rFont val="Tahoma"/>
            <family val="2"/>
          </rPr>
          <t xml:space="preserve">
Restated 1H21</t>
        </r>
      </text>
    </comment>
    <comment ref="CW155" authorId="1" shapeId="0" xr:uid="{B7B40522-D5B6-4F49-B5D9-002185750F85}">
      <text>
        <r>
          <rPr>
            <b/>
            <sz val="9"/>
            <color indexed="81"/>
            <rFont val="Tahoma"/>
            <family val="2"/>
          </rPr>
          <t>Hong, Sally (Research):</t>
        </r>
        <r>
          <rPr>
            <sz val="9"/>
            <color indexed="81"/>
            <rFont val="Tahoma"/>
            <family val="2"/>
          </rPr>
          <t xml:space="preserve">
See Page 127 FY23 Annual Report</t>
        </r>
      </text>
    </comment>
    <comment ref="CW157" authorId="1" shapeId="0" xr:uid="{7F11C49A-0BE3-4DDE-A7A2-ABCA7A96C5BF}">
      <text>
        <r>
          <rPr>
            <b/>
            <sz val="9"/>
            <color indexed="81"/>
            <rFont val="Tahoma"/>
            <family val="2"/>
          </rPr>
          <t>Hong, Sally (Research):</t>
        </r>
        <r>
          <rPr>
            <sz val="9"/>
            <color indexed="81"/>
            <rFont val="Tahoma"/>
            <family val="2"/>
          </rPr>
          <t xml:space="preserve">
See Page 127 FY23 Annual Report</t>
        </r>
      </text>
    </comment>
    <comment ref="CC217" authorId="5" shapeId="0" xr:uid="{00000000-0006-0000-0400-000050000000}">
      <text>
        <r>
          <rPr>
            <b/>
            <sz val="9"/>
            <color indexed="81"/>
            <rFont val="Tahoma"/>
            <family val="2"/>
          </rPr>
          <t>Stadnik, Andrei (Research):</t>
        </r>
        <r>
          <rPr>
            <sz val="9"/>
            <color indexed="81"/>
            <rFont val="Tahoma"/>
            <family val="2"/>
          </rPr>
          <t xml:space="preserve">
RESTATED 2h19</t>
        </r>
      </text>
    </comment>
    <comment ref="CF217" authorId="5" shapeId="0" xr:uid="{00000000-0006-0000-0400-000051000000}">
      <text>
        <r>
          <rPr>
            <b/>
            <sz val="9"/>
            <color indexed="81"/>
            <rFont val="Tahoma"/>
            <family val="2"/>
          </rPr>
          <t>Stadnik, Andrei (Research):</t>
        </r>
        <r>
          <rPr>
            <sz val="9"/>
            <color indexed="81"/>
            <rFont val="Tahoma"/>
            <family val="2"/>
          </rPr>
          <t xml:space="preserve">
RESTATED 2h19</t>
        </r>
      </text>
    </comment>
    <comment ref="CC218" authorId="5" shapeId="0" xr:uid="{00000000-0006-0000-0400-000052000000}">
      <text>
        <r>
          <rPr>
            <b/>
            <sz val="9"/>
            <color indexed="81"/>
            <rFont val="Tahoma"/>
            <family val="2"/>
          </rPr>
          <t>Stadnik, Andrei (Research):</t>
        </r>
        <r>
          <rPr>
            <sz val="9"/>
            <color indexed="81"/>
            <rFont val="Tahoma"/>
            <family val="2"/>
          </rPr>
          <t xml:space="preserve">
RESTATED 2h19</t>
        </r>
      </text>
    </comment>
    <comment ref="CF218" authorId="5" shapeId="0" xr:uid="{00000000-0006-0000-0400-000053000000}">
      <text>
        <r>
          <rPr>
            <b/>
            <sz val="9"/>
            <color indexed="81"/>
            <rFont val="Tahoma"/>
            <family val="2"/>
          </rPr>
          <t>Stadnik, Andrei (Research):</t>
        </r>
        <r>
          <rPr>
            <sz val="9"/>
            <color indexed="81"/>
            <rFont val="Tahoma"/>
            <family val="2"/>
          </rPr>
          <t xml:space="preserve">
RESTATED 2h19</t>
        </r>
      </text>
    </comment>
    <comment ref="DD218" authorId="1" shapeId="0" xr:uid="{89D40F71-D826-4D7C-94E1-9B887D1EA917}">
      <text>
        <r>
          <rPr>
            <b/>
            <sz val="9"/>
            <color indexed="81"/>
            <rFont val="Tahoma"/>
            <family val="2"/>
          </rPr>
          <t>Hong, Sally (Research):</t>
        </r>
        <r>
          <rPr>
            <sz val="9"/>
            <color indexed="81"/>
            <rFont val="Tahoma"/>
            <family val="2"/>
          </rPr>
          <t xml:space="preserve">
Aust Retail: Restructured home loans.
Commercial: single name Agri EAD
Suncorp</t>
        </r>
      </text>
    </comment>
    <comment ref="DA235" authorId="3" shapeId="0" xr:uid="{78CD0448-95B6-42D6-9899-EFE7616D7C57}">
      <text>
        <r>
          <rPr>
            <b/>
            <sz val="9"/>
            <color indexed="81"/>
            <rFont val="Tahoma"/>
            <family val="2"/>
          </rPr>
          <t>Wiles, Richard (Research):</t>
        </r>
        <r>
          <rPr>
            <sz val="9"/>
            <color indexed="81"/>
            <rFont val="Tahoma"/>
            <family val="2"/>
          </rPr>
          <t xml:space="preserve">
includes A$244m one-off adjustment to recognise SUN CP </t>
        </r>
      </text>
    </comment>
    <comment ref="CF242" authorId="0" shapeId="0" xr:uid="{00000000-0006-0000-0400-000054000000}">
      <text>
        <r>
          <rPr>
            <b/>
            <sz val="9"/>
            <color indexed="81"/>
            <rFont val="Tahoma"/>
            <family val="2"/>
          </rPr>
          <t xml:space="preserve">O'Neill, Emilie (Research):
</t>
        </r>
        <r>
          <rPr>
            <sz val="9"/>
            <color indexed="81"/>
            <rFont val="Tahoma"/>
            <family val="2"/>
          </rPr>
          <t>A$813m from the transition to AASB9 and $29m FX - see slide 25 of 1H19 preso</t>
        </r>
      </text>
    </comment>
    <comment ref="CG242" authorId="5" shapeId="0" xr:uid="{00000000-0006-0000-0400-000055000000}">
      <text>
        <r>
          <rPr>
            <b/>
            <sz val="9"/>
            <color indexed="81"/>
            <rFont val="Tahoma"/>
            <family val="2"/>
          </rPr>
          <t>Stadnik, Andrei (Research):</t>
        </r>
        <r>
          <rPr>
            <sz val="9"/>
            <color indexed="81"/>
            <rFont val="Tahoma"/>
            <family val="2"/>
          </rPr>
          <t xml:space="preserve">
page 100 of 2h19 4E</t>
        </r>
      </text>
    </comment>
    <comment ref="CO242" authorId="3" shapeId="0" xr:uid="{00000000-0006-0000-0400-000056000000}">
      <text>
        <r>
          <rPr>
            <b/>
            <sz val="9"/>
            <color indexed="81"/>
            <rFont val="Tahoma"/>
            <family val="2"/>
          </rPr>
          <t>Wiles, Richard (Research):</t>
        </r>
        <r>
          <rPr>
            <sz val="9"/>
            <color indexed="81"/>
            <rFont val="Tahoma"/>
            <family val="2"/>
          </rPr>
          <t xml:space="preserve">
Refer FY21 page 98</t>
        </r>
      </text>
    </comment>
    <comment ref="CR242" authorId="1" shapeId="0" xr:uid="{00000000-0006-0000-0400-000057000000}">
      <text>
        <r>
          <rPr>
            <b/>
            <sz val="9"/>
            <color indexed="81"/>
            <rFont val="Tahoma"/>
            <family val="2"/>
          </rPr>
          <t>Hong, Sally (Research):</t>
        </r>
        <r>
          <rPr>
            <sz val="9"/>
            <color indexed="81"/>
            <rFont val="Tahoma"/>
            <family val="2"/>
          </rPr>
          <t xml:space="preserve">
Page 98 of the 1H22 results 4D :
Sum of Stage 1 stage 2 and Collectivel assessed Stage 3</t>
        </r>
      </text>
    </comment>
    <comment ref="CS242" authorId="3" shapeId="0" xr:uid="{9CA010C3-2FAF-4D53-B0AB-B1E68CC898BB}">
      <text>
        <r>
          <rPr>
            <b/>
            <sz val="9"/>
            <color indexed="81"/>
            <rFont val="Tahoma"/>
            <family val="2"/>
          </rPr>
          <t>Wiles, Richard (Research):</t>
        </r>
        <r>
          <rPr>
            <sz val="9"/>
            <color indexed="81"/>
            <rFont val="Tahoma"/>
            <family val="2"/>
          </rPr>
          <t xml:space="preserve">
Refer FY22 page 94</t>
        </r>
      </text>
    </comment>
    <comment ref="CV242" authorId="1" shapeId="0" xr:uid="{360C3235-BA05-4D61-9ECE-2D51D0259AE4}">
      <text>
        <r>
          <rPr>
            <b/>
            <sz val="9"/>
            <color indexed="81"/>
            <rFont val="Tahoma"/>
            <family val="2"/>
          </rPr>
          <t>Hong, Sally (Research):</t>
        </r>
        <r>
          <rPr>
            <sz val="9"/>
            <color indexed="81"/>
            <rFont val="Tahoma"/>
            <family val="2"/>
          </rPr>
          <t xml:space="preserve">
Page 96 1H23 4E</t>
        </r>
      </text>
    </comment>
    <comment ref="CX242" authorId="1" shapeId="0" xr:uid="{B4F51CA7-93A1-4C69-B81D-E36FB80F75C3}">
      <text>
        <r>
          <rPr>
            <b/>
            <sz val="9"/>
            <color indexed="81"/>
            <rFont val="Tahoma"/>
            <family val="2"/>
          </rPr>
          <t>Hong, Sally (Research):</t>
        </r>
        <r>
          <rPr>
            <sz val="9"/>
            <color indexed="81"/>
            <rFont val="Tahoma"/>
            <family val="2"/>
          </rPr>
          <t xml:space="preserve">
Page 131 Fy23 Annual Report</t>
        </r>
      </text>
    </comment>
    <comment ref="CJ243" authorId="6" shapeId="0" xr:uid="{00000000-0006-0000-0400-000058000000}">
      <text>
        <r>
          <rPr>
            <b/>
            <sz val="9"/>
            <color indexed="81"/>
            <rFont val="Tahoma"/>
            <family val="2"/>
          </rPr>
          <t>Fernandes, Sona F (Research):</t>
        </r>
        <r>
          <rPr>
            <sz val="9"/>
            <color indexed="81"/>
            <rFont val="Tahoma"/>
            <family val="2"/>
          </rPr>
          <t xml:space="preserve">
Includes $1,031m of COVID-19 economic overlay</t>
        </r>
      </text>
    </comment>
    <comment ref="CK243" authorId="6" shapeId="0" xr:uid="{00000000-0006-0000-0400-000059000000}">
      <text>
        <r>
          <rPr>
            <b/>
            <sz val="9"/>
            <color indexed="81"/>
            <rFont val="Tahoma"/>
            <family val="2"/>
          </rPr>
          <t>Fernandes, Sona F (Research):</t>
        </r>
        <r>
          <rPr>
            <sz val="9"/>
            <color indexed="81"/>
            <rFont val="Tahoma"/>
            <family val="2"/>
          </rPr>
          <t xml:space="preserve">
Includes COVID-19 overlay of A$579m</t>
        </r>
      </text>
    </comment>
    <comment ref="CN243" authorId="7" shapeId="0" xr:uid="{00000000-0006-0000-0400-00005A000000}">
      <text>
        <r>
          <rPr>
            <b/>
            <sz val="9"/>
            <color indexed="81"/>
            <rFont val="Tahoma"/>
            <family val="2"/>
          </rPr>
          <t>Fernandes, Sona (Research):</t>
        </r>
        <r>
          <rPr>
            <sz val="9"/>
            <color indexed="81"/>
            <rFont val="Tahoma"/>
            <family val="2"/>
          </rPr>
          <t xml:space="preserve">
Write-back of COVID-19 CP</t>
        </r>
      </text>
    </comment>
    <comment ref="DA243" authorId="3" shapeId="0" xr:uid="{B42DACE4-79BE-4E55-8867-C6214F270AE0}">
      <text>
        <r>
          <rPr>
            <b/>
            <sz val="9"/>
            <color indexed="81"/>
            <rFont val="Tahoma"/>
            <family val="2"/>
          </rPr>
          <t>Wiles, Richard (Research):</t>
        </r>
        <r>
          <rPr>
            <sz val="9"/>
            <color indexed="81"/>
            <rFont val="Tahoma"/>
            <family val="2"/>
          </rPr>
          <t xml:space="preserve">
includes A$244m one-off adjustment to recognise SUN CP </t>
        </r>
      </text>
    </comment>
    <comment ref="CF248" authorId="0" shapeId="0" xr:uid="{00000000-0006-0000-0400-00005B000000}">
      <text>
        <r>
          <rPr>
            <b/>
            <sz val="9"/>
            <color indexed="81"/>
            <rFont val="Tahoma"/>
            <family val="2"/>
          </rPr>
          <t>O'Neill, Emilie (Research):</t>
        </r>
        <r>
          <rPr>
            <sz val="9"/>
            <color indexed="81"/>
            <rFont val="Tahoma"/>
            <family val="2"/>
          </rPr>
          <t xml:space="preserve">
No longer disclosed under AASB9 - pg 100 in 1H19 4E</t>
        </r>
      </text>
    </comment>
    <comment ref="CG248" authorId="5" shapeId="0" xr:uid="{00000000-0006-0000-0400-00005C000000}">
      <text>
        <r>
          <rPr>
            <b/>
            <sz val="9"/>
            <color indexed="81"/>
            <rFont val="Tahoma"/>
            <family val="2"/>
          </rPr>
          <t>Stadnik, Andrei (Research):</t>
        </r>
        <r>
          <rPr>
            <sz val="9"/>
            <color indexed="81"/>
            <rFont val="Tahoma"/>
            <family val="2"/>
          </rPr>
          <t xml:space="preserve">
page 100 of 2h19 4E</t>
        </r>
      </text>
    </comment>
    <comment ref="CO248" authorId="3" shapeId="0" xr:uid="{00000000-0006-0000-0400-00005D000000}">
      <text>
        <r>
          <rPr>
            <b/>
            <sz val="9"/>
            <color indexed="81"/>
            <rFont val="Tahoma"/>
            <family val="2"/>
          </rPr>
          <t>Wiles, Richard (Research):</t>
        </r>
        <r>
          <rPr>
            <sz val="9"/>
            <color indexed="81"/>
            <rFont val="Tahoma"/>
            <family val="2"/>
          </rPr>
          <t xml:space="preserve">
Refer FY21 page 98</t>
        </r>
      </text>
    </comment>
    <comment ref="CS248" authorId="3" shapeId="0" xr:uid="{7223FA7E-20CD-48F8-83E1-F4485704DA77}">
      <text>
        <r>
          <rPr>
            <b/>
            <sz val="9"/>
            <color indexed="81"/>
            <rFont val="Tahoma"/>
            <family val="2"/>
          </rPr>
          <t>Wiles, Richard (Research):</t>
        </r>
        <r>
          <rPr>
            <sz val="9"/>
            <color indexed="81"/>
            <rFont val="Tahoma"/>
            <family val="2"/>
          </rPr>
          <t xml:space="preserve">
Refer FY22 page 94</t>
        </r>
      </text>
    </comment>
    <comment ref="CF249" authorId="5" shapeId="0" xr:uid="{00000000-0006-0000-0400-00005E000000}">
      <text>
        <r>
          <rPr>
            <b/>
            <sz val="9"/>
            <color indexed="81"/>
            <rFont val="Tahoma"/>
            <family val="2"/>
          </rPr>
          <t>Stadnik, Andrei (Research):</t>
        </r>
        <r>
          <rPr>
            <sz val="9"/>
            <color indexed="81"/>
            <rFont val="Tahoma"/>
            <family val="2"/>
          </rPr>
          <t xml:space="preserve">
page 99 of 1h19 4D</t>
        </r>
      </text>
    </comment>
    <comment ref="CG249" authorId="5" shapeId="0" xr:uid="{00000000-0006-0000-0400-00005F000000}">
      <text>
        <r>
          <rPr>
            <b/>
            <sz val="9"/>
            <color indexed="81"/>
            <rFont val="Tahoma"/>
            <family val="2"/>
          </rPr>
          <t>Stadnik, Andrei (Research):</t>
        </r>
        <r>
          <rPr>
            <sz val="9"/>
            <color indexed="81"/>
            <rFont val="Tahoma"/>
            <family val="2"/>
          </rPr>
          <t xml:space="preserve">
page 100 of 2h19 4E</t>
        </r>
      </text>
    </comment>
    <comment ref="CJ249" authorId="6" shapeId="0" xr:uid="{00000000-0006-0000-0400-000060000000}">
      <text>
        <r>
          <rPr>
            <b/>
            <sz val="9"/>
            <color indexed="81"/>
            <rFont val="Tahoma"/>
            <family val="2"/>
          </rPr>
          <t>Fernandes, Sona F (Research):</t>
        </r>
        <r>
          <rPr>
            <sz val="9"/>
            <color indexed="81"/>
            <rFont val="Tahoma"/>
            <family val="2"/>
          </rPr>
          <t xml:space="preserve">
Notes to the Financial Statements - Note 9 Allowance for Expected Credit Losses
</t>
        </r>
      </text>
    </comment>
    <comment ref="CX249" authorId="1" shapeId="0" xr:uid="{45C4F8BA-51D5-40AA-AEFD-48A14F0B6E59}">
      <text>
        <r>
          <rPr>
            <b/>
            <sz val="9"/>
            <color indexed="81"/>
            <rFont val="Tahoma"/>
            <family val="2"/>
          </rPr>
          <t>Hong, Sally (Research):</t>
        </r>
        <r>
          <rPr>
            <sz val="9"/>
            <color indexed="81"/>
            <rFont val="Tahoma"/>
            <family val="2"/>
          </rPr>
          <t xml:space="preserve">
Page 131 Fy23 Annual Report</t>
        </r>
      </text>
    </comment>
    <comment ref="CB282" authorId="0" shapeId="0" xr:uid="{00000000-0006-0000-0400-000061000000}">
      <text>
        <r>
          <rPr>
            <b/>
            <sz val="9"/>
            <color indexed="81"/>
            <rFont val="Tahoma"/>
            <family val="2"/>
          </rPr>
          <t>O'Neill, Emilie (Research):</t>
        </r>
        <r>
          <rPr>
            <sz val="9"/>
            <color indexed="81"/>
            <rFont val="Tahoma"/>
            <family val="2"/>
          </rPr>
          <t xml:space="preserve">
Restated 1H19</t>
        </r>
      </text>
    </comment>
    <comment ref="CC282" authorId="0" shapeId="0" xr:uid="{00000000-0006-0000-0400-000062000000}">
      <text>
        <r>
          <rPr>
            <b/>
            <sz val="9"/>
            <color indexed="81"/>
            <rFont val="Tahoma"/>
            <family val="2"/>
          </rPr>
          <t>O'Neill, Emilie (Research):</t>
        </r>
        <r>
          <rPr>
            <sz val="9"/>
            <color indexed="81"/>
            <rFont val="Tahoma"/>
            <family val="2"/>
          </rPr>
          <t xml:space="preserve">
Restated 1H19</t>
        </r>
      </text>
    </comment>
    <comment ref="CB283" authorId="0" shapeId="0" xr:uid="{00000000-0006-0000-0400-000063000000}">
      <text>
        <r>
          <rPr>
            <b/>
            <sz val="9"/>
            <color indexed="81"/>
            <rFont val="Tahoma"/>
            <family val="2"/>
          </rPr>
          <t>O'Neill, Emilie (Research):</t>
        </r>
        <r>
          <rPr>
            <sz val="9"/>
            <color indexed="81"/>
            <rFont val="Tahoma"/>
            <family val="2"/>
          </rPr>
          <t xml:space="preserve">
Restated 1H19</t>
        </r>
      </text>
    </comment>
    <comment ref="CC283" authorId="0" shapeId="0" xr:uid="{00000000-0006-0000-0400-000064000000}">
      <text>
        <r>
          <rPr>
            <b/>
            <sz val="9"/>
            <color indexed="81"/>
            <rFont val="Tahoma"/>
            <family val="2"/>
          </rPr>
          <t>O'Neill, Emilie (Research):</t>
        </r>
        <r>
          <rPr>
            <sz val="9"/>
            <color indexed="81"/>
            <rFont val="Tahoma"/>
            <family val="2"/>
          </rPr>
          <t xml:space="preserve">
Restated 1H19</t>
        </r>
      </text>
    </comment>
    <comment ref="CV288" authorId="1" shapeId="0" xr:uid="{3C78C9C8-2F75-4CA5-85C1-DF03E201F6EE}">
      <text>
        <r>
          <rPr>
            <b/>
            <sz val="9"/>
            <color indexed="81"/>
            <rFont val="Tahoma"/>
            <family val="2"/>
          </rPr>
          <t>Hong, Sally (Research):</t>
        </r>
        <r>
          <rPr>
            <sz val="9"/>
            <color indexed="81"/>
            <rFont val="Tahoma"/>
            <family val="2"/>
          </rPr>
          <t xml:space="preserve">
Aus Retail and Commercial TDs up $10bn in the 1Q23</t>
        </r>
      </text>
    </comment>
    <comment ref="DA288" authorId="1" shapeId="0" xr:uid="{694C7B01-ED54-4695-8F74-8CAE1965C710}">
      <text>
        <r>
          <rPr>
            <b/>
            <sz val="9"/>
            <color indexed="81"/>
            <rFont val="Tahoma"/>
            <family val="2"/>
          </rPr>
          <t>Hong, Sally (Research):</t>
        </r>
        <r>
          <rPr>
            <sz val="9"/>
            <color indexed="81"/>
            <rFont val="Tahoma"/>
            <family val="2"/>
          </rPr>
          <t xml:space="preserve">
SUN Bank Acquisition + A$15bn term deposits
Page 52 1H24 SUN Investor Pack</t>
        </r>
      </text>
    </comment>
    <comment ref="DA289" authorId="1" shapeId="0" xr:uid="{584B5E58-00F7-458B-A95F-E21764358725}">
      <text>
        <r>
          <rPr>
            <b/>
            <sz val="9"/>
            <color indexed="81"/>
            <rFont val="Tahoma"/>
            <family val="2"/>
          </rPr>
          <t>Hong, Sally (Research):</t>
        </r>
        <r>
          <rPr>
            <sz val="9"/>
            <color indexed="81"/>
            <rFont val="Tahoma"/>
            <family val="2"/>
          </rPr>
          <t xml:space="preserve">
SUN Bank Acquisition +A$19.5bn transaction accounts
</t>
        </r>
        <r>
          <rPr>
            <b/>
            <sz val="9"/>
            <color indexed="81"/>
            <rFont val="Tahoma"/>
            <family val="2"/>
          </rPr>
          <t>Page 52 1H24 SUN Investor Pack</t>
        </r>
      </text>
    </comment>
    <comment ref="CV290" authorId="1" shapeId="0" xr:uid="{5A06B03B-EF5C-4579-AFF4-27CB09F3B11C}">
      <text>
        <r>
          <rPr>
            <b/>
            <sz val="9"/>
            <color indexed="81"/>
            <rFont val="Tahoma"/>
            <family val="2"/>
          </rPr>
          <t>Hong, Sally (Research):</t>
        </r>
        <r>
          <rPr>
            <sz val="9"/>
            <color indexed="81"/>
            <rFont val="Tahoma"/>
            <family val="2"/>
          </rPr>
          <t xml:space="preserve">
Savings down -4% over 1Q23 in Aus Retail and Commercial</t>
        </r>
      </text>
    </comment>
    <comment ref="DA290" authorId="1" shapeId="0" xr:uid="{8091DF7D-0FFC-4161-A45B-A7B69CC83E0D}">
      <text>
        <r>
          <rPr>
            <b/>
            <sz val="9"/>
            <color indexed="81"/>
            <rFont val="Tahoma"/>
            <family val="2"/>
          </rPr>
          <t>Hong, Sally (Research):</t>
        </r>
        <r>
          <rPr>
            <sz val="9"/>
            <color indexed="81"/>
            <rFont val="Tahoma"/>
            <family val="2"/>
          </rPr>
          <t xml:space="preserve">
SUN Bank Acquisition +A$17.5bn At-call Savings
</t>
        </r>
        <r>
          <rPr>
            <b/>
            <sz val="9"/>
            <color indexed="81"/>
            <rFont val="Tahoma"/>
            <family val="2"/>
          </rPr>
          <t>Page 52 1H24 SUN Investor Pack</t>
        </r>
      </text>
    </comment>
    <comment ref="CB370" authorId="0" shapeId="0" xr:uid="{00000000-0006-0000-0400-000065000000}">
      <text>
        <r>
          <rPr>
            <b/>
            <sz val="9"/>
            <color indexed="81"/>
            <rFont val="Tahoma"/>
            <family val="2"/>
          </rPr>
          <t>O'Neill, Emilie (Research):</t>
        </r>
        <r>
          <rPr>
            <sz val="9"/>
            <color indexed="81"/>
            <rFont val="Tahoma"/>
            <family val="2"/>
          </rPr>
          <t xml:space="preserve">
Restated 1H19</t>
        </r>
      </text>
    </comment>
    <comment ref="CC370" authorId="0" shapeId="0" xr:uid="{00000000-0006-0000-0400-000066000000}">
      <text>
        <r>
          <rPr>
            <b/>
            <sz val="9"/>
            <color indexed="81"/>
            <rFont val="Tahoma"/>
            <family val="2"/>
          </rPr>
          <t>O'Neill, Emilie (Research):</t>
        </r>
        <r>
          <rPr>
            <sz val="9"/>
            <color indexed="81"/>
            <rFont val="Tahoma"/>
            <family val="2"/>
          </rPr>
          <t xml:space="preserve">
Restated 2H19</t>
        </r>
      </text>
    </comment>
    <comment ref="CF370" authorId="0" shapeId="0" xr:uid="{00000000-0006-0000-0400-000067000000}">
      <text>
        <r>
          <rPr>
            <b/>
            <sz val="9"/>
            <color indexed="81"/>
            <rFont val="Tahoma"/>
            <family val="2"/>
          </rPr>
          <t>O'Neill, Emilie (Research):</t>
        </r>
        <r>
          <rPr>
            <sz val="9"/>
            <color indexed="81"/>
            <rFont val="Tahoma"/>
            <family val="2"/>
          </rPr>
          <t xml:space="preserve">
Restated 2H19</t>
        </r>
      </text>
    </comment>
    <comment ref="CV370" authorId="1" shapeId="0" xr:uid="{D1807C2D-ED3A-4A29-ACD3-1814C13424FA}">
      <text>
        <r>
          <rPr>
            <b/>
            <sz val="9"/>
            <color indexed="81"/>
            <rFont val="Tahoma"/>
            <family val="2"/>
          </rPr>
          <t>Hong, Sally (Research):</t>
        </r>
        <r>
          <rPr>
            <sz val="9"/>
            <color indexed="81"/>
            <rFont val="Tahoma"/>
            <family val="2"/>
          </rPr>
          <t xml:space="preserve">
Restated in 1H24</t>
        </r>
      </text>
    </comment>
    <comment ref="CW370" authorId="1" shapeId="0" xr:uid="{5D27B022-A608-48B3-88FD-6B4CD112B310}">
      <text>
        <r>
          <rPr>
            <b/>
            <sz val="9"/>
            <color indexed="81"/>
            <rFont val="Tahoma"/>
            <family val="2"/>
          </rPr>
          <t>Hong, Sally (Research):</t>
        </r>
        <r>
          <rPr>
            <sz val="9"/>
            <color indexed="81"/>
            <rFont val="Tahoma"/>
            <family val="2"/>
          </rPr>
          <t xml:space="preserve">
Restated in 1H24</t>
        </r>
      </text>
    </comment>
    <comment ref="CG374" authorId="5" shapeId="0" xr:uid="{00000000-0006-0000-0400-000068000000}">
      <text>
        <r>
          <rPr>
            <b/>
            <sz val="9"/>
            <color indexed="81"/>
            <rFont val="Tahoma"/>
            <family val="2"/>
          </rPr>
          <t>Stadnik, Andrei (Research):</t>
        </r>
        <r>
          <rPr>
            <sz val="9"/>
            <color indexed="81"/>
            <rFont val="Tahoma"/>
            <family val="2"/>
          </rPr>
          <t xml:space="preserve">
balance sheet</t>
        </r>
      </text>
    </comment>
    <comment ref="CG375" authorId="5" shapeId="0" xr:uid="{00000000-0006-0000-0400-000069000000}">
      <text>
        <r>
          <rPr>
            <b/>
            <sz val="9"/>
            <color indexed="81"/>
            <rFont val="Tahoma"/>
            <family val="2"/>
          </rPr>
          <t>Stadnik, Andrei (Research):</t>
        </r>
        <r>
          <rPr>
            <sz val="9"/>
            <color indexed="81"/>
            <rFont val="Tahoma"/>
            <family val="2"/>
          </rPr>
          <t xml:space="preserve">
funding page 45 of 2h19 4E</t>
        </r>
      </text>
    </comment>
    <comment ref="CJ375" authorId="6" shapeId="0" xr:uid="{00000000-0006-0000-0400-00006A000000}">
      <text>
        <r>
          <rPr>
            <b/>
            <sz val="9"/>
            <color indexed="81"/>
            <rFont val="Tahoma"/>
            <family val="2"/>
          </rPr>
          <t>Fernandes, Sona F (Research):</t>
        </r>
        <r>
          <rPr>
            <sz val="9"/>
            <color indexed="81"/>
            <rFont val="Tahoma"/>
            <family val="2"/>
          </rPr>
          <t xml:space="preserve">
Funding including discontinued operations - page 41</t>
        </r>
      </text>
    </comment>
    <comment ref="CK375" authorId="6" shapeId="0" xr:uid="{00000000-0006-0000-0400-00006B000000}">
      <text>
        <r>
          <rPr>
            <b/>
            <sz val="9"/>
            <color indexed="81"/>
            <rFont val="Tahoma"/>
            <family val="2"/>
          </rPr>
          <t>Fernandes, Sona F (Research):</t>
        </r>
        <r>
          <rPr>
            <sz val="9"/>
            <color indexed="81"/>
            <rFont val="Tahoma"/>
            <family val="2"/>
          </rPr>
          <t xml:space="preserve">
Funding including discontinued operations - page 44</t>
        </r>
      </text>
    </comment>
    <comment ref="CN375" authorId="6" shapeId="0" xr:uid="{00000000-0006-0000-0400-00006C000000}">
      <text>
        <r>
          <rPr>
            <b/>
            <sz val="9"/>
            <color indexed="81"/>
            <rFont val="Tahoma"/>
            <family val="2"/>
          </rPr>
          <t>Fernandes, Sona F (Research):</t>
        </r>
        <r>
          <rPr>
            <sz val="9"/>
            <color indexed="81"/>
            <rFont val="Tahoma"/>
            <family val="2"/>
          </rPr>
          <t xml:space="preserve">
Funding including discontinued operations - page 41
</t>
        </r>
      </text>
    </comment>
    <comment ref="CO375" authorId="6" shapeId="0" xr:uid="{00000000-0006-0000-0400-00006D000000}">
      <text>
        <r>
          <rPr>
            <b/>
            <sz val="9"/>
            <color indexed="81"/>
            <rFont val="Tahoma"/>
            <family val="2"/>
          </rPr>
          <t>Wiles (Research):</t>
        </r>
        <r>
          <rPr>
            <sz val="9"/>
            <color indexed="81"/>
            <rFont val="Tahoma"/>
            <family val="2"/>
          </rPr>
          <t xml:space="preserve">
Funding including discontinued operations - FY21 page 44</t>
        </r>
      </text>
    </comment>
    <comment ref="CR375" authorId="1" shapeId="0" xr:uid="{00000000-0006-0000-0400-00006E000000}">
      <text>
        <r>
          <rPr>
            <b/>
            <sz val="9"/>
            <color indexed="81"/>
            <rFont val="Tahoma"/>
            <family val="2"/>
          </rPr>
          <t>Hong, Sally (Research):</t>
        </r>
        <r>
          <rPr>
            <sz val="9"/>
            <color indexed="81"/>
            <rFont val="Tahoma"/>
            <family val="2"/>
          </rPr>
          <t xml:space="preserve">
Page 41 of the !h22 Results 4D of the Funding (incl Discontinued operations)</t>
        </r>
      </text>
    </comment>
    <comment ref="CS375" authorId="1" shapeId="0" xr:uid="{ED2A5077-11C8-4E5B-9512-A9DC00C01E61}">
      <text>
        <r>
          <rPr>
            <b/>
            <sz val="9"/>
            <color indexed="81"/>
            <rFont val="Tahoma"/>
            <family val="2"/>
          </rPr>
          <t>Hong, Sally (Research):</t>
        </r>
        <r>
          <rPr>
            <sz val="9"/>
            <color indexed="81"/>
            <rFont val="Tahoma"/>
            <family val="2"/>
          </rPr>
          <t xml:space="preserve">
Page 44 of the FY22 Results 4E of the Funding (incl Discontinued operations)</t>
        </r>
      </text>
    </comment>
    <comment ref="CV375" authorId="1" shapeId="0" xr:uid="{721BCCAE-3507-4153-8D14-6BF96BB41F19}">
      <text>
        <r>
          <rPr>
            <b/>
            <sz val="9"/>
            <color indexed="81"/>
            <rFont val="Tahoma"/>
            <family val="2"/>
          </rPr>
          <t>Hong, Sally (Research):</t>
        </r>
        <r>
          <rPr>
            <sz val="9"/>
            <color indexed="81"/>
            <rFont val="Tahoma"/>
            <family val="2"/>
          </rPr>
          <t xml:space="preserve">
Page 42 1H23 4D</t>
        </r>
      </text>
    </comment>
    <comment ref="CJ376" authorId="6" shapeId="0" xr:uid="{00000000-0006-0000-0400-00006F000000}">
      <text>
        <r>
          <rPr>
            <b/>
            <sz val="9"/>
            <color indexed="81"/>
            <rFont val="Tahoma"/>
            <family val="2"/>
          </rPr>
          <t>Fernandes, Sona F (Research):</t>
        </r>
        <r>
          <rPr>
            <sz val="9"/>
            <color indexed="81"/>
            <rFont val="Tahoma"/>
            <family val="2"/>
          </rPr>
          <t xml:space="preserve">
Funding including discontinued operations - page 41</t>
        </r>
      </text>
    </comment>
    <comment ref="CK376" authorId="6" shapeId="0" xr:uid="{00000000-0006-0000-0400-000070000000}">
      <text>
        <r>
          <rPr>
            <b/>
            <sz val="9"/>
            <color indexed="81"/>
            <rFont val="Tahoma"/>
            <family val="2"/>
          </rPr>
          <t>Fernandes, Sona F (Research):</t>
        </r>
        <r>
          <rPr>
            <sz val="9"/>
            <color indexed="81"/>
            <rFont val="Tahoma"/>
            <family val="2"/>
          </rPr>
          <t xml:space="preserve">
Funding including discontinued operations - page 44</t>
        </r>
      </text>
    </comment>
    <comment ref="CN376" authorId="6" shapeId="0" xr:uid="{00000000-0006-0000-0400-000071000000}">
      <text>
        <r>
          <rPr>
            <b/>
            <sz val="9"/>
            <color indexed="81"/>
            <rFont val="Tahoma"/>
            <family val="2"/>
          </rPr>
          <t>Fernandes, Sona F (Research):</t>
        </r>
        <r>
          <rPr>
            <sz val="9"/>
            <color indexed="81"/>
            <rFont val="Tahoma"/>
            <family val="2"/>
          </rPr>
          <t xml:space="preserve">
Funding including discontinued operations - page 41
</t>
        </r>
      </text>
    </comment>
    <comment ref="CO376" authorId="6" shapeId="0" xr:uid="{00000000-0006-0000-0400-000072000000}">
      <text>
        <r>
          <rPr>
            <b/>
            <sz val="9"/>
            <color indexed="81"/>
            <rFont val="Tahoma"/>
            <family val="2"/>
          </rPr>
          <t>Wiles (Research):</t>
        </r>
        <r>
          <rPr>
            <sz val="9"/>
            <color indexed="81"/>
            <rFont val="Tahoma"/>
            <family val="2"/>
          </rPr>
          <t xml:space="preserve">
Funding including discontinued operations - FY21 page 44</t>
        </r>
      </text>
    </comment>
    <comment ref="CR376" authorId="1" shapeId="0" xr:uid="{00000000-0006-0000-0400-000073000000}">
      <text>
        <r>
          <rPr>
            <b/>
            <sz val="9"/>
            <color indexed="81"/>
            <rFont val="Tahoma"/>
            <family val="2"/>
          </rPr>
          <t>Hong, Sally (Research):</t>
        </r>
        <r>
          <rPr>
            <sz val="9"/>
            <color indexed="81"/>
            <rFont val="Tahoma"/>
            <family val="2"/>
          </rPr>
          <t xml:space="preserve">
Page 41 of the !h22 Results 4D of the Funding (incl Discontinued operations)</t>
        </r>
      </text>
    </comment>
    <comment ref="CS376" authorId="1" shapeId="0" xr:uid="{BA119E10-EB71-451B-9543-715E9BA756AF}">
      <text>
        <r>
          <rPr>
            <b/>
            <sz val="9"/>
            <color indexed="81"/>
            <rFont val="Tahoma"/>
            <family val="2"/>
          </rPr>
          <t>Hong, Sally (Research):</t>
        </r>
        <r>
          <rPr>
            <sz val="9"/>
            <color indexed="81"/>
            <rFont val="Tahoma"/>
            <family val="2"/>
          </rPr>
          <t xml:space="preserve">
Page 44 of the FY22 Results 4E of the Funding (incl Discontinued operations)</t>
        </r>
      </text>
    </comment>
    <comment ref="CV376" authorId="1" shapeId="0" xr:uid="{3D8F2A04-0D77-4B07-A564-0C1BB7EC27A7}">
      <text>
        <r>
          <rPr>
            <b/>
            <sz val="9"/>
            <color indexed="81"/>
            <rFont val="Tahoma"/>
            <family val="2"/>
          </rPr>
          <t>Hong, Sally (Research):</t>
        </r>
        <r>
          <rPr>
            <sz val="9"/>
            <color indexed="81"/>
            <rFont val="Tahoma"/>
            <family val="2"/>
          </rPr>
          <t xml:space="preserve">
Page 42 1H23 4D</t>
        </r>
      </text>
    </comment>
    <comment ref="CB378" authorId="0" shapeId="0" xr:uid="{00000000-0006-0000-0400-000074000000}">
      <text>
        <r>
          <rPr>
            <b/>
            <sz val="9"/>
            <color indexed="81"/>
            <rFont val="Tahoma"/>
            <family val="2"/>
          </rPr>
          <t>O'Neill, Emilie (Research):</t>
        </r>
        <r>
          <rPr>
            <sz val="9"/>
            <color indexed="81"/>
            <rFont val="Tahoma"/>
            <family val="2"/>
          </rPr>
          <t xml:space="preserve">
Restated 1H19</t>
        </r>
      </text>
    </comment>
    <comment ref="CC378" authorId="0" shapeId="0" xr:uid="{00000000-0006-0000-0400-000075000000}">
      <text>
        <r>
          <rPr>
            <b/>
            <sz val="9"/>
            <color indexed="81"/>
            <rFont val="Tahoma"/>
            <family val="2"/>
          </rPr>
          <t>O'Neill, Emilie (Research):</t>
        </r>
        <r>
          <rPr>
            <sz val="9"/>
            <color indexed="81"/>
            <rFont val="Tahoma"/>
            <family val="2"/>
          </rPr>
          <t xml:space="preserve">
Restated 1H19</t>
        </r>
      </text>
    </comment>
    <comment ref="CV378" authorId="1" shapeId="0" xr:uid="{DDE4FA42-1DE5-4EA4-B78A-724A8B143211}">
      <text>
        <r>
          <rPr>
            <b/>
            <sz val="9"/>
            <color indexed="81"/>
            <rFont val="Tahoma"/>
            <family val="2"/>
          </rPr>
          <t>Hong, Sally (Research):</t>
        </r>
        <r>
          <rPr>
            <sz val="9"/>
            <color indexed="81"/>
            <rFont val="Tahoma"/>
            <family val="2"/>
          </rPr>
          <t xml:space="preserve">
Restated in 1H24</t>
        </r>
      </text>
    </comment>
    <comment ref="CW378" authorId="1" shapeId="0" xr:uid="{38610681-D60B-4865-AC94-F520BFE7BA4E}">
      <text>
        <r>
          <rPr>
            <b/>
            <sz val="9"/>
            <color indexed="81"/>
            <rFont val="Tahoma"/>
            <family val="2"/>
          </rPr>
          <t>Hong, Sally (Research):</t>
        </r>
        <r>
          <rPr>
            <sz val="9"/>
            <color indexed="81"/>
            <rFont val="Tahoma"/>
            <family val="2"/>
          </rPr>
          <t xml:space="preserve">
Restated in 1H24</t>
        </r>
      </text>
    </comment>
    <comment ref="DA386" authorId="1" shapeId="0" xr:uid="{3CD68250-6D6B-4614-93BB-BBCEAB2FD6BF}">
      <text>
        <r>
          <rPr>
            <b/>
            <sz val="9"/>
            <color indexed="81"/>
            <rFont val="Tahoma"/>
            <family val="2"/>
          </rPr>
          <t>Hong, Sally (Research):</t>
        </r>
        <r>
          <rPr>
            <sz val="9"/>
            <color indexed="81"/>
            <rFont val="Tahoma"/>
            <family val="2"/>
          </rPr>
          <t xml:space="preserve">
SUN Bank Acquisition:
- Deduct A$5.2bn Cash 
- Increase Other assets  by A$14bn</t>
        </r>
      </text>
    </comment>
    <comment ref="A392" authorId="4" shapeId="0" xr:uid="{00000000-0006-0000-0400-000076000000}">
      <text>
        <r>
          <rPr>
            <b/>
            <sz val="8"/>
            <color indexed="81"/>
            <rFont val="Tahoma"/>
            <family val="2"/>
          </rPr>
          <t>Dunger:</t>
        </r>
        <r>
          <rPr>
            <sz val="8"/>
            <color indexed="81"/>
            <rFont val="Tahoma"/>
            <family val="2"/>
          </rPr>
          <t xml:space="preserve">
Investments relating to Life Insurance business</t>
        </r>
      </text>
    </comment>
    <comment ref="DA396" authorId="1" shapeId="0" xr:uid="{032D3777-F7E9-4B1A-9D02-0E59EF7CD062}">
      <text>
        <r>
          <rPr>
            <b/>
            <sz val="9"/>
            <color indexed="81"/>
            <rFont val="Tahoma"/>
            <family val="2"/>
          </rPr>
          <t>Hong, Sally (Research):</t>
        </r>
        <r>
          <rPr>
            <sz val="9"/>
            <color indexed="81"/>
            <rFont val="Tahoma"/>
            <family val="2"/>
          </rPr>
          <t xml:space="preserve">
Add in Goodwill from SUN Bank Acquisition A$1.3bn</t>
        </r>
      </text>
    </comment>
    <comment ref="A398" authorId="3" shapeId="0" xr:uid="{00000000-0006-0000-0400-000077000000}">
      <text>
        <r>
          <rPr>
            <b/>
            <sz val="9"/>
            <color indexed="81"/>
            <rFont val="Tahoma"/>
            <family val="2"/>
          </rPr>
          <t>Wiles, Richard (Research):</t>
        </r>
        <r>
          <rPr>
            <sz val="9"/>
            <color indexed="81"/>
            <rFont val="Tahoma"/>
            <family val="2"/>
          </rPr>
          <t xml:space="preserve">
Other intangible assets comprises: aligned advisor relationships, distribution agreements and management fee rights, acquired portfolio of Insurance and Investment business and other intangibles</t>
        </r>
      </text>
    </comment>
    <comment ref="DA398" authorId="1" shapeId="0" xr:uid="{62FA5C62-68B2-4B31-A951-A66BC3F56423}">
      <text>
        <r>
          <rPr>
            <b/>
            <sz val="9"/>
            <color indexed="81"/>
            <rFont val="Tahoma"/>
            <family val="2"/>
          </rPr>
          <t>Hong, Sally (Research):</t>
        </r>
        <r>
          <rPr>
            <sz val="9"/>
            <color indexed="81"/>
            <rFont val="Tahoma"/>
            <family val="2"/>
          </rPr>
          <t xml:space="preserve">
Add in Goodwill from SUN Bank Acquisition A$1.3bn</t>
        </r>
      </text>
    </comment>
    <comment ref="BN403" authorId="2" shapeId="0" xr:uid="{00000000-0006-0000-0400-000078000000}">
      <text>
        <r>
          <rPr>
            <b/>
            <sz val="9"/>
            <color indexed="81"/>
            <rFont val="Tahoma"/>
            <family val="2"/>
          </rPr>
          <t>Dunger, Matt (Research):</t>
        </r>
        <r>
          <rPr>
            <sz val="9"/>
            <color indexed="81"/>
            <rFont val="Tahoma"/>
            <family val="2"/>
          </rPr>
          <t xml:space="preserve">
Note 18, p116 of 2014 AR</t>
        </r>
      </text>
    </comment>
    <comment ref="BR403" authorId="2" shapeId="0" xr:uid="{00000000-0006-0000-0400-000079000000}">
      <text>
        <r>
          <rPr>
            <b/>
            <sz val="9"/>
            <color indexed="81"/>
            <rFont val="Tahoma"/>
            <family val="2"/>
          </rPr>
          <t>Dunger, Matt (Research):</t>
        </r>
        <r>
          <rPr>
            <sz val="9"/>
            <color indexed="81"/>
            <rFont val="Tahoma"/>
            <family val="2"/>
          </rPr>
          <t xml:space="preserve">
Note 18, p116 of 2014 AR</t>
        </r>
      </text>
    </comment>
    <comment ref="BV403" authorId="2" shapeId="0" xr:uid="{00000000-0006-0000-0400-00007A000000}">
      <text>
        <r>
          <rPr>
            <b/>
            <sz val="9"/>
            <color indexed="81"/>
            <rFont val="Tahoma"/>
            <family val="2"/>
          </rPr>
          <t>Dunger, Matt (Research):</t>
        </r>
        <r>
          <rPr>
            <sz val="9"/>
            <color indexed="81"/>
            <rFont val="Tahoma"/>
            <family val="2"/>
          </rPr>
          <t xml:space="preserve">
Note 18, p116 of 2014 AR</t>
        </r>
      </text>
    </comment>
    <comment ref="CF403" authorId="3" shapeId="0" xr:uid="{00000000-0006-0000-0400-00007B000000}">
      <text>
        <r>
          <rPr>
            <b/>
            <sz val="9"/>
            <color indexed="81"/>
            <rFont val="Tahoma"/>
            <family val="2"/>
          </rPr>
          <t xml:space="preserve">Wiles, Richard (Research):
</t>
        </r>
        <r>
          <rPr>
            <sz val="9"/>
            <color indexed="81"/>
            <rFont val="Tahoma"/>
            <family val="2"/>
          </rPr>
          <t>From IR, but included in annual report at FY</t>
        </r>
      </text>
    </comment>
    <comment ref="CJ403" authorId="3" shapeId="0" xr:uid="{00000000-0006-0000-0400-00007C000000}">
      <text>
        <r>
          <rPr>
            <b/>
            <sz val="9"/>
            <color indexed="81"/>
            <rFont val="Tahoma"/>
            <family val="2"/>
          </rPr>
          <t xml:space="preserve">Wiles, Richard (Research):
</t>
        </r>
        <r>
          <rPr>
            <sz val="9"/>
            <color indexed="81"/>
            <rFont val="Tahoma"/>
            <family val="2"/>
          </rPr>
          <t>From IR, but included in annual report at FY</t>
        </r>
      </text>
    </comment>
    <comment ref="CL403" authorId="3" shapeId="0" xr:uid="{00000000-0006-0000-0400-00007D000000}">
      <text>
        <r>
          <rPr>
            <b/>
            <sz val="9"/>
            <color indexed="81"/>
            <rFont val="Tahoma"/>
            <family val="2"/>
          </rPr>
          <t>Wiles, Richard (Research):</t>
        </r>
        <r>
          <rPr>
            <sz val="9"/>
            <color indexed="81"/>
            <rFont val="Tahoma"/>
            <family val="2"/>
          </rPr>
          <t xml:space="preserve">
FY21 page 210
Includes:
(A$77m) goodwill write-down in 2H20 included in notable items
(A$124m) disposal 
(A$2m) FX</t>
        </r>
      </text>
    </comment>
    <comment ref="CN403" authorId="3" shapeId="0" xr:uid="{00000000-0006-0000-0400-00007E000000}">
      <text>
        <r>
          <rPr>
            <b/>
            <sz val="9"/>
            <color indexed="81"/>
            <rFont val="Tahoma"/>
            <family val="2"/>
          </rPr>
          <t>Wiles, Richard (Research):</t>
        </r>
        <r>
          <rPr>
            <sz val="9"/>
            <color indexed="81"/>
            <rFont val="Tahoma"/>
            <family val="2"/>
          </rPr>
          <t xml:space="preserve">
A$135m goodwill impairment on Ambank and A$238m on ANZ share Investing (announced 30/4/21)</t>
        </r>
      </text>
    </comment>
    <comment ref="CP403" authorId="3" shapeId="0" xr:uid="{00000000-0006-0000-0400-00007F000000}">
      <text>
        <r>
          <rPr>
            <b/>
            <sz val="9"/>
            <color indexed="81"/>
            <rFont val="Tahoma"/>
            <family val="2"/>
          </rPr>
          <t>Wiles, Richard (Research):</t>
        </r>
        <r>
          <rPr>
            <sz val="9"/>
            <color indexed="81"/>
            <rFont val="Tahoma"/>
            <family val="2"/>
          </rPr>
          <t xml:space="preserve">
FY21 page 210
Includes:
(A$251) goodwill impairment
(A$13m) disposal 
A$89m FX</t>
        </r>
      </text>
    </comment>
    <comment ref="CR403" authorId="1" shapeId="0" xr:uid="{00000000-0006-0000-0400-000080000000}">
      <text>
        <r>
          <rPr>
            <b/>
            <sz val="9"/>
            <color indexed="81"/>
            <rFont val="Tahoma"/>
            <family val="2"/>
          </rPr>
          <t>Hong, Sally (Research):</t>
        </r>
        <r>
          <rPr>
            <sz val="9"/>
            <color indexed="81"/>
            <rFont val="Tahoma"/>
            <family val="2"/>
          </rPr>
          <t xml:space="preserve">
Page 87 of the 1H22 Results 4D - Goodwill balance = $3,062m</t>
        </r>
      </text>
    </comment>
    <comment ref="DA403" authorId="1" shapeId="0" xr:uid="{FDA13B8B-6E44-4E33-A082-AC1DD69061FB}">
      <text>
        <r>
          <rPr>
            <b/>
            <sz val="9"/>
            <color indexed="81"/>
            <rFont val="Tahoma"/>
            <family val="2"/>
          </rPr>
          <t>Hong, Sally (Research):</t>
        </r>
        <r>
          <rPr>
            <sz val="9"/>
            <color indexed="81"/>
            <rFont val="Tahoma"/>
            <family val="2"/>
          </rPr>
          <t xml:space="preserve">
Add in Goodwill from SUN Bank Acquisition A$1.252bn
ASX 28/10/24 - Reduction of A$244 pre tax (171 post tax) when estbalishign an ECL allowance for the performing loans for SUN portfolio.
ANZ could not recognise the existing Suncorp Bank ECL under accounting rules, the initial carrying value for that portfolio increased, leading to a proportional reduction in acquisition-related goodwill.</t>
        </r>
      </text>
    </comment>
    <comment ref="DD403" authorId="1" shapeId="0" xr:uid="{FC6F4999-1AF4-43CE-AB2D-856355B26945}">
      <text>
        <r>
          <rPr>
            <b/>
            <sz val="9"/>
            <color indexed="81"/>
            <rFont val="Tahoma"/>
            <family val="2"/>
          </rPr>
          <t>Hong, Sally (Research):</t>
        </r>
        <r>
          <rPr>
            <sz val="9"/>
            <color indexed="81"/>
            <rFont val="Tahoma"/>
            <family val="2"/>
          </rPr>
          <t xml:space="preserve">
Includes AA$197m goodwill reduction related to Suncorp bank acquisition . 
</t>
        </r>
        <r>
          <rPr>
            <b/>
            <sz val="9"/>
            <color indexed="81"/>
            <rFont val="Tahoma"/>
            <family val="2"/>
          </rPr>
          <t>Page 8 1H25 Appendix 4D</t>
        </r>
      </text>
    </comment>
    <comment ref="CB407" authorId="3" shapeId="0" xr:uid="{00000000-0006-0000-0400-000081000000}">
      <text>
        <r>
          <rPr>
            <b/>
            <sz val="9"/>
            <color indexed="81"/>
            <rFont val="Tahoma"/>
            <family val="2"/>
          </rPr>
          <t xml:space="preserve">Wiles, Richard (Research):
</t>
        </r>
        <r>
          <rPr>
            <sz val="9"/>
            <color indexed="81"/>
            <rFont val="Tahoma"/>
            <family val="2"/>
          </rPr>
          <t>From IR, but included in annual report at FY</t>
        </r>
      </text>
    </comment>
    <comment ref="BX409" authorId="0" shapeId="0" xr:uid="{00000000-0006-0000-0400-000082000000}">
      <text>
        <r>
          <rPr>
            <b/>
            <sz val="9"/>
            <color indexed="81"/>
            <rFont val="Tahoma"/>
            <family val="2"/>
          </rPr>
          <t>O'Neill, Emilie (Research):</t>
        </r>
        <r>
          <rPr>
            <sz val="9"/>
            <color indexed="81"/>
            <rFont val="Tahoma"/>
            <family val="2"/>
          </rPr>
          <t xml:space="preserve">
Restated for continuing operations 1H18</t>
        </r>
      </text>
    </comment>
    <comment ref="CO410" authorId="3" shapeId="0" xr:uid="{00000000-0006-0000-0400-000083000000}">
      <text>
        <r>
          <rPr>
            <b/>
            <sz val="9"/>
            <color indexed="81"/>
            <rFont val="Tahoma"/>
            <family val="2"/>
          </rPr>
          <t>Wiles, Richard (Research):</t>
        </r>
        <r>
          <rPr>
            <sz val="9"/>
            <color indexed="81"/>
            <rFont val="Tahoma"/>
            <family val="2"/>
          </rPr>
          <t xml:space="preserve">
refer FY21 page 30</t>
        </r>
      </text>
    </comment>
    <comment ref="BX411" authorId="0" shapeId="0" xr:uid="{00000000-0006-0000-0400-000084000000}">
      <text>
        <r>
          <rPr>
            <b/>
            <sz val="9"/>
            <color indexed="81"/>
            <rFont val="Tahoma"/>
            <family val="2"/>
          </rPr>
          <t>O'Neill, Emilie (Research):</t>
        </r>
        <r>
          <rPr>
            <sz val="9"/>
            <color indexed="81"/>
            <rFont val="Tahoma"/>
            <family val="2"/>
          </rPr>
          <t xml:space="preserve">
Restated 1H18</t>
        </r>
      </text>
    </comment>
    <comment ref="BY411" authorId="0" shapeId="0" xr:uid="{00000000-0006-0000-0400-000085000000}">
      <text>
        <r>
          <rPr>
            <b/>
            <sz val="9"/>
            <color indexed="81"/>
            <rFont val="Tahoma"/>
            <family val="2"/>
          </rPr>
          <t>O'Neill, Emilie (Research):</t>
        </r>
        <r>
          <rPr>
            <sz val="9"/>
            <color indexed="81"/>
            <rFont val="Tahoma"/>
            <family val="2"/>
          </rPr>
          <t xml:space="preserve">
Restated 1H18</t>
        </r>
      </text>
    </comment>
    <comment ref="CV411" authorId="1" shapeId="0" xr:uid="{4FB09317-52BE-4C18-87B3-A6D2C7EC43FA}">
      <text>
        <r>
          <rPr>
            <b/>
            <sz val="9"/>
            <color indexed="81"/>
            <rFont val="Tahoma"/>
            <family val="2"/>
          </rPr>
          <t>Hong, Sally (Research):</t>
        </r>
        <r>
          <rPr>
            <sz val="9"/>
            <color indexed="81"/>
            <rFont val="Tahoma"/>
            <family val="2"/>
          </rPr>
          <t xml:space="preserve">
Page 28 1H23 4D</t>
        </r>
      </text>
    </comment>
    <comment ref="BX412" authorId="0" shapeId="0" xr:uid="{00000000-0006-0000-0400-000086000000}">
      <text>
        <r>
          <rPr>
            <b/>
            <sz val="9"/>
            <color indexed="81"/>
            <rFont val="Tahoma"/>
            <family val="2"/>
          </rPr>
          <t>O'Neill, Emilie (Research):</t>
        </r>
        <r>
          <rPr>
            <sz val="9"/>
            <color indexed="81"/>
            <rFont val="Tahoma"/>
            <family val="2"/>
          </rPr>
          <t xml:space="preserve">
Write down of Asian Retail 154m pg 26 4D</t>
        </r>
      </text>
    </comment>
    <comment ref="CC412" authorId="0" shapeId="0" xr:uid="{00000000-0006-0000-0400-000087000000}">
      <text>
        <r>
          <rPr>
            <b/>
            <sz val="9"/>
            <color indexed="81"/>
            <rFont val="Tahoma"/>
            <family val="2"/>
          </rPr>
          <t>O'Neill, Emilie (Research):</t>
        </r>
        <r>
          <rPr>
            <sz val="9"/>
            <color indexed="81"/>
            <rFont val="Tahoma"/>
            <family val="2"/>
          </rPr>
          <t xml:space="preserve">
includes 251 of accelerated amortisation pg 31 of 4E</t>
        </r>
      </text>
    </comment>
    <comment ref="CZ415" authorId="3" shapeId="0" xr:uid="{0AA04028-6133-441F-8433-6940FC0148C9}">
      <text>
        <r>
          <rPr>
            <b/>
            <sz val="9"/>
            <color indexed="81"/>
            <rFont val="Tahoma"/>
            <family val="2"/>
          </rPr>
          <t>Wiles, Richard (Research):</t>
        </r>
        <r>
          <rPr>
            <sz val="9"/>
            <color indexed="81"/>
            <rFont val="Tahoma"/>
            <family val="2"/>
          </rPr>
          <t xml:space="preserve">
falling amort rate is ANZ is capitalising less than they did in the past</t>
        </r>
      </text>
    </comment>
    <comment ref="CJ418" authorId="3" shapeId="0" xr:uid="{00000000-0006-0000-0400-000088000000}">
      <text>
        <r>
          <rPr>
            <b/>
            <sz val="9"/>
            <color indexed="81"/>
            <rFont val="Tahoma"/>
            <family val="2"/>
          </rPr>
          <t>Wiles, Richard (Research):</t>
        </r>
        <r>
          <rPr>
            <sz val="9"/>
            <color indexed="81"/>
            <rFont val="Tahoma"/>
            <family val="2"/>
          </rPr>
          <t xml:space="preserve">
restated at FY21
refer page 30 and slide 32</t>
        </r>
      </text>
    </comment>
    <comment ref="CK418" authorId="3" shapeId="0" xr:uid="{00000000-0006-0000-0400-000089000000}">
      <text>
        <r>
          <rPr>
            <b/>
            <sz val="9"/>
            <color indexed="81"/>
            <rFont val="Tahoma"/>
            <family val="2"/>
          </rPr>
          <t>Wiles, Richard (Research):</t>
        </r>
        <r>
          <rPr>
            <sz val="9"/>
            <color indexed="81"/>
            <rFont val="Tahoma"/>
            <family val="2"/>
          </rPr>
          <t xml:space="preserve">
restated at FY21
refer page 30 and slide 32</t>
        </r>
      </text>
    </comment>
    <comment ref="CN418" authorId="3" shapeId="0" xr:uid="{00000000-0006-0000-0400-00008A000000}">
      <text>
        <r>
          <rPr>
            <b/>
            <sz val="9"/>
            <color indexed="81"/>
            <rFont val="Tahoma"/>
            <family val="2"/>
          </rPr>
          <t>Wiles, Richard (Research):</t>
        </r>
        <r>
          <rPr>
            <sz val="9"/>
            <color indexed="81"/>
            <rFont val="Tahoma"/>
            <family val="2"/>
          </rPr>
          <t xml:space="preserve">
restated at FY21</t>
        </r>
      </text>
    </comment>
    <comment ref="CR418" authorId="3" shapeId="0" xr:uid="{00000000-0006-0000-0400-00008B000000}">
      <text>
        <r>
          <rPr>
            <b/>
            <sz val="9"/>
            <color indexed="81"/>
            <rFont val="Tahoma"/>
            <family val="2"/>
          </rPr>
          <t>Wiles, Richard (Research):</t>
        </r>
        <r>
          <rPr>
            <sz val="9"/>
            <color indexed="81"/>
            <rFont val="Tahoma"/>
            <family val="2"/>
          </rPr>
          <t xml:space="preserve">
Per FY21:
Investment spend to be higher in FY22 (and higher in 1H22 before coming down in 2H22), with a higher % expensed
A$300m of FY21 investment spend will not be  there by FY23
Per 1H21: 
Expecting higher investment in FY21 and FY22 than in FY20 and FY23 (refer slide 9)</t>
        </r>
      </text>
    </comment>
    <comment ref="CV418" authorId="3" shapeId="0" xr:uid="{00000000-0006-0000-0400-00008D000000}">
      <text>
        <r>
          <rPr>
            <b/>
            <sz val="9"/>
            <color indexed="81"/>
            <rFont val="Tahoma"/>
            <family val="2"/>
          </rPr>
          <t>Wiles, Richard (Research):</t>
        </r>
        <r>
          <rPr>
            <sz val="9"/>
            <color indexed="81"/>
            <rFont val="Tahoma"/>
            <family val="2"/>
          </rPr>
          <t xml:space="preserve">
</t>
        </r>
        <r>
          <rPr>
            <b/>
            <sz val="9"/>
            <color indexed="81"/>
            <rFont val="Tahoma"/>
            <family val="2"/>
          </rPr>
          <t>FY24 result 8/11/24:</t>
        </r>
        <r>
          <rPr>
            <sz val="9"/>
            <color indexed="81"/>
            <rFont val="Tahoma"/>
            <family val="2"/>
          </rPr>
          <t xml:space="preserve">
ANZ redefined investment spend.
FY23 = A$1501m
</t>
        </r>
        <r>
          <rPr>
            <b/>
            <sz val="9"/>
            <color indexed="81"/>
            <rFont val="Tahoma"/>
            <family val="2"/>
          </rPr>
          <t>Previous</t>
        </r>
        <r>
          <rPr>
            <sz val="9"/>
            <color indexed="81"/>
            <rFont val="Tahoma"/>
            <family val="2"/>
          </rPr>
          <t xml:space="preserve">
This is an estimate:
1H23 result: Total investment spend no longer reported. 1H23 ivnestment spend was lower than 2H22 and was ~85% expensed
----
Not disclosed but approx A$1.95 - 2bn in FY23
@ FY22 result: similar / lower investment spend with higher % expensed ... "largely the same change the bank" 
</t>
        </r>
      </text>
    </comment>
    <comment ref="CW418" authorId="3" shapeId="0" xr:uid="{00000000-0006-0000-0400-00008E000000}">
      <text>
        <r>
          <rPr>
            <b/>
            <sz val="9"/>
            <color indexed="81"/>
            <rFont val="Tahoma"/>
            <family val="2"/>
          </rPr>
          <t>Wiles, Richard (Research):</t>
        </r>
        <r>
          <rPr>
            <sz val="9"/>
            <color indexed="81"/>
            <rFont val="Tahoma"/>
            <family val="2"/>
          </rPr>
          <t xml:space="preserve">
Aiming for A$1bn annualised exit rate EXPENSE in FY23
</t>
        </r>
      </text>
    </comment>
    <comment ref="CX418" authorId="3" shapeId="0" xr:uid="{4A52C8C7-8BEE-4CDF-A24A-B65F619E5B3F}">
      <text>
        <r>
          <rPr>
            <b/>
            <sz val="9"/>
            <color indexed="81"/>
            <rFont val="Tahoma"/>
            <family val="2"/>
          </rPr>
          <t>Wiles, Richard (Research):</t>
        </r>
        <r>
          <rPr>
            <sz val="9"/>
            <color indexed="81"/>
            <rFont val="Tahoma"/>
            <family val="2"/>
          </rPr>
          <t xml:space="preserve">
</t>
        </r>
        <r>
          <rPr>
            <b/>
            <sz val="9"/>
            <color indexed="81"/>
            <rFont val="Tahoma"/>
            <family val="2"/>
          </rPr>
          <t>FY24 result 8/11/24:</t>
        </r>
        <r>
          <rPr>
            <sz val="9"/>
            <color indexed="81"/>
            <rFont val="Tahoma"/>
            <family val="2"/>
          </rPr>
          <t xml:space="preserve">
ANZ reclassified about ~500m of investment spend to BAU expenses.
FY23 = A$1501m
</t>
        </r>
        <r>
          <rPr>
            <b/>
            <sz val="9"/>
            <color indexed="81"/>
            <rFont val="Tahoma"/>
            <family val="2"/>
          </rPr>
          <t>Previous:</t>
        </r>
        <r>
          <rPr>
            <sz val="9"/>
            <color indexed="81"/>
            <rFont val="Tahoma"/>
            <family val="2"/>
          </rPr>
          <t xml:space="preserve">
This is an estimate:
1H23 result: Total investment spend no longer reported. 1H23 ivnestment spend was lower than 2H22 and was ~85% expensed
----
Not disclosed but approx A$1.95 - 2bn in FY23
@ FY22 result: similar / lower investment spend with higher % expensed ... "largely the same change the bank" 
</t>
        </r>
      </text>
    </comment>
    <comment ref="CZ418" authorId="3" shapeId="0" xr:uid="{3E0C95D8-0A47-4294-8C5C-18B4E15555C8}">
      <text>
        <r>
          <rPr>
            <b/>
            <sz val="9"/>
            <color indexed="81"/>
            <rFont val="Tahoma"/>
            <family val="2"/>
          </rPr>
          <t>Wiles, Richard (Research):</t>
        </r>
        <r>
          <rPr>
            <sz val="9"/>
            <color indexed="81"/>
            <rFont val="Tahoma"/>
            <family val="2"/>
          </rPr>
          <t xml:space="preserve">
</t>
        </r>
        <r>
          <rPr>
            <b/>
            <sz val="9"/>
            <color indexed="81"/>
            <rFont val="Tahoma"/>
            <family val="2"/>
          </rPr>
          <t>Previous</t>
        </r>
        <r>
          <rPr>
            <sz val="9"/>
            <color indexed="81"/>
            <rFont val="Tahoma"/>
            <family val="2"/>
          </rPr>
          <t xml:space="preserve">
Expect similar investment spend in FY24 (per CFO)</t>
        </r>
      </text>
    </comment>
    <comment ref="DB418" authorId="1" shapeId="0" xr:uid="{A50D1DB9-67F2-4DB8-9435-AAA177F0FBBA}">
      <text>
        <r>
          <rPr>
            <b/>
            <sz val="9"/>
            <color indexed="81"/>
            <rFont val="Tahoma"/>
            <family val="2"/>
          </rPr>
          <t>Hong, Sally (Research):</t>
        </r>
        <r>
          <rPr>
            <sz val="9"/>
            <color indexed="81"/>
            <rFont val="Tahoma"/>
            <family val="2"/>
          </rPr>
          <t xml:space="preserve">
FY24 Result 8/11/24 Slide 28
ANZ reclassified about ~500m of investment spend to BAU expenses.
FY24 = A$1543m
BAU costs = A$495m
FY24 spend using old definition = A$2024m</t>
        </r>
      </text>
    </comment>
    <comment ref="CR419" authorId="1" shapeId="0" xr:uid="{00000000-0006-0000-0400-00008F000000}">
      <text>
        <r>
          <rPr>
            <b/>
            <sz val="9"/>
            <color indexed="81"/>
            <rFont val="Tahoma"/>
            <family val="2"/>
          </rPr>
          <t>Hong, Sally (Research):</t>
        </r>
        <r>
          <rPr>
            <sz val="9"/>
            <color indexed="81"/>
            <rFont val="Tahoma"/>
            <family val="2"/>
          </rPr>
          <t xml:space="preserve">
Page 18 of the 1H22 Results - Investment Spend</t>
        </r>
      </text>
    </comment>
    <comment ref="CS419" authorId="1" shapeId="0" xr:uid="{0876096A-5169-4E99-B178-B98595A88442}">
      <text>
        <r>
          <rPr>
            <b/>
            <sz val="9"/>
            <color indexed="81"/>
            <rFont val="Tahoma"/>
            <family val="2"/>
          </rPr>
          <t>Hong, Sally (Research):</t>
        </r>
        <r>
          <rPr>
            <sz val="9"/>
            <color indexed="81"/>
            <rFont val="Tahoma"/>
            <family val="2"/>
          </rPr>
          <t xml:space="preserve">
Page 30 of the FY22 Results 4E:
Investment expensed and investment capitalised split</t>
        </r>
      </text>
    </comment>
    <comment ref="CN421" authorId="3" shapeId="0" xr:uid="{00000000-0006-0000-0400-000090000000}">
      <text>
        <r>
          <rPr>
            <b/>
            <sz val="9"/>
            <color indexed="81"/>
            <rFont val="Tahoma"/>
            <family val="2"/>
          </rPr>
          <t>Wiles, Richard (Research):</t>
        </r>
        <r>
          <rPr>
            <sz val="9"/>
            <color indexed="81"/>
            <rFont val="Tahoma"/>
            <family val="2"/>
          </rPr>
          <t xml:space="preserve">
21% capitalised per half per FY21 slide 32 … implies A$1,430m expense for FY21 
BUT A$1,289m expensed per slide 30 … 
difference is customer remediation </t>
        </r>
      </text>
    </comment>
    <comment ref="CO421" authorId="3" shapeId="0" xr:uid="{00000000-0006-0000-0400-000091000000}">
      <text>
        <r>
          <rPr>
            <b/>
            <sz val="9"/>
            <color indexed="81"/>
            <rFont val="Tahoma"/>
            <family val="2"/>
          </rPr>
          <t>Wiles, Richard (Research):</t>
        </r>
        <r>
          <rPr>
            <sz val="9"/>
            <color indexed="81"/>
            <rFont val="Tahoma"/>
            <family val="2"/>
          </rPr>
          <t xml:space="preserve">
21% capitalised per half per FY21 slide 32 … implies A$1,430m expense for FY21 
BUT A$1,289m expensed per slide 30 … implies XX% capitalised per half </t>
        </r>
      </text>
    </comment>
    <comment ref="CZ421" authorId="1" shapeId="0" xr:uid="{D991ED67-27DF-4E41-8580-9A8C82DBC37A}">
      <text>
        <r>
          <rPr>
            <b/>
            <sz val="9"/>
            <color indexed="81"/>
            <rFont val="Tahoma"/>
            <family val="2"/>
          </rPr>
          <t>Hong, Sally (Research):</t>
        </r>
        <r>
          <rPr>
            <sz val="9"/>
            <color indexed="81"/>
            <rFont val="Tahoma"/>
            <family val="2"/>
          </rPr>
          <t xml:space="preserve">
Slide 41 1H24 Result Presentation : Opex Rate of 82%</t>
        </r>
      </text>
    </comment>
    <comment ref="CX422" authorId="1" shapeId="0" xr:uid="{72D3172F-BDAC-4738-B6C3-AD9A78B95437}">
      <text>
        <r>
          <rPr>
            <b/>
            <sz val="9"/>
            <color indexed="81"/>
            <rFont val="Tahoma"/>
            <family val="2"/>
          </rPr>
          <t>Hong, Sally (Research):</t>
        </r>
        <r>
          <rPr>
            <sz val="9"/>
            <color indexed="81"/>
            <rFont val="Tahoma"/>
            <family val="2"/>
          </rPr>
          <t xml:space="preserve">
</t>
        </r>
        <r>
          <rPr>
            <b/>
            <sz val="9"/>
            <color indexed="81"/>
            <rFont val="Tahoma"/>
            <family val="2"/>
          </rPr>
          <t>Previous</t>
        </r>
        <r>
          <rPr>
            <sz val="9"/>
            <color indexed="81"/>
            <rFont val="Tahoma"/>
            <family val="2"/>
          </rPr>
          <t xml:space="preserve">
Fy23 Expensed Ratio of 83% as per CEO's comment in result briefing</t>
        </r>
      </text>
    </comment>
    <comment ref="CV426" authorId="1" shapeId="0" xr:uid="{09D4E51A-433F-4C23-8852-A9C2A15B9601}">
      <text>
        <r>
          <rPr>
            <b/>
            <sz val="9"/>
            <color indexed="81"/>
            <rFont val="Tahoma"/>
            <family val="2"/>
          </rPr>
          <t>Hong, Sally (Research):</t>
        </r>
        <r>
          <rPr>
            <sz val="9"/>
            <color indexed="81"/>
            <rFont val="Tahoma"/>
            <family val="2"/>
          </rPr>
          <t xml:space="preserve">
Investment spend and associated notables no longer reported as at 1H23 Result</t>
        </r>
      </text>
    </comment>
    <comment ref="CW426" authorId="1" shapeId="0" xr:uid="{FBA4B8D5-8A18-4580-AED3-9A42535D0FE4}">
      <text>
        <r>
          <rPr>
            <b/>
            <sz val="9"/>
            <color indexed="81"/>
            <rFont val="Tahoma"/>
            <family val="2"/>
          </rPr>
          <t>Hong, Sally (Research):</t>
        </r>
        <r>
          <rPr>
            <sz val="9"/>
            <color indexed="81"/>
            <rFont val="Tahoma"/>
            <family val="2"/>
          </rPr>
          <t xml:space="preserve">
Investment spend and associated notables no longer reported as at 1H23 Result</t>
        </r>
      </text>
    </comment>
    <comment ref="BZ440" authorId="5" shapeId="0" xr:uid="{00000000-0006-0000-0400-000092000000}">
      <text>
        <r>
          <rPr>
            <b/>
            <sz val="9"/>
            <color indexed="81"/>
            <rFont val="Tahoma"/>
            <family val="2"/>
          </rPr>
          <t>Stadnik, Andrei (Research):</t>
        </r>
        <r>
          <rPr>
            <sz val="9"/>
            <color indexed="81"/>
            <rFont val="Tahoma"/>
            <family val="2"/>
          </rPr>
          <t xml:space="preserve">
esimate this to reconcile total funding calculated and report - ie rows 349 and 350</t>
        </r>
      </text>
    </comment>
    <comment ref="CB440" authorId="5" shapeId="0" xr:uid="{00000000-0006-0000-0400-000093000000}">
      <text>
        <r>
          <rPr>
            <b/>
            <sz val="9"/>
            <color indexed="81"/>
            <rFont val="Tahoma"/>
            <family val="2"/>
          </rPr>
          <t>Stadnik, Andrei (Research):</t>
        </r>
        <r>
          <rPr>
            <sz val="9"/>
            <color indexed="81"/>
            <rFont val="Tahoma"/>
            <family val="2"/>
          </rPr>
          <t xml:space="preserve">
esimate this to reconcile total funding calculated and report - ie rows 349 and 350</t>
        </r>
      </text>
    </comment>
    <comment ref="CD440" authorId="5" shapeId="0" xr:uid="{00000000-0006-0000-0400-000094000000}">
      <text>
        <r>
          <rPr>
            <b/>
            <sz val="9"/>
            <color indexed="81"/>
            <rFont val="Tahoma"/>
            <family val="2"/>
          </rPr>
          <t>Stadnik, Andrei (Research):</t>
        </r>
        <r>
          <rPr>
            <sz val="9"/>
            <color indexed="81"/>
            <rFont val="Tahoma"/>
            <family val="2"/>
          </rPr>
          <t xml:space="preserve">
esimate this to reconcile total funding calculated and report - ie rows 349 and 350</t>
        </r>
      </text>
    </comment>
    <comment ref="CF440" authorId="5" shapeId="0" xr:uid="{00000000-0006-0000-0400-000095000000}">
      <text>
        <r>
          <rPr>
            <b/>
            <sz val="9"/>
            <color indexed="81"/>
            <rFont val="Tahoma"/>
            <family val="2"/>
          </rPr>
          <t>Stadnik, Andrei (Research):</t>
        </r>
        <r>
          <rPr>
            <sz val="9"/>
            <color indexed="81"/>
            <rFont val="Tahoma"/>
            <family val="2"/>
          </rPr>
          <t xml:space="preserve">
esimate this to reconcile total funding calculated and report - ie rows 349 and 350</t>
        </r>
      </text>
    </comment>
    <comment ref="CH440" authorId="5" shapeId="0" xr:uid="{00000000-0006-0000-0400-000096000000}">
      <text>
        <r>
          <rPr>
            <b/>
            <sz val="9"/>
            <color indexed="81"/>
            <rFont val="Tahoma"/>
            <family val="2"/>
          </rPr>
          <t>Stadnik, Andrei (Research):</t>
        </r>
        <r>
          <rPr>
            <sz val="9"/>
            <color indexed="81"/>
            <rFont val="Tahoma"/>
            <family val="2"/>
          </rPr>
          <t xml:space="preserve">
esimate this to reconcile total funding calculated and report - ie rows 349 and 350</t>
        </r>
      </text>
    </comment>
    <comment ref="CJ440" authorId="5" shapeId="0" xr:uid="{00000000-0006-0000-0400-000097000000}">
      <text>
        <r>
          <rPr>
            <b/>
            <sz val="9"/>
            <color indexed="81"/>
            <rFont val="Tahoma"/>
            <family val="2"/>
          </rPr>
          <t>Stadnik, Andrei (Research):</t>
        </r>
        <r>
          <rPr>
            <sz val="9"/>
            <color indexed="81"/>
            <rFont val="Tahoma"/>
            <family val="2"/>
          </rPr>
          <t xml:space="preserve">
esimate this to reconcile total funding calculated and report </t>
        </r>
      </text>
    </comment>
    <comment ref="CL440" authorId="5" shapeId="0" xr:uid="{00000000-0006-0000-0400-000098000000}">
      <text>
        <r>
          <rPr>
            <b/>
            <sz val="9"/>
            <color indexed="81"/>
            <rFont val="Tahoma"/>
            <family val="2"/>
          </rPr>
          <t>Stadnik, Andrei (Research):</t>
        </r>
        <r>
          <rPr>
            <sz val="9"/>
            <color indexed="81"/>
            <rFont val="Tahoma"/>
            <family val="2"/>
          </rPr>
          <t xml:space="preserve">
esimate this to reconcile total funding calculated and report </t>
        </r>
      </text>
    </comment>
    <comment ref="CP440" authorId="5" shapeId="0" xr:uid="{00000000-0006-0000-0400-000099000000}">
      <text>
        <r>
          <rPr>
            <b/>
            <sz val="9"/>
            <color indexed="81"/>
            <rFont val="Tahoma"/>
            <family val="2"/>
          </rPr>
          <t>Stadnik, Andrei (Research):</t>
        </r>
        <r>
          <rPr>
            <sz val="9"/>
            <color indexed="81"/>
            <rFont val="Tahoma"/>
            <family val="2"/>
          </rPr>
          <t xml:space="preserve">
esimate this to reconcile total funding calculated and report </t>
        </r>
      </text>
    </comment>
    <comment ref="CR440" authorId="5" shapeId="0" xr:uid="{00000000-0006-0000-0400-00009A000000}">
      <text>
        <r>
          <rPr>
            <b/>
            <sz val="9"/>
            <color indexed="81"/>
            <rFont val="Tahoma"/>
            <family val="2"/>
          </rPr>
          <t>Stadnik, Andrei (Research):</t>
        </r>
        <r>
          <rPr>
            <sz val="9"/>
            <color indexed="81"/>
            <rFont val="Tahoma"/>
            <family val="2"/>
          </rPr>
          <t xml:space="preserve">
esimate this to reconcile total funding calculated and report </t>
        </r>
      </text>
    </comment>
    <comment ref="CT440" authorId="5" shapeId="0" xr:uid="{EC85FF97-99F7-44F1-9A5E-F7D27BE12ADD}">
      <text>
        <r>
          <rPr>
            <b/>
            <sz val="9"/>
            <color indexed="81"/>
            <rFont val="Tahoma"/>
            <family val="2"/>
          </rPr>
          <t>Stadnik, Andrei (Research):</t>
        </r>
        <r>
          <rPr>
            <sz val="9"/>
            <color indexed="81"/>
            <rFont val="Tahoma"/>
            <family val="2"/>
          </rPr>
          <t xml:space="preserve">
esimate this to reconcile total funding calculated and report </t>
        </r>
      </text>
    </comment>
    <comment ref="CV440" authorId="5" shapeId="0" xr:uid="{7226C4A5-FBA2-4128-B4C5-52426D636BC0}">
      <text>
        <r>
          <rPr>
            <b/>
            <sz val="9"/>
            <color indexed="81"/>
            <rFont val="Tahoma"/>
            <family val="2"/>
          </rPr>
          <t>Stadnik, Andrei (Research):</t>
        </r>
        <r>
          <rPr>
            <sz val="9"/>
            <color indexed="81"/>
            <rFont val="Tahoma"/>
            <family val="2"/>
          </rPr>
          <t xml:space="preserve">
esimate this to reconcile total funding calculated and report </t>
        </r>
      </text>
    </comment>
    <comment ref="CB448" authorId="0" shapeId="0" xr:uid="{00000000-0006-0000-0400-00009B000000}">
      <text>
        <r>
          <rPr>
            <b/>
            <sz val="9"/>
            <color indexed="81"/>
            <rFont val="Tahoma"/>
            <family val="2"/>
          </rPr>
          <t>O'Neill, Emilie (Research):</t>
        </r>
        <r>
          <rPr>
            <sz val="9"/>
            <color indexed="81"/>
            <rFont val="Tahoma"/>
            <family val="2"/>
          </rPr>
          <t xml:space="preserve">
Restated 1H19</t>
        </r>
      </text>
    </comment>
    <comment ref="CD448" authorId="0" shapeId="0" xr:uid="{00000000-0006-0000-0400-00009C000000}">
      <text>
        <r>
          <rPr>
            <b/>
            <sz val="9"/>
            <color indexed="81"/>
            <rFont val="Tahoma"/>
            <family val="2"/>
          </rPr>
          <t>O'Neill, Emilie (Research):</t>
        </r>
        <r>
          <rPr>
            <sz val="9"/>
            <color indexed="81"/>
            <rFont val="Tahoma"/>
            <family val="2"/>
          </rPr>
          <t xml:space="preserve">
Restated 1H19</t>
        </r>
      </text>
    </comment>
    <comment ref="CH448" authorId="0" shapeId="0" xr:uid="{00000000-0006-0000-0400-00009D000000}">
      <text>
        <r>
          <rPr>
            <b/>
            <sz val="9"/>
            <color indexed="81"/>
            <rFont val="Tahoma"/>
            <family val="2"/>
          </rPr>
          <t>O'Neill, Emilie (Research):</t>
        </r>
        <r>
          <rPr>
            <sz val="9"/>
            <color indexed="81"/>
            <rFont val="Tahoma"/>
            <family val="2"/>
          </rPr>
          <t xml:space="preserve">
fundiing around page 45 of 2H19 4E</t>
        </r>
      </text>
    </comment>
    <comment ref="CJ448" authorId="6" shapeId="0" xr:uid="{00000000-0006-0000-0400-00009E000000}">
      <text>
        <r>
          <rPr>
            <b/>
            <sz val="9"/>
            <color indexed="81"/>
            <rFont val="Tahoma"/>
            <family val="2"/>
          </rPr>
          <t>Fernandes, Sona F (Research):</t>
        </r>
        <r>
          <rPr>
            <sz val="9"/>
            <color indexed="81"/>
            <rFont val="Tahoma"/>
            <family val="2"/>
          </rPr>
          <t xml:space="preserve">
Funding including discontinued operations - page 41</t>
        </r>
      </text>
    </comment>
    <comment ref="CL448" authorId="6" shapeId="0" xr:uid="{00000000-0006-0000-0400-00009F000000}">
      <text>
        <r>
          <rPr>
            <b/>
            <sz val="9"/>
            <color indexed="81"/>
            <rFont val="Tahoma"/>
            <family val="2"/>
          </rPr>
          <t>Fernandes, Sona F (Research):</t>
        </r>
        <r>
          <rPr>
            <sz val="9"/>
            <color indexed="81"/>
            <rFont val="Tahoma"/>
            <family val="2"/>
          </rPr>
          <t xml:space="preserve">
Funding including discontinued operations - page 44</t>
        </r>
      </text>
    </comment>
    <comment ref="CP448" authorId="6" shapeId="0" xr:uid="{00000000-0006-0000-0400-0000A0000000}">
      <text>
        <r>
          <rPr>
            <b/>
            <sz val="9"/>
            <color indexed="81"/>
            <rFont val="Tahoma"/>
            <family val="2"/>
          </rPr>
          <t>Wiles R (Research):</t>
        </r>
        <r>
          <rPr>
            <sz val="9"/>
            <color indexed="81"/>
            <rFont val="Tahoma"/>
            <family val="2"/>
          </rPr>
          <t xml:space="preserve">
Funding including discontinued operations - FY21 page 44</t>
        </r>
      </text>
    </comment>
    <comment ref="CR448" authorId="1" shapeId="0" xr:uid="{00000000-0006-0000-0400-0000A1000000}">
      <text>
        <r>
          <rPr>
            <b/>
            <sz val="9"/>
            <color indexed="81"/>
            <rFont val="Tahoma"/>
            <family val="2"/>
          </rPr>
          <t>Hong, Sally (Research):</t>
        </r>
        <r>
          <rPr>
            <sz val="9"/>
            <color indexed="81"/>
            <rFont val="Tahoma"/>
            <family val="2"/>
          </rPr>
          <t xml:space="preserve">
Page 41 1H22 of the Funding Incl Disc operations</t>
        </r>
      </text>
    </comment>
    <comment ref="CT448" authorId="6" shapeId="0" xr:uid="{D73BAAAC-5980-4D7F-9B76-5DDD05820180}">
      <text>
        <r>
          <rPr>
            <b/>
            <sz val="9"/>
            <color indexed="81"/>
            <rFont val="Tahoma"/>
            <family val="2"/>
          </rPr>
          <t>Wiles R (Research):</t>
        </r>
        <r>
          <rPr>
            <sz val="9"/>
            <color indexed="81"/>
            <rFont val="Tahoma"/>
            <family val="2"/>
          </rPr>
          <t xml:space="preserve">
Funding including discontinued operations - FY22 page 44</t>
        </r>
      </text>
    </comment>
    <comment ref="BJ461" authorId="2" shapeId="0" xr:uid="{00000000-0006-0000-0400-0000A2000000}">
      <text>
        <r>
          <rPr>
            <b/>
            <sz val="9"/>
            <color indexed="81"/>
            <rFont val="Tahoma"/>
            <family val="2"/>
          </rPr>
          <t>Dunger, Matt (Research):</t>
        </r>
        <r>
          <rPr>
            <sz val="9"/>
            <color indexed="81"/>
            <rFont val="Tahoma"/>
            <family val="2"/>
          </rPr>
          <t xml:space="preserve">
RESTATED FY14</t>
        </r>
      </text>
    </comment>
    <comment ref="BP461" authorId="2" shapeId="0" xr:uid="{00000000-0006-0000-0400-0000A3000000}">
      <text>
        <r>
          <rPr>
            <b/>
            <sz val="9"/>
            <color indexed="81"/>
            <rFont val="Tahoma"/>
            <family val="2"/>
          </rPr>
          <t>Dunger, Matt (Research):</t>
        </r>
        <r>
          <rPr>
            <sz val="9"/>
            <color indexed="81"/>
            <rFont val="Tahoma"/>
            <family val="2"/>
          </rPr>
          <t xml:space="preserve">
Restated 1H16</t>
        </r>
      </text>
    </comment>
    <comment ref="BQ461" authorId="2" shapeId="0" xr:uid="{00000000-0006-0000-0400-0000A4000000}">
      <text>
        <r>
          <rPr>
            <b/>
            <sz val="9"/>
            <color indexed="81"/>
            <rFont val="Tahoma"/>
            <family val="2"/>
          </rPr>
          <t>Dunger, Matt (Research):</t>
        </r>
        <r>
          <rPr>
            <sz val="9"/>
            <color indexed="81"/>
            <rFont val="Tahoma"/>
            <family val="2"/>
          </rPr>
          <t xml:space="preserve">
Restated 1H16</t>
        </r>
      </text>
    </comment>
    <comment ref="BT461" authorId="0" shapeId="0" xr:uid="{00000000-0006-0000-0400-0000A5000000}">
      <text>
        <r>
          <rPr>
            <b/>
            <sz val="9"/>
            <color indexed="81"/>
            <rFont val="Tahoma"/>
            <family val="2"/>
          </rPr>
          <t>O'Neill, Emilie (Research):</t>
        </r>
        <r>
          <rPr>
            <sz val="9"/>
            <color indexed="81"/>
            <rFont val="Tahoma"/>
            <family val="2"/>
          </rPr>
          <t xml:space="preserve">
restatement 1H17</t>
        </r>
      </text>
    </comment>
    <comment ref="BU461" authorId="0" shapeId="0" xr:uid="{00000000-0006-0000-0400-0000A6000000}">
      <text>
        <r>
          <rPr>
            <b/>
            <sz val="9"/>
            <color indexed="81"/>
            <rFont val="Tahoma"/>
            <family val="2"/>
          </rPr>
          <t>O'Neill, Emilie (Research):</t>
        </r>
        <r>
          <rPr>
            <sz val="9"/>
            <color indexed="81"/>
            <rFont val="Tahoma"/>
            <family val="2"/>
          </rPr>
          <t xml:space="preserve">
restatement 2H17</t>
        </r>
      </text>
    </comment>
    <comment ref="BP463" authorId="2" shapeId="0" xr:uid="{00000000-0006-0000-0400-0000A7000000}">
      <text>
        <r>
          <rPr>
            <b/>
            <sz val="9"/>
            <color indexed="81"/>
            <rFont val="Tahoma"/>
            <family val="2"/>
          </rPr>
          <t>Dunger, Matt (Research):</t>
        </r>
        <r>
          <rPr>
            <sz val="9"/>
            <color indexed="81"/>
            <rFont val="Tahoma"/>
            <family val="2"/>
          </rPr>
          <t xml:space="preserve">
Restated 1H16</t>
        </r>
      </text>
    </comment>
    <comment ref="BQ463" authorId="2" shapeId="0" xr:uid="{00000000-0006-0000-0400-0000A8000000}">
      <text>
        <r>
          <rPr>
            <b/>
            <sz val="9"/>
            <color indexed="81"/>
            <rFont val="Tahoma"/>
            <family val="2"/>
          </rPr>
          <t>Dunger, Matt (Research):</t>
        </r>
        <r>
          <rPr>
            <sz val="9"/>
            <color indexed="81"/>
            <rFont val="Tahoma"/>
            <family val="2"/>
          </rPr>
          <t xml:space="preserve">
Restated 1H16</t>
        </r>
      </text>
    </comment>
    <comment ref="BT463" authorId="0" shapeId="0" xr:uid="{00000000-0006-0000-0400-0000A9000000}">
      <text>
        <r>
          <rPr>
            <b/>
            <sz val="9"/>
            <color indexed="81"/>
            <rFont val="Tahoma"/>
            <family val="2"/>
          </rPr>
          <t>O'Neill, Emilie (Research):</t>
        </r>
        <r>
          <rPr>
            <sz val="9"/>
            <color indexed="81"/>
            <rFont val="Tahoma"/>
            <family val="2"/>
          </rPr>
          <t xml:space="preserve">
Restatement 2H17</t>
        </r>
      </text>
    </comment>
    <comment ref="BU463" authorId="0" shapeId="0" xr:uid="{00000000-0006-0000-0400-0000AA000000}">
      <text>
        <r>
          <rPr>
            <b/>
            <sz val="9"/>
            <color indexed="81"/>
            <rFont val="Tahoma"/>
            <family val="2"/>
          </rPr>
          <t>O'Neill, Emilie (Research):</t>
        </r>
        <r>
          <rPr>
            <sz val="9"/>
            <color indexed="81"/>
            <rFont val="Tahoma"/>
            <family val="2"/>
          </rPr>
          <t xml:space="preserve">
restatement 2H17</t>
        </r>
      </text>
    </comment>
    <comment ref="BJ465" authorId="2" shapeId="0" xr:uid="{00000000-0006-0000-0400-0000AB000000}">
      <text>
        <r>
          <rPr>
            <b/>
            <sz val="9"/>
            <color indexed="81"/>
            <rFont val="Tahoma"/>
            <family val="2"/>
          </rPr>
          <t>Dunger, Matt (Research):</t>
        </r>
        <r>
          <rPr>
            <sz val="9"/>
            <color indexed="81"/>
            <rFont val="Tahoma"/>
            <family val="2"/>
          </rPr>
          <t xml:space="preserve">
RESTATED FY14</t>
        </r>
      </text>
    </comment>
    <comment ref="CB465" authorId="0" shapeId="0" xr:uid="{00000000-0006-0000-0400-0000AC000000}">
      <text>
        <r>
          <rPr>
            <b/>
            <sz val="9"/>
            <color indexed="81"/>
            <rFont val="Tahoma"/>
            <family val="2"/>
          </rPr>
          <t>O'Neill, Emilie (Research):</t>
        </r>
        <r>
          <rPr>
            <sz val="9"/>
            <color indexed="81"/>
            <rFont val="Tahoma"/>
            <family val="2"/>
          </rPr>
          <t xml:space="preserve">
Restated 1H19</t>
        </r>
      </text>
    </comment>
    <comment ref="CC465" authorId="0" shapeId="0" xr:uid="{00000000-0006-0000-0400-0000AD000000}">
      <text>
        <r>
          <rPr>
            <b/>
            <sz val="9"/>
            <color indexed="81"/>
            <rFont val="Tahoma"/>
            <family val="2"/>
          </rPr>
          <t>O'Neill, Emilie (Research):</t>
        </r>
        <r>
          <rPr>
            <sz val="9"/>
            <color indexed="81"/>
            <rFont val="Tahoma"/>
            <family val="2"/>
          </rPr>
          <t xml:space="preserve">
Restated 1H19</t>
        </r>
      </text>
    </comment>
    <comment ref="CD465" authorId="0" shapeId="0" xr:uid="{00000000-0006-0000-0400-0000AE000000}">
      <text>
        <r>
          <rPr>
            <b/>
            <sz val="9"/>
            <color indexed="81"/>
            <rFont val="Tahoma"/>
            <family val="2"/>
          </rPr>
          <t>O'Neill, Emilie (Research):</t>
        </r>
        <r>
          <rPr>
            <sz val="9"/>
            <color indexed="81"/>
            <rFont val="Tahoma"/>
            <family val="2"/>
          </rPr>
          <t xml:space="preserve">
Restated 2``H19</t>
        </r>
      </text>
    </comment>
    <comment ref="BJ467" authorId="2" shapeId="0" xr:uid="{00000000-0006-0000-0400-0000AF000000}">
      <text>
        <r>
          <rPr>
            <b/>
            <sz val="9"/>
            <color indexed="81"/>
            <rFont val="Tahoma"/>
            <family val="2"/>
          </rPr>
          <t>Dunger, Matt (Research):</t>
        </r>
        <r>
          <rPr>
            <sz val="9"/>
            <color indexed="81"/>
            <rFont val="Tahoma"/>
            <family val="2"/>
          </rPr>
          <t xml:space="preserve">
RESTATED FY14</t>
        </r>
      </text>
    </comment>
    <comment ref="BT467" authorId="0" shapeId="0" xr:uid="{00000000-0006-0000-0400-0000B0000000}">
      <text>
        <r>
          <rPr>
            <b/>
            <sz val="9"/>
            <color indexed="81"/>
            <rFont val="Tahoma"/>
            <family val="2"/>
          </rPr>
          <t>O'Neill, Emilie (Research):</t>
        </r>
        <r>
          <rPr>
            <sz val="9"/>
            <color indexed="81"/>
            <rFont val="Tahoma"/>
            <family val="2"/>
          </rPr>
          <t xml:space="preserve">
retstatement 1H17</t>
        </r>
      </text>
    </comment>
    <comment ref="BU467" authorId="0" shapeId="0" xr:uid="{00000000-0006-0000-0400-0000B1000000}">
      <text>
        <r>
          <rPr>
            <b/>
            <sz val="9"/>
            <color indexed="81"/>
            <rFont val="Tahoma"/>
            <family val="2"/>
          </rPr>
          <t>O'Neill, Emilie (Research):</t>
        </r>
        <r>
          <rPr>
            <sz val="9"/>
            <color indexed="81"/>
            <rFont val="Tahoma"/>
            <family val="2"/>
          </rPr>
          <t xml:space="preserve">
Restatement 1H17</t>
        </r>
      </text>
    </comment>
    <comment ref="CB467" authorId="0" shapeId="0" xr:uid="{00000000-0006-0000-0400-0000B2000000}">
      <text>
        <r>
          <rPr>
            <b/>
            <sz val="9"/>
            <color indexed="81"/>
            <rFont val="Tahoma"/>
            <family val="2"/>
          </rPr>
          <t>O'Neill, Emilie (Research):</t>
        </r>
        <r>
          <rPr>
            <sz val="9"/>
            <color indexed="81"/>
            <rFont val="Tahoma"/>
            <family val="2"/>
          </rPr>
          <t xml:space="preserve">
Restated 1H19</t>
        </r>
      </text>
    </comment>
    <comment ref="CC467" authorId="0" shapeId="0" xr:uid="{00000000-0006-0000-0400-0000B3000000}">
      <text>
        <r>
          <rPr>
            <b/>
            <sz val="9"/>
            <color indexed="81"/>
            <rFont val="Tahoma"/>
            <family val="2"/>
          </rPr>
          <t>O'Neill, Emilie (Research):</t>
        </r>
        <r>
          <rPr>
            <sz val="9"/>
            <color indexed="81"/>
            <rFont val="Tahoma"/>
            <family val="2"/>
          </rPr>
          <t xml:space="preserve">
Restated 1H19</t>
        </r>
      </text>
    </comment>
    <comment ref="CD467" authorId="0" shapeId="0" xr:uid="{00000000-0006-0000-0400-0000B4000000}">
      <text>
        <r>
          <rPr>
            <b/>
            <sz val="9"/>
            <color indexed="81"/>
            <rFont val="Tahoma"/>
            <family val="2"/>
          </rPr>
          <t>O'Neill, Emilie (Research):</t>
        </r>
        <r>
          <rPr>
            <sz val="9"/>
            <color indexed="81"/>
            <rFont val="Tahoma"/>
            <family val="2"/>
          </rPr>
          <t xml:space="preserve">
Restated 2``H19</t>
        </r>
      </text>
    </comment>
    <comment ref="BJ468" authorId="2" shapeId="0" xr:uid="{00000000-0006-0000-0400-0000B5000000}">
      <text>
        <r>
          <rPr>
            <b/>
            <sz val="9"/>
            <color indexed="81"/>
            <rFont val="Tahoma"/>
            <family val="2"/>
          </rPr>
          <t>Dunger, Matt (Research):</t>
        </r>
        <r>
          <rPr>
            <sz val="9"/>
            <color indexed="81"/>
            <rFont val="Tahoma"/>
            <family val="2"/>
          </rPr>
          <t xml:space="preserve">
RESTATED FY14</t>
        </r>
      </text>
    </comment>
    <comment ref="CD470" authorId="0" shapeId="0" xr:uid="{00000000-0006-0000-0400-0000B6000000}">
      <text>
        <r>
          <rPr>
            <b/>
            <sz val="9"/>
            <color indexed="81"/>
            <rFont val="Tahoma"/>
            <family val="2"/>
          </rPr>
          <t>O'Neill, Emilie (Research):</t>
        </r>
        <r>
          <rPr>
            <sz val="9"/>
            <color indexed="81"/>
            <rFont val="Tahoma"/>
            <family val="2"/>
          </rPr>
          <t xml:space="preserve">
Restated 2``H19</t>
        </r>
      </text>
    </comment>
    <comment ref="DA497" authorId="1" shapeId="0" xr:uid="{BA1633DE-ABF1-407A-8554-EEE77B7A8F5F}">
      <text>
        <r>
          <rPr>
            <b/>
            <sz val="9"/>
            <color indexed="81"/>
            <rFont val="Tahoma"/>
            <family val="2"/>
          </rPr>
          <t>Hong, Sally (Research):</t>
        </r>
        <r>
          <rPr>
            <sz val="9"/>
            <color indexed="81"/>
            <rFont val="Tahoma"/>
            <family val="2"/>
          </rPr>
          <t xml:space="preserve">
Adjust for the Average Loans of SUN Bank = 2 months</t>
        </r>
      </text>
    </comment>
    <comment ref="CZ526" authorId="1" shapeId="0" xr:uid="{C9EE540F-17C4-4E80-8228-EED04CA79650}">
      <text>
        <r>
          <rPr>
            <b/>
            <sz val="9"/>
            <color indexed="81"/>
            <rFont val="Tahoma"/>
            <family val="2"/>
          </rPr>
          <t>Hong, Sally (Research):</t>
        </r>
        <r>
          <rPr>
            <sz val="9"/>
            <color indexed="81"/>
            <rFont val="Tahoma"/>
            <family val="2"/>
          </rPr>
          <t xml:space="preserve">
NO longer disclose notable items from 1H24 onwards</t>
        </r>
      </text>
    </comment>
    <comment ref="CR527" authorId="1" shapeId="0" xr:uid="{7AB3C4E8-E05E-4161-B0E5-9B25A9F0374B}">
      <text>
        <r>
          <rPr>
            <b/>
            <sz val="9"/>
            <color indexed="81"/>
            <rFont val="Tahoma"/>
            <family val="2"/>
          </rPr>
          <t>Hong, Sally (Research):</t>
        </r>
        <r>
          <rPr>
            <sz val="9"/>
            <color indexed="81"/>
            <rFont val="Tahoma"/>
            <family val="2"/>
          </rPr>
          <t xml:space="preserve">
Restated in 2H22 Notbale Items 24/10/22 
Page 16 of FY22 Reuslts 4E
from -43m to -41m</t>
        </r>
      </text>
    </comment>
    <comment ref="CJ530" authorId="7" shapeId="0" xr:uid="{00000000-0006-0000-0400-0000B7000000}">
      <text>
        <r>
          <rPr>
            <b/>
            <sz val="9"/>
            <color indexed="81"/>
            <rFont val="Tahoma"/>
            <family val="2"/>
          </rPr>
          <t>Fernandes, Sona (Research):</t>
        </r>
        <r>
          <rPr>
            <sz val="9"/>
            <color indexed="81"/>
            <rFont val="Tahoma"/>
            <family val="2"/>
          </rPr>
          <t xml:space="preserve">
Restated 1H21
</t>
        </r>
      </text>
    </comment>
    <comment ref="CK530" authorId="7" shapeId="0" xr:uid="{00000000-0006-0000-0400-0000B8000000}">
      <text>
        <r>
          <rPr>
            <b/>
            <sz val="9"/>
            <color indexed="81"/>
            <rFont val="Tahoma"/>
            <family val="2"/>
          </rPr>
          <t>Fernandes, Sona (Research):</t>
        </r>
        <r>
          <rPr>
            <sz val="9"/>
            <color indexed="81"/>
            <rFont val="Tahoma"/>
            <family val="2"/>
          </rPr>
          <t xml:space="preserve">
Restated 1H21
</t>
        </r>
      </text>
    </comment>
    <comment ref="CR530" authorId="1" shapeId="0" xr:uid="{00000000-0006-0000-0400-0000B9000000}">
      <text>
        <r>
          <rPr>
            <b/>
            <sz val="9"/>
            <color indexed="81"/>
            <rFont val="Tahoma"/>
            <family val="2"/>
          </rPr>
          <t>Hong, Sally (Research):</t>
        </r>
        <r>
          <rPr>
            <sz val="9"/>
            <color indexed="81"/>
            <rFont val="Tahoma"/>
            <family val="2"/>
          </rPr>
          <t xml:space="preserve">
1H22 Notable Items ASX Announcement 29/04/22: Imapirment charge expense of $4m</t>
        </r>
      </text>
    </comment>
    <comment ref="CJ532" authorId="7" shapeId="0" xr:uid="{00000000-0006-0000-0400-0000BA000000}">
      <text>
        <r>
          <rPr>
            <b/>
            <sz val="9"/>
            <color indexed="81"/>
            <rFont val="Tahoma"/>
            <family val="2"/>
          </rPr>
          <t>Fernandes, Sona (Research):</t>
        </r>
        <r>
          <rPr>
            <sz val="9"/>
            <color indexed="81"/>
            <rFont val="Tahoma"/>
            <family val="2"/>
          </rPr>
          <t xml:space="preserve">
Restated 1H21
</t>
        </r>
      </text>
    </comment>
    <comment ref="CK532" authorId="7" shapeId="0" xr:uid="{00000000-0006-0000-0400-0000BB000000}">
      <text>
        <r>
          <rPr>
            <b/>
            <sz val="9"/>
            <color indexed="81"/>
            <rFont val="Tahoma"/>
            <family val="2"/>
          </rPr>
          <t>Fernandes, Sona (Research):</t>
        </r>
        <r>
          <rPr>
            <sz val="9"/>
            <color indexed="81"/>
            <rFont val="Tahoma"/>
            <family val="2"/>
          </rPr>
          <t xml:space="preserve">
Restated 1H21
</t>
        </r>
      </text>
    </comment>
    <comment ref="CR532" authorId="1" shapeId="0" xr:uid="{00000000-0006-0000-0400-0000BC000000}">
      <text>
        <r>
          <rPr>
            <b/>
            <sz val="9"/>
            <color indexed="81"/>
            <rFont val="Tahoma"/>
            <family val="2"/>
          </rPr>
          <t>Hong, Sally (Research):</t>
        </r>
        <r>
          <rPr>
            <sz val="9"/>
            <color indexed="81"/>
            <rFont val="Tahoma"/>
            <family val="2"/>
          </rPr>
          <t xml:space="preserve">
2H22 Notable Announcement 24/10/22:
Restated to -$59m tax expense
1H22 Notable Announcement 29/04/22: 
Withholding tax of $126m relating to ANZ PNG dividend
offset by
+ 68m tax benefit 
</t>
        </r>
      </text>
    </comment>
    <comment ref="CS532" authorId="1" shapeId="0" xr:uid="{55BBA012-2C27-45E1-AC40-8E29F39C7F20}">
      <text>
        <r>
          <rPr>
            <b/>
            <sz val="9"/>
            <color indexed="81"/>
            <rFont val="Tahoma"/>
            <family val="2"/>
          </rPr>
          <t>Hong, Sally (Research):</t>
        </r>
        <r>
          <rPr>
            <sz val="9"/>
            <color indexed="81"/>
            <rFont val="Tahoma"/>
            <family val="2"/>
          </rPr>
          <t xml:space="preserve">
24/10/22 ASX Announcement 2H22 Notable Items:
</t>
        </r>
        <r>
          <rPr>
            <b/>
            <sz val="9"/>
            <color indexed="81"/>
            <rFont val="Tahoma"/>
            <family val="2"/>
          </rPr>
          <t>Total Notables</t>
        </r>
        <r>
          <rPr>
            <sz val="9"/>
            <color indexed="81"/>
            <rFont val="Tahoma"/>
            <family val="2"/>
          </rPr>
          <t xml:space="preserve">
Total Income: +$18m
Expenses: -$162m
Tax Benefit: +$31m
After-tax cash earnings Impact: -$113m</t>
        </r>
      </text>
    </comment>
    <comment ref="DE532" authorId="1" shapeId="0" xr:uid="{A6242D88-5EDF-4FA8-B633-682D905273C1}">
      <text>
        <r>
          <rPr>
            <b/>
            <sz val="9"/>
            <color indexed="81"/>
            <rFont val="Tahoma"/>
            <family val="2"/>
          </rPr>
          <t>Hong, Sally (Research):</t>
        </r>
        <r>
          <rPr>
            <sz val="9"/>
            <color indexed="81"/>
            <rFont val="Tahoma"/>
            <family val="2"/>
          </rPr>
          <t xml:space="preserve">
ASIC penalty of A$240m is not tax deductible.
Only the A$560m restructuring charges are deductible
Add in oother notable expenses of A$200m pre tax</t>
        </r>
      </text>
    </comment>
    <comment ref="CN534" authorId="3" shapeId="0" xr:uid="{00000000-0006-0000-0400-0000BD000000}">
      <text>
        <r>
          <rPr>
            <b/>
            <sz val="9"/>
            <color indexed="81"/>
            <rFont val="Tahoma"/>
            <family val="2"/>
          </rPr>
          <t>Wiles, Richard (Research):</t>
        </r>
        <r>
          <rPr>
            <sz val="9"/>
            <color indexed="81"/>
            <rFont val="Tahoma"/>
            <family val="2"/>
          </rPr>
          <t xml:space="preserve">
no tax on A$212m AmBank charge, $135m of AmBank impairment, or $238m of Share Investing business impairment </t>
        </r>
      </text>
    </comment>
    <comment ref="CJ539" authorId="7" shapeId="0" xr:uid="{00000000-0006-0000-0400-0000BE000000}">
      <text>
        <r>
          <rPr>
            <b/>
            <sz val="9"/>
            <color indexed="81"/>
            <rFont val="Tahoma"/>
            <family val="2"/>
          </rPr>
          <t>Fernandes, Sona (Research):</t>
        </r>
        <r>
          <rPr>
            <sz val="9"/>
            <color indexed="81"/>
            <rFont val="Tahoma"/>
            <family val="2"/>
          </rPr>
          <t xml:space="preserve">
Restated 1H21</t>
        </r>
      </text>
    </comment>
    <comment ref="CK539" authorId="7" shapeId="0" xr:uid="{00000000-0006-0000-0400-0000BF000000}">
      <text>
        <r>
          <rPr>
            <b/>
            <sz val="9"/>
            <color indexed="81"/>
            <rFont val="Tahoma"/>
            <family val="2"/>
          </rPr>
          <t>Fernandes, Sona (Research):</t>
        </r>
        <r>
          <rPr>
            <sz val="9"/>
            <color indexed="81"/>
            <rFont val="Tahoma"/>
            <family val="2"/>
          </rPr>
          <t xml:space="preserve">
Restated 1H21</t>
        </r>
      </text>
    </comment>
    <comment ref="CR539" authorId="1" shapeId="0" xr:uid="{00000000-0006-0000-0400-0000C0000000}">
      <text>
        <r>
          <rPr>
            <b/>
            <sz val="9"/>
            <color indexed="81"/>
            <rFont val="Tahoma"/>
            <family val="2"/>
          </rPr>
          <t>Hong, Sally (Research):</t>
        </r>
        <r>
          <rPr>
            <sz val="9"/>
            <color indexed="81"/>
            <rFont val="Tahoma"/>
            <family val="2"/>
          </rPr>
          <t xml:space="preserve">
Restated in FY22 Results 4E…Page 16</t>
        </r>
      </text>
    </comment>
    <comment ref="CS539" authorId="1" shapeId="0" xr:uid="{97A18B20-DE10-4682-B789-CC8F46D6DB1D}">
      <text>
        <r>
          <rPr>
            <b/>
            <sz val="9"/>
            <color indexed="81"/>
            <rFont val="Tahoma"/>
            <family val="2"/>
          </rPr>
          <t>Hong, Sally (Research):</t>
        </r>
        <r>
          <rPr>
            <sz val="9"/>
            <color indexed="81"/>
            <rFont val="Tahoma"/>
            <family val="2"/>
          </rPr>
          <t xml:space="preserve">
FY22 Results 4E…Page 16</t>
        </r>
      </text>
    </comment>
    <comment ref="BZ548" authorId="3" shapeId="0" xr:uid="{00000000-0006-0000-0400-0000C1000000}">
      <text>
        <r>
          <rPr>
            <b/>
            <sz val="9"/>
            <color indexed="81"/>
            <rFont val="Tahoma"/>
            <family val="2"/>
          </rPr>
          <t>Wiles, Richard (Research):</t>
        </r>
        <r>
          <rPr>
            <sz val="9"/>
            <color indexed="81"/>
            <rFont val="Tahoma"/>
            <family val="2"/>
          </rPr>
          <t xml:space="preserve">
FY18 p18</t>
        </r>
      </text>
    </comment>
    <comment ref="CB548" authorId="3" shapeId="0" xr:uid="{00000000-0006-0000-0400-0000C2000000}">
      <text>
        <r>
          <rPr>
            <b/>
            <sz val="9"/>
            <color indexed="81"/>
            <rFont val="Tahoma"/>
            <family val="2"/>
          </rPr>
          <t>Wiles, Richard (Research):</t>
        </r>
        <r>
          <rPr>
            <sz val="9"/>
            <color indexed="81"/>
            <rFont val="Tahoma"/>
            <family val="2"/>
          </rPr>
          <t xml:space="preserve">
FY18 p18</t>
        </r>
      </text>
    </comment>
    <comment ref="CC548" authorId="3" shapeId="0" xr:uid="{00000000-0006-0000-0400-0000C3000000}">
      <text>
        <r>
          <rPr>
            <b/>
            <sz val="9"/>
            <color indexed="81"/>
            <rFont val="Tahoma"/>
            <family val="2"/>
          </rPr>
          <t>Wiles, Richard (Research):</t>
        </r>
        <r>
          <rPr>
            <sz val="9"/>
            <color indexed="81"/>
            <rFont val="Tahoma"/>
            <family val="2"/>
          </rPr>
          <t xml:space="preserve">
FY18 p18</t>
        </r>
      </text>
    </comment>
    <comment ref="CG548" authorId="3" shapeId="0" xr:uid="{00000000-0006-0000-0400-0000C4000000}">
      <text>
        <r>
          <rPr>
            <b/>
            <sz val="9"/>
            <color indexed="81"/>
            <rFont val="Tahoma"/>
            <family val="2"/>
          </rPr>
          <t>Wiles, Richard (Research):</t>
        </r>
        <r>
          <rPr>
            <sz val="9"/>
            <color indexed="81"/>
            <rFont val="Tahoma"/>
            <family val="2"/>
          </rPr>
          <t xml:space="preserve">
FY19 p19</t>
        </r>
      </text>
    </comment>
    <comment ref="CJ548" authorId="6" shapeId="0" xr:uid="{00000000-0006-0000-0400-0000C5000000}">
      <text>
        <r>
          <rPr>
            <b/>
            <sz val="9"/>
            <color indexed="81"/>
            <rFont val="Tahoma"/>
            <family val="2"/>
          </rPr>
          <t>Fernandes, Sona F (Research):</t>
        </r>
        <r>
          <rPr>
            <sz val="9"/>
            <color indexed="81"/>
            <rFont val="Tahoma"/>
            <family val="2"/>
          </rPr>
          <t xml:space="preserve">
Notable items Half year disclosure</t>
        </r>
      </text>
    </comment>
    <comment ref="CK548" authorId="6" shapeId="0" xr:uid="{00000000-0006-0000-0400-0000C6000000}">
      <text>
        <r>
          <rPr>
            <b/>
            <sz val="9"/>
            <color indexed="81"/>
            <rFont val="Tahoma"/>
            <family val="2"/>
          </rPr>
          <t>Fernandes, Sona F (Research):</t>
        </r>
        <r>
          <rPr>
            <sz val="9"/>
            <color indexed="81"/>
            <rFont val="Tahoma"/>
            <family val="2"/>
          </rPr>
          <t xml:space="preserve">
Tax on remediation - notable items pg 17</t>
        </r>
      </text>
    </comment>
    <comment ref="CO548" authorId="6" shapeId="0" xr:uid="{00000000-0006-0000-0400-0000C7000000}">
      <text>
        <r>
          <rPr>
            <b/>
            <sz val="9"/>
            <color indexed="81"/>
            <rFont val="Tahoma"/>
            <family val="2"/>
          </rPr>
          <t>Wiles (Research):</t>
        </r>
        <r>
          <rPr>
            <sz val="9"/>
            <color indexed="81"/>
            <rFont val="Tahoma"/>
            <family val="2"/>
          </rPr>
          <t xml:space="preserve">
Tax on remediation - notable items FY21 pg 19</t>
        </r>
      </text>
    </comment>
    <comment ref="CO568" authorId="3" shapeId="0" xr:uid="{00000000-0006-0000-0400-0000C8000000}">
      <text>
        <r>
          <rPr>
            <b/>
            <sz val="9"/>
            <color indexed="81"/>
            <rFont val="Tahoma"/>
            <family val="2"/>
          </rPr>
          <t>Wiles, Richard (Research):</t>
        </r>
        <r>
          <rPr>
            <sz val="9"/>
            <color indexed="81"/>
            <rFont val="Tahoma"/>
            <family val="2"/>
          </rPr>
          <t xml:space="preserve">
FY21 page 17</t>
        </r>
      </text>
    </comment>
    <comment ref="CR568" authorId="1" shapeId="0" xr:uid="{00000000-0006-0000-0400-0000C9000000}">
      <text>
        <r>
          <rPr>
            <b/>
            <sz val="9"/>
            <color indexed="81"/>
            <rFont val="Tahoma"/>
            <family val="2"/>
          </rPr>
          <t>Hong, Sally (Research):</t>
        </r>
        <r>
          <rPr>
            <sz val="9"/>
            <color indexed="81"/>
            <rFont val="Tahoma"/>
            <family val="2"/>
          </rPr>
          <t xml:space="preserve">
Retated in 2H22 
Previous:
Page 14 of the 1H22 Results 4D</t>
        </r>
      </text>
    </comment>
    <comment ref="CW568" authorId="1" shapeId="0" xr:uid="{6982910C-12F7-4021-87D0-746809C8EEFA}">
      <text>
        <r>
          <rPr>
            <b/>
            <sz val="9"/>
            <color indexed="81"/>
            <rFont val="Tahoma"/>
            <family val="2"/>
          </rPr>
          <t>Hong, Sally (Research):</t>
        </r>
        <r>
          <rPr>
            <sz val="9"/>
            <color indexed="81"/>
            <rFont val="Tahoma"/>
            <family val="2"/>
          </rPr>
          <t xml:space="preserve">
Restated in 1H24</t>
        </r>
      </text>
    </comment>
    <comment ref="CZ572" authorId="1" shapeId="0" xr:uid="{03E69366-BBCB-4F6E-B7C9-5319A9C3D8F4}">
      <text>
        <r>
          <rPr>
            <b/>
            <sz val="9"/>
            <color indexed="81"/>
            <rFont val="Tahoma"/>
            <family val="2"/>
          </rPr>
          <t>Hong, Sally (Research):</t>
        </r>
        <r>
          <rPr>
            <sz val="9"/>
            <color indexed="81"/>
            <rFont val="Tahoma"/>
            <family val="2"/>
          </rPr>
          <t xml:space="preserve">
Notable Items no longer specifically disclosed in 1H24</t>
        </r>
      </text>
    </comment>
    <comment ref="DE572" authorId="1" shapeId="0" xr:uid="{2046DC37-40F1-49D4-961D-84B73832D09F}">
      <text>
        <r>
          <rPr>
            <b/>
            <sz val="9"/>
            <color indexed="81"/>
            <rFont val="Tahoma"/>
            <family val="2"/>
          </rPr>
          <t>Hong, Sally (Research):</t>
        </r>
        <r>
          <rPr>
            <sz val="9"/>
            <color indexed="81"/>
            <rFont val="Tahoma"/>
            <family val="2"/>
          </rPr>
          <t xml:space="preserve">
PT Panin carrying value Impairment of A$285m post tax and pre-tax</t>
        </r>
      </text>
    </comment>
    <comment ref="CO573" authorId="3" shapeId="0" xr:uid="{00000000-0006-0000-0400-0000CA000000}">
      <text>
        <r>
          <rPr>
            <b/>
            <sz val="9"/>
            <color indexed="81"/>
            <rFont val="Tahoma"/>
            <family val="2"/>
          </rPr>
          <t>Wiles, Richard (Research):</t>
        </r>
        <r>
          <rPr>
            <sz val="9"/>
            <color indexed="81"/>
            <rFont val="Tahoma"/>
            <family val="2"/>
          </rPr>
          <t xml:space="preserve">
FY21 page 17</t>
        </r>
      </text>
    </comment>
    <comment ref="CW573" authorId="1" shapeId="0" xr:uid="{C25BAD56-3796-4C60-A631-D0E6995964D1}">
      <text>
        <r>
          <rPr>
            <b/>
            <sz val="9"/>
            <color indexed="81"/>
            <rFont val="Tahoma"/>
            <family val="2"/>
          </rPr>
          <t>Hong, Sally (Research):</t>
        </r>
        <r>
          <rPr>
            <sz val="9"/>
            <color indexed="81"/>
            <rFont val="Tahoma"/>
            <family val="2"/>
          </rPr>
          <t xml:space="preserve">
Restated in 1H24</t>
        </r>
      </text>
    </comment>
    <comment ref="CJ576" authorId="3" shapeId="0" xr:uid="{00000000-0006-0000-0400-0000CB000000}">
      <text>
        <r>
          <rPr>
            <b/>
            <sz val="9"/>
            <color indexed="81"/>
            <rFont val="Tahoma"/>
            <family val="2"/>
          </rPr>
          <t>Wiles, Richard (Research):</t>
        </r>
        <r>
          <rPr>
            <sz val="9"/>
            <color indexed="81"/>
            <rFont val="Tahoma"/>
            <family val="2"/>
          </rPr>
          <t xml:space="preserve">
A$815m write-down on Asian investments : Panin A$220m; AmBank A$595m (1H20 slide 21)</t>
        </r>
      </text>
    </comment>
    <comment ref="CN576" authorId="3" shapeId="0" xr:uid="{00000000-0006-0000-0400-0000CC000000}">
      <text>
        <r>
          <rPr>
            <b/>
            <sz val="9"/>
            <color indexed="81"/>
            <rFont val="Tahoma"/>
            <family val="2"/>
          </rPr>
          <t>Wiles, Richard (Research):</t>
        </r>
        <r>
          <rPr>
            <sz val="9"/>
            <color indexed="81"/>
            <rFont val="Tahoma"/>
            <family val="2"/>
          </rPr>
          <t xml:space="preserve">
A$815m write-down on Asian investments : Panin A$220m; AmBank A$595m (1H20 slide 21)</t>
        </r>
      </text>
    </comment>
    <comment ref="CB577" authorId="3" shapeId="0" xr:uid="{00000000-0006-0000-0400-0000CD000000}">
      <text>
        <r>
          <rPr>
            <b/>
            <sz val="9"/>
            <color indexed="81"/>
            <rFont val="Tahoma"/>
            <family val="2"/>
          </rPr>
          <t>Wiles, Richard (Research):</t>
        </r>
        <r>
          <rPr>
            <sz val="9"/>
            <color indexed="81"/>
            <rFont val="Tahoma"/>
            <family val="2"/>
          </rPr>
          <t xml:space="preserve">
MS estimate only, restated at FY19</t>
        </r>
      </text>
    </comment>
    <comment ref="CC577" authorId="3" shapeId="0" xr:uid="{00000000-0006-0000-0400-0000CE000000}">
      <text>
        <r>
          <rPr>
            <b/>
            <sz val="9"/>
            <color indexed="81"/>
            <rFont val="Tahoma"/>
            <family val="2"/>
          </rPr>
          <t>Wiles, Richard (Research):</t>
        </r>
        <r>
          <rPr>
            <sz val="9"/>
            <color indexed="81"/>
            <rFont val="Tahoma"/>
            <family val="2"/>
          </rPr>
          <t xml:space="preserve">
MS estimate only, restated at FY19</t>
        </r>
      </text>
    </comment>
    <comment ref="CJ577" authorId="6" shapeId="0" xr:uid="{00000000-0006-0000-0400-0000CF000000}">
      <text>
        <r>
          <rPr>
            <b/>
            <sz val="9"/>
            <color indexed="81"/>
            <rFont val="Tahoma"/>
            <family val="2"/>
          </rPr>
          <t>Fernandes, Sona F (Research):</t>
        </r>
        <r>
          <rPr>
            <sz val="9"/>
            <color indexed="81"/>
            <rFont val="Tahoma"/>
            <family val="2"/>
          </rPr>
          <t xml:space="preserve">
Relates to UDC</t>
        </r>
      </text>
    </comment>
    <comment ref="CK577" authorId="6" shapeId="0" xr:uid="{00000000-0006-0000-0400-0000D0000000}">
      <text>
        <r>
          <rPr>
            <b/>
            <sz val="9"/>
            <color indexed="81"/>
            <rFont val="Tahoma"/>
            <family val="2"/>
          </rPr>
          <t>Fernandes, Sona F (Research):</t>
        </r>
        <r>
          <rPr>
            <sz val="9"/>
            <color indexed="81"/>
            <rFont val="Tahoma"/>
            <family val="2"/>
          </rPr>
          <t xml:space="preserve">
Relates to UDC</t>
        </r>
      </text>
    </comment>
    <comment ref="CS577" authorId="1" shapeId="0" xr:uid="{8888FD4A-2EDF-41E6-A3F8-B3101C3DB907}">
      <text>
        <r>
          <rPr>
            <b/>
            <sz val="9"/>
            <color indexed="81"/>
            <rFont val="Tahoma"/>
            <family val="2"/>
          </rPr>
          <t>Hong, Sally (Research):</t>
        </r>
        <r>
          <rPr>
            <sz val="9"/>
            <color indexed="81"/>
            <rFont val="Tahoma"/>
            <family val="2"/>
          </rPr>
          <t xml:space="preserve">
24/10/22 ASX Announcement 2H22 Notable Items:
</t>
        </r>
        <r>
          <rPr>
            <b/>
            <sz val="9"/>
            <color indexed="81"/>
            <rFont val="Tahoma"/>
            <family val="2"/>
          </rPr>
          <t>Divestments</t>
        </r>
        <r>
          <rPr>
            <sz val="9"/>
            <color indexed="81"/>
            <rFont val="Tahoma"/>
            <family val="2"/>
          </rPr>
          <t xml:space="preserve">
Other Income: +$4m
Expenses: -$-10m
Tax Benefit: Nil
After-tax cash earnings Impact: -$6m</t>
        </r>
      </text>
    </comment>
    <comment ref="CJ578" authorId="3" shapeId="0" xr:uid="{00000000-0006-0000-0400-0000D1000000}">
      <text>
        <r>
          <rPr>
            <sz val="9"/>
            <color indexed="81"/>
            <rFont val="Tahoma"/>
            <family val="2"/>
          </rPr>
          <t xml:space="preserve">Restated 1H21 
</t>
        </r>
        <r>
          <rPr>
            <b/>
            <sz val="9"/>
            <color indexed="81"/>
            <rFont val="Tahoma"/>
            <family val="2"/>
          </rPr>
          <t>Wiles, Richard (Research):</t>
        </r>
        <r>
          <rPr>
            <sz val="9"/>
            <color indexed="81"/>
            <rFont val="Tahoma"/>
            <family val="2"/>
          </rPr>
          <t xml:space="preserve">
adoption of new lease accounting standard</t>
        </r>
      </text>
    </comment>
    <comment ref="CK578" authorId="6" shapeId="0" xr:uid="{00000000-0006-0000-0400-0000D2000000}">
      <text>
        <r>
          <rPr>
            <sz val="9"/>
            <color indexed="81"/>
            <rFont val="Tahoma"/>
            <family val="2"/>
          </rPr>
          <t>Restated 1H20 to exclude accounting changes</t>
        </r>
        <r>
          <rPr>
            <b/>
            <sz val="9"/>
            <color indexed="81"/>
            <rFont val="Tahoma"/>
            <family val="2"/>
          </rPr>
          <t xml:space="preserve">
Fernandes, Sona F (Research):</t>
        </r>
        <r>
          <rPr>
            <sz val="9"/>
            <color indexed="81"/>
            <rFont val="Tahoma"/>
            <family val="2"/>
          </rPr>
          <t xml:space="preserve">
Lease related items -$9m 
Asian associate AASB9 Adjustment -$68m</t>
        </r>
      </text>
    </comment>
    <comment ref="CS578" authorId="1" shapeId="0" xr:uid="{EC9CB22D-CED2-4ACF-A9D7-0DA4225F7029}">
      <text>
        <r>
          <rPr>
            <b/>
            <sz val="9"/>
            <color indexed="81"/>
            <rFont val="Tahoma"/>
            <family val="2"/>
          </rPr>
          <t>Hong, Sally (Research):</t>
        </r>
        <r>
          <rPr>
            <sz val="9"/>
            <color indexed="81"/>
            <rFont val="Tahoma"/>
            <family val="2"/>
          </rPr>
          <t xml:space="preserve">
24/10/22 ASX Announcement 2H22 Notable Items:
</t>
        </r>
        <r>
          <rPr>
            <b/>
            <sz val="9"/>
            <color indexed="81"/>
            <rFont val="Tahoma"/>
            <family val="2"/>
          </rPr>
          <t>Lease Modification:</t>
        </r>
        <r>
          <rPr>
            <sz val="9"/>
            <color indexed="81"/>
            <rFont val="Tahoma"/>
            <family val="2"/>
          </rPr>
          <t xml:space="preserve">
Other Income: +$23m
Expenses: -$47m
Tax Benefit: +$7m
After-tax cash earnings Impact: -$17m</t>
        </r>
      </text>
    </comment>
    <comment ref="CN579" authorId="7" shapeId="0" xr:uid="{00000000-0006-0000-0400-0000D3000000}">
      <text>
        <r>
          <rPr>
            <sz val="9"/>
            <color indexed="81"/>
            <rFont val="Tahoma"/>
            <family val="2"/>
          </rPr>
          <t xml:space="preserve">Update: $135m of goodwill writedown relating to AmBank 
</t>
        </r>
        <r>
          <rPr>
            <b/>
            <sz val="9"/>
            <color indexed="81"/>
            <rFont val="Tahoma"/>
            <family val="2"/>
          </rPr>
          <t xml:space="preserve">
Fernandes, Sona (Research):</t>
        </r>
        <r>
          <rPr>
            <sz val="9"/>
            <color indexed="81"/>
            <rFont val="Tahoma"/>
            <family val="2"/>
          </rPr>
          <t xml:space="preserve">
Per announcement on 1/3/21, agreement to resolve claims between AMMB Holdings and Malaysian Miinistry of Finance of $212m</t>
        </r>
      </text>
    </comment>
    <comment ref="CO579" authorId="3" shapeId="0" xr:uid="{00000000-0006-0000-0400-0000D4000000}">
      <text>
        <r>
          <rPr>
            <b/>
            <sz val="9"/>
            <color indexed="81"/>
            <rFont val="Tahoma"/>
            <family val="2"/>
          </rPr>
          <t>Wiles, Richard (Research):</t>
        </r>
        <r>
          <rPr>
            <sz val="9"/>
            <color indexed="81"/>
            <rFont val="Tahoma"/>
            <family val="2"/>
          </rPr>
          <t xml:space="preserve">
refer FY21 page 18</t>
        </r>
      </text>
    </comment>
    <comment ref="CR582" authorId="1" shapeId="0" xr:uid="{00000000-0006-0000-0400-0000D5000000}">
      <text>
        <r>
          <rPr>
            <b/>
            <sz val="9"/>
            <color indexed="81"/>
            <rFont val="Tahoma"/>
            <family val="2"/>
          </rPr>
          <t>Hong, Sally (Research):</t>
        </r>
        <r>
          <rPr>
            <sz val="9"/>
            <color indexed="81"/>
            <rFont val="Tahoma"/>
            <family val="2"/>
          </rPr>
          <t xml:space="preserve">
Restated to $269m in 2H22 Notables 24/10/22
Page 15 of the 1H22 Results 4D</t>
        </r>
      </text>
    </comment>
    <comment ref="CR585" authorId="1" shapeId="0" xr:uid="{00000000-0006-0000-0400-0000D6000000}">
      <text>
        <r>
          <rPr>
            <b/>
            <sz val="9"/>
            <color indexed="81"/>
            <rFont val="Tahoma"/>
            <family val="2"/>
          </rPr>
          <t>Hong, Sally (Research):</t>
        </r>
        <r>
          <rPr>
            <sz val="9"/>
            <color indexed="81"/>
            <rFont val="Tahoma"/>
            <family val="2"/>
          </rPr>
          <t xml:space="preserve">
Restated in 2H22… See Page 25 of FY22 Results 4E
See Page 23 of the 1H22 Results 4D</t>
        </r>
      </text>
    </comment>
    <comment ref="CV585" authorId="1" shapeId="0" xr:uid="{30EFEEF7-6172-4FF5-85B6-B7EA49190436}">
      <text>
        <r>
          <rPr>
            <b/>
            <sz val="9"/>
            <color indexed="81"/>
            <rFont val="Tahoma"/>
            <family val="2"/>
          </rPr>
          <t>Hong, Sally (Research):</t>
        </r>
        <r>
          <rPr>
            <sz val="9"/>
            <color indexed="81"/>
            <rFont val="Tahoma"/>
            <family val="2"/>
          </rPr>
          <t xml:space="preserve">
Slide 69 1H23 results Presentation</t>
        </r>
      </text>
    </comment>
    <comment ref="CZ585" authorId="1" shapeId="0" xr:uid="{1C102B48-2A2A-4E99-8F6E-97E6D9077B7E}">
      <text>
        <r>
          <rPr>
            <b/>
            <sz val="9"/>
            <color indexed="81"/>
            <rFont val="Tahoma"/>
            <family val="2"/>
          </rPr>
          <t>Hong, Sally (Research):</t>
        </r>
        <r>
          <rPr>
            <sz val="9"/>
            <color indexed="81"/>
            <rFont val="Tahoma"/>
            <family val="2"/>
          </rPr>
          <t xml:space="preserve">
No longer disclosing notable items in 1H24</t>
        </r>
      </text>
    </comment>
    <comment ref="DE587" authorId="1" shapeId="0" xr:uid="{40AF29D0-601E-4DBD-98F6-3D97477AB90B}">
      <text>
        <r>
          <rPr>
            <b/>
            <sz val="9"/>
            <color indexed="81"/>
            <rFont val="Tahoma"/>
            <family val="2"/>
          </rPr>
          <t>Hong, Sally (Research):</t>
        </r>
        <r>
          <rPr>
            <sz val="9"/>
            <color indexed="81"/>
            <rFont val="Tahoma"/>
            <family val="2"/>
          </rPr>
          <t xml:space="preserve">
PT Panin carrying value Impairment of A$285m post tax and pre-tax</t>
        </r>
      </text>
    </comment>
    <comment ref="CZ588" authorId="1" shapeId="0" xr:uid="{2CB7846F-E775-4FEE-BD86-DEC3F85A15B9}">
      <text>
        <r>
          <rPr>
            <b/>
            <sz val="9"/>
            <color indexed="81"/>
            <rFont val="Tahoma"/>
            <family val="2"/>
          </rPr>
          <t>Hong, Sally (Research):</t>
        </r>
        <r>
          <rPr>
            <sz val="9"/>
            <color indexed="81"/>
            <rFont val="Tahoma"/>
            <family val="2"/>
          </rPr>
          <t xml:space="preserve">
Loss on partial Deposal of AmBank (A$21m)
Page 19 1H24 4D</t>
        </r>
      </text>
    </comment>
    <comment ref="CG599" authorId="3" shapeId="0" xr:uid="{00000000-0006-0000-0400-0000D7000000}">
      <text>
        <r>
          <rPr>
            <b/>
            <sz val="9"/>
            <color indexed="81"/>
            <rFont val="Tahoma"/>
            <family val="2"/>
          </rPr>
          <t>Wiles, Richard (Research):</t>
        </r>
        <r>
          <rPr>
            <sz val="9"/>
            <color indexed="81"/>
            <rFont val="Tahoma"/>
            <family val="2"/>
          </rPr>
          <t xml:space="preserve">
Refer FY19 page 19</t>
        </r>
      </text>
    </comment>
    <comment ref="CS599" authorId="1" shapeId="0" xr:uid="{771F22C2-7BE8-4250-A142-B0F5E5AA4D3A}">
      <text>
        <r>
          <rPr>
            <b/>
            <sz val="9"/>
            <color indexed="81"/>
            <rFont val="Tahoma"/>
            <family val="2"/>
          </rPr>
          <t>Hong, Sally (Research):</t>
        </r>
        <r>
          <rPr>
            <sz val="9"/>
            <color indexed="81"/>
            <rFont val="Tahoma"/>
            <family val="2"/>
          </rPr>
          <t xml:space="preserve">
24/10/22 ASX Announcement 2H22 Notable Items:
</t>
        </r>
        <r>
          <rPr>
            <b/>
            <sz val="9"/>
            <color indexed="81"/>
            <rFont val="Tahoma"/>
            <family val="2"/>
          </rPr>
          <t>Remediation:</t>
        </r>
        <r>
          <rPr>
            <sz val="9"/>
            <color indexed="81"/>
            <rFont val="Tahoma"/>
            <family val="2"/>
          </rPr>
          <t xml:space="preserve">
NII: +$3m
Other Income: -$12m
Expenses: -$42m
Tax Benefit: +$8m
After-tax cash earnings Impact: -$43m</t>
        </r>
      </text>
    </comment>
    <comment ref="CJ601" authorId="3" shapeId="0" xr:uid="{00000000-0006-0000-0400-0000D8000000}">
      <text>
        <r>
          <rPr>
            <b/>
            <sz val="9"/>
            <color indexed="81"/>
            <rFont val="Tahoma"/>
            <family val="2"/>
          </rPr>
          <t>Wiles, Richard (Research):</t>
        </r>
        <r>
          <rPr>
            <sz val="9"/>
            <color indexed="81"/>
            <rFont val="Tahoma"/>
            <family val="2"/>
          </rPr>
          <t xml:space="preserve">
restated at 1H21</t>
        </r>
      </text>
    </comment>
    <comment ref="CK601" authorId="3" shapeId="0" xr:uid="{00000000-0006-0000-0400-0000D9000000}">
      <text>
        <r>
          <rPr>
            <b/>
            <sz val="9"/>
            <color indexed="81"/>
            <rFont val="Tahoma"/>
            <family val="2"/>
          </rPr>
          <t>Wiles, Richard (Research):</t>
        </r>
        <r>
          <rPr>
            <sz val="9"/>
            <color indexed="81"/>
            <rFont val="Tahoma"/>
            <family val="2"/>
          </rPr>
          <t xml:space="preserve">
restated at 1H21</t>
        </r>
      </text>
    </comment>
    <comment ref="BT606" authorId="3" shapeId="0" xr:uid="{00000000-0006-0000-0400-0000DA000000}">
      <text>
        <r>
          <rPr>
            <b/>
            <sz val="9"/>
            <color indexed="81"/>
            <rFont val="Tahoma"/>
            <family val="2"/>
          </rPr>
          <t>Wiles, Richard (Research):</t>
        </r>
        <r>
          <rPr>
            <sz val="9"/>
            <color indexed="81"/>
            <rFont val="Tahoma"/>
            <family val="2"/>
          </rPr>
          <t xml:space="preserve">
Restated up by 6bp at 1H17 due to change in treatment of offset accounts (approx $22bn)</t>
        </r>
      </text>
    </comment>
    <comment ref="BT607" authorId="3" shapeId="0" xr:uid="{00000000-0006-0000-0400-0000DB000000}">
      <text>
        <r>
          <rPr>
            <b/>
            <sz val="9"/>
            <color indexed="81"/>
            <rFont val="Tahoma"/>
            <family val="2"/>
          </rPr>
          <t>Wiles, Richard (Research):</t>
        </r>
        <r>
          <rPr>
            <sz val="9"/>
            <color indexed="81"/>
            <rFont val="Tahoma"/>
            <family val="2"/>
          </rPr>
          <t xml:space="preserve">
Restated up by 6bp at 1H17 due to change in treatment of offset accounts (approx $22bn)</t>
        </r>
      </text>
    </comment>
    <comment ref="CS610" authorId="1" shapeId="0" xr:uid="{7821D909-9F54-4D08-ADEA-CC9FE7674980}">
      <text>
        <r>
          <rPr>
            <b/>
            <sz val="9"/>
            <color indexed="81"/>
            <rFont val="Tahoma"/>
            <family val="2"/>
          </rPr>
          <t>Hong, Sally (Research):</t>
        </r>
        <r>
          <rPr>
            <sz val="9"/>
            <color indexed="81"/>
            <rFont val="Tahoma"/>
            <family val="2"/>
          </rPr>
          <t xml:space="preserve">
24/10/22 ASX announcement:
+0.0007% Adjustment for
Customer remediation NII: +3m</t>
        </r>
      </text>
    </comment>
    <comment ref="DW610" authorId="3" shapeId="0" xr:uid="{00000000-0006-0000-0400-0000DC000000}">
      <text>
        <r>
          <rPr>
            <b/>
            <sz val="9"/>
            <color indexed="81"/>
            <rFont val="Tahoma"/>
            <family val="2"/>
          </rPr>
          <t>Wiles, Richard (Research):</t>
        </r>
        <r>
          <rPr>
            <sz val="9"/>
            <color indexed="81"/>
            <rFont val="Tahoma"/>
            <family val="2"/>
          </rPr>
          <t xml:space="preserve">
Current 
includes -2bp for competition, 
includes -1bp for asset mix
includes -6bp for net impact of deposit spread squeeze / lower rates / re-pricing 
includes +1bp for NZ re-pricing
includes +1bp for deposit pricing / mix
includes +3bp for lower BBSW
===&gt; implies -4bp h-o-h margin contraction
@ Jan 2020 
includes -2bp for competition, 
includes -1bp for asset/funding mix
includes -1bp replicating portfolio 
includes -2bp for deposit spread squeeze / lower rates
includes +1bp for loan re-pricing
includes +1bp for NZ re-pricing
===&gt; implies -4bp h-o-h margin contraction
</t>
        </r>
      </text>
    </comment>
    <comment ref="BT612" authorId="3" shapeId="0" xr:uid="{00000000-0006-0000-0400-0000DD000000}">
      <text>
        <r>
          <rPr>
            <b/>
            <sz val="9"/>
            <color indexed="81"/>
            <rFont val="Tahoma"/>
            <family val="2"/>
          </rPr>
          <t>Wiles, Richard (Research):</t>
        </r>
        <r>
          <rPr>
            <sz val="9"/>
            <color indexed="81"/>
            <rFont val="Tahoma"/>
            <family val="2"/>
          </rPr>
          <t xml:space="preserve">
Restated up by 6bp at 1H17 due to change in treatment of offset accounts (approx $22bn)</t>
        </r>
      </text>
    </comment>
    <comment ref="BH638" authorId="2" shapeId="0" xr:uid="{00000000-0006-0000-0400-0000DE000000}">
      <text>
        <r>
          <rPr>
            <b/>
            <sz val="9"/>
            <color indexed="81"/>
            <rFont val="Tahoma"/>
            <family val="2"/>
          </rPr>
          <t>Dunger, Matt (Research):</t>
        </r>
        <r>
          <rPr>
            <sz val="9"/>
            <color indexed="81"/>
            <rFont val="Tahoma"/>
            <family val="2"/>
          </rPr>
          <t xml:space="preserve">
Updated per spreadsheet: "Average interest rates_Matt.xlsx"</t>
        </r>
      </text>
    </comment>
    <comment ref="BI638" authorId="2" shapeId="0" xr:uid="{00000000-0006-0000-0400-0000DF000000}">
      <text>
        <r>
          <rPr>
            <b/>
            <sz val="9"/>
            <color indexed="81"/>
            <rFont val="Tahoma"/>
            <family val="2"/>
          </rPr>
          <t>Dunger, Matt (Research):</t>
        </r>
        <r>
          <rPr>
            <sz val="9"/>
            <color indexed="81"/>
            <rFont val="Tahoma"/>
            <family val="2"/>
          </rPr>
          <t xml:space="preserve">
Updated per spreadsheet: "Average interest rates_Matt.xlsx"</t>
        </r>
      </text>
    </comment>
    <comment ref="BL638" authorId="2" shapeId="0" xr:uid="{00000000-0006-0000-0400-0000E0000000}">
      <text>
        <r>
          <rPr>
            <b/>
            <sz val="9"/>
            <color indexed="81"/>
            <rFont val="Tahoma"/>
            <family val="2"/>
          </rPr>
          <t>Dunger, Matt (Research):</t>
        </r>
        <r>
          <rPr>
            <sz val="9"/>
            <color indexed="81"/>
            <rFont val="Tahoma"/>
            <family val="2"/>
          </rPr>
          <t xml:space="preserve">
Updated per spreadsheet: "Average interest rates_Matt.xlsx"</t>
        </r>
      </text>
    </comment>
    <comment ref="BM638" authorId="2" shapeId="0" xr:uid="{00000000-0006-0000-0400-0000E1000000}">
      <text>
        <r>
          <rPr>
            <b/>
            <sz val="9"/>
            <color indexed="81"/>
            <rFont val="Tahoma"/>
            <family val="2"/>
          </rPr>
          <t>Dunger, Matt (Research):</t>
        </r>
        <r>
          <rPr>
            <sz val="9"/>
            <color indexed="81"/>
            <rFont val="Tahoma"/>
            <family val="2"/>
          </rPr>
          <t xml:space="preserve">
Updated per spreadsheet: "Average interest rates_Matt.xlsx"</t>
        </r>
      </text>
    </comment>
    <comment ref="BP638" authorId="2" shapeId="0" xr:uid="{00000000-0006-0000-0400-0000E2000000}">
      <text>
        <r>
          <rPr>
            <b/>
            <sz val="9"/>
            <color indexed="81"/>
            <rFont val="Tahoma"/>
            <family val="2"/>
          </rPr>
          <t>Dunger, Matt (Research):</t>
        </r>
        <r>
          <rPr>
            <sz val="9"/>
            <color indexed="81"/>
            <rFont val="Tahoma"/>
            <family val="2"/>
          </rPr>
          <t xml:space="preserve">
Updated per spreadsheet: "Average interest rates_Matt.xlsx"</t>
        </r>
      </text>
    </comment>
    <comment ref="CV647" authorId="1" shapeId="0" xr:uid="{ACE43F84-B025-45B9-B38D-9DF9A355B3F6}">
      <text>
        <r>
          <rPr>
            <b/>
            <sz val="9"/>
            <color indexed="81"/>
            <rFont val="Tahoma"/>
            <family val="2"/>
          </rPr>
          <t>Hong, Sally (Research):</t>
        </r>
        <r>
          <rPr>
            <sz val="9"/>
            <color indexed="81"/>
            <rFont val="Tahoma"/>
            <family val="2"/>
          </rPr>
          <t xml:space="preserve">
Restated in 1H24</t>
        </r>
      </text>
    </comment>
    <comment ref="CW647" authorId="1" shapeId="0" xr:uid="{3EB7691D-8151-4176-A2CC-5B8E46005FD4}">
      <text>
        <r>
          <rPr>
            <b/>
            <sz val="9"/>
            <color indexed="81"/>
            <rFont val="Tahoma"/>
            <family val="2"/>
          </rPr>
          <t>Hong, Sally (Research):</t>
        </r>
        <r>
          <rPr>
            <sz val="9"/>
            <color indexed="81"/>
            <rFont val="Tahoma"/>
            <family val="2"/>
          </rPr>
          <t xml:space="preserve">
Restated in 1H24</t>
        </r>
      </text>
    </comment>
    <comment ref="CR662" authorId="3" shapeId="0" xr:uid="{00000000-0006-0000-0400-0000E3000000}">
      <text>
        <r>
          <rPr>
            <b/>
            <sz val="9"/>
            <color indexed="81"/>
            <rFont val="Tahoma"/>
            <family val="2"/>
          </rPr>
          <t>Wiles, Richard (Research):</t>
        </r>
        <r>
          <rPr>
            <sz val="9"/>
            <color indexed="81"/>
            <rFont val="Tahoma"/>
            <family val="2"/>
          </rPr>
          <t xml:space="preserve">
per 1Q22 update: expect A$140m y-o-y impact in FY22, spread evenly across the two halves … so MS: take $70m from 2H21 base </t>
        </r>
      </text>
    </comment>
    <comment ref="BM665" authorId="3" shapeId="0" xr:uid="{00000000-0006-0000-0400-0000E4000000}">
      <text>
        <r>
          <rPr>
            <b/>
            <sz val="9"/>
            <color indexed="81"/>
            <rFont val="Tahoma"/>
            <family val="2"/>
          </rPr>
          <t>Wiles, Richard (Research):</t>
        </r>
        <r>
          <rPr>
            <sz val="9"/>
            <color indexed="81"/>
            <rFont val="Tahoma"/>
            <family val="2"/>
          </rPr>
          <t xml:space="preserve">
Includes A$125m gain on sale of ANZ Trsutees and A$21m loss on sale of SSI</t>
        </r>
      </text>
    </comment>
    <comment ref="BP665" authorId="2" shapeId="0" xr:uid="{00000000-0006-0000-0400-0000E5000000}">
      <text>
        <r>
          <rPr>
            <b/>
            <sz val="9"/>
            <color indexed="81"/>
            <rFont val="Tahoma"/>
            <family val="2"/>
          </rPr>
          <t xml:space="preserve">Dunger, Matt (Research):
</t>
        </r>
        <r>
          <rPr>
            <sz val="9"/>
            <color indexed="81"/>
            <rFont val="Tahoma"/>
            <family val="2"/>
          </rPr>
          <t>$25m RBA CLF fee commenced in 1H15.</t>
        </r>
      </text>
    </comment>
    <comment ref="CJ665" authorId="3" shapeId="0" xr:uid="{00000000-0006-0000-0400-0000E6000000}">
      <text>
        <r>
          <rPr>
            <b/>
            <sz val="9"/>
            <color indexed="81"/>
            <rFont val="Tahoma"/>
            <family val="2"/>
          </rPr>
          <t>Wiles, Richard (Research):</t>
        </r>
        <r>
          <rPr>
            <sz val="9"/>
            <color indexed="81"/>
            <rFont val="Tahoma"/>
            <family val="2"/>
          </rPr>
          <t xml:space="preserve">
includes A$815m impairment for Asian partnerships (A$595m for Ambank and A$220m for Panin)</t>
        </r>
      </text>
    </comment>
    <comment ref="BP668" authorId="2" shapeId="0" xr:uid="{00000000-0006-0000-0400-0000E7000000}">
      <text>
        <r>
          <rPr>
            <b/>
            <sz val="9"/>
            <color indexed="81"/>
            <rFont val="Tahoma"/>
            <family val="2"/>
          </rPr>
          <t>Dunger, Matt (Research):</t>
        </r>
        <r>
          <rPr>
            <sz val="9"/>
            <color indexed="81"/>
            <rFont val="Tahoma"/>
            <family val="2"/>
          </rPr>
          <t xml:space="preserve">
Increase due to higher deal flow in Asia ($6m) and TF fees in the Pacific ($5m).</t>
        </r>
      </text>
    </comment>
    <comment ref="CR668" authorId="3" shapeId="0" xr:uid="{00000000-0006-0000-0400-0000E8000000}">
      <text>
        <r>
          <rPr>
            <b/>
            <sz val="9"/>
            <color indexed="81"/>
            <rFont val="Tahoma"/>
            <family val="2"/>
          </rPr>
          <t>Wiles, Richard (Research):</t>
        </r>
        <r>
          <rPr>
            <sz val="9"/>
            <color indexed="81"/>
            <rFont val="Tahoma"/>
            <family val="2"/>
          </rPr>
          <t xml:space="preserve">
includes A$70m from lower Breakfree as well as lower FV gains and hedge revenue gains</t>
        </r>
      </text>
    </comment>
    <comment ref="CV668" authorId="3" shapeId="0" xr:uid="{F227EBAF-DC82-4AD2-8BDE-D3622831DC0F}">
      <text>
        <r>
          <rPr>
            <b/>
            <sz val="9"/>
            <color indexed="81"/>
            <rFont val="Tahoma"/>
            <family val="2"/>
          </rPr>
          <t>Wiles, Richard (Research):</t>
        </r>
        <r>
          <rPr>
            <sz val="9"/>
            <color indexed="81"/>
            <rFont val="Tahoma"/>
            <family val="2"/>
          </rPr>
          <t xml:space="preserve">
some seasonailty in Aust retail .. Approc A$40m in both FY21 and FY22</t>
        </r>
      </text>
    </comment>
    <comment ref="CW668" authorId="3" shapeId="0" xr:uid="{10A16159-16F1-4524-86E8-855DC44ED51B}">
      <text>
        <r>
          <rPr>
            <b/>
            <sz val="9"/>
            <color indexed="81"/>
            <rFont val="Tahoma"/>
            <family val="2"/>
          </rPr>
          <t>Wiles, Richard (Research):</t>
        </r>
        <r>
          <rPr>
            <sz val="9"/>
            <color indexed="81"/>
            <rFont val="Tahoma"/>
            <family val="2"/>
          </rPr>
          <t xml:space="preserve">
some seasonailty in Aust retail .. Approc A$40m in both FY21 and FY22</t>
        </r>
      </text>
    </comment>
    <comment ref="CZ668" authorId="3" shapeId="0" xr:uid="{53531930-BAD2-410E-ABB0-2766D2EBF375}">
      <text>
        <r>
          <rPr>
            <b/>
            <sz val="9"/>
            <color indexed="81"/>
            <rFont val="Tahoma"/>
            <family val="2"/>
          </rPr>
          <t>Wiles, Richard (Research):</t>
        </r>
        <r>
          <rPr>
            <sz val="9"/>
            <color indexed="81"/>
            <rFont val="Tahoma"/>
            <family val="2"/>
          </rPr>
          <t xml:space="preserve">
some seasonailty in Aust retail .. Approc A$40m in both FY21 and FY22</t>
        </r>
      </text>
    </comment>
    <comment ref="DA668" authorId="3" shapeId="0" xr:uid="{81E6B007-7107-41AC-A32F-827567C795A8}">
      <text>
        <r>
          <rPr>
            <b/>
            <sz val="9"/>
            <color indexed="81"/>
            <rFont val="Tahoma"/>
            <family val="2"/>
          </rPr>
          <t>Wiles, Richard (Research):</t>
        </r>
        <r>
          <rPr>
            <sz val="9"/>
            <color indexed="81"/>
            <rFont val="Tahoma"/>
            <family val="2"/>
          </rPr>
          <t xml:space="preserve">
Add in Non Interest Income loss from SUN Bank Acquisiton
some seasonailty in Aust retail .. Approc A$40m in both FY21 and FY22</t>
        </r>
      </text>
    </comment>
    <comment ref="DD668" authorId="3" shapeId="0" xr:uid="{74831C7E-119B-467D-9CFB-5D7580296B4A}">
      <text>
        <r>
          <rPr>
            <b/>
            <sz val="9"/>
            <color indexed="81"/>
            <rFont val="Tahoma"/>
            <family val="2"/>
          </rPr>
          <t>Wiles, Richard (Research):</t>
        </r>
        <r>
          <rPr>
            <sz val="9"/>
            <color indexed="81"/>
            <rFont val="Tahoma"/>
            <family val="2"/>
          </rPr>
          <t xml:space="preserve">
1H25 vs 2H24 down A$101m (or A$116m ex SUN):
- lower cards revenue in Aust retail 
- lower no lending fees in Corp Finance 
- seasonaility in Commerciak cards and lower non lending fess
===&gt; assume half is seasonaility
previous:
some seasonailty in Aust retail .. Approc A$40m in both FY21 and FY22</t>
        </r>
      </text>
    </comment>
    <comment ref="DE668" authorId="3" shapeId="0" xr:uid="{DDF128D6-1DCE-40DF-9D2B-AA561037F425}">
      <text>
        <r>
          <rPr>
            <b/>
            <sz val="9"/>
            <color indexed="81"/>
            <rFont val="Tahoma"/>
            <family val="2"/>
          </rPr>
          <t>Wiles, Richard (Research):</t>
        </r>
        <r>
          <rPr>
            <sz val="9"/>
            <color indexed="81"/>
            <rFont val="Tahoma"/>
            <family val="2"/>
          </rPr>
          <t xml:space="preserve">
some seasonailty in Aust retail .. Approc A$40m in both FY21 and FY22</t>
        </r>
      </text>
    </comment>
    <comment ref="DH668" authorId="3" shapeId="0" xr:uid="{D0FF7274-16F1-4E5D-8D0E-AC636A03B1C0}">
      <text>
        <r>
          <rPr>
            <b/>
            <sz val="9"/>
            <color indexed="81"/>
            <rFont val="Tahoma"/>
            <family val="2"/>
          </rPr>
          <t>Wiles, Richard (Research):</t>
        </r>
        <r>
          <rPr>
            <sz val="9"/>
            <color indexed="81"/>
            <rFont val="Tahoma"/>
            <family val="2"/>
          </rPr>
          <t xml:space="preserve">
some seasonailty in Aust retail .. Approc A$40m in both FY21 and FY22</t>
        </r>
      </text>
    </comment>
    <comment ref="DI668" authorId="3" shapeId="0" xr:uid="{D94E10BA-A283-4B17-B041-F78DB0D7F54F}">
      <text>
        <r>
          <rPr>
            <b/>
            <sz val="9"/>
            <color indexed="81"/>
            <rFont val="Tahoma"/>
            <family val="2"/>
          </rPr>
          <t>Wiles, Richard (Research):</t>
        </r>
        <r>
          <rPr>
            <sz val="9"/>
            <color indexed="81"/>
            <rFont val="Tahoma"/>
            <family val="2"/>
          </rPr>
          <t xml:space="preserve">
some seasonailty in Aust retail .. Approc A$40m in both FY21 and FY22</t>
        </r>
      </text>
    </comment>
    <comment ref="DL668" authorId="3" shapeId="0" xr:uid="{DF651C31-7E79-483C-8A46-A669D321DFC9}">
      <text>
        <r>
          <rPr>
            <b/>
            <sz val="9"/>
            <color indexed="81"/>
            <rFont val="Tahoma"/>
            <family val="2"/>
          </rPr>
          <t>Wiles, Richard (Research):</t>
        </r>
        <r>
          <rPr>
            <sz val="9"/>
            <color indexed="81"/>
            <rFont val="Tahoma"/>
            <family val="2"/>
          </rPr>
          <t xml:space="preserve">
some seasonailty in Aust retail .. Approc A$40m in both FY21 and FY22</t>
        </r>
      </text>
    </comment>
    <comment ref="DM668" authorId="3" shapeId="0" xr:uid="{F31194F5-85FD-4391-B846-C9EABB6DBB8E}">
      <text>
        <r>
          <rPr>
            <b/>
            <sz val="9"/>
            <color indexed="81"/>
            <rFont val="Tahoma"/>
            <family val="2"/>
          </rPr>
          <t>Wiles, Richard (Research):</t>
        </r>
        <r>
          <rPr>
            <sz val="9"/>
            <color indexed="81"/>
            <rFont val="Tahoma"/>
            <family val="2"/>
          </rPr>
          <t xml:space="preserve">
some seasonailty in Aust retail .. Approc A$40m in both FY21 and FY22</t>
        </r>
      </text>
    </comment>
    <comment ref="DP668" authorId="3" shapeId="0" xr:uid="{272FED2C-00D7-41E2-8FAC-7B951241E6D7}">
      <text>
        <r>
          <rPr>
            <b/>
            <sz val="9"/>
            <color indexed="81"/>
            <rFont val="Tahoma"/>
            <family val="2"/>
          </rPr>
          <t>Wiles, Richard (Research):</t>
        </r>
        <r>
          <rPr>
            <sz val="9"/>
            <color indexed="81"/>
            <rFont val="Tahoma"/>
            <family val="2"/>
          </rPr>
          <t xml:space="preserve">
some seasonailty in Aust retail .. Approc A$40m in both FY21 and FY22</t>
        </r>
      </text>
    </comment>
    <comment ref="DQ668" authorId="3" shapeId="0" xr:uid="{551E2CE9-44CB-47D5-9AB4-734905582A9C}">
      <text>
        <r>
          <rPr>
            <b/>
            <sz val="9"/>
            <color indexed="81"/>
            <rFont val="Tahoma"/>
            <family val="2"/>
          </rPr>
          <t>Wiles, Richard (Research):</t>
        </r>
        <r>
          <rPr>
            <sz val="9"/>
            <color indexed="81"/>
            <rFont val="Tahoma"/>
            <family val="2"/>
          </rPr>
          <t xml:space="preserve">
some seasonailty in Aust retail .. Approc A$40m in both FY21 and FY22</t>
        </r>
      </text>
    </comment>
    <comment ref="CV675" authorId="1" shapeId="0" xr:uid="{04C63D5A-3879-4A66-94C9-4653C0C3D77A}">
      <text>
        <r>
          <rPr>
            <b/>
            <sz val="9"/>
            <color indexed="81"/>
            <rFont val="Tahoma"/>
            <family val="2"/>
          </rPr>
          <t>Hong, Sally (Research):</t>
        </r>
        <r>
          <rPr>
            <sz val="9"/>
            <color indexed="81"/>
            <rFont val="Tahoma"/>
            <family val="2"/>
          </rPr>
          <t xml:space="preserve">
Slide 69 of the 1H23 Results Presentation:
Notable fee items = -7m</t>
        </r>
      </text>
    </comment>
    <comment ref="CN676" authorId="3" shapeId="0" xr:uid="{5E305246-E0BF-4675-8AE0-99E99916C8B4}">
      <text>
        <r>
          <rPr>
            <b/>
            <sz val="9"/>
            <color indexed="81"/>
            <rFont val="Tahoma"/>
            <family val="2"/>
          </rPr>
          <t>Wiles, Richard (Research):</t>
        </r>
        <r>
          <rPr>
            <sz val="9"/>
            <color indexed="81"/>
            <rFont val="Tahoma"/>
            <family val="2"/>
          </rPr>
          <t xml:space="preserve">
refer page 23 1H22</t>
        </r>
      </text>
    </comment>
    <comment ref="CO676" authorId="3" shapeId="0" xr:uid="{79163B7A-F5C4-44FE-A5EB-375CCFF0F095}">
      <text>
        <r>
          <rPr>
            <b/>
            <sz val="9"/>
            <color indexed="81"/>
            <rFont val="Tahoma"/>
            <family val="2"/>
          </rPr>
          <t>Wiles, Richard (Research):</t>
        </r>
        <r>
          <rPr>
            <sz val="9"/>
            <color indexed="81"/>
            <rFont val="Tahoma"/>
            <family val="2"/>
          </rPr>
          <t xml:space="preserve">
refer page 23 1H22</t>
        </r>
      </text>
    </comment>
    <comment ref="CR676" authorId="3" shapeId="0" xr:uid="{DCD221C9-4815-425E-8DB3-80C9F30D2193}">
      <text>
        <r>
          <rPr>
            <b/>
            <sz val="9"/>
            <color indexed="81"/>
            <rFont val="Tahoma"/>
            <family val="2"/>
          </rPr>
          <t>Wiles, Richard (Research):</t>
        </r>
        <r>
          <rPr>
            <sz val="9"/>
            <color indexed="81"/>
            <rFont val="Tahoma"/>
            <family val="2"/>
          </rPr>
          <t xml:space="preserve">
Restated in 2H22 to 953m see Page 25 of the FY25 Results 4E
refer page 23 1H22</t>
        </r>
      </text>
    </comment>
    <comment ref="CS676" authorId="3" shapeId="0" xr:uid="{EC8746D7-52F6-47D6-8565-C4F5CEB04C71}">
      <text>
        <r>
          <rPr>
            <b/>
            <sz val="9"/>
            <color indexed="81"/>
            <rFont val="Tahoma"/>
            <family val="2"/>
          </rPr>
          <t>Wiles, Richard (Research):</t>
        </r>
        <r>
          <rPr>
            <sz val="9"/>
            <color indexed="81"/>
            <rFont val="Tahoma"/>
            <family val="2"/>
          </rPr>
          <t xml:space="preserve">
Page 25 of the FY22 Results 4E </t>
        </r>
      </text>
    </comment>
    <comment ref="CK680" authorId="3" shapeId="0" xr:uid="{00000000-0006-0000-0400-0000E9000000}">
      <text>
        <r>
          <rPr>
            <b/>
            <sz val="9"/>
            <color indexed="81"/>
            <rFont val="Tahoma"/>
            <family val="2"/>
          </rPr>
          <t>Wiles, Richard (Research):</t>
        </r>
        <r>
          <rPr>
            <sz val="9"/>
            <color indexed="81"/>
            <rFont val="Tahoma"/>
            <family val="2"/>
          </rPr>
          <t xml:space="preserve">
impacted by A$68m adjustment for AASB9 … included as a notable item … implies underlying income of A$49m
</t>
        </r>
      </text>
    </comment>
    <comment ref="CN680" authorId="7" shapeId="0" xr:uid="{00000000-0006-0000-0400-0000EA000000}">
      <text>
        <r>
          <rPr>
            <b/>
            <sz val="9"/>
            <color indexed="81"/>
            <rFont val="Tahoma"/>
            <family val="2"/>
          </rPr>
          <t>Fernandes, Sona (Research):</t>
        </r>
        <r>
          <rPr>
            <sz val="9"/>
            <color indexed="81"/>
            <rFont val="Tahoma"/>
            <family val="2"/>
          </rPr>
          <t xml:space="preserve">
Per commentary on page 25 - $68M increase h-o-h due to non-recurrence of Panin AASB9 adjustment, and $16m increase in profits from associates relating to Panin
</t>
        </r>
      </text>
    </comment>
    <comment ref="CO680" authorId="3" shapeId="0" xr:uid="{00000000-0006-0000-0400-0000EB000000}">
      <text>
        <r>
          <rPr>
            <b/>
            <sz val="9"/>
            <color indexed="81"/>
            <rFont val="Tahoma"/>
            <family val="2"/>
          </rPr>
          <t>Wiles, Richard (Research):</t>
        </r>
        <r>
          <rPr>
            <sz val="9"/>
            <color indexed="81"/>
            <rFont val="Tahoma"/>
            <family val="2"/>
          </rPr>
          <t xml:space="preserve">
refer FY21 page 103
no notable items in 2H21
</t>
        </r>
      </text>
    </comment>
    <comment ref="CS680" authorId="1" shapeId="0" xr:uid="{32838D65-0121-465A-9FB3-3FE8A3EA64D7}">
      <text>
        <r>
          <rPr>
            <b/>
            <sz val="9"/>
            <color indexed="81"/>
            <rFont val="Tahoma"/>
            <family val="2"/>
          </rPr>
          <t>Hong, Sally (Research):</t>
        </r>
        <r>
          <rPr>
            <sz val="9"/>
            <color indexed="81"/>
            <rFont val="Tahoma"/>
            <family val="2"/>
          </rPr>
          <t xml:space="preserve">
Page 100 of the FY22 Results 4E</t>
        </r>
      </text>
    </comment>
    <comment ref="CW680" authorId="1" shapeId="0" xr:uid="{D0E927DE-46C4-40B9-B8E9-F427929C7869}">
      <text>
        <r>
          <rPr>
            <b/>
            <sz val="9"/>
            <color indexed="81"/>
            <rFont val="Tahoma"/>
            <family val="2"/>
          </rPr>
          <t>Hong, Sally (Research):</t>
        </r>
        <r>
          <rPr>
            <sz val="9"/>
            <color indexed="81"/>
            <rFont val="Tahoma"/>
            <family val="2"/>
          </rPr>
          <t xml:space="preserve">
Page 25 FY23 4E - add the half-year increase mvt on associates</t>
        </r>
      </text>
    </comment>
    <comment ref="DD680" authorId="1" shapeId="0" xr:uid="{10F80601-07F4-4C07-856A-1407C2B448B0}">
      <text>
        <r>
          <rPr>
            <b/>
            <sz val="9"/>
            <color indexed="81"/>
            <rFont val="Tahoma"/>
            <family val="2"/>
          </rPr>
          <t>Hong, Sally (Research):</t>
        </r>
        <r>
          <rPr>
            <sz val="9"/>
            <color indexed="81"/>
            <rFont val="Tahoma"/>
            <family val="2"/>
          </rPr>
          <t xml:space="preserve">
Page 112 1H25 4D</t>
        </r>
      </text>
    </comment>
    <comment ref="DE680" authorId="1" shapeId="0" xr:uid="{3BED9B0D-3CE3-40BB-8422-693AF2AF4474}">
      <text>
        <r>
          <rPr>
            <b/>
            <sz val="9"/>
            <color indexed="81"/>
            <rFont val="Tahoma"/>
            <family val="2"/>
          </rPr>
          <t>Hong, Sally (Research):</t>
        </r>
        <r>
          <rPr>
            <sz val="9"/>
            <color indexed="81"/>
            <rFont val="Tahoma"/>
            <family val="2"/>
          </rPr>
          <t xml:space="preserve">
Page 190 FY25 Annual Report - Panin profit of A$349m in FY25 to owners of associate x 39% stake</t>
        </r>
      </text>
    </comment>
    <comment ref="CN681" authorId="3" shapeId="0" xr:uid="{00000000-0006-0000-0400-0000EC000000}">
      <text>
        <r>
          <rPr>
            <sz val="9"/>
            <color indexed="81"/>
            <rFont val="Tahoma"/>
            <family val="2"/>
          </rPr>
          <t xml:space="preserve">
</t>
        </r>
        <r>
          <rPr>
            <b/>
            <sz val="9"/>
            <color indexed="81"/>
            <rFont val="Tahoma"/>
            <family val="2"/>
          </rPr>
          <t>SF @ 1H21</t>
        </r>
        <r>
          <rPr>
            <sz val="9"/>
            <color indexed="81"/>
            <rFont val="Tahoma"/>
            <family val="2"/>
          </rPr>
          <t xml:space="preserve">
(A$212m) 1MDB charge
A$135m) goodwill
A$40m underlying 
total (A$307m) total ... page 116 of FY20
Per commentary on page 25 of results, decrease h-o-h driven by impairment charges</t>
        </r>
        <r>
          <rPr>
            <b/>
            <sz val="9"/>
            <color indexed="81"/>
            <rFont val="Tahoma"/>
            <family val="2"/>
          </rPr>
          <t xml:space="preserve">
Update: </t>
        </r>
        <r>
          <rPr>
            <sz val="9"/>
            <color indexed="81"/>
            <rFont val="Tahoma"/>
            <family val="2"/>
          </rPr>
          <t>$135m of goodwill writedown relating to AmBank</t>
        </r>
        <r>
          <rPr>
            <b/>
            <sz val="9"/>
            <color indexed="81"/>
            <rFont val="Tahoma"/>
            <family val="2"/>
          </rPr>
          <t xml:space="preserve">
Wiles, Richard (Research):</t>
        </r>
        <r>
          <rPr>
            <sz val="9"/>
            <color indexed="81"/>
            <rFont val="Tahoma"/>
            <family val="2"/>
          </rPr>
          <t xml:space="preserve">
A$212m charge relating to agreement with Malaysian Ministry of Finance re 1MDB. </t>
        </r>
      </text>
    </comment>
    <comment ref="CO681" authorId="3" shapeId="0" xr:uid="{00000000-0006-0000-0400-0000ED000000}">
      <text>
        <r>
          <rPr>
            <b/>
            <sz val="9"/>
            <color indexed="81"/>
            <rFont val="Tahoma"/>
            <family val="2"/>
          </rPr>
          <t>Wiles, Richard (Research):</t>
        </r>
        <r>
          <rPr>
            <sz val="9"/>
            <color indexed="81"/>
            <rFont val="Tahoma"/>
            <family val="2"/>
          </rPr>
          <t xml:space="preserve">
refer FY21 page 103
no notable items in 2H21
</t>
        </r>
      </text>
    </comment>
    <comment ref="CV681" authorId="1" shapeId="0" xr:uid="{98BB7324-7FB2-4E69-9C1E-1747524523AB}">
      <text>
        <r>
          <rPr>
            <b/>
            <sz val="9"/>
            <color indexed="81"/>
            <rFont val="Tahoma"/>
            <family val="2"/>
          </rPr>
          <t>Hong, Sally (Research):</t>
        </r>
        <r>
          <rPr>
            <sz val="9"/>
            <color indexed="81"/>
            <rFont val="Tahoma"/>
            <family val="2"/>
          </rPr>
          <t xml:space="preserve">
Page 113 1H23 4D</t>
        </r>
      </text>
    </comment>
    <comment ref="CW681" authorId="1" shapeId="0" xr:uid="{172CF949-986F-4BE0-95B9-AE0A59061369}">
      <text>
        <r>
          <rPr>
            <b/>
            <sz val="9"/>
            <color indexed="81"/>
            <rFont val="Tahoma"/>
            <family val="2"/>
          </rPr>
          <t>Hong, Sally (Research):</t>
        </r>
        <r>
          <rPr>
            <sz val="9"/>
            <color indexed="81"/>
            <rFont val="Tahoma"/>
            <family val="2"/>
          </rPr>
          <t xml:space="preserve">
Sale of Ambank stake in 8/3/24 Factsheet: FY23 Earnings from Ambank = A$122m</t>
        </r>
      </text>
    </comment>
    <comment ref="CZ681" authorId="1" shapeId="0" xr:uid="{60F1B692-DD02-4507-8937-FBB70F43D908}">
      <text>
        <r>
          <rPr>
            <b/>
            <sz val="9"/>
            <color indexed="81"/>
            <rFont val="Tahoma"/>
            <family val="2"/>
          </rPr>
          <t>Hong, Sally (Research):</t>
        </r>
        <r>
          <rPr>
            <sz val="9"/>
            <color indexed="81"/>
            <rFont val="Tahoma"/>
            <family val="2"/>
          </rPr>
          <t xml:space="preserve">
</t>
        </r>
        <r>
          <rPr>
            <b/>
            <sz val="9"/>
            <color indexed="81"/>
            <rFont val="Tahoma"/>
            <family val="2"/>
          </rPr>
          <t>Previous Est = A$50m</t>
        </r>
        <r>
          <rPr>
            <sz val="9"/>
            <color indexed="81"/>
            <rFont val="Tahoma"/>
            <family val="2"/>
          </rPr>
          <t xml:space="preserve">
Sale of AMMB stake on 8/3/24: Before Sale 21.7%; Remaining 5.2% stake.
5 months /6  months of A$60m
= A$60m x 5/6
Dividend from remaining stake accounted for in other income</t>
        </r>
      </text>
    </comment>
    <comment ref="DA681" authorId="1" shapeId="0" xr:uid="{31C19DCC-BC86-4795-ACC3-0FD3665F113D}">
      <text>
        <r>
          <rPr>
            <b/>
            <sz val="9"/>
            <color indexed="81"/>
            <rFont val="Tahoma"/>
            <family val="2"/>
          </rPr>
          <t>Hong, Sally (Research):</t>
        </r>
        <r>
          <rPr>
            <sz val="9"/>
            <color indexed="81"/>
            <rFont val="Tahoma"/>
            <family val="2"/>
          </rPr>
          <t xml:space="preserve">
</t>
        </r>
        <r>
          <rPr>
            <b/>
            <sz val="9"/>
            <color indexed="81"/>
            <rFont val="Tahoma"/>
            <family val="2"/>
          </rPr>
          <t>Page 112 1H25 4D</t>
        </r>
        <r>
          <rPr>
            <sz val="9"/>
            <color indexed="81"/>
            <rFont val="Tahoma"/>
            <family val="2"/>
          </rPr>
          <t xml:space="preserve">
On
31 May 2024, the Group disposed of its remaining 5% interest in AmBank.
</t>
        </r>
        <r>
          <rPr>
            <b/>
            <sz val="9"/>
            <color indexed="81"/>
            <rFont val="Tahoma"/>
            <family val="2"/>
          </rPr>
          <t>Previous</t>
        </r>
        <r>
          <rPr>
            <sz val="9"/>
            <color indexed="81"/>
            <rFont val="Tahoma"/>
            <family val="2"/>
          </rPr>
          <t xml:space="preserve">
Dividend from remaining 5% stake accounted for in other income</t>
        </r>
      </text>
    </comment>
    <comment ref="DB681" authorId="1" shapeId="0" xr:uid="{0536CB0F-C3FF-4EF4-8A02-138FAB35E986}">
      <text>
        <r>
          <rPr>
            <b/>
            <sz val="9"/>
            <color indexed="81"/>
            <rFont val="Tahoma"/>
            <family val="2"/>
          </rPr>
          <t>Hong, Sally (Research):</t>
        </r>
        <r>
          <rPr>
            <sz val="9"/>
            <color indexed="81"/>
            <rFont val="Tahoma"/>
            <family val="2"/>
          </rPr>
          <t xml:space="preserve">
Page 23 FY24 4E:
FY24 vs FY23
Share of associates’ profit/(loss) decreased $116 million (52%) driven by the loss of equity accounted earnings following the disposal of AMMB
Holdings Berhad (AmBank) ($56 million), and decreases in P.T. Bank Pan Indonesia ($54 million) and Worldline Australia Pty Ltd ($8 million).</t>
        </r>
      </text>
    </comment>
    <comment ref="BX682" authorId="3" shapeId="0" xr:uid="{00000000-0006-0000-0400-0000EE000000}">
      <text>
        <r>
          <rPr>
            <b/>
            <sz val="9"/>
            <color indexed="81"/>
            <rFont val="Tahoma"/>
            <family val="2"/>
          </rPr>
          <t>Wiles, Richard (Research):</t>
        </r>
        <r>
          <rPr>
            <sz val="9"/>
            <color indexed="81"/>
            <rFont val="Tahoma"/>
            <family val="2"/>
          </rPr>
          <t xml:space="preserve">
1Q17 earnings, pre sale</t>
        </r>
      </text>
    </comment>
    <comment ref="CZ687" authorId="1" shapeId="0" xr:uid="{D0CFFA7A-3E16-41AD-9FE4-2BB0B27824F6}">
      <text>
        <r>
          <rPr>
            <b/>
            <sz val="9"/>
            <color indexed="81"/>
            <rFont val="Tahoma"/>
            <family val="2"/>
          </rPr>
          <t>Hong, Sally (Research):</t>
        </r>
        <r>
          <rPr>
            <sz val="9"/>
            <color indexed="81"/>
            <rFont val="Tahoma"/>
            <family val="2"/>
          </rPr>
          <t xml:space="preserve">
Page 106 1H24 Result 4D</t>
        </r>
      </text>
    </comment>
    <comment ref="BU692" authorId="3" shapeId="0" xr:uid="{00000000-0006-0000-0400-0000EF000000}">
      <text>
        <r>
          <rPr>
            <b/>
            <sz val="9"/>
            <color indexed="81"/>
            <rFont val="Tahoma"/>
            <family val="2"/>
          </rPr>
          <t>Wiles, Richard (Research):</t>
        </r>
        <r>
          <rPr>
            <sz val="9"/>
            <color indexed="81"/>
            <rFont val="Tahoma"/>
            <family val="2"/>
          </rPr>
          <t xml:space="preserve">
Included charge of A$237m (refer p30 of results)</t>
        </r>
      </text>
    </comment>
    <comment ref="BP693" authorId="2" shapeId="0" xr:uid="{00000000-0006-0000-0400-0000F0000000}">
      <text>
        <r>
          <rPr>
            <b/>
            <sz val="9"/>
            <color indexed="81"/>
            <rFont val="Tahoma"/>
            <family val="2"/>
          </rPr>
          <t>Dunger, Matt (Research):</t>
        </r>
        <r>
          <rPr>
            <sz val="9"/>
            <color indexed="81"/>
            <rFont val="Tahoma"/>
            <family val="2"/>
          </rPr>
          <t xml:space="preserve">
Restated at 2H16</t>
        </r>
      </text>
    </comment>
    <comment ref="BQ693" authorId="2" shapeId="0" xr:uid="{00000000-0006-0000-0400-0000F1000000}">
      <text>
        <r>
          <rPr>
            <b/>
            <sz val="9"/>
            <color indexed="81"/>
            <rFont val="Tahoma"/>
            <family val="2"/>
          </rPr>
          <t>Dunger, Matt (Research):</t>
        </r>
        <r>
          <rPr>
            <sz val="9"/>
            <color indexed="81"/>
            <rFont val="Tahoma"/>
            <family val="2"/>
          </rPr>
          <t xml:space="preserve">
Restated at 2H16</t>
        </r>
      </text>
    </comment>
    <comment ref="BT693" authorId="0" shapeId="0" xr:uid="{00000000-0006-0000-0400-0000F2000000}">
      <text>
        <r>
          <rPr>
            <b/>
            <sz val="9"/>
            <color indexed="81"/>
            <rFont val="Tahoma"/>
            <family val="2"/>
          </rPr>
          <t>O'Neill, Emilie (Research):</t>
        </r>
        <r>
          <rPr>
            <sz val="9"/>
            <color indexed="81"/>
            <rFont val="Tahoma"/>
            <family val="2"/>
          </rPr>
          <t xml:space="preserve">
restatement 1H17
</t>
        </r>
      </text>
    </comment>
    <comment ref="BU693" authorId="0" shapeId="0" xr:uid="{00000000-0006-0000-0400-0000F3000000}">
      <text>
        <r>
          <rPr>
            <b/>
            <sz val="9"/>
            <color indexed="81"/>
            <rFont val="Tahoma"/>
            <family val="2"/>
          </rPr>
          <t>O'Neill, Emilie (Research):</t>
        </r>
        <r>
          <rPr>
            <sz val="9"/>
            <color indexed="81"/>
            <rFont val="Tahoma"/>
            <family val="2"/>
          </rPr>
          <t xml:space="preserve">
restatement 1H17
</t>
        </r>
      </text>
    </comment>
    <comment ref="CB693" authorId="0" shapeId="0" xr:uid="{00000000-0006-0000-0400-0000F4000000}">
      <text>
        <r>
          <rPr>
            <b/>
            <sz val="9"/>
            <color indexed="81"/>
            <rFont val="Tahoma"/>
            <family val="2"/>
          </rPr>
          <t>O'Neill, Emilie (Research):</t>
        </r>
        <r>
          <rPr>
            <sz val="9"/>
            <color indexed="81"/>
            <rFont val="Tahoma"/>
            <family val="2"/>
          </rPr>
          <t xml:space="preserve">
Restated for AASB9 in 1H19</t>
        </r>
      </text>
    </comment>
    <comment ref="CC693" authorId="0" shapeId="0" xr:uid="{00000000-0006-0000-0400-0000F5000000}">
      <text>
        <r>
          <rPr>
            <b/>
            <sz val="9"/>
            <color indexed="81"/>
            <rFont val="Tahoma"/>
            <family val="2"/>
          </rPr>
          <t>O'Neill, Emilie (Research):</t>
        </r>
        <r>
          <rPr>
            <sz val="9"/>
            <color indexed="81"/>
            <rFont val="Tahoma"/>
            <family val="2"/>
          </rPr>
          <t xml:space="preserve">
Restated for AASB9 in 1H19</t>
        </r>
      </text>
    </comment>
    <comment ref="CK703" authorId="7" shapeId="0" xr:uid="{00000000-0006-0000-0400-0000F6000000}">
      <text>
        <r>
          <rPr>
            <b/>
            <sz val="9"/>
            <color indexed="81"/>
            <rFont val="Tahoma"/>
            <family val="2"/>
          </rPr>
          <t>Fernandes, Sona (Research):</t>
        </r>
        <r>
          <rPr>
            <sz val="9"/>
            <color indexed="81"/>
            <rFont val="Tahoma"/>
            <family val="2"/>
          </rPr>
          <t xml:space="preserve">
Restated 1H21</t>
        </r>
      </text>
    </comment>
    <comment ref="CJ704" authorId="7" shapeId="0" xr:uid="{00000000-0006-0000-0400-0000F7000000}">
      <text>
        <r>
          <rPr>
            <b/>
            <sz val="9"/>
            <color indexed="81"/>
            <rFont val="Tahoma"/>
            <family val="2"/>
          </rPr>
          <t>Fernandes, Sona (Research):</t>
        </r>
        <r>
          <rPr>
            <sz val="9"/>
            <color indexed="81"/>
            <rFont val="Tahoma"/>
            <family val="2"/>
          </rPr>
          <t xml:space="preserve">
Restated 1H21</t>
        </r>
      </text>
    </comment>
    <comment ref="CK704" authorId="7" shapeId="0" xr:uid="{00000000-0006-0000-0400-0000F8000000}">
      <text>
        <r>
          <rPr>
            <b/>
            <sz val="9"/>
            <color indexed="81"/>
            <rFont val="Tahoma"/>
            <family val="2"/>
          </rPr>
          <t>Fernandes, Sona (Research):</t>
        </r>
        <r>
          <rPr>
            <sz val="9"/>
            <color indexed="81"/>
            <rFont val="Tahoma"/>
            <family val="2"/>
          </rPr>
          <t xml:space="preserve">
Restated 1H21</t>
        </r>
      </text>
    </comment>
    <comment ref="CK706" authorId="7" shapeId="0" xr:uid="{00000000-0006-0000-0400-0000F9000000}">
      <text>
        <r>
          <rPr>
            <b/>
            <sz val="9"/>
            <color indexed="81"/>
            <rFont val="Tahoma"/>
            <family val="2"/>
          </rPr>
          <t>Fernandes, Sona (Research):</t>
        </r>
        <r>
          <rPr>
            <sz val="9"/>
            <color indexed="81"/>
            <rFont val="Tahoma"/>
            <family val="2"/>
          </rPr>
          <t xml:space="preserve">
Restated 1H21</t>
        </r>
      </text>
    </comment>
    <comment ref="BT719" authorId="0" shapeId="0" xr:uid="{00000000-0006-0000-0400-0000FA000000}">
      <text>
        <r>
          <rPr>
            <b/>
            <sz val="9"/>
            <color indexed="81"/>
            <rFont val="Tahoma"/>
            <family val="2"/>
          </rPr>
          <t>O'Neill, Emilie (Research):</t>
        </r>
        <r>
          <rPr>
            <sz val="9"/>
            <color indexed="81"/>
            <rFont val="Tahoma"/>
            <family val="2"/>
          </rPr>
          <t xml:space="preserve">
restatement 1H17
</t>
        </r>
      </text>
    </comment>
    <comment ref="BU719" authorId="0" shapeId="0" xr:uid="{00000000-0006-0000-0400-0000FB000000}">
      <text>
        <r>
          <rPr>
            <b/>
            <sz val="9"/>
            <color indexed="81"/>
            <rFont val="Tahoma"/>
            <family val="2"/>
          </rPr>
          <t>O'Neill, Emilie (Research):</t>
        </r>
        <r>
          <rPr>
            <sz val="9"/>
            <color indexed="81"/>
            <rFont val="Tahoma"/>
            <family val="2"/>
          </rPr>
          <t xml:space="preserve">
restatement 1H17
</t>
        </r>
      </text>
    </comment>
    <comment ref="CB719" authorId="0" shapeId="0" xr:uid="{00000000-0006-0000-0400-0000FC000000}">
      <text>
        <r>
          <rPr>
            <b/>
            <sz val="9"/>
            <color indexed="81"/>
            <rFont val="Tahoma"/>
            <family val="2"/>
          </rPr>
          <t>O'Neill, Emilie (Research):</t>
        </r>
        <r>
          <rPr>
            <sz val="9"/>
            <color indexed="81"/>
            <rFont val="Tahoma"/>
            <family val="2"/>
          </rPr>
          <t xml:space="preserve">
Restated 1H19</t>
        </r>
      </text>
    </comment>
    <comment ref="CC719" authorId="0" shapeId="0" xr:uid="{00000000-0006-0000-0400-0000FD000000}">
      <text>
        <r>
          <rPr>
            <b/>
            <sz val="9"/>
            <color indexed="81"/>
            <rFont val="Tahoma"/>
            <family val="2"/>
          </rPr>
          <t>O'Neill, Emilie (Research):</t>
        </r>
        <r>
          <rPr>
            <sz val="9"/>
            <color indexed="81"/>
            <rFont val="Tahoma"/>
            <family val="2"/>
          </rPr>
          <t xml:space="preserve">
Restated 1H19</t>
        </r>
      </text>
    </comment>
    <comment ref="BT720" authorId="0" shapeId="0" xr:uid="{00000000-0006-0000-0400-0000FE000000}">
      <text>
        <r>
          <rPr>
            <b/>
            <sz val="9"/>
            <color indexed="81"/>
            <rFont val="Tahoma"/>
            <family val="2"/>
          </rPr>
          <t>O'Neill, Emilie (Research):</t>
        </r>
        <r>
          <rPr>
            <sz val="9"/>
            <color indexed="81"/>
            <rFont val="Tahoma"/>
            <family val="2"/>
          </rPr>
          <t xml:space="preserve">
restatement 1H17
refer slide 20</t>
        </r>
      </text>
    </comment>
    <comment ref="BU720" authorId="0" shapeId="0" xr:uid="{00000000-0006-0000-0400-0000FF000000}">
      <text>
        <r>
          <rPr>
            <b/>
            <sz val="9"/>
            <color indexed="81"/>
            <rFont val="Tahoma"/>
            <family val="2"/>
          </rPr>
          <t>O'Neill, Emilie (Research):</t>
        </r>
        <r>
          <rPr>
            <sz val="9"/>
            <color indexed="81"/>
            <rFont val="Tahoma"/>
            <family val="2"/>
          </rPr>
          <t xml:space="preserve">
restatement 1H17
refer slide 20</t>
        </r>
      </text>
    </comment>
    <comment ref="CB720" authorId="0" shapeId="0" xr:uid="{00000000-0006-0000-0400-000000010000}">
      <text>
        <r>
          <rPr>
            <b/>
            <sz val="9"/>
            <color indexed="81"/>
            <rFont val="Tahoma"/>
            <family val="2"/>
          </rPr>
          <t>O'Neill, Emilie (Research):</t>
        </r>
        <r>
          <rPr>
            <sz val="9"/>
            <color indexed="81"/>
            <rFont val="Tahoma"/>
            <family val="2"/>
          </rPr>
          <t xml:space="preserve">
Restated 1H19</t>
        </r>
      </text>
    </comment>
    <comment ref="CC720" authorId="0" shapeId="0" xr:uid="{00000000-0006-0000-0400-000001010000}">
      <text>
        <r>
          <rPr>
            <b/>
            <sz val="9"/>
            <color indexed="81"/>
            <rFont val="Tahoma"/>
            <family val="2"/>
          </rPr>
          <t>O'Neill, Emilie (Research):</t>
        </r>
        <r>
          <rPr>
            <sz val="9"/>
            <color indexed="81"/>
            <rFont val="Tahoma"/>
            <family val="2"/>
          </rPr>
          <t xml:space="preserve">
Restated 1H19</t>
        </r>
      </text>
    </comment>
    <comment ref="CK720" authorId="7" shapeId="0" xr:uid="{00000000-0006-0000-0400-000002010000}">
      <text>
        <r>
          <rPr>
            <b/>
            <sz val="9"/>
            <color indexed="81"/>
            <rFont val="Tahoma"/>
            <family val="2"/>
          </rPr>
          <t>Fernandes, Sona (Research):</t>
        </r>
        <r>
          <rPr>
            <sz val="9"/>
            <color indexed="81"/>
            <rFont val="Tahoma"/>
            <family val="2"/>
          </rPr>
          <t xml:space="preserve">
Restated 1H21</t>
        </r>
      </text>
    </comment>
    <comment ref="CO720" authorId="7" shapeId="0" xr:uid="{00000000-0006-0000-0400-000003010000}">
      <text>
        <r>
          <rPr>
            <b/>
            <sz val="9"/>
            <color indexed="81"/>
            <rFont val="Tahoma"/>
            <family val="2"/>
          </rPr>
          <t>Fernandes, Sona (Research):</t>
        </r>
        <r>
          <rPr>
            <sz val="9"/>
            <color indexed="81"/>
            <rFont val="Tahoma"/>
            <family val="2"/>
          </rPr>
          <t xml:space="preserve">
Restated 1H21</t>
        </r>
      </text>
    </comment>
    <comment ref="BT721" authorId="0" shapeId="0" xr:uid="{00000000-0006-0000-0400-000004010000}">
      <text>
        <r>
          <rPr>
            <b/>
            <sz val="9"/>
            <color indexed="81"/>
            <rFont val="Tahoma"/>
            <family val="2"/>
          </rPr>
          <t>O'Neill, Emilie (Research):</t>
        </r>
        <r>
          <rPr>
            <sz val="9"/>
            <color indexed="81"/>
            <rFont val="Tahoma"/>
            <family val="2"/>
          </rPr>
          <t xml:space="preserve">
restatement 1H17
</t>
        </r>
      </text>
    </comment>
    <comment ref="BU721" authorId="0" shapeId="0" xr:uid="{00000000-0006-0000-0400-000005010000}">
      <text>
        <r>
          <rPr>
            <b/>
            <sz val="9"/>
            <color indexed="81"/>
            <rFont val="Tahoma"/>
            <family val="2"/>
          </rPr>
          <t>O'Neill, Emilie (Research):</t>
        </r>
        <r>
          <rPr>
            <sz val="9"/>
            <color indexed="81"/>
            <rFont val="Tahoma"/>
            <family val="2"/>
          </rPr>
          <t xml:space="preserve">
restatement 1H17
</t>
        </r>
      </text>
    </comment>
    <comment ref="CB721" authorId="0" shapeId="0" xr:uid="{00000000-0006-0000-0400-000006010000}">
      <text>
        <r>
          <rPr>
            <b/>
            <sz val="9"/>
            <color indexed="81"/>
            <rFont val="Tahoma"/>
            <family val="2"/>
          </rPr>
          <t>O'Neill, Emilie (Research):</t>
        </r>
        <r>
          <rPr>
            <sz val="9"/>
            <color indexed="81"/>
            <rFont val="Tahoma"/>
            <family val="2"/>
          </rPr>
          <t xml:space="preserve">
Restated 1H19</t>
        </r>
      </text>
    </comment>
    <comment ref="CC721" authorId="0" shapeId="0" xr:uid="{00000000-0006-0000-0400-000007010000}">
      <text>
        <r>
          <rPr>
            <b/>
            <sz val="9"/>
            <color indexed="81"/>
            <rFont val="Tahoma"/>
            <family val="2"/>
          </rPr>
          <t>O'Neill, Emilie (Research):</t>
        </r>
        <r>
          <rPr>
            <sz val="9"/>
            <color indexed="81"/>
            <rFont val="Tahoma"/>
            <family val="2"/>
          </rPr>
          <t xml:space="preserve">
Restated 1H19</t>
        </r>
      </text>
    </comment>
    <comment ref="CK721" authorId="7" shapeId="0" xr:uid="{00000000-0006-0000-0400-000008010000}">
      <text>
        <r>
          <rPr>
            <b/>
            <sz val="9"/>
            <color indexed="81"/>
            <rFont val="Tahoma"/>
            <family val="2"/>
          </rPr>
          <t>Fernandes, Sona (Research):</t>
        </r>
        <r>
          <rPr>
            <sz val="9"/>
            <color indexed="81"/>
            <rFont val="Tahoma"/>
            <family val="2"/>
          </rPr>
          <t xml:space="preserve">
Restated 1H21</t>
        </r>
      </text>
    </comment>
    <comment ref="CO721" authorId="7" shapeId="0" xr:uid="{00000000-0006-0000-0400-000009010000}">
      <text>
        <r>
          <rPr>
            <b/>
            <sz val="9"/>
            <color indexed="81"/>
            <rFont val="Tahoma"/>
            <family val="2"/>
          </rPr>
          <t>Fernandes, Sona (Research):</t>
        </r>
        <r>
          <rPr>
            <sz val="9"/>
            <color indexed="81"/>
            <rFont val="Tahoma"/>
            <family val="2"/>
          </rPr>
          <t xml:space="preserve">
Restated 1H21</t>
        </r>
      </text>
    </comment>
    <comment ref="BT722" authorId="0" shapeId="0" xr:uid="{00000000-0006-0000-0400-00000A010000}">
      <text>
        <r>
          <rPr>
            <b/>
            <sz val="9"/>
            <color indexed="81"/>
            <rFont val="Tahoma"/>
            <family val="2"/>
          </rPr>
          <t>O'Neill, Emilie (Research):</t>
        </r>
        <r>
          <rPr>
            <sz val="9"/>
            <color indexed="81"/>
            <rFont val="Tahoma"/>
            <family val="2"/>
          </rPr>
          <t xml:space="preserve">
restated at 1H17
refer 1H17 slide 20 
</t>
        </r>
      </text>
    </comment>
    <comment ref="BU722" authorId="0" shapeId="0" xr:uid="{00000000-0006-0000-0400-00000B010000}">
      <text>
        <r>
          <rPr>
            <b/>
            <sz val="9"/>
            <color indexed="81"/>
            <rFont val="Tahoma"/>
            <family val="2"/>
          </rPr>
          <t>O'Neill, Emilie (Research):</t>
        </r>
        <r>
          <rPr>
            <sz val="9"/>
            <color indexed="81"/>
            <rFont val="Tahoma"/>
            <family val="2"/>
          </rPr>
          <t xml:space="preserve">
restated at 1H17
refer 1H17 slide 20 
</t>
        </r>
      </text>
    </comment>
    <comment ref="BU724" authorId="3" shapeId="0" xr:uid="{00000000-0006-0000-0400-00000C010000}">
      <text>
        <r>
          <rPr>
            <b/>
            <sz val="9"/>
            <color indexed="81"/>
            <rFont val="Tahoma"/>
            <family val="2"/>
          </rPr>
          <t>Wiles, Richard (Research):</t>
        </r>
        <r>
          <rPr>
            <sz val="9"/>
            <color indexed="81"/>
            <rFont val="Tahoma"/>
            <family val="2"/>
          </rPr>
          <t xml:space="preserve">
Includes A$237m CVA methodology change (slide 29)</t>
        </r>
      </text>
    </comment>
    <comment ref="CG727" authorId="6" shapeId="0" xr:uid="{00000000-0006-0000-0400-00000D010000}">
      <text>
        <r>
          <rPr>
            <b/>
            <sz val="9"/>
            <color indexed="81"/>
            <rFont val="Tahoma"/>
            <family val="2"/>
          </rPr>
          <t>Fernandes, Sona F (Research): Restated FY20</t>
        </r>
        <r>
          <rPr>
            <sz val="9"/>
            <color indexed="81"/>
            <rFont val="Tahoma"/>
            <family val="2"/>
          </rPr>
          <t xml:space="preserve">
</t>
        </r>
      </text>
    </comment>
    <comment ref="BP740" authorId="2" shapeId="0" xr:uid="{00000000-0006-0000-0400-00000E010000}">
      <text>
        <r>
          <rPr>
            <b/>
            <sz val="9"/>
            <color indexed="81"/>
            <rFont val="Tahoma"/>
            <family val="2"/>
          </rPr>
          <t xml:space="preserve">Dunger, Matt (Research):
</t>
        </r>
        <r>
          <rPr>
            <sz val="9"/>
            <color indexed="81"/>
            <rFont val="Tahoma"/>
            <family val="2"/>
          </rPr>
          <t>$25m RBA CLF fee commenced in 1H15.</t>
        </r>
      </text>
    </comment>
    <comment ref="CW740" authorId="1" shapeId="0" xr:uid="{EC7DE9B1-9970-41F7-8D08-060EEB1263C8}">
      <text>
        <r>
          <rPr>
            <b/>
            <sz val="9"/>
            <color indexed="81"/>
            <rFont val="Tahoma"/>
            <family val="2"/>
          </rPr>
          <t>Hong, Sally (Research):</t>
        </r>
        <r>
          <rPr>
            <sz val="9"/>
            <color indexed="81"/>
            <rFont val="Tahoma"/>
            <family val="2"/>
          </rPr>
          <t xml:space="preserve">
Other Income  +208m
</t>
        </r>
        <r>
          <rPr>
            <b/>
            <sz val="9"/>
            <color indexed="81"/>
            <rFont val="Tahoma"/>
            <family val="2"/>
          </rPr>
          <t>+164m increase in Group Centre:</t>
        </r>
        <r>
          <rPr>
            <sz val="9"/>
            <color indexed="81"/>
            <rFont val="Tahoma"/>
            <family val="2"/>
          </rPr>
          <t xml:space="preserve">
+49m non repeat of 1H23 unfavourable valuation adj 
+43m non repeat of 1H23 loss on disposal of data centres
+43m fx gain
+23m gain on UDC finance diverstment
</t>
        </r>
        <r>
          <rPr>
            <b/>
            <sz val="9"/>
            <color indexed="81"/>
            <rFont val="Tahoma"/>
            <family val="2"/>
          </rPr>
          <t>+17m in Commercia</t>
        </r>
        <r>
          <rPr>
            <sz val="9"/>
            <color indexed="81"/>
            <rFont val="Tahoma"/>
            <family val="2"/>
          </rPr>
          <t>l from gain on sale investment lending +8m +7m higher wordline income</t>
        </r>
      </text>
    </comment>
    <comment ref="BM741" authorId="3" shapeId="0" xr:uid="{00000000-0006-0000-0400-00000F010000}">
      <text>
        <r>
          <rPr>
            <b/>
            <sz val="9"/>
            <color indexed="81"/>
            <rFont val="Tahoma"/>
            <family val="2"/>
          </rPr>
          <t>Wiles, Richard (Research):</t>
        </r>
        <r>
          <rPr>
            <sz val="9"/>
            <color indexed="81"/>
            <rFont val="Tahoma"/>
            <family val="2"/>
          </rPr>
          <t xml:space="preserve">
Includes A$125m gain on sale of ANZ Trsutees and A$21m loss on sale of SSI</t>
        </r>
      </text>
    </comment>
    <comment ref="BT741" authorId="3" shapeId="0" xr:uid="{00000000-0006-0000-0400-000010010000}">
      <text>
        <r>
          <rPr>
            <b/>
            <sz val="9"/>
            <color indexed="81"/>
            <rFont val="Tahoma"/>
            <family val="2"/>
          </rPr>
          <t>Wiles, Richard (Research):</t>
        </r>
        <r>
          <rPr>
            <sz val="9"/>
            <color indexed="81"/>
            <rFont val="Tahoma"/>
            <family val="2"/>
          </rPr>
          <t xml:space="preserve">
Gain on sale of Esanad (refer p28 1H16)</t>
        </r>
      </text>
    </comment>
    <comment ref="BX741" authorId="0" shapeId="0" xr:uid="{00000000-0006-0000-0400-000011010000}">
      <text>
        <r>
          <rPr>
            <b/>
            <sz val="9"/>
            <color indexed="81"/>
            <rFont val="Tahoma"/>
            <family val="2"/>
          </rPr>
          <t>O'Neill, Emilie (Research):</t>
        </r>
        <r>
          <rPr>
            <sz val="9"/>
            <color indexed="81"/>
            <rFont val="Tahoma"/>
            <family val="2"/>
          </rPr>
          <t xml:space="preserve">
gain on sale of 100 Queen St
see footnote for other operating income pg 22</t>
        </r>
      </text>
    </comment>
    <comment ref="BY741" authorId="5" shapeId="0" xr:uid="{00000000-0006-0000-0400-000012010000}">
      <text>
        <r>
          <rPr>
            <b/>
            <sz val="9"/>
            <color indexed="81"/>
            <rFont val="Tahoma"/>
            <family val="2"/>
          </rPr>
          <t>Stadnik, Andrei (Research):</t>
        </r>
        <r>
          <rPr>
            <sz val="9"/>
            <color indexed="81"/>
            <rFont val="Tahoma"/>
            <family val="2"/>
          </rPr>
          <t xml:space="preserve">
check notes re other income around page 24 of Group results</t>
        </r>
      </text>
    </comment>
    <comment ref="CB741" authorId="0" shapeId="0" xr:uid="{00000000-0006-0000-0400-000013010000}">
      <text>
        <r>
          <rPr>
            <b/>
            <sz val="9"/>
            <color indexed="81"/>
            <rFont val="Tahoma"/>
            <family val="2"/>
          </rPr>
          <t>O'Neill, Emilie (Research):</t>
        </r>
        <r>
          <rPr>
            <sz val="9"/>
            <color indexed="81"/>
            <rFont val="Tahoma"/>
            <family val="2"/>
          </rPr>
          <t xml:space="preserve">
138m gain on sale post tax but 238np pre tax: 
A$99m pre tax, A$85m post tax gain on Asia Retail and Wealth
A$119m pre tax A$121m post tax gain on MCC
Gain of A$2m pre tax but loss of A$86m post tax on SRCB
UDS A$18m pre tax and post tax gain on sale
</t>
        </r>
      </text>
    </comment>
    <comment ref="CC741" authorId="3" shapeId="0" xr:uid="{00000000-0006-0000-0400-000014010000}">
      <text>
        <r>
          <rPr>
            <b/>
            <sz val="9"/>
            <color indexed="81"/>
            <rFont val="Tahoma"/>
            <family val="2"/>
          </rPr>
          <t>Wiles, Richard (Research):</t>
        </r>
        <r>
          <rPr>
            <sz val="9"/>
            <color indexed="81"/>
            <rFont val="Tahoma"/>
            <family val="2"/>
          </rPr>
          <t xml:space="preserve">
UDC $7m loss; One Path Life NZ A$3m loss; PNG A$19m loss; ANZ Royal Cambodia JV A$42m loss</t>
        </r>
      </text>
    </comment>
    <comment ref="CF741" authorId="0" shapeId="0" xr:uid="{00000000-0006-0000-0400-000015010000}">
      <text>
        <r>
          <rPr>
            <b/>
            <sz val="9"/>
            <color indexed="81"/>
            <rFont val="Tahoma"/>
            <family val="2"/>
          </rPr>
          <t>O'Neill, Emilie (Research):</t>
        </r>
        <r>
          <rPr>
            <sz val="9"/>
            <color indexed="81"/>
            <rFont val="Tahoma"/>
            <family val="2"/>
          </rPr>
          <t xml:space="preserve">
OPL NZ completed 30 Nov 2018 + paymark completed 11 Jan 2019</t>
        </r>
      </text>
    </comment>
    <comment ref="CG741" authorId="0" shapeId="0" xr:uid="{00000000-0006-0000-0400-000016010000}">
      <text>
        <r>
          <rPr>
            <b/>
            <sz val="9"/>
            <color indexed="81"/>
            <rFont val="Tahoma"/>
            <family val="2"/>
          </rPr>
          <t>O'Neill, Emilie (Research):</t>
        </r>
        <r>
          <rPr>
            <sz val="9"/>
            <color indexed="81"/>
            <rFont val="Tahoma"/>
            <family val="2"/>
          </rPr>
          <t>Cambodia was 10, OPL NZ 7 and PNG 1</t>
        </r>
      </text>
    </comment>
    <comment ref="CN741" authorId="7" shapeId="0" xr:uid="{00000000-0006-0000-0400-000017010000}">
      <text>
        <r>
          <rPr>
            <b/>
            <sz val="9"/>
            <color indexed="81"/>
            <rFont val="Tahoma"/>
            <family val="2"/>
          </rPr>
          <t>Fernandes, Sona (Research):</t>
        </r>
        <r>
          <rPr>
            <sz val="9"/>
            <color indexed="81"/>
            <rFont val="Tahoma"/>
            <family val="2"/>
          </rPr>
          <t xml:space="preserve">
Write-down relating to Goodwill in ANZ Share Investing business of $238m pretax</t>
        </r>
      </text>
    </comment>
    <comment ref="CR741" authorId="1" shapeId="0" xr:uid="{00000000-0006-0000-0400-000018010000}">
      <text>
        <r>
          <rPr>
            <b/>
            <sz val="9"/>
            <color indexed="81"/>
            <rFont val="Tahoma"/>
            <family val="2"/>
          </rPr>
          <t>Hong, Sally (Research):</t>
        </r>
        <r>
          <rPr>
            <sz val="9"/>
            <color indexed="81"/>
            <rFont val="Tahoma"/>
            <family val="2"/>
          </rPr>
          <t xml:space="preserve">
2H22 Notable Annoucement 25/10/2022: 
Restated to +$294m
---
1H22 Notable Annoucement 29/04/2022: 
Gain/Loss on Sale from divestments
= $193
Divested businesss results = + 87m</t>
        </r>
      </text>
    </comment>
    <comment ref="CS741" authorId="1" shapeId="0" xr:uid="{E73001A8-59FB-41F6-B5DB-534B2C59FDF0}">
      <text>
        <r>
          <rPr>
            <b/>
            <sz val="9"/>
            <color indexed="81"/>
            <rFont val="Tahoma"/>
            <family val="2"/>
          </rPr>
          <t>Hong, Sally (Research):</t>
        </r>
        <r>
          <rPr>
            <sz val="9"/>
            <color indexed="81"/>
            <rFont val="Tahoma"/>
            <family val="2"/>
          </rPr>
          <t xml:space="preserve">
24/10/22 ASX Announcement 2H22 Notable Items:
</t>
        </r>
        <r>
          <rPr>
            <b/>
            <sz val="9"/>
            <color indexed="81"/>
            <rFont val="Tahoma"/>
            <family val="2"/>
          </rPr>
          <t>Divestments</t>
        </r>
        <r>
          <rPr>
            <sz val="9"/>
            <color indexed="81"/>
            <rFont val="Tahoma"/>
            <family val="2"/>
          </rPr>
          <t xml:space="preserve">
Other Income: +$4m
Expenses: -$-10m
Tax Benefit: Nil
After-tax cash earnings Impact: -$6m
</t>
        </r>
        <r>
          <rPr>
            <b/>
            <sz val="9"/>
            <color indexed="81"/>
            <rFont val="Tahoma"/>
            <family val="2"/>
          </rPr>
          <t>Lease Modification:</t>
        </r>
        <r>
          <rPr>
            <sz val="9"/>
            <color indexed="81"/>
            <rFont val="Tahoma"/>
            <family val="2"/>
          </rPr>
          <t xml:space="preserve">
Other Income: +$23m
Expenses: -$47m
Tax Benefit: +$7m
After-tax cash earnings Impact: -$17m</t>
        </r>
      </text>
    </comment>
    <comment ref="CV741" authorId="1" shapeId="0" xr:uid="{3FF69C62-297E-49B9-BF16-B20B8289DD40}">
      <text>
        <r>
          <rPr>
            <b/>
            <sz val="9"/>
            <color indexed="81"/>
            <rFont val="Tahoma"/>
            <family val="2"/>
          </rPr>
          <t>Hong, Sally (Research):</t>
        </r>
        <r>
          <rPr>
            <sz val="9"/>
            <color indexed="81"/>
            <rFont val="Tahoma"/>
            <family val="2"/>
          </rPr>
          <t xml:space="preserve">
Property Rationalisation</t>
        </r>
      </text>
    </comment>
    <comment ref="CW741" authorId="1" shapeId="0" xr:uid="{D71DC71D-E570-472C-843E-6FE891E5C88D}">
      <text>
        <r>
          <rPr>
            <b/>
            <sz val="9"/>
            <color indexed="81"/>
            <rFont val="Tahoma"/>
            <family val="2"/>
          </rPr>
          <t>Hong, Sally (Research):</t>
        </r>
        <r>
          <rPr>
            <sz val="9"/>
            <color indexed="81"/>
            <rFont val="Tahoma"/>
            <family val="2"/>
          </rPr>
          <t xml:space="preserve">
Gain on divestment</t>
        </r>
      </text>
    </comment>
    <comment ref="BT742" authorId="3" shapeId="0" xr:uid="{00000000-0006-0000-0400-000019010000}">
      <text>
        <r>
          <rPr>
            <b/>
            <sz val="9"/>
            <color indexed="81"/>
            <rFont val="Tahoma"/>
            <family val="2"/>
          </rPr>
          <t>Wiles, Richard (Research):</t>
        </r>
        <r>
          <rPr>
            <sz val="9"/>
            <color indexed="81"/>
            <rFont val="Tahoma"/>
            <family val="2"/>
          </rPr>
          <t xml:space="preserve">
Ambank impairment (A$260m) and BoT gain on cessation of equity accounting </t>
        </r>
      </text>
    </comment>
    <comment ref="BX742" authorId="3" shapeId="0" xr:uid="{00000000-0006-0000-0400-00001A010000}">
      <text>
        <r>
          <rPr>
            <b/>
            <sz val="9"/>
            <color indexed="81"/>
            <rFont val="Tahoma"/>
            <family val="2"/>
          </rPr>
          <t>Wiles, Richard (Research):</t>
        </r>
        <r>
          <rPr>
            <sz val="9"/>
            <color indexed="81"/>
            <rFont val="Tahoma"/>
            <family val="2"/>
          </rPr>
          <t xml:space="preserve">
Loss on sale / write-downs on Asian Retai(included in specified items)</t>
        </r>
      </text>
    </comment>
    <comment ref="CB742" authorId="0" shapeId="0" xr:uid="{00000000-0006-0000-0400-00001B010000}">
      <text>
        <r>
          <rPr>
            <b/>
            <sz val="9"/>
            <color indexed="81"/>
            <rFont val="Tahoma"/>
            <family val="2"/>
          </rPr>
          <t>O'Neill, Emilie (Research):</t>
        </r>
        <r>
          <rPr>
            <sz val="9"/>
            <color indexed="81"/>
            <rFont val="Tahoma"/>
            <family val="2"/>
          </rPr>
          <t xml:space="preserve">
138m gain on sale post tax but 238np pre tax: 
A$99m pre tax, A$85m post tax gain on Asia Retail and Wealth
A$119m pre tax A$121m post tax gain on MCC
Gain of A$2m pre tax but loss of A$86m post tax on SRCB
UDS A$18m pre tax and post tax gain on sale
</t>
        </r>
      </text>
    </comment>
    <comment ref="CC742" authorId="0" shapeId="0" xr:uid="{00000000-0006-0000-0400-00001C010000}">
      <text>
        <r>
          <rPr>
            <b/>
            <sz val="9"/>
            <color indexed="81"/>
            <rFont val="Tahoma"/>
            <family val="2"/>
          </rPr>
          <t>O'Neill, Emilie (Research):</t>
        </r>
        <r>
          <rPr>
            <sz val="9"/>
            <color indexed="81"/>
            <rFont val="Tahoma"/>
            <family val="2"/>
          </rPr>
          <t xml:space="preserve">
MCC gain on residual stake A$121m pre tax gain
A$10m other … refer page 18 FY18</t>
        </r>
      </text>
    </comment>
    <comment ref="CJ742" authorId="3" shapeId="0" xr:uid="{00000000-0006-0000-0400-00001D010000}">
      <text>
        <r>
          <rPr>
            <b/>
            <sz val="9"/>
            <color indexed="81"/>
            <rFont val="Tahoma"/>
            <family val="2"/>
          </rPr>
          <t>Wiles, Richard (Research):</t>
        </r>
        <r>
          <rPr>
            <sz val="9"/>
            <color indexed="81"/>
            <rFont val="Tahoma"/>
            <family val="2"/>
          </rPr>
          <t xml:space="preserve">
A$815m write-down on Asian investments : Panin A$220m; AmBank A$595m (1H20 slide 21)</t>
        </r>
      </text>
    </comment>
    <comment ref="CZ742" authorId="1" shapeId="0" xr:uid="{6D5A73CB-2465-43B9-9124-9F4EE43736D0}">
      <text>
        <r>
          <rPr>
            <b/>
            <sz val="9"/>
            <color indexed="81"/>
            <rFont val="Tahoma"/>
            <family val="2"/>
          </rPr>
          <t>Hong, Sally (Research):</t>
        </r>
        <r>
          <rPr>
            <sz val="9"/>
            <color indexed="81"/>
            <rFont val="Tahoma"/>
            <family val="2"/>
          </rPr>
          <t xml:space="preserve">
Loss on partial Deposal of AmBank (A$21m)
Page 19 1H24 4D</t>
        </r>
      </text>
    </comment>
    <comment ref="DE742" authorId="1" shapeId="0" xr:uid="{A8B48204-8006-4445-BC38-A8032C96BB61}">
      <text>
        <r>
          <rPr>
            <b/>
            <sz val="9"/>
            <color indexed="81"/>
            <rFont val="Tahoma"/>
            <family val="2"/>
          </rPr>
          <t>Hong, Sally (Research):</t>
        </r>
        <r>
          <rPr>
            <sz val="9"/>
            <color indexed="81"/>
            <rFont val="Tahoma"/>
            <family val="2"/>
          </rPr>
          <t xml:space="preserve">
PT Panin equity accounting impairment of A$285m pre and post tax</t>
        </r>
      </text>
    </comment>
    <comment ref="BY743" authorId="3" shapeId="0" xr:uid="{00000000-0006-0000-0400-00001E010000}">
      <text>
        <r>
          <rPr>
            <b/>
            <sz val="9"/>
            <color indexed="81"/>
            <rFont val="Tahoma"/>
            <family val="2"/>
          </rPr>
          <t>Wiles, Richard (Research):</t>
        </r>
        <r>
          <rPr>
            <sz val="9"/>
            <color indexed="81"/>
            <rFont val="Tahoma"/>
            <family val="2"/>
          </rPr>
          <t xml:space="preserve">
Refer FY18 page 19</t>
        </r>
      </text>
    </comment>
    <comment ref="CB743" authorId="3" shapeId="0" xr:uid="{00000000-0006-0000-0400-00001F010000}">
      <text>
        <r>
          <rPr>
            <b/>
            <sz val="9"/>
            <color indexed="81"/>
            <rFont val="Tahoma"/>
            <family val="2"/>
          </rPr>
          <t>Wiles, Richard (Research):</t>
        </r>
        <r>
          <rPr>
            <sz val="9"/>
            <color indexed="81"/>
            <rFont val="Tahoma"/>
            <family val="2"/>
          </rPr>
          <t xml:space="preserve">
Refer FY18 page 19</t>
        </r>
      </text>
    </comment>
    <comment ref="CC743" authorId="3" shapeId="0" xr:uid="{00000000-0006-0000-0400-000020010000}">
      <text>
        <r>
          <rPr>
            <b/>
            <sz val="9"/>
            <color indexed="81"/>
            <rFont val="Tahoma"/>
            <family val="2"/>
          </rPr>
          <t>Wiles, Richard (Research):</t>
        </r>
        <r>
          <rPr>
            <sz val="9"/>
            <color indexed="81"/>
            <rFont val="Tahoma"/>
            <family val="2"/>
          </rPr>
          <t xml:space="preserve">
Refer FY18 page 19</t>
        </r>
      </text>
    </comment>
    <comment ref="CF743" authorId="0" shapeId="0" xr:uid="{00000000-0006-0000-0400-000021010000}">
      <text>
        <r>
          <rPr>
            <b/>
            <sz val="9"/>
            <color indexed="81"/>
            <rFont val="Tahoma"/>
            <family val="2"/>
          </rPr>
          <t>O'Neill, Emilie (Research):</t>
        </r>
        <r>
          <rPr>
            <sz val="9"/>
            <color indexed="81"/>
            <rFont val="Tahoma"/>
            <family val="2"/>
          </rPr>
          <t xml:space="preserve">
Remediation in other operating income as outlined in large/notable items consolidation on page 17 of 1H19 4E</t>
        </r>
      </text>
    </comment>
    <comment ref="CG743" authorId="0" shapeId="0" xr:uid="{00000000-0006-0000-0400-000022010000}">
      <text>
        <r>
          <rPr>
            <b/>
            <sz val="9"/>
            <color indexed="81"/>
            <rFont val="Tahoma"/>
            <family val="2"/>
          </rPr>
          <t>O'Neill, Emilie (Research):</t>
        </r>
        <r>
          <rPr>
            <sz val="9"/>
            <color indexed="81"/>
            <rFont val="Tahoma"/>
            <family val="2"/>
          </rPr>
          <t xml:space="preserve">
Remediation in other operating income as outlined in large/notable items consolidation on page 19 of 2H19 4E</t>
        </r>
      </text>
    </comment>
    <comment ref="CJ743" authorId="0" shapeId="0" xr:uid="{00000000-0006-0000-0400-000023010000}">
      <text>
        <r>
          <rPr>
            <b/>
            <sz val="9"/>
            <color indexed="81"/>
            <rFont val="Tahoma"/>
            <family val="2"/>
          </rPr>
          <t>O'Neill, Emilie (Research):</t>
        </r>
        <r>
          <rPr>
            <sz val="9"/>
            <color indexed="81"/>
            <rFont val="Tahoma"/>
            <family val="2"/>
          </rPr>
          <t xml:space="preserve">
Remediation in other operating income as outlined in large/notable items consolidation on Page 15 of 1H20 4E</t>
        </r>
      </text>
    </comment>
    <comment ref="CN743" authorId="7" shapeId="0" xr:uid="{00000000-0006-0000-0400-000024010000}">
      <text>
        <r>
          <rPr>
            <b/>
            <sz val="9"/>
            <color indexed="81"/>
            <rFont val="Tahoma"/>
            <family val="2"/>
          </rPr>
          <t>Fernandes, Sona (Research):</t>
        </r>
        <r>
          <rPr>
            <sz val="9"/>
            <color indexed="81"/>
            <rFont val="Tahoma"/>
            <family val="2"/>
          </rPr>
          <t xml:space="preserve">
Per announcement on 30/4/21 - 18m of remediation on other income</t>
        </r>
      </text>
    </comment>
    <comment ref="CR743" authorId="1" shapeId="0" xr:uid="{00000000-0006-0000-0400-000025010000}">
      <text>
        <r>
          <rPr>
            <b/>
            <sz val="9"/>
            <color indexed="81"/>
            <rFont val="Tahoma"/>
            <family val="2"/>
          </rPr>
          <t>Hong, Sally (Research):</t>
        </r>
        <r>
          <rPr>
            <sz val="9"/>
            <color indexed="81"/>
            <rFont val="Tahoma"/>
            <family val="2"/>
          </rPr>
          <t xml:space="preserve">
1H22 Noitable Items Announcement 29/04/22 - customer remiediation = -22m in other income 
Include - 3m NII fro customer remediation
</t>
        </r>
      </text>
    </comment>
    <comment ref="CS743" authorId="1" shapeId="0" xr:uid="{588F8CC4-D084-4769-95FF-9AAEAD9C8009}">
      <text>
        <r>
          <rPr>
            <b/>
            <sz val="9"/>
            <color indexed="81"/>
            <rFont val="Tahoma"/>
            <family val="2"/>
          </rPr>
          <t>Hong, Sally (Research):</t>
        </r>
        <r>
          <rPr>
            <sz val="9"/>
            <color indexed="81"/>
            <rFont val="Tahoma"/>
            <family val="2"/>
          </rPr>
          <t xml:space="preserve">
24/10/22 ASX Announcement 2H22 Notable Items:
</t>
        </r>
        <r>
          <rPr>
            <b/>
            <sz val="9"/>
            <color indexed="81"/>
            <rFont val="Tahoma"/>
            <family val="2"/>
          </rPr>
          <t>Remediation:</t>
        </r>
        <r>
          <rPr>
            <sz val="9"/>
            <color indexed="81"/>
            <rFont val="Tahoma"/>
            <family val="2"/>
          </rPr>
          <t xml:space="preserve">
NII: +$3m
Other Income: -$12m
Expenses: -$42m
Tax Benefit: +$8m
After-tax cash earnings Impact: -$43m</t>
        </r>
      </text>
    </comment>
    <comment ref="CB744" authorId="3" shapeId="0" xr:uid="{00000000-0006-0000-0400-000026010000}">
      <text>
        <r>
          <rPr>
            <b/>
            <sz val="9"/>
            <color indexed="81"/>
            <rFont val="Tahoma"/>
            <family val="2"/>
          </rPr>
          <t>Wiles, Richard (Research):</t>
        </r>
        <r>
          <rPr>
            <sz val="9"/>
            <color indexed="81"/>
            <rFont val="Tahoma"/>
            <family val="2"/>
          </rPr>
          <t xml:space="preserve">
included one off insurance recovery in NZ (A$16m)</t>
        </r>
      </text>
    </comment>
    <comment ref="CG744" authorId="3" shapeId="0" xr:uid="{00000000-0006-0000-0400-000027010000}">
      <text>
        <r>
          <rPr>
            <b/>
            <sz val="9"/>
            <color indexed="81"/>
            <rFont val="Tahoma"/>
            <family val="2"/>
          </rPr>
          <t>Wiles, Richard (Research):</t>
        </r>
        <r>
          <rPr>
            <sz val="9"/>
            <color indexed="81"/>
            <rFont val="Tahoma"/>
            <family val="2"/>
          </rPr>
          <t xml:space="preserve">
includes A$27m dividend income from Bank of Tianjin in 2H19</t>
        </r>
      </text>
    </comment>
    <comment ref="CK744" authorId="3" shapeId="0" xr:uid="{00000000-0006-0000-0400-000028010000}">
      <text>
        <r>
          <rPr>
            <b/>
            <sz val="9"/>
            <color indexed="81"/>
            <rFont val="Tahoma"/>
            <family val="2"/>
          </rPr>
          <t>Wiles, Richard (Research):</t>
        </r>
        <r>
          <rPr>
            <sz val="9"/>
            <color indexed="81"/>
            <rFont val="Tahoma"/>
            <family val="2"/>
          </rPr>
          <t xml:space="preserve">
includes A$27m dividend income from Bank of Tianjin in 2H19</t>
        </r>
      </text>
    </comment>
    <comment ref="CO744" authorId="3" shapeId="0" xr:uid="{00000000-0006-0000-0400-000029010000}">
      <text>
        <r>
          <rPr>
            <b/>
            <sz val="9"/>
            <color indexed="81"/>
            <rFont val="Tahoma"/>
            <family val="2"/>
          </rPr>
          <t>Wiles, Richard (Research):</t>
        </r>
        <r>
          <rPr>
            <sz val="9"/>
            <color indexed="81"/>
            <rFont val="Tahoma"/>
            <family val="2"/>
          </rPr>
          <t xml:space="preserve">
includes A$27m dividend income from Bank of Tianjin in 2H19</t>
        </r>
      </text>
    </comment>
    <comment ref="CS745" authorId="1" shapeId="0" xr:uid="{E40BA9AA-A7C2-44CD-AF1E-D0A852BC74C2}">
      <text>
        <r>
          <rPr>
            <b/>
            <sz val="9"/>
            <color indexed="81"/>
            <rFont val="Tahoma"/>
            <family val="2"/>
          </rPr>
          <t>Hong, Sally (Research):</t>
        </r>
        <r>
          <rPr>
            <sz val="9"/>
            <color indexed="81"/>
            <rFont val="Tahoma"/>
            <family val="2"/>
          </rPr>
          <t xml:space="preserve">
2H22 Notable Items Announcmenet: 
Due to restatement in 1H22 other income from +258m to 272m… the underlying number needs to inrease by $14m … so 15% adjustment has been included</t>
        </r>
      </text>
    </comment>
    <comment ref="CV745" authorId="3" shapeId="0" xr:uid="{552749AE-6517-4A05-8078-69C793BEF421}">
      <text>
        <r>
          <rPr>
            <b/>
            <sz val="9"/>
            <color indexed="81"/>
            <rFont val="Tahoma"/>
            <family val="2"/>
          </rPr>
          <t>Wiles, Richard (Research):</t>
        </r>
        <r>
          <rPr>
            <sz val="9"/>
            <color indexed="81"/>
            <rFont val="Tahoma"/>
            <family val="2"/>
          </rPr>
          <t xml:space="preserve">
2H22 included gains on sale and release of provisions</t>
        </r>
      </text>
    </comment>
    <comment ref="DA745" authorId="3" shapeId="0" xr:uid="{8CAB554D-1C91-40E9-8A1D-2B54C9BA7E5B}">
      <text>
        <r>
          <rPr>
            <b/>
            <sz val="9"/>
            <color indexed="81"/>
            <rFont val="Tahoma"/>
            <family val="2"/>
          </rPr>
          <t>Wiles, Richard (Research):</t>
        </r>
        <r>
          <rPr>
            <sz val="9"/>
            <color indexed="81"/>
            <rFont val="Tahoma"/>
            <family val="2"/>
          </rPr>
          <t xml:space="preserve">
assume increase in 2H24 due to A$5-6m of div income from Ambank rather than share of associates profile post reduction in stake </t>
        </r>
      </text>
    </comment>
    <comment ref="DD749" authorId="3" shapeId="0" xr:uid="{7FBDC1CF-3F6C-49E7-B7E1-BE90F3CB06F0}">
      <text>
        <r>
          <rPr>
            <b/>
            <sz val="9"/>
            <color indexed="81"/>
            <rFont val="Tahoma"/>
            <family val="2"/>
          </rPr>
          <t>Wiles, Richard (Research):</t>
        </r>
        <r>
          <rPr>
            <sz val="9"/>
            <color indexed="81"/>
            <rFont val="Tahoma"/>
            <family val="2"/>
          </rPr>
          <t xml:space="preserve">
lower insurance related income</t>
        </r>
      </text>
    </comment>
    <comment ref="DE749" authorId="3" shapeId="0" xr:uid="{7BD8F05D-54A8-4B2D-BA57-5F545B857311}">
      <text>
        <r>
          <rPr>
            <b/>
            <sz val="9"/>
            <color indexed="81"/>
            <rFont val="Tahoma"/>
            <family val="2"/>
          </rPr>
          <t>Wiles, Richard (Research):</t>
        </r>
        <r>
          <rPr>
            <sz val="9"/>
            <color indexed="81"/>
            <rFont val="Tahoma"/>
            <family val="2"/>
          </rPr>
          <t xml:space="preserve">
lower insurance related income</t>
        </r>
      </text>
    </comment>
    <comment ref="DF749" authorId="3" shapeId="0" xr:uid="{28628514-766A-47C4-9D35-89E7FD671192}">
      <text>
        <r>
          <rPr>
            <b/>
            <sz val="9"/>
            <color indexed="81"/>
            <rFont val="Tahoma"/>
            <family val="2"/>
          </rPr>
          <t>Wiles, Richard (Research):</t>
        </r>
        <r>
          <rPr>
            <sz val="9"/>
            <color indexed="81"/>
            <rFont val="Tahoma"/>
            <family val="2"/>
          </rPr>
          <t xml:space="preserve">
lower insurance related income</t>
        </r>
      </text>
    </comment>
    <comment ref="DH749" authorId="3" shapeId="0" xr:uid="{67BF913D-7EA5-44D3-9D63-C328AAF7069B}">
      <text>
        <r>
          <rPr>
            <b/>
            <sz val="9"/>
            <color indexed="81"/>
            <rFont val="Tahoma"/>
            <family val="2"/>
          </rPr>
          <t>Wiles, Richard (Research):</t>
        </r>
        <r>
          <rPr>
            <sz val="9"/>
            <color indexed="81"/>
            <rFont val="Tahoma"/>
            <family val="2"/>
          </rPr>
          <t xml:space="preserve">
lower insurance related income</t>
        </r>
      </text>
    </comment>
    <comment ref="DI749" authorId="3" shapeId="0" xr:uid="{54C49442-459B-4AAC-8B09-C51DD6BFDF7B}">
      <text>
        <r>
          <rPr>
            <b/>
            <sz val="9"/>
            <color indexed="81"/>
            <rFont val="Tahoma"/>
            <family val="2"/>
          </rPr>
          <t>Wiles, Richard (Research):</t>
        </r>
        <r>
          <rPr>
            <sz val="9"/>
            <color indexed="81"/>
            <rFont val="Tahoma"/>
            <family val="2"/>
          </rPr>
          <t xml:space="preserve">
lower insurance related income</t>
        </r>
      </text>
    </comment>
    <comment ref="DJ749" authorId="3" shapeId="0" xr:uid="{B8FD90CC-AC2B-45EB-BEA2-C6112F4793CF}">
      <text>
        <r>
          <rPr>
            <b/>
            <sz val="9"/>
            <color indexed="81"/>
            <rFont val="Tahoma"/>
            <family val="2"/>
          </rPr>
          <t>Wiles, Richard (Research):</t>
        </r>
        <r>
          <rPr>
            <sz val="9"/>
            <color indexed="81"/>
            <rFont val="Tahoma"/>
            <family val="2"/>
          </rPr>
          <t xml:space="preserve">
lower insurance related income</t>
        </r>
      </text>
    </comment>
    <comment ref="DL749" authorId="3" shapeId="0" xr:uid="{C2BB49EE-6AE8-42F7-AF93-C0EE266777DE}">
      <text>
        <r>
          <rPr>
            <b/>
            <sz val="9"/>
            <color indexed="81"/>
            <rFont val="Tahoma"/>
            <family val="2"/>
          </rPr>
          <t>Wiles, Richard (Research):</t>
        </r>
        <r>
          <rPr>
            <sz val="9"/>
            <color indexed="81"/>
            <rFont val="Tahoma"/>
            <family val="2"/>
          </rPr>
          <t xml:space="preserve">
lower insurance related income</t>
        </r>
      </text>
    </comment>
    <comment ref="DM749" authorId="3" shapeId="0" xr:uid="{A5828140-314E-4303-9A82-BF0F3B4ECE65}">
      <text>
        <r>
          <rPr>
            <b/>
            <sz val="9"/>
            <color indexed="81"/>
            <rFont val="Tahoma"/>
            <family val="2"/>
          </rPr>
          <t>Wiles, Richard (Research):</t>
        </r>
        <r>
          <rPr>
            <sz val="9"/>
            <color indexed="81"/>
            <rFont val="Tahoma"/>
            <family val="2"/>
          </rPr>
          <t xml:space="preserve">
lower insurance related income</t>
        </r>
      </text>
    </comment>
    <comment ref="DN749" authorId="3" shapeId="0" xr:uid="{94DFF093-507A-49B8-8009-4A194918E7C5}">
      <text>
        <r>
          <rPr>
            <b/>
            <sz val="9"/>
            <color indexed="81"/>
            <rFont val="Tahoma"/>
            <family val="2"/>
          </rPr>
          <t>Wiles, Richard (Research):</t>
        </r>
        <r>
          <rPr>
            <sz val="9"/>
            <color indexed="81"/>
            <rFont val="Tahoma"/>
            <family val="2"/>
          </rPr>
          <t xml:space="preserve">
lower insurance related income</t>
        </r>
      </text>
    </comment>
    <comment ref="DP749" authorId="3" shapeId="0" xr:uid="{73A61781-159B-4B82-BD26-D0446F37E5A0}">
      <text>
        <r>
          <rPr>
            <b/>
            <sz val="9"/>
            <color indexed="81"/>
            <rFont val="Tahoma"/>
            <family val="2"/>
          </rPr>
          <t>Wiles, Richard (Research):</t>
        </r>
        <r>
          <rPr>
            <sz val="9"/>
            <color indexed="81"/>
            <rFont val="Tahoma"/>
            <family val="2"/>
          </rPr>
          <t xml:space="preserve">
lower insurance related income</t>
        </r>
      </text>
    </comment>
    <comment ref="DQ749" authorId="3" shapeId="0" xr:uid="{78544DE7-F5CB-4BBE-AC51-DFD8359014C9}">
      <text>
        <r>
          <rPr>
            <b/>
            <sz val="9"/>
            <color indexed="81"/>
            <rFont val="Tahoma"/>
            <family val="2"/>
          </rPr>
          <t>Wiles, Richard (Research):</t>
        </r>
        <r>
          <rPr>
            <sz val="9"/>
            <color indexed="81"/>
            <rFont val="Tahoma"/>
            <family val="2"/>
          </rPr>
          <t xml:space="preserve">
lower insurance related income</t>
        </r>
      </text>
    </comment>
    <comment ref="DR749" authorId="3" shapeId="0" xr:uid="{1A5CA42B-E08C-4AF5-9866-85766D688F69}">
      <text>
        <r>
          <rPr>
            <b/>
            <sz val="9"/>
            <color indexed="81"/>
            <rFont val="Tahoma"/>
            <family val="2"/>
          </rPr>
          <t>Wiles, Richard (Research):</t>
        </r>
        <r>
          <rPr>
            <sz val="9"/>
            <color indexed="81"/>
            <rFont val="Tahoma"/>
            <family val="2"/>
          </rPr>
          <t xml:space="preserve">
lower insurance related income</t>
        </r>
      </text>
    </comment>
    <comment ref="CS751" authorId="1" shapeId="0" xr:uid="{F3321600-DE9C-43FC-B3B8-FC21AC219983}">
      <text>
        <r>
          <rPr>
            <b/>
            <sz val="9"/>
            <color indexed="81"/>
            <rFont val="Tahoma"/>
            <family val="2"/>
          </rPr>
          <t>Hong, Sally (Research):</t>
        </r>
        <r>
          <rPr>
            <sz val="9"/>
            <color indexed="81"/>
            <rFont val="Tahoma"/>
            <family val="2"/>
          </rPr>
          <t xml:space="preserve">
Page 25 of the FY22 4E - Other Non Interest Income</t>
        </r>
      </text>
    </comment>
    <comment ref="CV751" authorId="1" shapeId="0" xr:uid="{8FEAF60C-1423-4128-9AB2-1CB9B0A7BE39}">
      <text>
        <r>
          <rPr>
            <b/>
            <sz val="9"/>
            <color indexed="81"/>
            <rFont val="Tahoma"/>
            <family val="2"/>
          </rPr>
          <t>Hong, Sally (Research):</t>
        </r>
        <r>
          <rPr>
            <sz val="9"/>
            <color indexed="81"/>
            <rFont val="Tahoma"/>
            <family val="2"/>
          </rPr>
          <t xml:space="preserve">
Retated in 1H24
 Other - Cash Other Operating income</t>
        </r>
      </text>
    </comment>
    <comment ref="BP771" authorId="2" shapeId="0" xr:uid="{00000000-0006-0000-0400-00002A010000}">
      <text>
        <r>
          <rPr>
            <b/>
            <sz val="9"/>
            <color indexed="81"/>
            <rFont val="Tahoma"/>
            <family val="2"/>
          </rPr>
          <t>Dunger, Matt (Research):</t>
        </r>
        <r>
          <rPr>
            <sz val="9"/>
            <color indexed="81"/>
            <rFont val="Tahoma"/>
            <family val="2"/>
          </rPr>
          <t xml:space="preserve">
Restated 1H16</t>
        </r>
      </text>
    </comment>
    <comment ref="BQ771" authorId="2" shapeId="0" xr:uid="{00000000-0006-0000-0400-00002B010000}">
      <text>
        <r>
          <rPr>
            <b/>
            <sz val="9"/>
            <color indexed="81"/>
            <rFont val="Tahoma"/>
            <family val="2"/>
          </rPr>
          <t>Dunger, Matt (Research):</t>
        </r>
        <r>
          <rPr>
            <sz val="9"/>
            <color indexed="81"/>
            <rFont val="Tahoma"/>
            <family val="2"/>
          </rPr>
          <t xml:space="preserve">
Restated 1H16</t>
        </r>
      </text>
    </comment>
    <comment ref="BT771" authorId="0" shapeId="0" xr:uid="{00000000-0006-0000-0400-00002C010000}">
      <text>
        <r>
          <rPr>
            <b/>
            <sz val="9"/>
            <color indexed="81"/>
            <rFont val="Tahoma"/>
            <family val="2"/>
          </rPr>
          <t>O'Neill, Emilie (Research):</t>
        </r>
        <r>
          <rPr>
            <sz val="9"/>
            <color indexed="81"/>
            <rFont val="Tahoma"/>
            <family val="2"/>
          </rPr>
          <t xml:space="preserve">
restatement 1H17</t>
        </r>
      </text>
    </comment>
    <comment ref="BU771" authorId="0" shapeId="0" xr:uid="{00000000-0006-0000-0400-00002D010000}">
      <text>
        <r>
          <rPr>
            <b/>
            <sz val="9"/>
            <color indexed="81"/>
            <rFont val="Tahoma"/>
            <family val="2"/>
          </rPr>
          <t>O'Neill, Emilie (Research):</t>
        </r>
        <r>
          <rPr>
            <sz val="9"/>
            <color indexed="81"/>
            <rFont val="Tahoma"/>
            <family val="2"/>
          </rPr>
          <t xml:space="preserve">
restatement 1H17</t>
        </r>
      </text>
    </comment>
    <comment ref="CC791" authorId="3" shapeId="0" xr:uid="{00000000-0006-0000-0400-00002E010000}">
      <text>
        <r>
          <rPr>
            <b/>
            <sz val="9"/>
            <color indexed="81"/>
            <rFont val="Tahoma"/>
            <family val="2"/>
          </rPr>
          <t>Wiles, Richard (Research):</t>
        </r>
        <r>
          <rPr>
            <sz val="9"/>
            <color indexed="81"/>
            <rFont val="Tahoma"/>
            <family val="2"/>
          </rPr>
          <t xml:space="preserve">
refer FY18 page 27 .. A$29m of customer remediation in wealth </t>
        </r>
      </text>
    </comment>
    <comment ref="CG791" authorId="5" shapeId="0" xr:uid="{00000000-0006-0000-0400-00002F010000}">
      <text>
        <r>
          <rPr>
            <b/>
            <sz val="9"/>
            <color indexed="81"/>
            <rFont val="Tahoma"/>
            <family val="2"/>
          </rPr>
          <t>Stadnik, Andrei (Research):</t>
        </r>
        <r>
          <rPr>
            <sz val="9"/>
            <color indexed="81"/>
            <rFont val="Tahoma"/>
            <family val="2"/>
          </rPr>
          <t xml:space="preserve">
page 20 of 2H19 has the info, but wealth no lnoger split out from all of Australia - so make it zero</t>
        </r>
      </text>
    </comment>
    <comment ref="CC811" authorId="0" shapeId="0" xr:uid="{00000000-0006-0000-0400-000030010000}">
      <text>
        <r>
          <rPr>
            <b/>
            <sz val="9"/>
            <color indexed="81"/>
            <rFont val="Tahoma"/>
            <family val="2"/>
          </rPr>
          <t>O'Neill, Emilie (Research):</t>
        </r>
        <r>
          <rPr>
            <sz val="9"/>
            <color indexed="81"/>
            <rFont val="Tahoma"/>
            <family val="2"/>
          </rPr>
          <t xml:space="preserve">
Presentation page 125 Closing FUM for wealth divested business</t>
        </r>
      </text>
    </comment>
    <comment ref="CC821" authorId="0" shapeId="0" xr:uid="{00000000-0006-0000-0400-000031010000}">
      <text>
        <r>
          <rPr>
            <b/>
            <sz val="9"/>
            <color indexed="81"/>
            <rFont val="Tahoma"/>
            <family val="2"/>
          </rPr>
          <t>O'Neill, Emilie (Research):</t>
        </r>
        <r>
          <rPr>
            <sz val="9"/>
            <color indexed="81"/>
            <rFont val="Tahoma"/>
            <family val="2"/>
          </rPr>
          <t xml:space="preserve">
Wealth continuing operations average FUA</t>
        </r>
      </text>
    </comment>
    <comment ref="BT829" authorId="2" shapeId="0" xr:uid="{00000000-0006-0000-0400-000032010000}">
      <text>
        <r>
          <rPr>
            <b/>
            <sz val="9"/>
            <color indexed="81"/>
            <rFont val="Tahoma"/>
            <family val="2"/>
          </rPr>
          <t>Dunger, Matt (Research):</t>
        </r>
        <r>
          <rPr>
            <sz val="9"/>
            <color indexed="81"/>
            <rFont val="Tahoma"/>
            <family val="2"/>
          </rPr>
          <t xml:space="preserve">
Estimate, full year numbers restated HY/HY not disclosed.</t>
        </r>
      </text>
    </comment>
    <comment ref="BQ830" authorId="2" shapeId="0" xr:uid="{00000000-0006-0000-0400-000033010000}">
      <text>
        <r>
          <rPr>
            <b/>
            <sz val="9"/>
            <color indexed="81"/>
            <rFont val="Tahoma"/>
            <family val="2"/>
          </rPr>
          <t>Dunger, Matt (Research):</t>
        </r>
        <r>
          <rPr>
            <sz val="9"/>
            <color indexed="81"/>
            <rFont val="Tahoma"/>
            <family val="2"/>
          </rPr>
          <t xml:space="preserve">
Closing balance restated 2H16, adjusted through this line</t>
        </r>
      </text>
    </comment>
    <comment ref="BQ832" authorId="2" shapeId="0" xr:uid="{00000000-0006-0000-0400-000034010000}">
      <text>
        <r>
          <rPr>
            <b/>
            <sz val="9"/>
            <color indexed="81"/>
            <rFont val="Tahoma"/>
            <family val="2"/>
          </rPr>
          <t>Dunger, Matt (Research):</t>
        </r>
        <r>
          <rPr>
            <sz val="9"/>
            <color indexed="81"/>
            <rFont val="Tahoma"/>
            <family val="2"/>
          </rPr>
          <t xml:space="preserve">
restated 2H16</t>
        </r>
      </text>
    </comment>
    <comment ref="BT832" authorId="2" shapeId="0" xr:uid="{00000000-0006-0000-0400-000035010000}">
      <text>
        <r>
          <rPr>
            <b/>
            <sz val="9"/>
            <color indexed="81"/>
            <rFont val="Tahoma"/>
            <family val="2"/>
          </rPr>
          <t>Dunger, Matt (Research):</t>
        </r>
        <r>
          <rPr>
            <sz val="9"/>
            <color indexed="81"/>
            <rFont val="Tahoma"/>
            <family val="2"/>
          </rPr>
          <t xml:space="preserve">
restated 2H16</t>
        </r>
      </text>
    </comment>
    <comment ref="BX832" authorId="5" shapeId="0" xr:uid="{00000000-0006-0000-0400-000036010000}">
      <text>
        <r>
          <rPr>
            <b/>
            <sz val="9"/>
            <color indexed="81"/>
            <rFont val="Tahoma"/>
            <family val="2"/>
          </rPr>
          <t>Stadnik, Andrei (Research):</t>
        </r>
        <r>
          <rPr>
            <sz val="9"/>
            <color indexed="81"/>
            <rFont val="Tahoma"/>
            <family val="2"/>
          </rPr>
          <t xml:space="preserve">
contunuing only</t>
        </r>
      </text>
    </comment>
    <comment ref="BY832" authorId="5" shapeId="0" xr:uid="{00000000-0006-0000-0400-000037010000}">
      <text>
        <r>
          <rPr>
            <b/>
            <sz val="9"/>
            <color indexed="81"/>
            <rFont val="Tahoma"/>
            <family val="2"/>
          </rPr>
          <t>Stadnik, Andrei (Research):</t>
        </r>
        <r>
          <rPr>
            <sz val="9"/>
            <color indexed="81"/>
            <rFont val="Tahoma"/>
            <family val="2"/>
          </rPr>
          <t xml:space="preserve">
contunuing only</t>
        </r>
      </text>
    </comment>
    <comment ref="CB832" authorId="5" shapeId="0" xr:uid="{00000000-0006-0000-0400-000038010000}">
      <text>
        <r>
          <rPr>
            <b/>
            <sz val="9"/>
            <color indexed="81"/>
            <rFont val="Tahoma"/>
            <family val="2"/>
          </rPr>
          <t>Stadnik, Andrei (Research):</t>
        </r>
        <r>
          <rPr>
            <sz val="9"/>
            <color indexed="81"/>
            <rFont val="Tahoma"/>
            <family val="2"/>
          </rPr>
          <t xml:space="preserve">
continuing only</t>
        </r>
      </text>
    </comment>
    <comment ref="CC832" authorId="5" shapeId="0" xr:uid="{00000000-0006-0000-0400-000039010000}">
      <text>
        <r>
          <rPr>
            <b/>
            <sz val="9"/>
            <color indexed="81"/>
            <rFont val="Tahoma"/>
            <family val="2"/>
          </rPr>
          <t>Stadnik, Andrei (Research):</t>
        </r>
        <r>
          <rPr>
            <sz val="9"/>
            <color indexed="81"/>
            <rFont val="Tahoma"/>
            <family val="2"/>
          </rPr>
          <t xml:space="preserve">
continuing only</t>
        </r>
      </text>
    </comment>
    <comment ref="CF848" authorId="3" shapeId="0" xr:uid="{00000000-0006-0000-0400-00003A010000}">
      <text>
        <r>
          <rPr>
            <b/>
            <sz val="9"/>
            <color indexed="81"/>
            <rFont val="Tahoma"/>
            <family val="2"/>
          </rPr>
          <t>Wiles, Richard (Research):</t>
        </r>
        <r>
          <rPr>
            <sz val="9"/>
            <color indexed="81"/>
            <rFont val="Tahoma"/>
            <family val="2"/>
          </rPr>
          <t xml:space="preserve">
restated at FY19</t>
        </r>
      </text>
    </comment>
    <comment ref="CR851" authorId="1" shapeId="0" xr:uid="{51BE83EA-FA38-4C50-A38B-4F30B4D38CD7}">
      <text>
        <r>
          <rPr>
            <b/>
            <sz val="9"/>
            <color indexed="81"/>
            <rFont val="Tahoma"/>
            <family val="2"/>
          </rPr>
          <t>Hong, Sally (Research):</t>
        </r>
        <r>
          <rPr>
            <sz val="9"/>
            <color indexed="81"/>
            <rFont val="Tahoma"/>
            <family val="2"/>
          </rPr>
          <t xml:space="preserve">
Restated in 2H22..See  page 28 of the FY22 Results 4E</t>
        </r>
      </text>
    </comment>
    <comment ref="CZ864" authorId="1" shapeId="0" xr:uid="{45C82C8E-CB1C-4A41-84CA-CC7B81E9B930}">
      <text>
        <r>
          <rPr>
            <b/>
            <sz val="9"/>
            <color indexed="81"/>
            <rFont val="Tahoma"/>
            <family val="2"/>
          </rPr>
          <t>Hong, Sally (Research):</t>
        </r>
        <r>
          <rPr>
            <sz val="9"/>
            <color indexed="81"/>
            <rFont val="Tahoma"/>
            <family val="2"/>
          </rPr>
          <t xml:space="preserve">
No longer disclosing notable items from 1H24 onwards</t>
        </r>
      </text>
    </comment>
    <comment ref="CZ869" authorId="1" shapeId="0" xr:uid="{232417E7-081E-48CF-9C1F-CCB908CBB51D}">
      <text>
        <r>
          <rPr>
            <b/>
            <sz val="9"/>
            <color indexed="81"/>
            <rFont val="Tahoma"/>
            <family val="2"/>
          </rPr>
          <t>Hong, Sally (Research):</t>
        </r>
        <r>
          <rPr>
            <sz val="9"/>
            <color indexed="81"/>
            <rFont val="Tahoma"/>
            <family val="2"/>
          </rPr>
          <t xml:space="preserve">
est</t>
        </r>
      </text>
    </comment>
    <comment ref="CJ872" authorId="3" shapeId="0" xr:uid="{00000000-0006-0000-0400-00003B010000}">
      <text>
        <r>
          <rPr>
            <b/>
            <sz val="9"/>
            <color indexed="81"/>
            <rFont val="Tahoma"/>
            <family val="2"/>
          </rPr>
          <t>Wiles, Richard (Research):</t>
        </r>
        <r>
          <rPr>
            <sz val="9"/>
            <color indexed="81"/>
            <rFont val="Tahoma"/>
            <family val="2"/>
          </rPr>
          <t xml:space="preserve">
MS estimate of breakdown</t>
        </r>
      </text>
    </comment>
    <comment ref="CK872" authorId="3" shapeId="0" xr:uid="{00000000-0006-0000-0400-00003C010000}">
      <text>
        <r>
          <rPr>
            <b/>
            <sz val="9"/>
            <color indexed="81"/>
            <rFont val="Tahoma"/>
            <family val="2"/>
          </rPr>
          <t>Wiles, Richard (Research):</t>
        </r>
        <r>
          <rPr>
            <sz val="9"/>
            <color indexed="81"/>
            <rFont val="Tahoma"/>
            <family val="2"/>
          </rPr>
          <t xml:space="preserve">
MS estimate of breakdown</t>
        </r>
      </text>
    </comment>
    <comment ref="CN872" authorId="3" shapeId="0" xr:uid="{00000000-0006-0000-0400-00003D010000}">
      <text>
        <r>
          <rPr>
            <b/>
            <sz val="9"/>
            <color indexed="81"/>
            <rFont val="Tahoma"/>
            <family val="2"/>
          </rPr>
          <t>Wiles, Richard (Research):</t>
        </r>
        <r>
          <rPr>
            <sz val="9"/>
            <color indexed="81"/>
            <rFont val="Tahoma"/>
            <family val="2"/>
          </rPr>
          <t xml:space="preserve">
MS estimate of breakdown</t>
        </r>
      </text>
    </comment>
    <comment ref="CO872" authorId="3" shapeId="0" xr:uid="{00000000-0006-0000-0400-00003E010000}">
      <text>
        <r>
          <rPr>
            <b/>
            <sz val="9"/>
            <color indexed="81"/>
            <rFont val="Tahoma"/>
            <family val="2"/>
          </rPr>
          <t>Wiles, Richard (Research):</t>
        </r>
        <r>
          <rPr>
            <sz val="9"/>
            <color indexed="81"/>
            <rFont val="Tahoma"/>
            <family val="2"/>
          </rPr>
          <t xml:space="preserve">
MS estimate of breakdown</t>
        </r>
      </text>
    </comment>
    <comment ref="CR872" authorId="3" shapeId="0" xr:uid="{00000000-0006-0000-0400-00003F010000}">
      <text>
        <r>
          <rPr>
            <b/>
            <sz val="9"/>
            <color indexed="81"/>
            <rFont val="Tahoma"/>
            <family val="2"/>
          </rPr>
          <t>Wiles, Richard (Research):</t>
        </r>
        <r>
          <rPr>
            <sz val="9"/>
            <color indexed="81"/>
            <rFont val="Tahoma"/>
            <family val="2"/>
          </rPr>
          <t xml:space="preserve">
MS estimate of breakdown</t>
        </r>
      </text>
    </comment>
    <comment ref="CS872" authorId="1" shapeId="0" xr:uid="{214053E9-1ABD-4D9C-9498-0BB6AC29487F}">
      <text>
        <r>
          <rPr>
            <b/>
            <sz val="9"/>
            <color indexed="81"/>
            <rFont val="Tahoma"/>
            <family val="2"/>
          </rPr>
          <t>Hong, Sally (Research):</t>
        </r>
        <r>
          <rPr>
            <sz val="9"/>
            <color indexed="81"/>
            <rFont val="Tahoma"/>
            <family val="2"/>
          </rPr>
          <t xml:space="preserve">
MS estimate
24/10/22 ASX Announcement 2H22 Notable Items:
</t>
        </r>
        <r>
          <rPr>
            <b/>
            <sz val="9"/>
            <color indexed="81"/>
            <rFont val="Tahoma"/>
            <family val="2"/>
          </rPr>
          <t>Restructuring Charges</t>
        </r>
        <r>
          <rPr>
            <sz val="9"/>
            <color indexed="81"/>
            <rFont val="Tahoma"/>
            <family val="2"/>
          </rPr>
          <t xml:space="preserve">
Expenses: -$51m
Tax Benefit: +$14m
After-tax cash earnings Impact: -$37m</t>
        </r>
      </text>
    </comment>
    <comment ref="CV872" authorId="1" shapeId="0" xr:uid="{AC32B1F8-194B-4A57-991A-62B6406E1FD3}">
      <text>
        <r>
          <rPr>
            <b/>
            <sz val="9"/>
            <color indexed="81"/>
            <rFont val="Tahoma"/>
            <family val="2"/>
          </rPr>
          <t>Hong, Sally (Research):</t>
        </r>
        <r>
          <rPr>
            <sz val="9"/>
            <color indexed="81"/>
            <rFont val="Tahoma"/>
            <family val="2"/>
          </rPr>
          <t xml:space="preserve">
MS estimate</t>
        </r>
      </text>
    </comment>
    <comment ref="CW872" authorId="1" shapeId="0" xr:uid="{DA0CBE7C-7E5A-4DB5-95A0-BED08953B667}">
      <text>
        <r>
          <rPr>
            <b/>
            <sz val="9"/>
            <color indexed="81"/>
            <rFont val="Tahoma"/>
            <family val="2"/>
          </rPr>
          <t>Hong, Sally (Research):</t>
        </r>
        <r>
          <rPr>
            <sz val="9"/>
            <color indexed="81"/>
            <rFont val="Tahoma"/>
            <family val="2"/>
          </rPr>
          <t xml:space="preserve">
MS estimate</t>
        </r>
      </text>
    </comment>
    <comment ref="CZ872" authorId="1" shapeId="0" xr:uid="{794B00FE-82D4-4C9D-BB9A-DDDA97E11077}">
      <text>
        <r>
          <rPr>
            <b/>
            <sz val="9"/>
            <color indexed="81"/>
            <rFont val="Tahoma"/>
            <family val="2"/>
          </rPr>
          <t>Hong, Sally (Research):</t>
        </r>
        <r>
          <rPr>
            <sz val="9"/>
            <color indexed="81"/>
            <rFont val="Tahoma"/>
            <family val="2"/>
          </rPr>
          <t xml:space="preserve">
MS estimate</t>
        </r>
      </text>
    </comment>
    <comment ref="DE872" authorId="1" shapeId="0" xr:uid="{D0783E59-6C7B-463E-AC70-6CF15F980284}">
      <text>
        <r>
          <rPr>
            <b/>
            <sz val="9"/>
            <color indexed="81"/>
            <rFont val="Tahoma"/>
            <family val="2"/>
          </rPr>
          <t>Hong, Sally (Research):</t>
        </r>
        <r>
          <rPr>
            <sz val="9"/>
            <color indexed="81"/>
            <rFont val="Tahoma"/>
            <family val="2"/>
          </rPr>
          <t xml:space="preserve">
11/10/25:
staff redundancies = -A$585m pre tax (-A$414m post tax)
ASIC Settlement = -A$275m pre tax (-264m post tax)
Suncorp bank migration = -A$97m pre tax (-A$68m post tax)
Cash rewards closure = -A$78m pre tax (-A$78m post tax)
9/9/25:
Restructuring costs of A$560m pre-tax</t>
        </r>
      </text>
    </comment>
    <comment ref="CS873" authorId="1" shapeId="0" xr:uid="{60186519-3D31-4156-9F76-EBA65BB857DB}">
      <text>
        <r>
          <rPr>
            <b/>
            <sz val="9"/>
            <color indexed="81"/>
            <rFont val="Tahoma"/>
            <family val="2"/>
          </rPr>
          <t>Hong, Sally (Research):</t>
        </r>
        <r>
          <rPr>
            <sz val="9"/>
            <color indexed="81"/>
            <rFont val="Tahoma"/>
            <family val="2"/>
          </rPr>
          <t xml:space="preserve">
</t>
        </r>
        <r>
          <rPr>
            <b/>
            <sz val="9"/>
            <color indexed="81"/>
            <rFont val="Tahoma"/>
            <family val="2"/>
          </rPr>
          <t>Lease Modification:</t>
        </r>
        <r>
          <rPr>
            <sz val="9"/>
            <color indexed="81"/>
            <rFont val="Tahoma"/>
            <family val="2"/>
          </rPr>
          <t xml:space="preserve">
Other Income: +$23m
Expenses: -$47m
Tax Benefit: +$7m
After-tax cash earnings Impact: -$17m
</t>
        </r>
        <r>
          <rPr>
            <b/>
            <sz val="9"/>
            <color indexed="81"/>
            <rFont val="Tahoma"/>
            <family val="2"/>
          </rPr>
          <t xml:space="preserve">
See comment in Page 29 of the FY22 4E:
</t>
        </r>
        <r>
          <rPr>
            <sz val="9"/>
            <color indexed="81"/>
            <rFont val="Tahoma"/>
            <family val="2"/>
          </rPr>
          <t xml:space="preserve">
Higher premises expenses driven by modification of a signficant lease arrangement</t>
        </r>
      </text>
    </comment>
    <comment ref="CV873" authorId="1" shapeId="0" xr:uid="{7FEB98D8-EEE1-468D-B76A-74B959595A66}">
      <text>
        <r>
          <rPr>
            <b/>
            <sz val="9"/>
            <color indexed="81"/>
            <rFont val="Tahoma"/>
            <family val="2"/>
          </rPr>
          <t>Hong, Sally (Research):</t>
        </r>
        <r>
          <rPr>
            <sz val="9"/>
            <color indexed="81"/>
            <rFont val="Tahoma"/>
            <family val="2"/>
          </rPr>
          <t xml:space="preserve">
MS estimate</t>
        </r>
      </text>
    </comment>
    <comment ref="CW873" authorId="1" shapeId="0" xr:uid="{6B9974F4-CE6B-4D25-8FBA-49CA6A1C63A8}">
      <text>
        <r>
          <rPr>
            <b/>
            <sz val="9"/>
            <color indexed="81"/>
            <rFont val="Tahoma"/>
            <family val="2"/>
          </rPr>
          <t>Hong, Sally (Research):</t>
        </r>
        <r>
          <rPr>
            <sz val="9"/>
            <color indexed="81"/>
            <rFont val="Tahoma"/>
            <family val="2"/>
          </rPr>
          <t xml:space="preserve">
MS estimate</t>
        </r>
      </text>
    </comment>
    <comment ref="CZ873" authorId="1" shapeId="0" xr:uid="{46785E99-BDBF-4214-9C19-62CCF289C42E}">
      <text>
        <r>
          <rPr>
            <b/>
            <sz val="9"/>
            <color indexed="81"/>
            <rFont val="Tahoma"/>
            <family val="2"/>
          </rPr>
          <t>Hong, Sally (Research):</t>
        </r>
        <r>
          <rPr>
            <sz val="9"/>
            <color indexed="81"/>
            <rFont val="Tahoma"/>
            <family val="2"/>
          </rPr>
          <t xml:space="preserve">
MS estimate</t>
        </r>
      </text>
    </comment>
    <comment ref="CV874" authorId="1" shapeId="0" xr:uid="{07EC8B84-9264-453E-8AC0-080EAE64696A}">
      <text>
        <r>
          <rPr>
            <b/>
            <sz val="9"/>
            <color indexed="81"/>
            <rFont val="Tahoma"/>
            <family val="2"/>
          </rPr>
          <t>Hong, Sally (Research):</t>
        </r>
        <r>
          <rPr>
            <sz val="9"/>
            <color indexed="81"/>
            <rFont val="Tahoma"/>
            <family val="2"/>
          </rPr>
          <t xml:space="preserve">
MS estimate</t>
        </r>
      </text>
    </comment>
    <comment ref="CW874" authorId="1" shapeId="0" xr:uid="{C193959B-A25A-4AF6-8854-71E2ADBF28F2}">
      <text>
        <r>
          <rPr>
            <b/>
            <sz val="9"/>
            <color indexed="81"/>
            <rFont val="Tahoma"/>
            <family val="2"/>
          </rPr>
          <t>Hong, Sally (Research):</t>
        </r>
        <r>
          <rPr>
            <sz val="9"/>
            <color indexed="81"/>
            <rFont val="Tahoma"/>
            <family val="2"/>
          </rPr>
          <t xml:space="preserve">
MS estimate</t>
        </r>
      </text>
    </comment>
    <comment ref="CZ874" authorId="1" shapeId="0" xr:uid="{D88D9EFB-E30C-456B-8DEC-F56F01F7BA30}">
      <text>
        <r>
          <rPr>
            <b/>
            <sz val="9"/>
            <color indexed="81"/>
            <rFont val="Tahoma"/>
            <family val="2"/>
          </rPr>
          <t>Hong, Sally (Research):</t>
        </r>
        <r>
          <rPr>
            <sz val="9"/>
            <color indexed="81"/>
            <rFont val="Tahoma"/>
            <family val="2"/>
          </rPr>
          <t xml:space="preserve">
MS estimate</t>
        </r>
      </text>
    </comment>
    <comment ref="CS878" authorId="1" shapeId="0" xr:uid="{8367A8E5-6384-4B9A-A2E1-AC0676798B85}">
      <text>
        <r>
          <rPr>
            <b/>
            <sz val="9"/>
            <color indexed="81"/>
            <rFont val="Tahoma"/>
            <family val="2"/>
          </rPr>
          <t>Hong, Sally (Research):</t>
        </r>
        <r>
          <rPr>
            <sz val="9"/>
            <color indexed="81"/>
            <rFont val="Tahoma"/>
            <family val="2"/>
          </rPr>
          <t xml:space="preserve">
24/10/22 ASX Announcement 2H22 Notable Items:
</t>
        </r>
        <r>
          <rPr>
            <b/>
            <sz val="9"/>
            <color indexed="81"/>
            <rFont val="Tahoma"/>
            <family val="2"/>
          </rPr>
          <t>Remediation:</t>
        </r>
        <r>
          <rPr>
            <sz val="9"/>
            <color indexed="81"/>
            <rFont val="Tahoma"/>
            <family val="2"/>
          </rPr>
          <t xml:space="preserve">
NII: +$3m
Other Income: -$12m
Expenses: -$42m
Tax Benefit: +$8m
After-tax cash earnings Impact: -$43m</t>
        </r>
      </text>
    </comment>
    <comment ref="CV878" authorId="1" shapeId="0" xr:uid="{D8FE226A-44E4-47BC-B790-80B45EF31C5D}">
      <text>
        <r>
          <rPr>
            <b/>
            <sz val="9"/>
            <color indexed="81"/>
            <rFont val="Tahoma"/>
            <family val="2"/>
          </rPr>
          <t>Hong, Sally (Research):</t>
        </r>
        <r>
          <rPr>
            <sz val="9"/>
            <color indexed="81"/>
            <rFont val="Tahoma"/>
            <family val="2"/>
          </rPr>
          <t xml:space="preserve">
Estimate</t>
        </r>
      </text>
    </comment>
    <comment ref="CW878" authorId="1" shapeId="0" xr:uid="{AC9F91E0-171D-418C-9F3A-CA23B4470DEA}">
      <text>
        <r>
          <rPr>
            <b/>
            <sz val="9"/>
            <color indexed="81"/>
            <rFont val="Tahoma"/>
            <family val="2"/>
          </rPr>
          <t>Hong, Sally (Research):</t>
        </r>
        <r>
          <rPr>
            <sz val="9"/>
            <color indexed="81"/>
            <rFont val="Tahoma"/>
            <family val="2"/>
          </rPr>
          <t xml:space="preserve">
Estimate</t>
        </r>
      </text>
    </comment>
    <comment ref="DE879" authorId="1" shapeId="0" xr:uid="{804C1EFF-D085-451C-85D5-62F9C1F5A1A3}">
      <text>
        <r>
          <rPr>
            <b/>
            <sz val="9"/>
            <color indexed="81"/>
            <rFont val="Tahoma"/>
            <family val="2"/>
          </rPr>
          <t>Hong, Sally (Research):</t>
        </r>
        <r>
          <rPr>
            <sz val="9"/>
            <color indexed="81"/>
            <rFont val="Tahoma"/>
            <family val="2"/>
          </rPr>
          <t xml:space="preserve">
15/9/25:
ASIC Penalty of A$240m pre-tax. Not Tax Deductible</t>
        </r>
      </text>
    </comment>
    <comment ref="DA883" authorId="1" shapeId="0" xr:uid="{A36DE346-18CE-43AF-A435-A5656648BD61}">
      <text>
        <r>
          <rPr>
            <b/>
            <sz val="9"/>
            <color indexed="81"/>
            <rFont val="Tahoma"/>
            <family val="2"/>
          </rPr>
          <t>Hong, Sally (Research):</t>
        </r>
        <r>
          <rPr>
            <sz val="9"/>
            <color indexed="81"/>
            <rFont val="Tahoma"/>
            <family val="2"/>
          </rPr>
          <t xml:space="preserve">
Asx Announcement 28/10/24:
Accelerated software smortisation charge of A$36m pre tax (A$25m post tax) in 2H24 for SUN bank  acquisition </t>
        </r>
      </text>
    </comment>
    <comment ref="CG884" authorId="3" shapeId="0" xr:uid="{00000000-0006-0000-0400-000040010000}">
      <text>
        <r>
          <rPr>
            <b/>
            <sz val="9"/>
            <color indexed="81"/>
            <rFont val="Tahoma"/>
            <family val="2"/>
          </rPr>
          <t>Wiles, Richard (Research):</t>
        </r>
        <r>
          <rPr>
            <sz val="9"/>
            <color indexed="81"/>
            <rFont val="Tahoma"/>
            <family val="2"/>
          </rPr>
          <t xml:space="preserve">
Refer FY19 page 95; also included in Notable items on page 19</t>
        </r>
      </text>
    </comment>
    <comment ref="CN884" authorId="7" shapeId="0" xr:uid="{00000000-0006-0000-0400-000041010000}">
      <text>
        <r>
          <rPr>
            <b/>
            <sz val="9"/>
            <color indexed="81"/>
            <rFont val="Tahoma"/>
            <family val="2"/>
          </rPr>
          <t>Fernandes, Sona (Research):</t>
        </r>
        <r>
          <rPr>
            <sz val="9"/>
            <color indexed="81"/>
            <rFont val="Tahoma"/>
            <family val="2"/>
          </rPr>
          <t xml:space="preserve">
$105m of restructuring and $69m of litigation costs pre-tax</t>
        </r>
      </text>
    </comment>
    <comment ref="CS884" authorId="1" shapeId="0" xr:uid="{58616F03-1A40-464D-A979-279B9B935868}">
      <text>
        <r>
          <rPr>
            <b/>
            <sz val="9"/>
            <color indexed="81"/>
            <rFont val="Tahoma"/>
            <family val="2"/>
          </rPr>
          <t>Hong, Sally (Research):</t>
        </r>
        <r>
          <rPr>
            <sz val="9"/>
            <color indexed="81"/>
            <rFont val="Tahoma"/>
            <family val="2"/>
          </rPr>
          <t xml:space="preserve">
</t>
        </r>
        <r>
          <rPr>
            <b/>
            <sz val="9"/>
            <color indexed="81"/>
            <rFont val="Tahoma"/>
            <family val="2"/>
          </rPr>
          <t>Lease Modification:</t>
        </r>
        <r>
          <rPr>
            <sz val="9"/>
            <color indexed="81"/>
            <rFont val="Tahoma"/>
            <family val="2"/>
          </rPr>
          <t xml:space="preserve">
Other Income: +$23m
Expenses: -$47m
Tax Benefit: +$7m
After-tax cash earnings Impact: -$17m
</t>
        </r>
        <r>
          <rPr>
            <b/>
            <sz val="9"/>
            <color indexed="81"/>
            <rFont val="Tahoma"/>
            <family val="2"/>
          </rPr>
          <t xml:space="preserve">
Restructuring Charges</t>
        </r>
        <r>
          <rPr>
            <sz val="9"/>
            <color indexed="81"/>
            <rFont val="Tahoma"/>
            <family val="2"/>
          </rPr>
          <t xml:space="preserve">
Expenses: -$51m
Tax Benefit: +$14m
After-tax cash earnings Impact: -$37m</t>
        </r>
      </text>
    </comment>
    <comment ref="CZ884" authorId="1" shapeId="0" xr:uid="{1B358C1B-D57B-401C-8E03-17538D7EF866}">
      <text>
        <r>
          <rPr>
            <b/>
            <sz val="9"/>
            <color indexed="81"/>
            <rFont val="Tahoma"/>
            <family val="2"/>
          </rPr>
          <t>Hong, Sally (Research):</t>
        </r>
        <r>
          <rPr>
            <sz val="9"/>
            <color indexed="81"/>
            <rFont val="Tahoma"/>
            <family val="2"/>
          </rPr>
          <t xml:space="preserve">
Only called out restructuring expenses as notable items in 1H24 </t>
        </r>
      </text>
    </comment>
    <comment ref="CG885" authorId="3" shapeId="0" xr:uid="{00000000-0006-0000-0400-000042010000}">
      <text>
        <r>
          <rPr>
            <b/>
            <sz val="9"/>
            <color indexed="81"/>
            <rFont val="Tahoma"/>
            <family val="2"/>
          </rPr>
          <t>Wiles, Richard (Research):</t>
        </r>
        <r>
          <rPr>
            <sz val="9"/>
            <color indexed="81"/>
            <rFont val="Tahoma"/>
            <family val="2"/>
          </rPr>
          <t xml:space="preserve">
Refer FY19 page 95; also included in Notable items on page 19</t>
        </r>
      </text>
    </comment>
    <comment ref="CW885" authorId="1" shapeId="0" xr:uid="{B6F8BE37-EDC0-4E46-BE23-29748FC4C28B}">
      <text>
        <r>
          <rPr>
            <b/>
            <sz val="9"/>
            <color indexed="81"/>
            <rFont val="Tahoma"/>
            <family val="2"/>
          </rPr>
          <t>Hong, Sally (Research):</t>
        </r>
        <r>
          <rPr>
            <sz val="9"/>
            <color indexed="81"/>
            <rFont val="Tahoma"/>
            <family val="2"/>
          </rPr>
          <t xml:space="preserve">
Compensation of Last Resort Levy -40m</t>
        </r>
      </text>
    </comment>
    <comment ref="DE885" authorId="1" shapeId="0" xr:uid="{37118C19-C1EC-418D-93A0-21330653DBE7}">
      <text>
        <r>
          <rPr>
            <b/>
            <sz val="9"/>
            <color indexed="81"/>
            <rFont val="Tahoma"/>
            <family val="2"/>
          </rPr>
          <t>Hong, Sally (Research):</t>
        </r>
        <r>
          <rPr>
            <sz val="9"/>
            <color indexed="81"/>
            <rFont val="Tahoma"/>
            <family val="2"/>
          </rPr>
          <t xml:space="preserve">
11/10/25:
ASIC Settlement = -A$275m pre tax (-264m post tax)
</t>
        </r>
      </text>
    </comment>
    <comment ref="CF886" authorId="0" shapeId="0" xr:uid="{00000000-0006-0000-0400-000043010000}">
      <text>
        <r>
          <rPr>
            <b/>
            <sz val="9"/>
            <color indexed="81"/>
            <rFont val="Tahoma"/>
            <family val="2"/>
          </rPr>
          <t>O'Neill, Emilie (Research):</t>
        </r>
        <r>
          <rPr>
            <sz val="9"/>
            <color indexed="81"/>
            <rFont val="Tahoma"/>
            <family val="2"/>
          </rPr>
          <t xml:space="preserve">
As per L/N items on page 17 of 1H19 4E</t>
        </r>
      </text>
    </comment>
    <comment ref="CG886" authorId="0" shapeId="0" xr:uid="{00000000-0006-0000-0400-000044010000}">
      <text>
        <r>
          <rPr>
            <b/>
            <sz val="9"/>
            <color indexed="81"/>
            <rFont val="Tahoma"/>
            <family val="2"/>
          </rPr>
          <t>Wiles R (Research):</t>
        </r>
        <r>
          <rPr>
            <sz val="9"/>
            <color indexed="81"/>
            <rFont val="Tahoma"/>
            <family val="2"/>
          </rPr>
          <t xml:space="preserve">
A$337m of remediation expenses in 2H19 (refer page 19 FY19)</t>
        </r>
      </text>
    </comment>
    <comment ref="CJ886" authorId="0" shapeId="0" xr:uid="{00000000-0006-0000-0400-000045010000}">
      <text>
        <r>
          <rPr>
            <b/>
            <sz val="9"/>
            <color indexed="81"/>
            <rFont val="Tahoma"/>
            <family val="2"/>
          </rPr>
          <t>O'Neill, Emilie (Research):</t>
        </r>
        <r>
          <rPr>
            <sz val="9"/>
            <color indexed="81"/>
            <rFont val="Tahoma"/>
            <family val="2"/>
          </rPr>
          <t xml:space="preserve">
As per L/N items on page 17 of 1H19 4E</t>
        </r>
      </text>
    </comment>
    <comment ref="CR886" authorId="1" shapeId="0" xr:uid="{00000000-0006-0000-0400-000046010000}">
      <text>
        <r>
          <rPr>
            <b/>
            <sz val="9"/>
            <color indexed="81"/>
            <rFont val="Tahoma"/>
            <family val="2"/>
          </rPr>
          <t>Hong, Sally (Research):</t>
        </r>
        <r>
          <rPr>
            <sz val="9"/>
            <color indexed="81"/>
            <rFont val="Tahoma"/>
            <family val="2"/>
          </rPr>
          <t xml:space="preserve">
Includes Litigation</t>
        </r>
      </text>
    </comment>
    <comment ref="CZ886" authorId="3" shapeId="0" xr:uid="{DD054BC3-8BF4-4FD5-A423-20ECAE8DC9AE}">
      <text>
        <r>
          <rPr>
            <b/>
            <sz val="9"/>
            <color indexed="81"/>
            <rFont val="Tahoma"/>
            <family val="2"/>
          </rPr>
          <t>Wiles, Richard (Research):</t>
        </r>
        <r>
          <rPr>
            <sz val="9"/>
            <color indexed="81"/>
            <rFont val="Tahoma"/>
            <family val="2"/>
          </rPr>
          <t xml:space="preserve">
Remediation no longer identified as a notable item</t>
        </r>
      </text>
    </comment>
    <comment ref="DA886" authorId="3" shapeId="0" xr:uid="{69970225-9711-4910-B840-4A7652C17E2D}">
      <text>
        <r>
          <rPr>
            <b/>
            <sz val="9"/>
            <color indexed="81"/>
            <rFont val="Tahoma"/>
            <family val="2"/>
          </rPr>
          <t>Wiles, Richard (Research):</t>
        </r>
        <r>
          <rPr>
            <sz val="9"/>
            <color indexed="81"/>
            <rFont val="Tahoma"/>
            <family val="2"/>
          </rPr>
          <t xml:space="preserve">
Remediation no longer identified as a notable item</t>
        </r>
      </text>
    </comment>
    <comment ref="CJ887" authorId="7" shapeId="0" xr:uid="{00000000-0006-0000-0400-000047010000}">
      <text>
        <r>
          <rPr>
            <b/>
            <sz val="9"/>
            <color indexed="81"/>
            <rFont val="Tahoma"/>
            <family val="2"/>
          </rPr>
          <t>Fernandes, Sona (Research):</t>
        </r>
        <r>
          <rPr>
            <sz val="9"/>
            <color indexed="81"/>
            <rFont val="Tahoma"/>
            <family val="2"/>
          </rPr>
          <t xml:space="preserve">
Restated 1H21</t>
        </r>
      </text>
    </comment>
    <comment ref="CK887" authorId="7" shapeId="0" xr:uid="{00000000-0006-0000-0400-000048010000}">
      <text>
        <r>
          <rPr>
            <b/>
            <sz val="9"/>
            <color indexed="81"/>
            <rFont val="Tahoma"/>
            <family val="2"/>
          </rPr>
          <t>Fernandes, Sona (Research):</t>
        </r>
        <r>
          <rPr>
            <sz val="9"/>
            <color indexed="81"/>
            <rFont val="Tahoma"/>
            <family val="2"/>
          </rPr>
          <t xml:space="preserve">
Restated 1H21</t>
        </r>
      </text>
    </comment>
    <comment ref="CS887" authorId="1" shapeId="0" xr:uid="{711400B1-4AFD-46B4-B669-43B270BF545D}">
      <text>
        <r>
          <rPr>
            <b/>
            <sz val="9"/>
            <color indexed="81"/>
            <rFont val="Tahoma"/>
            <family val="2"/>
          </rPr>
          <t>Hong, Sally (Research):</t>
        </r>
        <r>
          <rPr>
            <sz val="9"/>
            <color indexed="81"/>
            <rFont val="Tahoma"/>
            <family val="2"/>
          </rPr>
          <t xml:space="preserve">
24/10/22 ASX Announcement 2H22 Notable Items:
</t>
        </r>
        <r>
          <rPr>
            <b/>
            <sz val="9"/>
            <color indexed="81"/>
            <rFont val="Tahoma"/>
            <family val="2"/>
          </rPr>
          <t>Lease Modification:</t>
        </r>
        <r>
          <rPr>
            <sz val="9"/>
            <color indexed="81"/>
            <rFont val="Tahoma"/>
            <family val="2"/>
          </rPr>
          <t xml:space="preserve">
Other Income: +$23m
Expenses: -$47m
Tax Benefit: +$7m
After-tax cash earnings Impact: -$17m</t>
        </r>
      </text>
    </comment>
    <comment ref="DE887" authorId="1" shapeId="0" xr:uid="{9A0B0BB2-4D91-4794-9E08-417AC0A9B582}">
      <text>
        <r>
          <rPr>
            <b/>
            <sz val="9"/>
            <color indexed="81"/>
            <rFont val="Tahoma"/>
            <family val="2"/>
          </rPr>
          <t>Hong, Sally (Research):</t>
        </r>
        <r>
          <rPr>
            <sz val="9"/>
            <color indexed="81"/>
            <rFont val="Tahoma"/>
            <family val="2"/>
          </rPr>
          <t xml:space="preserve">
11/10/25:
Suncorp bank migration = -A$97m pre tax (-A$68m post tax)
</t>
        </r>
      </text>
    </comment>
    <comment ref="CS888" authorId="1" shapeId="0" xr:uid="{C89F8B11-830A-454E-873C-9FF2CC4A860C}">
      <text>
        <r>
          <rPr>
            <b/>
            <sz val="9"/>
            <color indexed="81"/>
            <rFont val="Tahoma"/>
            <family val="2"/>
          </rPr>
          <t>Hong, Sally (Research):</t>
        </r>
        <r>
          <rPr>
            <sz val="9"/>
            <color indexed="81"/>
            <rFont val="Tahoma"/>
            <family val="2"/>
          </rPr>
          <t xml:space="preserve">
24/10/22 ASX Announcement 2H22 Notable Items:
</t>
        </r>
        <r>
          <rPr>
            <b/>
            <sz val="9"/>
            <color indexed="81"/>
            <rFont val="Tahoma"/>
            <family val="2"/>
          </rPr>
          <t>M&amp;A Related Costs</t>
        </r>
        <r>
          <rPr>
            <sz val="9"/>
            <color indexed="81"/>
            <rFont val="Tahoma"/>
            <family val="2"/>
          </rPr>
          <t xml:space="preserve">
Expenses: -$12m
Tax Benefit: +$2m
After-tax cash earnings Impact: -$10m</t>
        </r>
      </text>
    </comment>
    <comment ref="CJ889" authorId="6" shapeId="0" xr:uid="{00000000-0006-0000-0400-000049010000}">
      <text>
        <r>
          <rPr>
            <b/>
            <sz val="9"/>
            <color indexed="81"/>
            <rFont val="Tahoma"/>
            <family val="2"/>
          </rPr>
          <t>Fernandes, Sona F (Research):</t>
        </r>
        <r>
          <rPr>
            <sz val="9"/>
            <color indexed="81"/>
            <rFont val="Tahoma"/>
            <family val="2"/>
          </rPr>
          <t xml:space="preserve">
Related to UDC</t>
        </r>
      </text>
    </comment>
    <comment ref="CK889" authorId="6" shapeId="0" xr:uid="{00000000-0006-0000-0400-00004A010000}">
      <text>
        <r>
          <rPr>
            <b/>
            <sz val="9"/>
            <color indexed="81"/>
            <rFont val="Tahoma"/>
            <family val="2"/>
          </rPr>
          <t>Fernandes, Sona F (Research):</t>
        </r>
        <r>
          <rPr>
            <sz val="9"/>
            <color indexed="81"/>
            <rFont val="Tahoma"/>
            <family val="2"/>
          </rPr>
          <t xml:space="preserve">
Related to UDC</t>
        </r>
      </text>
    </comment>
    <comment ref="CR889" authorId="1" shapeId="0" xr:uid="{B86B76F1-32C0-46AC-A989-438390AA55B3}">
      <text>
        <r>
          <rPr>
            <b/>
            <sz val="9"/>
            <color indexed="81"/>
            <rFont val="Tahoma"/>
            <family val="2"/>
          </rPr>
          <t>Hong, Sally (Research):</t>
        </r>
        <r>
          <rPr>
            <sz val="9"/>
            <color indexed="81"/>
            <rFont val="Tahoma"/>
            <family val="2"/>
          </rPr>
          <t xml:space="preserve">
2H22 Notable Items Announcmenet 24/10/22
Divestments restated to -$59m from -$48m (-$19m gain/loss and -$29m divestment)</t>
        </r>
      </text>
    </comment>
    <comment ref="CS889" authorId="1" shapeId="0" xr:uid="{4BD80854-B5FA-4704-8A29-317144C0C025}">
      <text>
        <r>
          <rPr>
            <b/>
            <sz val="9"/>
            <color indexed="81"/>
            <rFont val="Tahoma"/>
            <family val="2"/>
          </rPr>
          <t>Hong, Sally (Research):</t>
        </r>
        <r>
          <rPr>
            <sz val="9"/>
            <color indexed="81"/>
            <rFont val="Tahoma"/>
            <family val="2"/>
          </rPr>
          <t xml:space="preserve">
24/10/22 ASX Announcement 2H22 Notable Items:
</t>
        </r>
        <r>
          <rPr>
            <b/>
            <sz val="9"/>
            <color indexed="81"/>
            <rFont val="Tahoma"/>
            <family val="2"/>
          </rPr>
          <t>Divestments</t>
        </r>
        <r>
          <rPr>
            <sz val="9"/>
            <color indexed="81"/>
            <rFont val="Tahoma"/>
            <family val="2"/>
          </rPr>
          <t xml:space="preserve">
Other Income: +$4m
Expenses: -$-10m
Tax Benefit: Nil
After-tax cash earnings Impact: -$6m</t>
        </r>
      </text>
    </comment>
    <comment ref="CV889" authorId="1" shapeId="0" xr:uid="{1D291CBB-39DC-4433-AD88-5E5E946A96CE}">
      <text>
        <r>
          <rPr>
            <b/>
            <sz val="9"/>
            <color indexed="81"/>
            <rFont val="Tahoma"/>
            <family val="2"/>
          </rPr>
          <t>Hong, Sally (Research):</t>
        </r>
        <r>
          <rPr>
            <sz val="9"/>
            <color indexed="81"/>
            <rFont val="Tahoma"/>
            <family val="2"/>
          </rPr>
          <t xml:space="preserve">
Transaction related costs</t>
        </r>
      </text>
    </comment>
    <comment ref="DE889" authorId="1" shapeId="0" xr:uid="{95FAC65C-2147-4547-A01C-FB9EF96FF43A}">
      <text>
        <r>
          <rPr>
            <b/>
            <sz val="9"/>
            <color indexed="81"/>
            <rFont val="Tahoma"/>
            <family val="2"/>
          </rPr>
          <t>Hong, Sally (Research):</t>
        </r>
        <r>
          <rPr>
            <sz val="9"/>
            <color indexed="81"/>
            <rFont val="Tahoma"/>
            <family val="2"/>
          </rPr>
          <t xml:space="preserve">
11/10/25:
Cash rewards closure = -A$78m pre tax (-A$78m post tax)
</t>
        </r>
      </text>
    </comment>
    <comment ref="CJ897" authorId="3" shapeId="0" xr:uid="{00000000-0006-0000-0400-00004B010000}">
      <text>
        <r>
          <rPr>
            <b/>
            <sz val="9"/>
            <color indexed="81"/>
            <rFont val="Tahoma"/>
            <family val="2"/>
          </rPr>
          <t>Wiles, Richard (Research):</t>
        </r>
        <r>
          <rPr>
            <sz val="9"/>
            <color indexed="81"/>
            <rFont val="Tahoma"/>
            <family val="2"/>
          </rPr>
          <t xml:space="preserve">
FY20 investment spend (slide 30) of A$933m excludes notable items:</t>
        </r>
      </text>
    </comment>
    <comment ref="CN897" authorId="3" shapeId="0" xr:uid="{00000000-0006-0000-0400-00004C010000}">
      <text>
        <r>
          <rPr>
            <b/>
            <sz val="9"/>
            <color indexed="81"/>
            <rFont val="Tahoma"/>
            <family val="2"/>
          </rPr>
          <t>Wiles, Richard (Research):</t>
        </r>
        <r>
          <rPr>
            <sz val="9"/>
            <color indexed="81"/>
            <rFont val="Tahoma"/>
            <family val="2"/>
          </rPr>
          <t xml:space="preserve">
FY21 investment spend (slide 30) of A$1,289m 
excludes notable items: estimate A$75m of notables in both 1H21 and 2H21</t>
        </r>
      </text>
    </comment>
    <comment ref="CO897" authorId="3" shapeId="0" xr:uid="{00000000-0006-0000-0400-00004D010000}">
      <text>
        <r>
          <rPr>
            <b/>
            <sz val="9"/>
            <color indexed="81"/>
            <rFont val="Tahoma"/>
            <family val="2"/>
          </rPr>
          <t>Wiles, Richard (Research):</t>
        </r>
        <r>
          <rPr>
            <sz val="9"/>
            <color indexed="81"/>
            <rFont val="Tahoma"/>
            <family val="2"/>
          </rPr>
          <t xml:space="preserve">
FY21 investment spend (slide 30) of A$1,289m 
excludes notable items: estimate A$75m of notables in both 1H21 and 2H21</t>
        </r>
      </text>
    </comment>
    <comment ref="CR897" authorId="3" shapeId="0" xr:uid="{075A2EEB-BC32-4DBA-8EAA-D16861B00D20}">
      <text>
        <r>
          <rPr>
            <b/>
            <sz val="9"/>
            <color indexed="81"/>
            <rFont val="Tahoma"/>
            <family val="2"/>
          </rPr>
          <t>Wiles, Richard (Research):</t>
        </r>
        <r>
          <rPr>
            <sz val="9"/>
            <color indexed="81"/>
            <rFont val="Tahoma"/>
            <family val="2"/>
          </rPr>
          <t xml:space="preserve">
Page 30 of the FY22 results 4E of $975m expensed investment spend includes  notable items: $56m 
Excluding notable items = investment expensed = 913-56 = 857m</t>
        </r>
      </text>
    </comment>
    <comment ref="CS897" authorId="3" shapeId="0" xr:uid="{514FD104-06A5-46B7-9E0D-AFE70CD0D97F}">
      <text>
        <r>
          <rPr>
            <b/>
            <sz val="9"/>
            <color indexed="81"/>
            <rFont val="Tahoma"/>
            <family val="2"/>
          </rPr>
          <t>Wiles, Richard (Research):</t>
        </r>
        <r>
          <rPr>
            <sz val="9"/>
            <color indexed="81"/>
            <rFont val="Tahoma"/>
            <family val="2"/>
          </rPr>
          <t xml:space="preserve">
Page 30 of the FY22 results 4E of $975m expensed investment spend includes  notable items: $34m 
Excluding notable items = investment expensed = 975-34 = 941m</t>
        </r>
      </text>
    </comment>
    <comment ref="CV897" authorId="3" shapeId="0" xr:uid="{00000000-0006-0000-0400-000050010000}">
      <text>
        <r>
          <rPr>
            <b/>
            <sz val="9"/>
            <color indexed="81"/>
            <rFont val="Tahoma"/>
            <family val="2"/>
          </rPr>
          <t>Wiles, Richard (Research):</t>
        </r>
        <r>
          <rPr>
            <sz val="9"/>
            <color indexed="81"/>
            <rFont val="Tahoma"/>
            <family val="2"/>
          </rPr>
          <t xml:space="preserve">
excludes estimate of notable items included in investment spend</t>
        </r>
      </text>
    </comment>
    <comment ref="CW897" authorId="3" shapeId="0" xr:uid="{92997D6F-696F-4348-B155-AF15EED46A93}">
      <text>
        <r>
          <rPr>
            <b/>
            <sz val="9"/>
            <color indexed="81"/>
            <rFont val="Tahoma"/>
            <family val="2"/>
          </rPr>
          <t>Wiles, Richard (Research):</t>
        </r>
        <r>
          <rPr>
            <sz val="9"/>
            <color indexed="81"/>
            <rFont val="Tahoma"/>
            <family val="2"/>
          </rPr>
          <t xml:space="preserve">
excludes estimate of notable items included in investment spend</t>
        </r>
      </text>
    </comment>
    <comment ref="CZ897" authorId="3" shapeId="0" xr:uid="{78864119-0712-4C85-AD6A-6DC10B6ABC7D}">
      <text>
        <r>
          <rPr>
            <b/>
            <sz val="9"/>
            <color indexed="81"/>
            <rFont val="Tahoma"/>
            <family val="2"/>
          </rPr>
          <t>Wiles, Richard (Research):</t>
        </r>
        <r>
          <rPr>
            <sz val="9"/>
            <color indexed="81"/>
            <rFont val="Tahoma"/>
            <family val="2"/>
          </rPr>
          <t xml:space="preserve">
excludes estimate of notable items included in investment spend</t>
        </r>
      </text>
    </comment>
    <comment ref="DA897" authorId="3" shapeId="0" xr:uid="{E48127FB-F5FA-4D4D-9572-60E4C576AF0A}">
      <text>
        <r>
          <rPr>
            <b/>
            <sz val="9"/>
            <color indexed="81"/>
            <rFont val="Tahoma"/>
            <family val="2"/>
          </rPr>
          <t>Wiles, Richard (Research):</t>
        </r>
        <r>
          <rPr>
            <sz val="9"/>
            <color indexed="81"/>
            <rFont val="Tahoma"/>
            <family val="2"/>
          </rPr>
          <t xml:space="preserve">
excludes estimate of notable items included in investment spend</t>
        </r>
      </text>
    </comment>
    <comment ref="DD897" authorId="3" shapeId="0" xr:uid="{F18FE16C-E02D-4302-BE1C-1905E6E9D640}">
      <text>
        <r>
          <rPr>
            <b/>
            <sz val="9"/>
            <color indexed="81"/>
            <rFont val="Tahoma"/>
            <family val="2"/>
          </rPr>
          <t>Wiles, Richard (Research):</t>
        </r>
        <r>
          <rPr>
            <sz val="9"/>
            <color indexed="81"/>
            <rFont val="Tahoma"/>
            <family val="2"/>
          </rPr>
          <t xml:space="preserve">
excludes estimate of notable items included in investment spend</t>
        </r>
      </text>
    </comment>
    <comment ref="DE897" authorId="3" shapeId="0" xr:uid="{2D4FD4E1-D32C-492C-93B7-209C3D41AE11}">
      <text>
        <r>
          <rPr>
            <b/>
            <sz val="9"/>
            <color indexed="81"/>
            <rFont val="Tahoma"/>
            <family val="2"/>
          </rPr>
          <t>Wiles, Richard (Research):</t>
        </r>
        <r>
          <rPr>
            <sz val="9"/>
            <color indexed="81"/>
            <rFont val="Tahoma"/>
            <family val="2"/>
          </rPr>
          <t xml:space="preserve">
excludes estimate of notable items included in investment spend</t>
        </r>
      </text>
    </comment>
    <comment ref="DH897" authorId="3" shapeId="0" xr:uid="{42B5D3DE-53AA-437A-883D-0DF18B05FD6D}">
      <text>
        <r>
          <rPr>
            <b/>
            <sz val="9"/>
            <color indexed="81"/>
            <rFont val="Tahoma"/>
            <family val="2"/>
          </rPr>
          <t>Wiles, Richard (Research):</t>
        </r>
        <r>
          <rPr>
            <sz val="9"/>
            <color indexed="81"/>
            <rFont val="Tahoma"/>
            <family val="2"/>
          </rPr>
          <t xml:space="preserve">
excludes estimate of notable items included in investment spend</t>
        </r>
      </text>
    </comment>
    <comment ref="DI897" authorId="3" shapeId="0" xr:uid="{49776B9F-5AE2-4251-974A-8A9249128DBE}">
      <text>
        <r>
          <rPr>
            <b/>
            <sz val="9"/>
            <color indexed="81"/>
            <rFont val="Tahoma"/>
            <family val="2"/>
          </rPr>
          <t>Wiles, Richard (Research):</t>
        </r>
        <r>
          <rPr>
            <sz val="9"/>
            <color indexed="81"/>
            <rFont val="Tahoma"/>
            <family val="2"/>
          </rPr>
          <t xml:space="preserve">
excludes estimate of notable items included in investment spend</t>
        </r>
      </text>
    </comment>
    <comment ref="DL897" authorId="3" shapeId="0" xr:uid="{701AE586-77CF-4992-BEF8-EA8224942328}">
      <text>
        <r>
          <rPr>
            <b/>
            <sz val="9"/>
            <color indexed="81"/>
            <rFont val="Tahoma"/>
            <family val="2"/>
          </rPr>
          <t>Wiles, Richard (Research):</t>
        </r>
        <r>
          <rPr>
            <sz val="9"/>
            <color indexed="81"/>
            <rFont val="Tahoma"/>
            <family val="2"/>
          </rPr>
          <t xml:space="preserve">
excludes estimate of notable items included in investment spend</t>
        </r>
      </text>
    </comment>
    <comment ref="DM897" authorId="3" shapeId="0" xr:uid="{F0B62C4B-6CCA-4F9E-8764-10FBBB294015}">
      <text>
        <r>
          <rPr>
            <b/>
            <sz val="9"/>
            <color indexed="81"/>
            <rFont val="Tahoma"/>
            <family val="2"/>
          </rPr>
          <t>Wiles, Richard (Research):</t>
        </r>
        <r>
          <rPr>
            <sz val="9"/>
            <color indexed="81"/>
            <rFont val="Tahoma"/>
            <family val="2"/>
          </rPr>
          <t xml:space="preserve">
excludes estimate of notable items included in investment spend</t>
        </r>
      </text>
    </comment>
    <comment ref="DP897" authorId="3" shapeId="0" xr:uid="{43881389-F1AF-4EE7-8E08-1E06EA328004}">
      <text>
        <r>
          <rPr>
            <b/>
            <sz val="9"/>
            <color indexed="81"/>
            <rFont val="Tahoma"/>
            <family val="2"/>
          </rPr>
          <t>Wiles, Richard (Research):</t>
        </r>
        <r>
          <rPr>
            <sz val="9"/>
            <color indexed="81"/>
            <rFont val="Tahoma"/>
            <family val="2"/>
          </rPr>
          <t xml:space="preserve">
excludes estimate of notable items included in investment spend</t>
        </r>
      </text>
    </comment>
    <comment ref="DQ897" authorId="3" shapeId="0" xr:uid="{118D4BDC-CF9C-4155-8DC5-0E90363A7F97}">
      <text>
        <r>
          <rPr>
            <b/>
            <sz val="9"/>
            <color indexed="81"/>
            <rFont val="Tahoma"/>
            <family val="2"/>
          </rPr>
          <t>Wiles, Richard (Research):</t>
        </r>
        <r>
          <rPr>
            <sz val="9"/>
            <color indexed="81"/>
            <rFont val="Tahoma"/>
            <family val="2"/>
          </rPr>
          <t xml:space="preserve">
excludes estimate of notable items included in investment spend</t>
        </r>
      </text>
    </comment>
    <comment ref="CS899" authorId="1" shapeId="0" xr:uid="{871AABA6-5ADE-415D-994E-BCD404FB36E7}">
      <text>
        <r>
          <rPr>
            <b/>
            <sz val="9"/>
            <color indexed="81"/>
            <rFont val="Tahoma"/>
            <family val="2"/>
          </rPr>
          <t>Hong, Sally (Research):</t>
        </r>
        <r>
          <rPr>
            <sz val="9"/>
            <color indexed="81"/>
            <rFont val="Tahoma"/>
            <family val="2"/>
          </rPr>
          <t xml:space="preserve">
Slide 30 of the Fy22 Results Presentation</t>
        </r>
      </text>
    </comment>
    <comment ref="CT899" authorId="1" shapeId="0" xr:uid="{6D6B9143-765D-4353-A579-ECC7D82F6F1A}">
      <text>
        <r>
          <rPr>
            <b/>
            <sz val="9"/>
            <color indexed="81"/>
            <rFont val="Tahoma"/>
            <family val="2"/>
          </rPr>
          <t>Hong, Sally (Research):</t>
        </r>
        <r>
          <rPr>
            <sz val="9"/>
            <color indexed="81"/>
            <rFont val="Tahoma"/>
            <family val="2"/>
          </rPr>
          <t xml:space="preserve">
Slide 32 of the Fy22 Results Presentation
Difference of BAU expense calculated is Cash rewards which Is $43m</t>
        </r>
      </text>
    </comment>
    <comment ref="BI908" authorId="2" shapeId="0" xr:uid="{00000000-0006-0000-0400-000056010000}">
      <text>
        <r>
          <rPr>
            <b/>
            <sz val="9"/>
            <color indexed="81"/>
            <rFont val="Tahoma"/>
            <family val="2"/>
          </rPr>
          <t>Dunger, Matt (Research):</t>
        </r>
        <r>
          <rPr>
            <sz val="9"/>
            <color indexed="81"/>
            <rFont val="Tahoma"/>
            <family val="2"/>
          </rPr>
          <t xml:space="preserve">
restated FY14</t>
        </r>
      </text>
    </comment>
    <comment ref="BL908" authorId="2" shapeId="0" xr:uid="{00000000-0006-0000-0400-000057010000}">
      <text>
        <r>
          <rPr>
            <b/>
            <sz val="9"/>
            <color indexed="81"/>
            <rFont val="Tahoma"/>
            <family val="2"/>
          </rPr>
          <t>Dunger, Matt (Research):</t>
        </r>
        <r>
          <rPr>
            <sz val="9"/>
            <color indexed="81"/>
            <rFont val="Tahoma"/>
            <family val="2"/>
          </rPr>
          <t xml:space="preserve">
restated FY14</t>
        </r>
      </text>
    </comment>
    <comment ref="BX908" authorId="0" shapeId="0" xr:uid="{00000000-0006-0000-0400-000058010000}">
      <text>
        <r>
          <rPr>
            <b/>
            <sz val="9"/>
            <color indexed="81"/>
            <rFont val="Tahoma"/>
            <family val="2"/>
          </rPr>
          <t>O'Neill, Emilie (Research):</t>
        </r>
        <r>
          <rPr>
            <sz val="9"/>
            <color indexed="81"/>
            <rFont val="Tahoma"/>
            <family val="2"/>
          </rPr>
          <t xml:space="preserve">
Updated for continuing operations only 1H18</t>
        </r>
      </text>
    </comment>
    <comment ref="BY908" authorId="0" shapeId="0" xr:uid="{00000000-0006-0000-0400-000059010000}">
      <text>
        <r>
          <rPr>
            <b/>
            <sz val="9"/>
            <color indexed="81"/>
            <rFont val="Tahoma"/>
            <family val="2"/>
          </rPr>
          <t>O'Neill, Emilie (Research):</t>
        </r>
        <r>
          <rPr>
            <sz val="9"/>
            <color indexed="81"/>
            <rFont val="Tahoma"/>
            <family val="2"/>
          </rPr>
          <t xml:space="preserve">
Updated for continuing operations only</t>
        </r>
      </text>
    </comment>
    <comment ref="CB908" authorId="0" shapeId="0" xr:uid="{00000000-0006-0000-0400-00005A010000}">
      <text>
        <r>
          <rPr>
            <b/>
            <sz val="9"/>
            <color indexed="81"/>
            <rFont val="Tahoma"/>
            <family val="2"/>
          </rPr>
          <t>O'Neill, Emilie (Research):</t>
        </r>
        <r>
          <rPr>
            <sz val="9"/>
            <color indexed="81"/>
            <rFont val="Tahoma"/>
            <family val="2"/>
          </rPr>
          <t xml:space="preserve">
Continuing FTE </t>
        </r>
      </text>
    </comment>
    <comment ref="CC908" authorId="0" shapeId="0" xr:uid="{00000000-0006-0000-0400-00005B010000}">
      <text>
        <r>
          <rPr>
            <b/>
            <sz val="9"/>
            <color indexed="81"/>
            <rFont val="Tahoma"/>
            <family val="2"/>
          </rPr>
          <t>O'Neill, Emilie (Research):</t>
        </r>
        <r>
          <rPr>
            <sz val="9"/>
            <color indexed="81"/>
            <rFont val="Tahoma"/>
            <family val="2"/>
          </rPr>
          <t xml:space="preserve">
Continuing Ops only</t>
        </r>
      </text>
    </comment>
    <comment ref="CF908" authorId="0" shapeId="0" xr:uid="{00000000-0006-0000-0400-00005C010000}">
      <text>
        <r>
          <rPr>
            <b/>
            <sz val="9"/>
            <color indexed="81"/>
            <rFont val="Tahoma"/>
            <family val="2"/>
          </rPr>
          <t>O'Neill, Emilie (Research):</t>
        </r>
        <r>
          <rPr>
            <sz val="9"/>
            <color indexed="81"/>
            <rFont val="Tahoma"/>
            <family val="2"/>
          </rPr>
          <t xml:space="preserve">
Continuing FTE </t>
        </r>
      </text>
    </comment>
    <comment ref="CG908" authorId="0" shapeId="0" xr:uid="{00000000-0006-0000-0400-00005D010000}">
      <text>
        <r>
          <rPr>
            <b/>
            <sz val="9"/>
            <color indexed="81"/>
            <rFont val="Tahoma"/>
            <family val="2"/>
          </rPr>
          <t>O'Neill, Emilie (Research):</t>
        </r>
        <r>
          <rPr>
            <sz val="9"/>
            <color indexed="81"/>
            <rFont val="Tahoma"/>
            <family val="2"/>
          </rPr>
          <t xml:space="preserve">
Continuing Ops only</t>
        </r>
      </text>
    </comment>
    <comment ref="CJ908" authorId="6" shapeId="0" xr:uid="{00000000-0006-0000-0400-00005E010000}">
      <text>
        <r>
          <rPr>
            <b/>
            <sz val="9"/>
            <color indexed="81"/>
            <rFont val="Tahoma"/>
            <family val="2"/>
          </rPr>
          <t>Fernandes, Sona F (Research):</t>
        </r>
        <r>
          <rPr>
            <sz val="9"/>
            <color indexed="81"/>
            <rFont val="Tahoma"/>
            <family val="2"/>
          </rPr>
          <t xml:space="preserve">
Continuing FTE
</t>
        </r>
      </text>
    </comment>
    <comment ref="CK908" authorId="6" shapeId="0" xr:uid="{00000000-0006-0000-0400-00005F010000}">
      <text>
        <r>
          <rPr>
            <b/>
            <sz val="9"/>
            <color indexed="81"/>
            <rFont val="Tahoma"/>
            <family val="2"/>
          </rPr>
          <t>Fernandes, Sona F (Research):</t>
        </r>
        <r>
          <rPr>
            <sz val="9"/>
            <color indexed="81"/>
            <rFont val="Tahoma"/>
            <family val="2"/>
          </rPr>
          <t xml:space="preserve">
Continuing FTE
</t>
        </r>
      </text>
    </comment>
    <comment ref="CO908" authorId="6" shapeId="0" xr:uid="{00000000-0006-0000-0400-000060010000}">
      <text>
        <r>
          <rPr>
            <b/>
            <sz val="9"/>
            <color indexed="81"/>
            <rFont val="Tahoma"/>
            <family val="2"/>
          </rPr>
          <t>Wiles (Research):</t>
        </r>
        <r>
          <rPr>
            <sz val="9"/>
            <color indexed="81"/>
            <rFont val="Tahoma"/>
            <family val="2"/>
          </rPr>
          <t xml:space="preserve">
Continuing FTE
</t>
        </r>
      </text>
    </comment>
    <comment ref="CR908" authorId="6" shapeId="0" xr:uid="{54236D9E-4C4E-4643-BA36-51928E661A9F}">
      <text>
        <r>
          <rPr>
            <b/>
            <sz val="9"/>
            <color indexed="81"/>
            <rFont val="Tahoma"/>
            <family val="2"/>
          </rPr>
          <t>Wiles (Research):</t>
        </r>
        <r>
          <rPr>
            <sz val="9"/>
            <color indexed="81"/>
            <rFont val="Tahoma"/>
            <family val="2"/>
          </rPr>
          <t xml:space="preserve">
Continuing FTE
Restated in 1H23 4E Page 17
Previous: 39529</t>
        </r>
      </text>
    </comment>
    <comment ref="CS908" authorId="6" shapeId="0" xr:uid="{839FA7D4-41A0-4B23-ADD3-8F960276FFA2}">
      <text>
        <r>
          <rPr>
            <b/>
            <sz val="9"/>
            <color indexed="81"/>
            <rFont val="Tahoma"/>
            <family val="2"/>
          </rPr>
          <t>Wiles (Research):</t>
        </r>
        <r>
          <rPr>
            <sz val="9"/>
            <color indexed="81"/>
            <rFont val="Tahoma"/>
            <family val="2"/>
          </rPr>
          <t xml:space="preserve">
Continuing FTE
Restated in 1H23 4E Page 17
Previous: 38987</t>
        </r>
      </text>
    </comment>
    <comment ref="DA910" authorId="1" shapeId="0" xr:uid="{B09F746D-30D4-4594-A587-53E3D9586177}">
      <text>
        <r>
          <rPr>
            <b/>
            <sz val="9"/>
            <color indexed="81"/>
            <rFont val="Tahoma"/>
            <family val="2"/>
          </rPr>
          <t>Hong, Sally (Research):</t>
        </r>
        <r>
          <rPr>
            <sz val="9"/>
            <color indexed="81"/>
            <rFont val="Tahoma"/>
            <family val="2"/>
          </rPr>
          <t xml:space="preserve">
Add on SUN Bank Employees … 
</t>
        </r>
        <r>
          <rPr>
            <b/>
            <sz val="9"/>
            <color indexed="81"/>
            <rFont val="Tahoma"/>
            <family val="2"/>
          </rPr>
          <t>Previous</t>
        </r>
        <r>
          <rPr>
            <sz val="9"/>
            <color indexed="81"/>
            <rFont val="Tahoma"/>
            <family val="2"/>
          </rPr>
          <t xml:space="preserve">
Increase expenses by A$240m per half</t>
        </r>
      </text>
    </comment>
    <comment ref="DD910" authorId="1" shapeId="0" xr:uid="{C63601DD-1C8C-4642-96D5-1797DFC2178B}">
      <text>
        <r>
          <rPr>
            <b/>
            <sz val="9"/>
            <color indexed="81"/>
            <rFont val="Tahoma"/>
            <family val="2"/>
          </rPr>
          <t>Hong, Sally (Research):</t>
        </r>
        <r>
          <rPr>
            <sz val="9"/>
            <color indexed="81"/>
            <rFont val="Tahoma"/>
            <family val="2"/>
          </rPr>
          <t xml:space="preserve">
No FTE cuts for SUN Bank  for 3 years</t>
        </r>
      </text>
    </comment>
    <comment ref="DH910" authorId="1" shapeId="0" xr:uid="{57DD1FC0-1927-4891-8FA2-B60627BC4113}">
      <text>
        <r>
          <rPr>
            <b/>
            <sz val="9"/>
            <color indexed="81"/>
            <rFont val="Tahoma"/>
            <family val="2"/>
          </rPr>
          <t>Hong, Sally (Research):</t>
        </r>
        <r>
          <rPr>
            <sz val="9"/>
            <color indexed="81"/>
            <rFont val="Tahoma"/>
            <family val="2"/>
          </rPr>
          <t xml:space="preserve">
9/9/25: Remove 3500 FTE in By Sep-26</t>
        </r>
      </text>
    </comment>
    <comment ref="DI910" authorId="1" shapeId="0" xr:uid="{F11DEAC6-E698-4B24-A4E3-019D63D84961}">
      <text>
        <r>
          <rPr>
            <b/>
            <sz val="9"/>
            <color indexed="81"/>
            <rFont val="Tahoma"/>
            <family val="2"/>
          </rPr>
          <t>Hong, Sally (Research):</t>
        </r>
        <r>
          <rPr>
            <sz val="9"/>
            <color indexed="81"/>
            <rFont val="Tahoma"/>
            <family val="2"/>
          </rPr>
          <t xml:space="preserve">
9/9/25: Remove 3500 FTE in By Sep-26</t>
        </r>
      </text>
    </comment>
    <comment ref="CJ911" authorId="7" shapeId="0" xr:uid="{00000000-0006-0000-0400-000061010000}">
      <text>
        <r>
          <rPr>
            <b/>
            <sz val="9"/>
            <color indexed="81"/>
            <rFont val="Tahoma"/>
            <family val="2"/>
          </rPr>
          <t>Fernandes, Sona (Research):</t>
        </r>
        <r>
          <rPr>
            <sz val="9"/>
            <color indexed="81"/>
            <rFont val="Tahoma"/>
            <family val="2"/>
          </rPr>
          <t xml:space="preserve">
Restated 1H21
</t>
        </r>
      </text>
    </comment>
    <comment ref="CK911" authorId="7" shapeId="0" xr:uid="{00000000-0006-0000-0400-000062010000}">
      <text>
        <r>
          <rPr>
            <b/>
            <sz val="9"/>
            <color indexed="81"/>
            <rFont val="Tahoma"/>
            <family val="2"/>
          </rPr>
          <t>Fernandes, Sona (Research):</t>
        </r>
        <r>
          <rPr>
            <sz val="9"/>
            <color indexed="81"/>
            <rFont val="Tahoma"/>
            <family val="2"/>
          </rPr>
          <t xml:space="preserve">
Restated 1H21
</t>
        </r>
      </text>
    </comment>
    <comment ref="CO911" authorId="7" shapeId="0" xr:uid="{00000000-0006-0000-0400-000063010000}">
      <text>
        <r>
          <rPr>
            <b/>
            <sz val="9"/>
            <color indexed="81"/>
            <rFont val="Tahoma"/>
            <family val="2"/>
          </rPr>
          <t>Wiles (Research):</t>
        </r>
        <r>
          <rPr>
            <sz val="9"/>
            <color indexed="81"/>
            <rFont val="Tahoma"/>
            <family val="2"/>
          </rPr>
          <t xml:space="preserve">
continuing
</t>
        </r>
      </text>
    </comment>
    <comment ref="CR911" authorId="1" shapeId="0" xr:uid="{7BD16F4B-9249-46E0-99F9-9FA594715395}">
      <text>
        <r>
          <rPr>
            <b/>
            <sz val="9"/>
            <color indexed="81"/>
            <rFont val="Tahoma"/>
            <family val="2"/>
          </rPr>
          <t>Hong, Sally (Research):</t>
        </r>
        <r>
          <rPr>
            <sz val="9"/>
            <color indexed="81"/>
            <rFont val="Tahoma"/>
            <family val="2"/>
          </rPr>
          <t xml:space="preserve">
Restated in 1H23 Page 17 4E
Previous: 40,013</t>
        </r>
      </text>
    </comment>
    <comment ref="CS911" authorId="7" shapeId="0" xr:uid="{B658F0C8-3500-495E-BE72-823C5EB854BA}">
      <text>
        <r>
          <rPr>
            <b/>
            <sz val="9"/>
            <color indexed="81"/>
            <rFont val="Tahoma"/>
            <family val="2"/>
          </rPr>
          <t>Wiles (Research):</t>
        </r>
        <r>
          <rPr>
            <sz val="9"/>
            <color indexed="81"/>
            <rFont val="Tahoma"/>
            <family val="2"/>
          </rPr>
          <t xml:space="preserve">
continuing
Restated in 1H23 Page 17 4E
Previous: 39,082</t>
        </r>
      </text>
    </comment>
    <comment ref="BT923" authorId="5" shapeId="0" xr:uid="{00000000-0006-0000-0400-000064010000}">
      <text>
        <r>
          <rPr>
            <b/>
            <sz val="9"/>
            <color indexed="81"/>
            <rFont val="Tahoma"/>
            <family val="2"/>
          </rPr>
          <t>Stadnik, Andrei (Research):</t>
        </r>
        <r>
          <rPr>
            <sz val="9"/>
            <color indexed="81"/>
            <rFont val="Tahoma"/>
            <family val="2"/>
          </rPr>
          <t xml:space="preserve">
software amortisation charge - restated at FY17</t>
        </r>
      </text>
    </comment>
    <comment ref="BU923" authorId="5" shapeId="0" xr:uid="{00000000-0006-0000-0400-000065010000}">
      <text>
        <r>
          <rPr>
            <b/>
            <sz val="9"/>
            <color indexed="81"/>
            <rFont val="Tahoma"/>
            <family val="2"/>
          </rPr>
          <t>Stadnik, Andrei (Research):</t>
        </r>
        <r>
          <rPr>
            <sz val="9"/>
            <color indexed="81"/>
            <rFont val="Tahoma"/>
            <family val="2"/>
          </rPr>
          <t xml:space="preserve">
restated at FY17</t>
        </r>
      </text>
    </comment>
    <comment ref="CC923" authorId="3" shapeId="0" xr:uid="{00000000-0006-0000-0400-000066010000}">
      <text>
        <r>
          <rPr>
            <b/>
            <sz val="9"/>
            <color indexed="81"/>
            <rFont val="Tahoma"/>
            <family val="2"/>
          </rPr>
          <t>Wiles, Richard (Research):</t>
        </r>
        <r>
          <rPr>
            <sz val="9"/>
            <color indexed="81"/>
            <rFont val="Tahoma"/>
            <family val="2"/>
          </rPr>
          <t xml:space="preserve">
accelerated amortisation</t>
        </r>
      </text>
    </comment>
    <comment ref="CG923" authorId="3" shapeId="0" xr:uid="{00000000-0006-0000-0400-000067010000}">
      <text>
        <r>
          <rPr>
            <b/>
            <sz val="9"/>
            <color indexed="81"/>
            <rFont val="Tahoma"/>
            <family val="2"/>
          </rPr>
          <t>Wiles, Richard (Research):</t>
        </r>
        <r>
          <rPr>
            <sz val="9"/>
            <color indexed="81"/>
            <rFont val="Tahoma"/>
            <family val="2"/>
          </rPr>
          <t xml:space="preserve">
Refer FY19 page 95; 1H19 page 92</t>
        </r>
      </text>
    </comment>
    <comment ref="CK923" authorId="3" shapeId="0" xr:uid="{00000000-0006-0000-0400-000068010000}">
      <text>
        <r>
          <rPr>
            <b/>
            <sz val="9"/>
            <color indexed="81"/>
            <rFont val="Tahoma"/>
            <family val="2"/>
          </rPr>
          <t>Wiles, Richard (Research):</t>
        </r>
        <r>
          <rPr>
            <sz val="9"/>
            <color indexed="81"/>
            <rFont val="Tahoma"/>
            <family val="2"/>
          </rPr>
          <t xml:space="preserve">
accelerated amortisation A$197m pre tax, A$138m post tax</t>
        </r>
      </text>
    </comment>
    <comment ref="DA923" authorId="1" shapeId="0" xr:uid="{25C137E3-F67F-49E3-97D1-16BF7D5DA6BB}">
      <text>
        <r>
          <rPr>
            <b/>
            <sz val="9"/>
            <color indexed="81"/>
            <rFont val="Tahoma"/>
            <family val="2"/>
          </rPr>
          <t>Hong, Sally (Research):</t>
        </r>
        <r>
          <rPr>
            <sz val="9"/>
            <color indexed="81"/>
            <rFont val="Tahoma"/>
            <family val="2"/>
          </rPr>
          <t xml:space="preserve">
Asx Announcement 28/10/24:
Accelerated software smortisation charge of A$36m pre tax (A$25m post tax) in 2H24 for SUN bank  acquisition </t>
        </r>
      </text>
    </comment>
    <comment ref="BT925" authorId="2" shapeId="0" xr:uid="{00000000-0006-0000-0400-000069010000}">
      <text>
        <r>
          <rPr>
            <b/>
            <sz val="9"/>
            <color indexed="81"/>
            <rFont val="Tahoma"/>
            <family val="2"/>
          </rPr>
          <t>Dunger, Matt (Research):</t>
        </r>
        <r>
          <rPr>
            <sz val="9"/>
            <color indexed="81"/>
            <rFont val="Tahoma"/>
            <family val="2"/>
          </rPr>
          <t xml:space="preserve">
Includes $513m charge for capitalised software</t>
        </r>
      </text>
    </comment>
    <comment ref="BT942" authorId="3" shapeId="0" xr:uid="{00000000-0006-0000-0400-00006A010000}">
      <text>
        <r>
          <rPr>
            <b/>
            <sz val="9"/>
            <color indexed="81"/>
            <rFont val="Tahoma"/>
            <family val="2"/>
          </rPr>
          <t>Wiles, Richard (Research):</t>
        </r>
        <r>
          <rPr>
            <sz val="9"/>
            <color indexed="81"/>
            <rFont val="Tahoma"/>
            <family val="2"/>
          </rPr>
          <t xml:space="preserve">
Restructuring charges A$13m (per 1H16 p14 and 15)</t>
        </r>
      </text>
    </comment>
    <comment ref="BU942" authorId="3" shapeId="0" xr:uid="{00000000-0006-0000-0400-00006B010000}">
      <text>
        <r>
          <rPr>
            <b/>
            <sz val="9"/>
            <color indexed="81"/>
            <rFont val="Tahoma"/>
            <family val="2"/>
          </rPr>
          <t>Wiles, Richard (Research):</t>
        </r>
        <r>
          <rPr>
            <sz val="9"/>
            <color indexed="81"/>
            <rFont val="Tahoma"/>
            <family val="2"/>
          </rPr>
          <t xml:space="preserve">
Refer announcement 28/10/16</t>
        </r>
      </text>
    </comment>
    <comment ref="CC943" authorId="0" shapeId="0" xr:uid="{00000000-0006-0000-0400-00006C010000}">
      <text>
        <r>
          <rPr>
            <b/>
            <sz val="9"/>
            <color indexed="81"/>
            <rFont val="Tahoma"/>
            <family val="2"/>
          </rPr>
          <t>O'Neill, Emilie (Research):</t>
        </r>
        <r>
          <rPr>
            <sz val="9"/>
            <color indexed="81"/>
            <rFont val="Tahoma"/>
            <family val="2"/>
          </rPr>
          <t xml:space="preserve">
RC costs</t>
        </r>
      </text>
    </comment>
    <comment ref="BY944" authorId="3" shapeId="0" xr:uid="{00000000-0006-0000-0400-00006D010000}">
      <text>
        <r>
          <rPr>
            <b/>
            <sz val="9"/>
            <color indexed="81"/>
            <rFont val="Tahoma"/>
            <family val="2"/>
          </rPr>
          <t>Wiles, Richard (Research):</t>
        </r>
        <r>
          <rPr>
            <sz val="9"/>
            <color indexed="81"/>
            <rFont val="Tahoma"/>
            <family val="2"/>
          </rPr>
          <t xml:space="preserve">
disclosed at FY18 … refer slide 40</t>
        </r>
      </text>
    </comment>
    <comment ref="CC944" authorId="0" shapeId="0" xr:uid="{00000000-0006-0000-0400-00006E010000}">
      <text>
        <r>
          <rPr>
            <b/>
            <sz val="9"/>
            <color indexed="81"/>
            <rFont val="Tahoma"/>
            <family val="2"/>
          </rPr>
          <t>O'Neill, Emilie (Research):</t>
        </r>
        <r>
          <rPr>
            <sz val="9"/>
            <color indexed="81"/>
            <rFont val="Tahoma"/>
            <family val="2"/>
          </rPr>
          <t xml:space="preserve">
A$156m of customer remediation in 2H18 and A$35m in 1H18 </t>
        </r>
      </text>
    </comment>
    <comment ref="CZ950" authorId="1" shapeId="0" xr:uid="{8D3CA014-EDF0-4F0D-A4D1-EFE4413B72BE}">
      <text>
        <r>
          <rPr>
            <b/>
            <sz val="9"/>
            <color indexed="81"/>
            <rFont val="Tahoma"/>
            <family val="2"/>
          </rPr>
          <t>Hong, Sally (Research):</t>
        </r>
        <r>
          <rPr>
            <sz val="9"/>
            <color indexed="81"/>
            <rFont val="Tahoma"/>
            <family val="2"/>
          </rPr>
          <t xml:space="preserve">
No longer disclosing notable items in 1H24</t>
        </r>
      </text>
    </comment>
    <comment ref="CI952" authorId="5" shapeId="0" xr:uid="{00000000-0006-0000-0400-00006F010000}">
      <text>
        <r>
          <rPr>
            <b/>
            <sz val="9"/>
            <color indexed="81"/>
            <rFont val="Tahoma"/>
            <family val="2"/>
          </rPr>
          <t>Stadnik, Andrei (Research):</t>
        </r>
        <r>
          <rPr>
            <sz val="9"/>
            <color indexed="81"/>
            <rFont val="Tahoma"/>
            <family val="2"/>
          </rPr>
          <t xml:space="preserve">
RC and compliance costs drag on
</t>
        </r>
        <r>
          <rPr>
            <b/>
            <sz val="9"/>
            <color indexed="81"/>
            <rFont val="Tahoma"/>
            <family val="2"/>
          </rPr>
          <t>EO 5/6/18</t>
        </r>
        <r>
          <rPr>
            <sz val="9"/>
            <color indexed="81"/>
            <rFont val="Tahoma"/>
            <family val="2"/>
          </rPr>
          <t>: An additional $50m provisioned for the CDPP class action in relation to the 2015 Institutional Equity Placement 
8/10/18: ESTIMATES increased:
1H19: A$200m
2H19: A$175m incl $25m fine
1H20: A$150m
2H20: A$150m</t>
        </r>
      </text>
    </comment>
    <comment ref="DA955" authorId="1" shapeId="0" xr:uid="{BD78C498-DF30-42B7-8DDB-8F19B9BD8F62}">
      <text>
        <r>
          <rPr>
            <b/>
            <sz val="9"/>
            <color indexed="81"/>
            <rFont val="Tahoma"/>
            <family val="2"/>
          </rPr>
          <t>Hong, Sally (Research):</t>
        </r>
        <r>
          <rPr>
            <sz val="9"/>
            <color indexed="81"/>
            <rFont val="Tahoma"/>
            <family val="2"/>
          </rPr>
          <t xml:space="preserve">
includes SUN expenses
</t>
        </r>
        <r>
          <rPr>
            <b/>
            <sz val="9"/>
            <color indexed="81"/>
            <rFont val="Tahoma"/>
            <family val="2"/>
          </rPr>
          <t>Previous</t>
        </r>
        <r>
          <rPr>
            <sz val="9"/>
            <color indexed="81"/>
            <rFont val="Tahoma"/>
            <family val="2"/>
          </rPr>
          <t xml:space="preserve">
Add in SUN Other Expenses A$160m per half</t>
        </r>
      </text>
    </comment>
    <comment ref="DD955" authorId="1" shapeId="0" xr:uid="{FAE8122A-71FD-4356-AFFB-41F5692D3873}">
      <text>
        <r>
          <rPr>
            <b/>
            <sz val="9"/>
            <color indexed="81"/>
            <rFont val="Tahoma"/>
            <family val="2"/>
          </rPr>
          <t>Hong, Sally (Research):</t>
        </r>
        <r>
          <rPr>
            <sz val="9"/>
            <color indexed="81"/>
            <rFont val="Tahoma"/>
            <family val="2"/>
          </rPr>
          <t xml:space="preserve">
Add in SUN Other Expenses A$160m per half</t>
        </r>
      </text>
    </comment>
    <comment ref="DE955" authorId="1" shapeId="0" xr:uid="{71C8AB83-BD5D-4EFE-823C-C625EAB4DAEC}">
      <text>
        <r>
          <rPr>
            <b/>
            <sz val="9"/>
            <color indexed="81"/>
            <rFont val="Tahoma"/>
            <family val="2"/>
          </rPr>
          <t>Hong, Sally (Research):</t>
        </r>
        <r>
          <rPr>
            <sz val="9"/>
            <color indexed="81"/>
            <rFont val="Tahoma"/>
            <family val="2"/>
          </rPr>
          <t xml:space="preserve">
Include some synergies from SUN - $13m in 2H25E; -A$26m in 1H26E; A$26m in 2H26E; </t>
        </r>
      </text>
    </comment>
    <comment ref="BY964" authorId="5" shapeId="0" xr:uid="{00000000-0006-0000-0400-000070010000}">
      <text>
        <r>
          <rPr>
            <b/>
            <sz val="9"/>
            <color indexed="81"/>
            <rFont val="Tahoma"/>
            <family val="2"/>
          </rPr>
          <t>Stadnik, Andrei (Research):</t>
        </r>
        <r>
          <rPr>
            <sz val="9"/>
            <color indexed="81"/>
            <rFont val="Tahoma"/>
            <family val="2"/>
          </rPr>
          <t xml:space="preserve">
Asia Retail Wealth divested, but do not count the adjustments for FX changes</t>
        </r>
      </text>
    </comment>
    <comment ref="CB964" authorId="0" shapeId="0" xr:uid="{00000000-0006-0000-0400-000071010000}">
      <text>
        <r>
          <rPr>
            <b/>
            <sz val="9"/>
            <color indexed="81"/>
            <rFont val="Tahoma"/>
            <family val="2"/>
          </rPr>
          <t>O'Neill, Emilie (Research):</t>
        </r>
        <r>
          <rPr>
            <sz val="9"/>
            <color indexed="81"/>
            <rFont val="Tahoma"/>
            <family val="2"/>
          </rPr>
          <t xml:space="preserve">
Restated 2H18 fpr asia retail and wealth business divestment</t>
        </r>
      </text>
    </comment>
    <comment ref="CC964" authorId="5" shapeId="0" xr:uid="{00000000-0006-0000-0400-000072010000}">
      <text>
        <r>
          <rPr>
            <b/>
            <sz val="9"/>
            <color indexed="81"/>
            <rFont val="Tahoma"/>
            <family val="2"/>
          </rPr>
          <t>Stadnik, Andrei (Research):</t>
        </r>
        <r>
          <rPr>
            <sz val="9"/>
            <color indexed="81"/>
            <rFont val="Tahoma"/>
            <family val="2"/>
          </rPr>
          <t xml:space="preserve">
Asia Retail Wealth divested, but do not count the adjustments for FX changes</t>
        </r>
      </text>
    </comment>
    <comment ref="CF964" authorId="0" shapeId="0" xr:uid="{00000000-0006-0000-0400-000073010000}">
      <text>
        <r>
          <rPr>
            <b/>
            <sz val="9"/>
            <color indexed="81"/>
            <rFont val="Tahoma"/>
            <family val="2"/>
          </rPr>
          <t xml:space="preserve">O'Neill, Emilie (Research):
</t>
        </r>
        <r>
          <rPr>
            <sz val="9"/>
            <color indexed="81"/>
            <rFont val="Tahoma"/>
            <family val="2"/>
          </rPr>
          <t>A$813m from the transition to AASB9 and $29m FX - see slide 25 of 1H19 preso</t>
        </r>
      </text>
    </comment>
    <comment ref="CG964" authorId="5" shapeId="0" xr:uid="{00000000-0006-0000-0400-000074010000}">
      <text>
        <r>
          <rPr>
            <b/>
            <sz val="9"/>
            <color indexed="81"/>
            <rFont val="Tahoma"/>
            <family val="2"/>
          </rPr>
          <t>Stadnik, Andrei (Research):</t>
        </r>
        <r>
          <rPr>
            <sz val="9"/>
            <color indexed="81"/>
            <rFont val="Tahoma"/>
            <family val="2"/>
          </rPr>
          <t xml:space="preserve">
Asia Retail Wealth divested, but do not count the adjustments for FX changes</t>
        </r>
      </text>
    </comment>
    <comment ref="DA964" authorId="3" shapeId="0" xr:uid="{5D82B7F9-2C59-468E-8EEE-434F67D286BF}">
      <text>
        <r>
          <rPr>
            <b/>
            <sz val="9"/>
            <color indexed="81"/>
            <rFont val="Tahoma"/>
            <family val="2"/>
          </rPr>
          <t>Wiles, Richard (Research):</t>
        </r>
        <r>
          <rPr>
            <sz val="9"/>
            <color indexed="81"/>
            <rFont val="Tahoma"/>
            <family val="2"/>
          </rPr>
          <t xml:space="preserve">
SUN CP of A$205m</t>
        </r>
      </text>
    </comment>
    <comment ref="CJ965" authorId="6" shapeId="0" xr:uid="{00000000-0006-0000-0400-000075010000}">
      <text>
        <r>
          <rPr>
            <b/>
            <sz val="9"/>
            <color indexed="81"/>
            <rFont val="Tahoma"/>
            <family val="2"/>
          </rPr>
          <t>Fernandes, Sona F (Research):</t>
        </r>
        <r>
          <rPr>
            <sz val="9"/>
            <color indexed="81"/>
            <rFont val="Tahoma"/>
            <family val="2"/>
          </rPr>
          <t xml:space="preserve">
Includes COVID-19 overlay of $1,031</t>
        </r>
      </text>
    </comment>
    <comment ref="CK965" authorId="6" shapeId="0" xr:uid="{00000000-0006-0000-0400-000076010000}">
      <text>
        <r>
          <rPr>
            <b/>
            <sz val="9"/>
            <color indexed="81"/>
            <rFont val="Tahoma"/>
            <family val="2"/>
          </rPr>
          <t>Fernandes, Sona F (Research):</t>
        </r>
        <r>
          <rPr>
            <sz val="9"/>
            <color indexed="81"/>
            <rFont val="Tahoma"/>
            <family val="2"/>
          </rPr>
          <t xml:space="preserve">
Includes COVID-19 overlay of $579m</t>
        </r>
      </text>
    </comment>
    <comment ref="CO965" authorId="6" shapeId="0" xr:uid="{00000000-0006-0000-0400-000077010000}">
      <text>
        <r>
          <rPr>
            <b/>
            <sz val="9"/>
            <color indexed="81"/>
            <rFont val="Tahoma"/>
            <family val="2"/>
          </rPr>
          <t>Fernandes, Sona F (Research):</t>
        </r>
        <r>
          <rPr>
            <sz val="9"/>
            <color indexed="81"/>
            <rFont val="Tahoma"/>
            <family val="2"/>
          </rPr>
          <t xml:space="preserve">
Includes COVID-19 overlay of $579m</t>
        </r>
      </text>
    </comment>
    <comment ref="CR976" authorId="1" shapeId="0" xr:uid="{00000000-0006-0000-0400-000078010000}">
      <text>
        <r>
          <rPr>
            <b/>
            <sz val="9"/>
            <color indexed="81"/>
            <rFont val="Tahoma"/>
            <family val="2"/>
          </rPr>
          <t>Hong, Sally (Research):</t>
        </r>
        <r>
          <rPr>
            <sz val="9"/>
            <color indexed="81"/>
            <rFont val="Tahoma"/>
            <family val="2"/>
          </rPr>
          <t xml:space="preserve">
1H22 Announcement 29/4/2022 on Notable Items states there is 4m additional impairment charge … Adjustment added so that Impairment Charge increases by 4m</t>
        </r>
      </text>
    </comment>
    <comment ref="DA976" authorId="1" shapeId="0" xr:uid="{74CB7183-2942-4024-BE44-B5857038EC4F}">
      <text>
        <r>
          <rPr>
            <b/>
            <sz val="9"/>
            <color indexed="81"/>
            <rFont val="Tahoma"/>
            <family val="2"/>
          </rPr>
          <t>Hong, Sally (Research):</t>
        </r>
        <r>
          <rPr>
            <sz val="9"/>
            <color indexed="81"/>
            <rFont val="Tahoma"/>
            <family val="2"/>
          </rPr>
          <t xml:space="preserve">
Includes adjustment for SUN Bank Acquisition 
ASX 28/10/24 - Add in A$244m pre tax (171m post tax) for sun bank acquisition. ANZ had to establish an ECL allowance for SUN banks loan using its own methodology. Net -2bp cet1 reduction.
Goodwill is reduced by an equivalent charge
</t>
        </r>
      </text>
    </comment>
    <comment ref="BT992" authorId="3" shapeId="0" xr:uid="{00000000-0006-0000-0400-000079010000}">
      <text>
        <r>
          <rPr>
            <b/>
            <sz val="9"/>
            <color indexed="81"/>
            <rFont val="Tahoma"/>
            <family val="2"/>
          </rPr>
          <t>Wiles, Richard (Research):</t>
        </r>
        <r>
          <rPr>
            <sz val="9"/>
            <color indexed="81"/>
            <rFont val="Tahoma"/>
            <family val="2"/>
          </rPr>
          <t xml:space="preserve">
Higher tax rate alrgely due to Ambank impairment</t>
        </r>
      </text>
    </comment>
    <comment ref="BX992" authorId="3" shapeId="0" xr:uid="{00000000-0006-0000-0400-00007A010000}">
      <text>
        <r>
          <rPr>
            <b/>
            <sz val="9"/>
            <color indexed="81"/>
            <rFont val="Tahoma"/>
            <family val="2"/>
          </rPr>
          <t>Wiles, Richard (Research):</t>
        </r>
        <r>
          <rPr>
            <sz val="9"/>
            <color indexed="81"/>
            <rFont val="Tahoma"/>
            <family val="2"/>
          </rPr>
          <t xml:space="preserve">
Higher tax rate alrgely due to Ambank impairment</t>
        </r>
      </text>
    </comment>
    <comment ref="CB992" authorId="3" shapeId="0" xr:uid="{00000000-0006-0000-0400-00007B010000}">
      <text>
        <r>
          <rPr>
            <b/>
            <sz val="9"/>
            <color indexed="81"/>
            <rFont val="Tahoma"/>
            <family val="2"/>
          </rPr>
          <t>Wiles, Richard (Research):</t>
        </r>
        <r>
          <rPr>
            <sz val="9"/>
            <color indexed="81"/>
            <rFont val="Tahoma"/>
            <family val="2"/>
          </rPr>
          <t xml:space="preserve">
Higher tax rate alrgely due to Ambank impairment</t>
        </r>
      </text>
    </comment>
    <comment ref="CF992" authorId="3" shapeId="0" xr:uid="{00000000-0006-0000-0400-00007C010000}">
      <text>
        <r>
          <rPr>
            <b/>
            <sz val="9"/>
            <color indexed="81"/>
            <rFont val="Tahoma"/>
            <family val="2"/>
          </rPr>
          <t>Wiles, Richard (Research):</t>
        </r>
        <r>
          <rPr>
            <sz val="9"/>
            <color indexed="81"/>
            <rFont val="Tahoma"/>
            <family val="2"/>
          </rPr>
          <t xml:space="preserve">
Higher tax rate alrgely due to Ambank impairment</t>
        </r>
      </text>
    </comment>
    <comment ref="CJ992" authorId="3" shapeId="0" xr:uid="{00000000-0006-0000-0400-00007D010000}">
      <text>
        <r>
          <rPr>
            <b/>
            <sz val="9"/>
            <color indexed="81"/>
            <rFont val="Tahoma"/>
            <family val="2"/>
          </rPr>
          <t>Wiles, Richard (Research):</t>
        </r>
        <r>
          <rPr>
            <sz val="9"/>
            <color indexed="81"/>
            <rFont val="Tahoma"/>
            <family val="2"/>
          </rPr>
          <t xml:space="preserve">
Higher tax rate alrgely due to Ambank impairment</t>
        </r>
      </text>
    </comment>
    <comment ref="BY1003" authorId="3" shapeId="0" xr:uid="{00000000-0006-0000-0400-00007E010000}">
      <text>
        <r>
          <rPr>
            <b/>
            <sz val="9"/>
            <color indexed="81"/>
            <rFont val="Tahoma"/>
            <family val="2"/>
          </rPr>
          <t>Wiles, Richard (Research):</t>
        </r>
        <r>
          <rPr>
            <sz val="9"/>
            <color indexed="81"/>
            <rFont val="Tahoma"/>
            <family val="2"/>
          </rPr>
          <t xml:space="preserve">
one quarter only</t>
        </r>
      </text>
    </comment>
    <comment ref="CG1003" authorId="3" shapeId="0" xr:uid="{00000000-0006-0000-0400-00007F010000}">
      <text>
        <r>
          <rPr>
            <b/>
            <sz val="9"/>
            <color indexed="81"/>
            <rFont val="Tahoma"/>
            <family val="2"/>
          </rPr>
          <t>Wiles, Richard (Research):</t>
        </r>
        <r>
          <rPr>
            <sz val="9"/>
            <color indexed="81"/>
            <rFont val="Tahoma"/>
            <family val="2"/>
          </rPr>
          <t xml:space="preserve">
refer FY19 page 26: A$185m in 2H19; A$178m in 1H19</t>
        </r>
      </text>
    </comment>
    <comment ref="CR1003" authorId="3" shapeId="0" xr:uid="{00000000-0006-0000-0400-000080010000}">
      <text>
        <r>
          <rPr>
            <b/>
            <sz val="9"/>
            <color indexed="81"/>
            <rFont val="Tahoma"/>
            <family val="2"/>
          </rPr>
          <t>Wiles, Richard (Research):</t>
        </r>
        <r>
          <rPr>
            <sz val="9"/>
            <color indexed="81"/>
            <rFont val="Tahoma"/>
            <family val="2"/>
          </rPr>
          <t xml:space="preserve">
page 89</t>
        </r>
      </text>
    </comment>
    <comment ref="CB1006" authorId="5" shapeId="0" xr:uid="{00000000-0006-0000-0400-000081010000}">
      <text>
        <r>
          <rPr>
            <b/>
            <sz val="9"/>
            <color indexed="81"/>
            <rFont val="Tahoma"/>
            <family val="2"/>
          </rPr>
          <t>Stadnik, Andrei (Research):</t>
        </r>
        <r>
          <rPr>
            <sz val="9"/>
            <color indexed="81"/>
            <rFont val="Tahoma"/>
            <family val="2"/>
          </rPr>
          <t xml:space="preserve">
back solve to match levy estimated and asctual</t>
        </r>
      </text>
    </comment>
    <comment ref="CF1006" authorId="5" shapeId="0" xr:uid="{00000000-0006-0000-0400-000082010000}">
      <text>
        <r>
          <rPr>
            <b/>
            <sz val="9"/>
            <color indexed="81"/>
            <rFont val="Tahoma"/>
            <family val="2"/>
          </rPr>
          <t>Stadnik, Andrei (Research):</t>
        </r>
        <r>
          <rPr>
            <sz val="9"/>
            <color indexed="81"/>
            <rFont val="Tahoma"/>
            <family val="2"/>
          </rPr>
          <t xml:space="preserve">
back solve to match levy estimated and asctual</t>
        </r>
      </text>
    </comment>
    <comment ref="CG1006" authorId="5" shapeId="0" xr:uid="{00000000-0006-0000-0400-000083010000}">
      <text>
        <r>
          <rPr>
            <b/>
            <sz val="9"/>
            <color indexed="81"/>
            <rFont val="Tahoma"/>
            <family val="2"/>
          </rPr>
          <t>Stadnik, Andrei (Research):</t>
        </r>
        <r>
          <rPr>
            <sz val="9"/>
            <color indexed="81"/>
            <rFont val="Tahoma"/>
            <family val="2"/>
          </rPr>
          <t xml:space="preserve">
back solve to match levy estimated and asctual</t>
        </r>
      </text>
    </comment>
    <comment ref="CJ1006" authorId="5" shapeId="0" xr:uid="{00000000-0006-0000-0400-000084010000}">
      <text>
        <r>
          <rPr>
            <b/>
            <sz val="9"/>
            <color indexed="81"/>
            <rFont val="Tahoma"/>
            <family val="2"/>
          </rPr>
          <t>Stadnik, Andrei (Research):</t>
        </r>
        <r>
          <rPr>
            <sz val="9"/>
            <color indexed="81"/>
            <rFont val="Tahoma"/>
            <family val="2"/>
          </rPr>
          <t xml:space="preserve">
back solve to match levy estimated and asctual</t>
        </r>
      </text>
    </comment>
    <comment ref="CK1006" authorId="6" shapeId="0" xr:uid="{00000000-0006-0000-0400-000085010000}">
      <text>
        <r>
          <rPr>
            <b/>
            <sz val="9"/>
            <color indexed="81"/>
            <rFont val="Tahoma"/>
            <family val="2"/>
          </rPr>
          <t>Fernandes, Sona F (Research):</t>
        </r>
        <r>
          <rPr>
            <sz val="9"/>
            <color indexed="81"/>
            <rFont val="Tahoma"/>
            <family val="2"/>
          </rPr>
          <t xml:space="preserve">
Backsolved to get to reported levy</t>
        </r>
      </text>
    </comment>
    <comment ref="CO1006" authorId="6" shapeId="0" xr:uid="{00000000-0006-0000-0400-000086010000}">
      <text>
        <r>
          <rPr>
            <b/>
            <sz val="9"/>
            <color indexed="81"/>
            <rFont val="Tahoma"/>
            <family val="2"/>
          </rPr>
          <t>wiles  (Research):</t>
        </r>
        <r>
          <rPr>
            <sz val="9"/>
            <color indexed="81"/>
            <rFont val="Tahoma"/>
            <family val="2"/>
          </rPr>
          <t xml:space="preserve">
Backsolved to get to reported levy</t>
        </r>
      </text>
    </comment>
    <comment ref="CR1006" authorId="6" shapeId="0" xr:uid="{00000000-0006-0000-0400-000087010000}">
      <text>
        <r>
          <rPr>
            <b/>
            <sz val="9"/>
            <color indexed="81"/>
            <rFont val="Tahoma"/>
            <family val="2"/>
          </rPr>
          <t>wiles  (Research):</t>
        </r>
        <r>
          <rPr>
            <sz val="9"/>
            <color indexed="81"/>
            <rFont val="Tahoma"/>
            <family val="2"/>
          </rPr>
          <t xml:space="preserve">
Backsolved to get to reported levy</t>
        </r>
      </text>
    </comment>
    <comment ref="CS1006" authorId="6" shapeId="0" xr:uid="{A2F5E7BF-9005-4F84-BCE8-3E487FF0DE82}">
      <text>
        <r>
          <rPr>
            <b/>
            <sz val="9"/>
            <color indexed="81"/>
            <rFont val="Tahoma"/>
            <family val="2"/>
          </rPr>
          <t>wiles  (Research):</t>
        </r>
        <r>
          <rPr>
            <sz val="9"/>
            <color indexed="81"/>
            <rFont val="Tahoma"/>
            <family val="2"/>
          </rPr>
          <t xml:space="preserve">
Backsolved to get to reported levy</t>
        </r>
      </text>
    </comment>
    <comment ref="BY1010" authorId="5" shapeId="0" xr:uid="{00000000-0006-0000-0400-000088010000}">
      <text>
        <r>
          <rPr>
            <b/>
            <sz val="9"/>
            <color indexed="81"/>
            <rFont val="Tahoma"/>
            <family val="2"/>
          </rPr>
          <t>Stadnik, Andrei (Research):</t>
        </r>
        <r>
          <rPr>
            <sz val="9"/>
            <color indexed="81"/>
            <rFont val="Tahoma"/>
            <family val="2"/>
          </rPr>
          <t xml:space="preserve">
this is for 1 QTR only!</t>
        </r>
      </text>
    </comment>
    <comment ref="CO1015" authorId="6" shapeId="0" xr:uid="{00000000-0006-0000-0400-000089010000}">
      <text>
        <r>
          <rPr>
            <b/>
            <sz val="9"/>
            <color indexed="81"/>
            <rFont val="Tahoma"/>
            <family val="2"/>
          </rPr>
          <t>Wiles (Research):</t>
        </r>
        <r>
          <rPr>
            <sz val="9"/>
            <color indexed="81"/>
            <rFont val="Tahoma"/>
            <family val="2"/>
          </rPr>
          <t xml:space="preserve">
Refer page 79 Adjustments between statutory profit and cash profit</t>
        </r>
      </text>
    </comment>
    <comment ref="BJ1016" authorId="2" shapeId="0" xr:uid="{00000000-0006-0000-0400-00008A010000}">
      <text>
        <r>
          <rPr>
            <b/>
            <sz val="9"/>
            <color indexed="81"/>
            <rFont val="Tahoma"/>
            <family val="2"/>
          </rPr>
          <t>Dunger, Matt (Research):</t>
        </r>
        <r>
          <rPr>
            <sz val="9"/>
            <color indexed="81"/>
            <rFont val="Tahoma"/>
            <family val="2"/>
          </rPr>
          <t xml:space="preserve">
restated FY14 - HY split no given, assume all changes in the 2H</t>
        </r>
      </text>
    </comment>
    <comment ref="CG1016" authorId="3" shapeId="0" xr:uid="{00000000-0006-0000-0400-00008B010000}">
      <text>
        <r>
          <rPr>
            <b/>
            <sz val="9"/>
            <color indexed="81"/>
            <rFont val="Tahoma"/>
            <family val="2"/>
          </rPr>
          <t>Wiles, Richard (Research):</t>
        </r>
        <r>
          <rPr>
            <sz val="9"/>
            <color indexed="81"/>
            <rFont val="Tahoma"/>
            <family val="2"/>
          </rPr>
          <t xml:space="preserve">
Refer FY19 page 81</t>
        </r>
      </text>
    </comment>
    <comment ref="BJ1017" authorId="2" shapeId="0" xr:uid="{00000000-0006-0000-0400-00008C010000}">
      <text>
        <r>
          <rPr>
            <b/>
            <sz val="9"/>
            <color indexed="81"/>
            <rFont val="Tahoma"/>
            <family val="2"/>
          </rPr>
          <t>Dunger, Matt (Research):</t>
        </r>
        <r>
          <rPr>
            <sz val="9"/>
            <color indexed="81"/>
            <rFont val="Tahoma"/>
            <family val="2"/>
          </rPr>
          <t xml:space="preserve">
restated FY14 - HY split no given, assume all changes in the 2H</t>
        </r>
      </text>
    </comment>
    <comment ref="BJ1018" authorId="2" shapeId="0" xr:uid="{00000000-0006-0000-0400-00008D010000}">
      <text>
        <r>
          <rPr>
            <b/>
            <sz val="9"/>
            <color indexed="81"/>
            <rFont val="Tahoma"/>
            <family val="2"/>
          </rPr>
          <t>Dunger, Matt (Research):</t>
        </r>
        <r>
          <rPr>
            <sz val="9"/>
            <color indexed="81"/>
            <rFont val="Tahoma"/>
            <family val="2"/>
          </rPr>
          <t xml:space="preserve">
restated FY14 - HY split no given, assume all changes in the 2H</t>
        </r>
      </text>
    </comment>
    <comment ref="BL1018" authorId="2" shapeId="0" xr:uid="{00000000-0006-0000-0400-00008E010000}">
      <text>
        <r>
          <rPr>
            <b/>
            <sz val="9"/>
            <color indexed="81"/>
            <rFont val="Tahoma"/>
            <family val="2"/>
          </rPr>
          <t>Dunger, Matt (Research):</t>
        </r>
        <r>
          <rPr>
            <sz val="9"/>
            <color indexed="81"/>
            <rFont val="Tahoma"/>
            <family val="2"/>
          </rPr>
          <t xml:space="preserve">
restated FY14
</t>
        </r>
      </text>
    </comment>
    <comment ref="CR1018" authorId="1" shapeId="0" xr:uid="{00000000-0006-0000-0400-00008F010000}">
      <text>
        <r>
          <rPr>
            <b/>
            <sz val="9"/>
            <color indexed="81"/>
            <rFont val="Tahoma"/>
            <family val="2"/>
          </rPr>
          <t>Hong, Sally (Research):</t>
        </r>
        <r>
          <rPr>
            <sz val="9"/>
            <color indexed="81"/>
            <rFont val="Tahoma"/>
            <family val="2"/>
          </rPr>
          <t xml:space="preserve">
Page 72 of the 1H22 Results 4D - Adjustments between stat and cash profit</t>
        </r>
      </text>
    </comment>
    <comment ref="BJ1019" authorId="2" shapeId="0" xr:uid="{00000000-0006-0000-0400-000090010000}">
      <text>
        <r>
          <rPr>
            <b/>
            <sz val="9"/>
            <color indexed="81"/>
            <rFont val="Tahoma"/>
            <family val="2"/>
          </rPr>
          <t>Dunger, Matt (Research):</t>
        </r>
        <r>
          <rPr>
            <sz val="9"/>
            <color indexed="81"/>
            <rFont val="Tahoma"/>
            <family val="2"/>
          </rPr>
          <t xml:space="preserve">
restated FY14 - HY split no given, assume all changes in the 2H</t>
        </r>
      </text>
    </comment>
    <comment ref="BJ1020" authorId="2" shapeId="0" xr:uid="{00000000-0006-0000-0400-000091010000}">
      <text>
        <r>
          <rPr>
            <b/>
            <sz val="9"/>
            <color indexed="81"/>
            <rFont val="Tahoma"/>
            <family val="2"/>
          </rPr>
          <t>Dunger, Matt (Research):</t>
        </r>
        <r>
          <rPr>
            <sz val="9"/>
            <color indexed="81"/>
            <rFont val="Tahoma"/>
            <family val="2"/>
          </rPr>
          <t xml:space="preserve">
restated FY14 - HY split no given, assume all changes in the 2H</t>
        </r>
      </text>
    </comment>
    <comment ref="CZ1021" authorId="3" shapeId="0" xr:uid="{C523B030-4F14-4B99-B998-A1EE36E11146}">
      <text>
        <r>
          <rPr>
            <b/>
            <sz val="9"/>
            <color indexed="81"/>
            <rFont val="Tahoma"/>
            <family val="2"/>
          </rPr>
          <t>Wiles, Richard (Research):</t>
        </r>
        <r>
          <rPr>
            <sz val="9"/>
            <color indexed="81"/>
            <rFont val="Tahoma"/>
            <family val="2"/>
          </rPr>
          <t xml:space="preserve">
estimated A$25m pre tax loss on sale on sale of 16.5% stake in ambank</t>
        </r>
      </text>
    </comment>
    <comment ref="DD1023" authorId="1" shapeId="0" xr:uid="{09F57BF4-81E5-4860-B92D-0412983F3D34}">
      <text>
        <r>
          <rPr>
            <b/>
            <sz val="9"/>
            <color indexed="81"/>
            <rFont val="Tahoma"/>
            <family val="2"/>
          </rPr>
          <t>Hong, Sally (Research):</t>
        </r>
        <r>
          <rPr>
            <sz val="9"/>
            <color indexed="81"/>
            <rFont val="Tahoma"/>
            <family val="2"/>
          </rPr>
          <t xml:space="preserve">
Page 18 1H25 4D
Amortisation of acquired intangible assets 
</t>
        </r>
      </text>
    </comment>
    <comment ref="DE1023" authorId="1" shapeId="0" xr:uid="{7333F82D-62E0-4D11-BA5A-28DC7374F1F6}">
      <text>
        <r>
          <rPr>
            <b/>
            <sz val="9"/>
            <color indexed="81"/>
            <rFont val="Tahoma"/>
            <family val="2"/>
          </rPr>
          <t>Hong, Sally (Research):
suncorp bank goodwill increase</t>
        </r>
      </text>
    </comment>
    <comment ref="CO1024" authorId="6" shapeId="0" xr:uid="{00000000-0006-0000-0400-000092010000}">
      <text>
        <r>
          <rPr>
            <b/>
            <sz val="9"/>
            <color indexed="81"/>
            <rFont val="Tahoma"/>
            <family val="2"/>
          </rPr>
          <t>Wiles (Research):</t>
        </r>
        <r>
          <rPr>
            <sz val="9"/>
            <color indexed="81"/>
            <rFont val="Tahoma"/>
            <family val="2"/>
          </rPr>
          <t xml:space="preserve">
Refer page 79 Adjustments between statutory profit and cash profit</t>
        </r>
      </text>
    </comment>
    <comment ref="CS1024" authorId="6" shapeId="0" xr:uid="{CA03AF73-A306-4DEF-B80D-88D23AB9FAA6}">
      <text>
        <r>
          <rPr>
            <b/>
            <sz val="9"/>
            <color indexed="81"/>
            <rFont val="Tahoma"/>
            <family val="2"/>
          </rPr>
          <t>Wiles (Research):</t>
        </r>
        <r>
          <rPr>
            <sz val="9"/>
            <color indexed="81"/>
            <rFont val="Tahoma"/>
            <family val="2"/>
          </rPr>
          <t xml:space="preserve">
Refer page 22 Adjustments between statutory profit and cash profit</t>
        </r>
      </text>
    </comment>
    <comment ref="BY1027" authorId="5" shapeId="0" xr:uid="{00000000-0006-0000-0400-000093010000}">
      <text>
        <r>
          <rPr>
            <b/>
            <sz val="9"/>
            <color indexed="81"/>
            <rFont val="Tahoma"/>
            <family val="2"/>
          </rPr>
          <t>Stadnik, Andrei (Research):</t>
        </r>
        <r>
          <rPr>
            <sz val="9"/>
            <color indexed="81"/>
            <rFont val="Tahoma"/>
            <family val="2"/>
          </rPr>
          <t xml:space="preserve">
this is in cash profit definition circa page 20</t>
        </r>
      </text>
    </comment>
    <comment ref="CC1027" authorId="5" shapeId="0" xr:uid="{00000000-0006-0000-0400-000094010000}">
      <text>
        <r>
          <rPr>
            <b/>
            <sz val="9"/>
            <color indexed="81"/>
            <rFont val="Tahoma"/>
            <family val="2"/>
          </rPr>
          <t>Stadnik, Andrei (Research):</t>
        </r>
        <r>
          <rPr>
            <sz val="9"/>
            <color indexed="81"/>
            <rFont val="Tahoma"/>
            <family val="2"/>
          </rPr>
          <t xml:space="preserve">
this is in cash profit definition circa page 20</t>
        </r>
      </text>
    </comment>
    <comment ref="CG1027" authorId="5" shapeId="0" xr:uid="{00000000-0006-0000-0400-000095010000}">
      <text>
        <r>
          <rPr>
            <b/>
            <sz val="9"/>
            <color indexed="81"/>
            <rFont val="Tahoma"/>
            <family val="2"/>
          </rPr>
          <t>Stadnik, Andrei (Research):</t>
        </r>
        <r>
          <rPr>
            <sz val="9"/>
            <color indexed="81"/>
            <rFont val="Tahoma"/>
            <family val="2"/>
          </rPr>
          <t xml:space="preserve">
this is in cash profit definition circa page 20</t>
        </r>
      </text>
    </comment>
    <comment ref="CJ1027" authorId="6" shapeId="0" xr:uid="{00000000-0006-0000-0400-000096010000}">
      <text>
        <r>
          <rPr>
            <b/>
            <sz val="9"/>
            <color indexed="81"/>
            <rFont val="Tahoma"/>
            <family val="2"/>
          </rPr>
          <t>Fernandes, Sona F (Research):</t>
        </r>
        <r>
          <rPr>
            <sz val="9"/>
            <color indexed="81"/>
            <rFont val="Tahoma"/>
            <family val="2"/>
          </rPr>
          <t xml:space="preserve">
Statutory Profit Results page 9</t>
        </r>
      </text>
    </comment>
    <comment ref="CN1027" authorId="6" shapeId="0" xr:uid="{00000000-0006-0000-0400-000097010000}">
      <text>
        <r>
          <rPr>
            <b/>
            <sz val="9"/>
            <color indexed="81"/>
            <rFont val="Tahoma"/>
            <family val="2"/>
          </rPr>
          <t>Fernandes, Sona F (Research):</t>
        </r>
        <r>
          <rPr>
            <sz val="9"/>
            <color indexed="81"/>
            <rFont val="Tahoma"/>
            <family val="2"/>
          </rPr>
          <t xml:space="preserve">
Statutory Profit Results page 9</t>
        </r>
      </text>
    </comment>
    <comment ref="CW1027" authorId="1" shapeId="0" xr:uid="{B59AFFED-6105-4F92-9A57-9C6F1AC6B105}">
      <text>
        <r>
          <rPr>
            <b/>
            <sz val="9"/>
            <color indexed="81"/>
            <rFont val="Tahoma"/>
            <family val="2"/>
          </rPr>
          <t xml:space="preserve">Hong, Sally (Research):
</t>
        </r>
        <r>
          <rPr>
            <sz val="9"/>
            <color indexed="81"/>
            <rFont val="Tahoma"/>
            <family val="2"/>
          </rPr>
          <t xml:space="preserve">perpetual preference shares issued during FY22 full year by ANZ Bank New Zealand </t>
        </r>
      </text>
    </comment>
    <comment ref="CN1030" authorId="3" shapeId="0" xr:uid="{00000000-0006-0000-0400-000098010000}">
      <text>
        <r>
          <rPr>
            <b/>
            <sz val="9"/>
            <color indexed="81"/>
            <rFont val="Tahoma"/>
            <family val="2"/>
          </rPr>
          <t>Wiles, Richard (Research):</t>
        </r>
        <r>
          <rPr>
            <sz val="9"/>
            <color indexed="81"/>
            <rFont val="Tahoma"/>
            <family val="2"/>
          </rPr>
          <t xml:space="preserve">
Loss on slae from UDC (refer 2/6/20 announcement)</t>
        </r>
      </text>
    </comment>
    <comment ref="CC1034" authorId="0" shapeId="0" xr:uid="{00000000-0006-0000-0400-000099010000}">
      <text>
        <r>
          <rPr>
            <b/>
            <sz val="9"/>
            <color indexed="81"/>
            <rFont val="Tahoma"/>
            <family val="2"/>
          </rPr>
          <t>O'Neill, Emilie (Research):</t>
        </r>
        <r>
          <rPr>
            <sz val="9"/>
            <color indexed="81"/>
            <rFont val="Tahoma"/>
            <family val="2"/>
          </rPr>
          <t xml:space="preserve">
A$181m pre tax 
A$127m post tax
notes on pg 97 and page 10 of FY18</t>
        </r>
      </text>
    </comment>
    <comment ref="CF1034" authorId="0" shapeId="0" xr:uid="{00000000-0006-0000-0400-00009A010000}">
      <text>
        <r>
          <rPr>
            <b/>
            <sz val="9"/>
            <color indexed="81"/>
            <rFont val="Tahoma"/>
            <family val="2"/>
          </rPr>
          <t>O'Neill, Emilie (Research):</t>
        </r>
        <r>
          <rPr>
            <sz val="9"/>
            <color indexed="81"/>
            <rFont val="Tahoma"/>
            <family val="2"/>
          </rPr>
          <t xml:space="preserve">
Customer remediation in discontinued operations adjusted for tax (A$75m) pg 19 of 1H19 Presentation</t>
        </r>
      </text>
    </comment>
    <comment ref="CG1034" authorId="0" shapeId="0" xr:uid="{00000000-0006-0000-0400-00009B010000}">
      <text>
        <r>
          <rPr>
            <b/>
            <sz val="9"/>
            <color indexed="81"/>
            <rFont val="Tahoma"/>
            <family val="2"/>
          </rPr>
          <t>O'Neill, Emilie (Research):</t>
        </r>
        <r>
          <rPr>
            <sz val="9"/>
            <color indexed="81"/>
            <rFont val="Tahoma"/>
            <family val="2"/>
          </rPr>
          <t xml:space="preserve">
2H19: A$199m pre tax, A$154m post tax (FY19 page 11) 
2H19: A$154m post tax; 1H19: A$53m post tax (FY19 note 10, page 14)
</t>
        </r>
      </text>
    </comment>
    <comment ref="CJ1034" authorId="0" shapeId="0" xr:uid="{00000000-0006-0000-0400-00009C010000}">
      <text>
        <r>
          <rPr>
            <b/>
            <sz val="9"/>
            <color indexed="81"/>
            <rFont val="Tahoma"/>
            <family val="2"/>
          </rPr>
          <t>O'Neill, Emilie (Research):</t>
        </r>
        <r>
          <rPr>
            <sz val="9"/>
            <color indexed="81"/>
            <rFont val="Tahoma"/>
            <family val="2"/>
          </rPr>
          <t xml:space="preserve">
Customer remediation in discontinued operations adjusted for tax (A$75m) pg 19 of 1H19 Presentation</t>
        </r>
      </text>
    </comment>
    <comment ref="CK1034" authorId="6" shapeId="0" xr:uid="{00000000-0006-0000-0400-00009D010000}">
      <text>
        <r>
          <rPr>
            <b/>
            <sz val="9"/>
            <color indexed="81"/>
            <rFont val="Tahoma"/>
            <family val="2"/>
          </rPr>
          <t>Fernandes, Sona F (Research):</t>
        </r>
        <r>
          <rPr>
            <sz val="9"/>
            <color indexed="81"/>
            <rFont val="Tahoma"/>
            <family val="2"/>
          </rPr>
          <t xml:space="preserve">
Guide to full year results pg 9</t>
        </r>
      </text>
    </comment>
    <comment ref="CN1034" authorId="7" shapeId="0" xr:uid="{00000000-0006-0000-0400-00009E010000}">
      <text>
        <r>
          <rPr>
            <b/>
            <sz val="9"/>
            <color indexed="81"/>
            <rFont val="Tahoma"/>
            <family val="2"/>
          </rPr>
          <t>Fernandes, Sona (Research):</t>
        </r>
        <r>
          <rPr>
            <sz val="9"/>
            <color indexed="81"/>
            <rFont val="Tahoma"/>
            <family val="2"/>
          </rPr>
          <t xml:space="preserve">
See note 13. Discontinued operations and assets and liabilities held for sale</t>
        </r>
      </text>
    </comment>
    <comment ref="CB1035" authorId="5" shapeId="0" xr:uid="{00000000-0006-0000-0400-00009F010000}">
      <text>
        <r>
          <rPr>
            <b/>
            <sz val="9"/>
            <color indexed="81"/>
            <rFont val="Tahoma"/>
            <family val="2"/>
          </rPr>
          <t>Stadnik, Andrei (Research):</t>
        </r>
        <r>
          <rPr>
            <sz val="9"/>
            <color indexed="81"/>
            <rFont val="Tahoma"/>
            <family val="2"/>
          </rPr>
          <t xml:space="preserve">
page 94 1H18 gives stat loss on sale + adjustment on page 70 to get cash loss on sale </t>
        </r>
      </text>
    </comment>
    <comment ref="CB1036" authorId="5" shapeId="0" xr:uid="{00000000-0006-0000-0400-0000A0010000}">
      <text>
        <r>
          <rPr>
            <b/>
            <sz val="9"/>
            <color indexed="81"/>
            <rFont val="Tahoma"/>
            <family val="2"/>
          </rPr>
          <t>Stadnik, Andrei (Research):</t>
        </r>
        <r>
          <rPr>
            <sz val="9"/>
            <color indexed="81"/>
            <rFont val="Tahoma"/>
            <family val="2"/>
          </rPr>
          <t xml:space="preserve">
note 11 in 1H19 app 4D has breakdown of NPAT into revenue and costs</t>
        </r>
      </text>
    </comment>
    <comment ref="CC1036" authorId="5" shapeId="0" xr:uid="{00000000-0006-0000-0400-0000A1010000}">
      <text>
        <r>
          <rPr>
            <b/>
            <sz val="9"/>
            <color indexed="81"/>
            <rFont val="Tahoma"/>
            <family val="2"/>
          </rPr>
          <t>Stadnik, Andrei (Research):</t>
        </r>
        <r>
          <rPr>
            <sz val="9"/>
            <color indexed="81"/>
            <rFont val="Tahoma"/>
            <family val="2"/>
          </rPr>
          <t xml:space="preserve">
note 11 in 1H19 app 4D has breakdown of NPAT into revenue and costs</t>
        </r>
      </text>
    </comment>
    <comment ref="CF1036" authorId="5" shapeId="0" xr:uid="{00000000-0006-0000-0400-0000A2010000}">
      <text>
        <r>
          <rPr>
            <b/>
            <sz val="9"/>
            <color indexed="81"/>
            <rFont val="Tahoma"/>
            <family val="2"/>
          </rPr>
          <t>Stadnik, Andrei (Research):</t>
        </r>
        <r>
          <rPr>
            <sz val="9"/>
            <color indexed="81"/>
            <rFont val="Tahoma"/>
            <family val="2"/>
          </rPr>
          <t xml:space="preserve">
Refer p74 1H19
note 11 in 1H19 app 4D has breakdown of NPAT into revenue and costs</t>
        </r>
      </text>
    </comment>
    <comment ref="CG1036" authorId="5" shapeId="0" xr:uid="{00000000-0006-0000-0400-0000A3010000}">
      <text>
        <r>
          <rPr>
            <b/>
            <sz val="9"/>
            <color indexed="81"/>
            <rFont val="Tahoma"/>
            <family val="2"/>
          </rPr>
          <t>Wiles (Research):</t>
        </r>
        <r>
          <rPr>
            <sz val="9"/>
            <color indexed="81"/>
            <rFont val="Tahoma"/>
            <family val="2"/>
          </rPr>
          <t xml:space="preserve">
page 78 FY19: (A$273m) discontinued operations, A$7m treasury shares, A$7m revaluation of policy liabilities
note 10 in FY19 app 4D (page 104) has breakdown of NPAT into revenue and costs</t>
        </r>
      </text>
    </comment>
    <comment ref="CJ1036" authorId="6" shapeId="0" xr:uid="{00000000-0006-0000-0400-0000A4010000}">
      <text>
        <r>
          <rPr>
            <b/>
            <sz val="9"/>
            <color indexed="81"/>
            <rFont val="Tahoma"/>
            <family val="2"/>
          </rPr>
          <t>Fernandes, Sona F (Research):</t>
        </r>
        <r>
          <rPr>
            <sz val="9"/>
            <color indexed="81"/>
            <rFont val="Tahoma"/>
            <family val="2"/>
          </rPr>
          <t xml:space="preserve">
Refer page 72 Adjustments between statutory profit and cash profit</t>
        </r>
      </text>
    </comment>
    <comment ref="CK1036" authorId="6" shapeId="0" xr:uid="{00000000-0006-0000-0400-0000A5010000}">
      <text>
        <r>
          <rPr>
            <b/>
            <sz val="9"/>
            <color indexed="81"/>
            <rFont val="Tahoma"/>
            <family val="2"/>
          </rPr>
          <t>Fernandes, Sona F (Research):</t>
        </r>
        <r>
          <rPr>
            <sz val="9"/>
            <color indexed="81"/>
            <rFont val="Tahoma"/>
            <family val="2"/>
          </rPr>
          <t xml:space="preserve">
Refer page 76 Adjustments between statutory profit and cash profit</t>
        </r>
      </text>
    </comment>
    <comment ref="CO1036" authorId="6" shapeId="0" xr:uid="{00000000-0006-0000-0400-0000A6010000}">
      <text>
        <r>
          <rPr>
            <b/>
            <sz val="9"/>
            <color indexed="81"/>
            <rFont val="Tahoma"/>
            <family val="2"/>
          </rPr>
          <t>Wiles (Research):</t>
        </r>
        <r>
          <rPr>
            <sz val="9"/>
            <color indexed="81"/>
            <rFont val="Tahoma"/>
            <family val="2"/>
          </rPr>
          <t xml:space="preserve">
Refer page 78 Adjustments between statutory profit and cash profit
Detail not disclosed at FY21 … refer page 13</t>
        </r>
      </text>
    </comment>
    <comment ref="CS1036" authorId="6" shapeId="0" xr:uid="{B0DA6045-3575-4C60-9865-1D575A3A3418}">
      <text>
        <r>
          <rPr>
            <b/>
            <sz val="9"/>
            <color indexed="81"/>
            <rFont val="Tahoma"/>
            <family val="2"/>
          </rPr>
          <t>Wiles (Research):</t>
        </r>
        <r>
          <rPr>
            <sz val="9"/>
            <color indexed="81"/>
            <rFont val="Tahoma"/>
            <family val="2"/>
          </rPr>
          <t xml:space="preserve">
Refer page 92 Adjustments between statutory profit and cash profit
</t>
        </r>
      </text>
    </comment>
    <comment ref="CV1042" authorId="1" shapeId="0" xr:uid="{EF209754-BD6B-46B6-8782-F41214399282}">
      <text>
        <r>
          <rPr>
            <b/>
            <sz val="9"/>
            <color indexed="81"/>
            <rFont val="Tahoma"/>
            <family val="2"/>
          </rPr>
          <t>Hong, Sally (Research):</t>
        </r>
        <r>
          <rPr>
            <sz val="9"/>
            <color indexed="81"/>
            <rFont val="Tahoma"/>
            <family val="2"/>
          </rPr>
          <t xml:space="preserve">
Restated in 1H24</t>
        </r>
      </text>
    </comment>
    <comment ref="CS1045" authorId="1" shapeId="0" xr:uid="{898754A7-1453-4BFE-9BE8-EB5EF542F34A}">
      <text>
        <r>
          <rPr>
            <b/>
            <sz val="9"/>
            <color indexed="81"/>
            <rFont val="Tahoma"/>
            <family val="2"/>
          </rPr>
          <t>Hong, Sally (Research):</t>
        </r>
        <r>
          <rPr>
            <sz val="9"/>
            <color indexed="81"/>
            <rFont val="Tahoma"/>
            <family val="2"/>
          </rPr>
          <t xml:space="preserve">
NCI increased +499m from ANZ Perpetual Preference Shares issued see Page 99 of the FY22 Results 4E</t>
        </r>
      </text>
    </comment>
    <comment ref="CV1048" authorId="1" shapeId="0" xr:uid="{9EA51AE8-1B0F-4E0F-A6EA-4B8AF3759F7A}">
      <text>
        <r>
          <rPr>
            <b/>
            <sz val="9"/>
            <color indexed="81"/>
            <rFont val="Tahoma"/>
            <family val="2"/>
          </rPr>
          <t>Hong, Sally (Research):</t>
        </r>
        <r>
          <rPr>
            <sz val="9"/>
            <color indexed="81"/>
            <rFont val="Tahoma"/>
            <family val="2"/>
          </rPr>
          <t xml:space="preserve">
Page 43 1H23 Results </t>
        </r>
      </text>
    </comment>
    <comment ref="CW1048" authorId="1" shapeId="0" xr:uid="{FE6BEECE-F461-4EDA-B6C6-D5345C6BB6F7}">
      <text>
        <r>
          <rPr>
            <b/>
            <sz val="9"/>
            <color indexed="81"/>
            <rFont val="Tahoma"/>
            <family val="2"/>
          </rPr>
          <t>Hong, Sally (Research):</t>
        </r>
        <r>
          <rPr>
            <sz val="9"/>
            <color indexed="81"/>
            <rFont val="Tahoma"/>
            <family val="2"/>
          </rPr>
          <t xml:space="preserve">
Page 44 of the Fy23 4E</t>
        </r>
      </text>
    </comment>
    <comment ref="CZ1048" authorId="1" shapeId="0" xr:uid="{C481AA68-2E91-429B-8983-3E830F97A27A}">
      <text>
        <r>
          <rPr>
            <b/>
            <sz val="9"/>
            <color indexed="81"/>
            <rFont val="Tahoma"/>
            <family val="2"/>
          </rPr>
          <t>Hong, Sally (Research):</t>
        </r>
        <r>
          <rPr>
            <sz val="9"/>
            <color indexed="81"/>
            <rFont val="Tahoma"/>
            <family val="2"/>
          </rPr>
          <t xml:space="preserve">
Page 37 1H24 4D</t>
        </r>
      </text>
    </comment>
    <comment ref="DA1053" authorId="3" shapeId="0" xr:uid="{9F124E3B-F4D1-48DF-8022-4E8A0B2D21E0}">
      <text>
        <r>
          <rPr>
            <b/>
            <sz val="9"/>
            <color indexed="81"/>
            <rFont val="Tahoma"/>
            <family val="2"/>
          </rPr>
          <t>Wiles, Richard (Research):</t>
        </r>
        <r>
          <rPr>
            <sz val="9"/>
            <color indexed="81"/>
            <rFont val="Tahoma"/>
            <family val="2"/>
          </rPr>
          <t xml:space="preserve">
A$2bn buyback deducted from level 2 capital when announced 1t 1H25 result as cash is transferred from bank (level 2) to ANZGHL. ANZGHL equity is reduced as buyback occurs.</t>
        </r>
      </text>
    </comment>
    <comment ref="DD1053" authorId="3" shapeId="0" xr:uid="{E5B19D70-5795-4E15-B539-BB4E12D0F953}">
      <text>
        <r>
          <rPr>
            <b/>
            <sz val="9"/>
            <color indexed="81"/>
            <rFont val="Tahoma"/>
            <family val="2"/>
          </rPr>
          <t>Wiles, Richard (Research):</t>
        </r>
        <r>
          <rPr>
            <sz val="9"/>
            <color indexed="81"/>
            <rFont val="Tahoma"/>
            <family val="2"/>
          </rPr>
          <t xml:space="preserve">
A$2bn buyback deducted from level 2 capital when announced 1t 1H25 result as cash is transferred from bank (level 2) to ANZGHL. ANZGHL equity is reduced as buyback occurs.</t>
        </r>
      </text>
    </comment>
    <comment ref="DE1053" authorId="3" shapeId="0" xr:uid="{999818EA-4BE0-48C3-AF8A-41D2BF0D210B}">
      <text>
        <r>
          <rPr>
            <b/>
            <sz val="9"/>
            <color indexed="81"/>
            <rFont val="Tahoma"/>
            <family val="2"/>
          </rPr>
          <t>Wiles, Richard (Research):</t>
        </r>
        <r>
          <rPr>
            <sz val="9"/>
            <color indexed="81"/>
            <rFont val="Tahoma"/>
            <family val="2"/>
          </rPr>
          <t xml:space="preserve">
</t>
        </r>
        <r>
          <rPr>
            <b/>
            <sz val="9"/>
            <color indexed="81"/>
            <rFont val="Tahoma"/>
            <family val="2"/>
          </rPr>
          <t xml:space="preserve">Current
</t>
        </r>
        <r>
          <rPr>
            <sz val="9"/>
            <color indexed="81"/>
            <rFont val="Tahoma"/>
            <family val="2"/>
          </rPr>
          <t xml:space="preserve">Buyback cancelled on stategy update on 13/10/25. Return +17bp CET1 to the bank
</t>
        </r>
        <r>
          <rPr>
            <b/>
            <sz val="9"/>
            <color indexed="81"/>
            <rFont val="Tahoma"/>
            <family val="2"/>
          </rPr>
          <t>Previous</t>
        </r>
        <r>
          <rPr>
            <sz val="9"/>
            <color indexed="81"/>
            <rFont val="Tahoma"/>
            <family val="2"/>
          </rPr>
          <t xml:space="preserve">
A$2bn buyback deducted from level 2 capital when announced 1t 1H25 result as cash is transferred from bank (level 2) to ANZGHL. ANZGHL equity is reduced as buyback occurs.
</t>
        </r>
        <r>
          <rPr>
            <b/>
            <sz val="9"/>
            <color indexed="81"/>
            <rFont val="Tahoma"/>
            <family val="2"/>
          </rPr>
          <t xml:space="preserve">How the Formula Works:
</t>
        </r>
        <r>
          <rPr>
            <sz val="9"/>
            <color indexed="81"/>
            <rFont val="Tahoma"/>
            <family val="2"/>
          </rPr>
          <t>Total Buyback Announced  less Cumulative Bought Back</t>
        </r>
      </text>
    </comment>
    <comment ref="DE1054" authorId="1" shapeId="0" xr:uid="{C6837677-74B0-4480-B918-337AFCE1933D}">
      <text>
        <r>
          <rPr>
            <b/>
            <sz val="9"/>
            <color indexed="81"/>
            <rFont val="Tahoma"/>
            <family val="2"/>
          </rPr>
          <t>Hong, Sally (Research):</t>
        </r>
        <r>
          <rPr>
            <sz val="9"/>
            <color indexed="81"/>
            <rFont val="Tahoma"/>
            <family val="2"/>
          </rPr>
          <t xml:space="preserve">
Strategy update 13/10/25: Return of A$200m of surplis Capital from the NOHC to the Bank</t>
        </r>
      </text>
    </comment>
    <comment ref="DH1055" authorId="1" shapeId="0" xr:uid="{46CEB252-BB11-4D41-A804-E99215A4FE58}">
      <text>
        <r>
          <rPr>
            <b/>
            <sz val="9"/>
            <color indexed="81"/>
            <rFont val="Tahoma"/>
            <family val="2"/>
          </rPr>
          <t>Hong, Sally (Research):</t>
        </r>
        <r>
          <rPr>
            <sz val="9"/>
            <color indexed="81"/>
            <rFont val="Tahoma"/>
            <family val="2"/>
          </rPr>
          <t xml:space="preserve">
Strategy update 13/10/25: Return of A$200m of surplis Capital from the NOHC to the Bank + Cancel the outstandign buyback of A$1bn</t>
        </r>
      </text>
    </comment>
    <comment ref="CS1059" authorId="3" shapeId="0" xr:uid="{64262F05-D271-49AC-BEDA-01AC32569A2D}">
      <text>
        <r>
          <rPr>
            <b/>
            <sz val="9"/>
            <color indexed="81"/>
            <rFont val="Tahoma"/>
            <family val="2"/>
          </rPr>
          <t>Wiles, Richard (Research):</t>
        </r>
        <r>
          <rPr>
            <sz val="9"/>
            <color indexed="81"/>
            <rFont val="Tahoma"/>
            <family val="2"/>
          </rPr>
          <t xml:space="preserve">
Page 84 of the FY22 Results 4E:
Share issue of $3497m
</t>
        </r>
        <r>
          <rPr>
            <b/>
            <sz val="9"/>
            <color indexed="81"/>
            <rFont val="Tahoma"/>
            <family val="2"/>
          </rPr>
          <t>19 August 2022:</t>
        </r>
        <r>
          <rPr>
            <sz val="9"/>
            <color indexed="81"/>
            <rFont val="Tahoma"/>
            <family val="2"/>
          </rPr>
          <t xml:space="preserve">
36.4m shares sold in retail shortfal bookbill priced at $23 = $4.10 premium of $18.90 offer 
</t>
        </r>
        <r>
          <rPr>
            <b/>
            <sz val="9"/>
            <color indexed="81"/>
            <rFont val="Tahoma"/>
            <family val="2"/>
          </rPr>
          <t>18 August 2022:</t>
        </r>
        <r>
          <rPr>
            <sz val="9"/>
            <color indexed="81"/>
            <rFont val="Tahoma"/>
            <family val="2"/>
          </rPr>
          <t xml:space="preserve">
Retail Entitlement offer 60.8m shares x $18.90  = $1.15bn (64% taken up)
</t>
        </r>
        <r>
          <rPr>
            <b/>
            <sz val="9"/>
            <color indexed="81"/>
            <rFont val="Tahoma"/>
            <family val="2"/>
          </rPr>
          <t xml:space="preserve">21 July 2022:
</t>
        </r>
        <r>
          <rPr>
            <sz val="9"/>
            <color indexed="81"/>
            <rFont val="Tahoma"/>
            <family val="2"/>
          </rPr>
          <t xml:space="preserve">Institutional offer raised $1.7bn issuing 89m new shares (95% taken up)
Not taken up insto offer was $21.65, $2.75 above $18.90 offer
</t>
        </r>
        <r>
          <rPr>
            <b/>
            <sz val="9"/>
            <color indexed="81"/>
            <rFont val="Tahoma"/>
            <family val="2"/>
          </rPr>
          <t>Previous</t>
        </r>
        <r>
          <rPr>
            <sz val="9"/>
            <color indexed="81"/>
            <rFont val="Tahoma"/>
            <family val="2"/>
          </rPr>
          <t xml:space="preserve">
A$3.5bn rights issue at A$18.90 per share</t>
        </r>
      </text>
    </comment>
    <comment ref="BY1060" authorId="0" shapeId="0" xr:uid="{00000000-0006-0000-0400-0000A7010000}">
      <text>
        <r>
          <rPr>
            <b/>
            <sz val="9"/>
            <color indexed="81"/>
            <rFont val="Tahoma"/>
            <family val="2"/>
          </rPr>
          <t>O'Neill, Emilie (Research):</t>
        </r>
        <r>
          <rPr>
            <sz val="9"/>
            <color indexed="81"/>
            <rFont val="Tahoma"/>
            <family val="2"/>
          </rPr>
          <t xml:space="preserve">
Restated 1H18</t>
        </r>
      </text>
    </comment>
    <comment ref="CC1060" authorId="0" shapeId="0" xr:uid="{00000000-0006-0000-0400-0000A8010000}">
      <text>
        <r>
          <rPr>
            <b/>
            <sz val="9"/>
            <color indexed="81"/>
            <rFont val="Tahoma"/>
            <family val="2"/>
          </rPr>
          <t>O'Neill, Emilie (Research):</t>
        </r>
        <r>
          <rPr>
            <sz val="9"/>
            <color indexed="81"/>
            <rFont val="Tahoma"/>
            <family val="2"/>
          </rPr>
          <t xml:space="preserve">
Adjusted 1H19</t>
        </r>
      </text>
    </comment>
    <comment ref="CF1060" authorId="0" shapeId="0" xr:uid="{00000000-0006-0000-0400-0000A9010000}">
      <text>
        <r>
          <rPr>
            <b/>
            <sz val="9"/>
            <color indexed="81"/>
            <rFont val="Tahoma"/>
            <family val="2"/>
          </rPr>
          <t>O'Neill, Emilie (Research):</t>
        </r>
        <r>
          <rPr>
            <sz val="9"/>
            <color indexed="81"/>
            <rFont val="Tahoma"/>
            <family val="2"/>
          </rPr>
          <t xml:space="preserve">
As per comment 1 on condensed consolidated statement of changes in equity on pg 85 1H19 4E</t>
        </r>
      </text>
    </comment>
    <comment ref="CK1060" authorId="3" shapeId="0" xr:uid="{00000000-0006-0000-0400-0000AA010000}">
      <text>
        <r>
          <rPr>
            <b/>
            <sz val="9"/>
            <color indexed="81"/>
            <rFont val="Tahoma"/>
            <family val="2"/>
          </rPr>
          <t>Wiles, Richard (Research):</t>
        </r>
        <r>
          <rPr>
            <sz val="9"/>
            <color indexed="81"/>
            <rFont val="Tahoma"/>
            <family val="2"/>
          </rPr>
          <t xml:space="preserve">
3.4m shares for DRP on 1H20 interim div</t>
        </r>
      </text>
    </comment>
    <comment ref="CS1060" authorId="1" shapeId="0" xr:uid="{445272E0-3420-41FC-B355-38811EB1BF5E}">
      <text>
        <r>
          <rPr>
            <b/>
            <sz val="9"/>
            <color indexed="81"/>
            <rFont val="Tahoma"/>
            <family val="2"/>
          </rPr>
          <t>Hong, Sally (Research):</t>
        </r>
        <r>
          <rPr>
            <sz val="9"/>
            <color indexed="81"/>
            <rFont val="Tahoma"/>
            <family val="2"/>
          </rPr>
          <t xml:space="preserve">
Page 84 of the FY22 Reuslts 4E;… DRP +$183m</t>
        </r>
      </text>
    </comment>
    <comment ref="CC1061" authorId="0" shapeId="0" xr:uid="{00000000-0006-0000-0400-0000AB010000}">
      <text>
        <r>
          <rPr>
            <b/>
            <sz val="9"/>
            <color indexed="81"/>
            <rFont val="Tahoma"/>
            <family val="2"/>
          </rPr>
          <t>O'Neill, Emilie (Research):</t>
        </r>
        <r>
          <rPr>
            <sz val="9"/>
            <color indexed="81"/>
            <rFont val="Tahoma"/>
            <family val="2"/>
          </rPr>
          <t xml:space="preserve">
Adjusted 1H19</t>
        </r>
      </text>
    </comment>
    <comment ref="CO1061" authorId="3" shapeId="0" xr:uid="{00000000-0006-0000-0400-0000AC010000}">
      <text>
        <r>
          <rPr>
            <b/>
            <sz val="9"/>
            <color indexed="81"/>
            <rFont val="Tahoma"/>
            <family val="2"/>
          </rPr>
          <t>Wiles, Richard (Research):</t>
        </r>
        <r>
          <rPr>
            <sz val="9"/>
            <color indexed="81"/>
            <rFont val="Tahoma"/>
            <family val="2"/>
          </rPr>
          <t xml:space="preserve">
refer FY21 p102</t>
        </r>
      </text>
    </comment>
    <comment ref="CB1062" authorId="5" shapeId="0" xr:uid="{00000000-0006-0000-0400-0000AD010000}">
      <text>
        <r>
          <rPr>
            <b/>
            <sz val="9"/>
            <color indexed="81"/>
            <rFont val="Tahoma"/>
            <family val="2"/>
          </rPr>
          <t>Stadnik, Andrei (Research):</t>
        </r>
        <r>
          <rPr>
            <sz val="9"/>
            <color indexed="81"/>
            <rFont val="Tahoma"/>
            <family val="2"/>
          </rPr>
          <t xml:space="preserve">
split the buyback into buying the DRP vs genuine buyback</t>
        </r>
      </text>
    </comment>
    <comment ref="CR1062" authorId="3" shapeId="0" xr:uid="{00000000-0006-0000-0400-0000AE010000}">
      <text>
        <r>
          <rPr>
            <b/>
            <sz val="9"/>
            <color indexed="81"/>
            <rFont val="Tahoma"/>
            <family val="2"/>
          </rPr>
          <t>Wiles, Richard (Research):</t>
        </r>
        <r>
          <rPr>
            <sz val="9"/>
            <color indexed="81"/>
            <rFont val="Tahoma"/>
            <family val="2"/>
          </rPr>
          <t xml:space="preserve">
completion of A$1.5bn buyback (refer page 81) .. A$846m in 1H22</t>
        </r>
      </text>
    </comment>
    <comment ref="CB1063" authorId="5" shapeId="0" xr:uid="{00000000-0006-0000-0400-0000AF010000}">
      <text>
        <r>
          <rPr>
            <b/>
            <sz val="9"/>
            <color indexed="81"/>
            <rFont val="Tahoma"/>
            <family val="2"/>
          </rPr>
          <t>Stadnik, Andrei (Research):</t>
        </r>
        <r>
          <rPr>
            <sz val="9"/>
            <color indexed="81"/>
            <rFont val="Tahoma"/>
            <family val="2"/>
          </rPr>
          <t xml:space="preserve">
treas shares for Wealth Australia (one-off) and group empl share acquistn shceme</t>
        </r>
      </text>
    </comment>
    <comment ref="CF1063" authorId="0" shapeId="0" xr:uid="{00000000-0006-0000-0400-0000B0010000}">
      <text>
        <r>
          <rPr>
            <b/>
            <sz val="9"/>
            <color indexed="81"/>
            <rFont val="Tahoma"/>
            <family val="2"/>
          </rPr>
          <t>O'Neill, Emilie (Research):</t>
        </r>
        <r>
          <rPr>
            <sz val="9"/>
            <color indexed="81"/>
            <rFont val="Tahoma"/>
            <family val="2"/>
          </rPr>
          <t xml:space="preserve">
Group employee share acquisition scheme</t>
        </r>
      </text>
    </comment>
    <comment ref="CG1063" authorId="3" shapeId="0" xr:uid="{00000000-0006-0000-0400-0000B1010000}">
      <text>
        <r>
          <rPr>
            <b/>
            <sz val="9"/>
            <color indexed="81"/>
            <rFont val="Tahoma"/>
            <family val="2"/>
          </rPr>
          <t>Wiles, Richard (Research):</t>
        </r>
        <r>
          <rPr>
            <sz val="9"/>
            <color indexed="81"/>
            <rFont val="Tahoma"/>
            <family val="2"/>
          </rPr>
          <t xml:space="preserve">
Treasury Shares Wealth Australia discontinued opeartions adjustment (Fy19 page 88)</t>
        </r>
      </text>
    </comment>
    <comment ref="CJ1064" authorId="6" shapeId="0" xr:uid="{00000000-0006-0000-0400-0000B2010000}">
      <text>
        <r>
          <rPr>
            <b/>
            <sz val="9"/>
            <color indexed="81"/>
            <rFont val="Tahoma"/>
            <family val="2"/>
          </rPr>
          <t>Fernandes, Sona F (Research):</t>
        </r>
        <r>
          <rPr>
            <sz val="9"/>
            <color indexed="81"/>
            <rFont val="Tahoma"/>
            <family val="2"/>
          </rPr>
          <t xml:space="preserve">
Group employee acquisition scheme</t>
        </r>
      </text>
    </comment>
    <comment ref="CS1064" authorId="3" shapeId="0" xr:uid="{56259923-C174-4181-9DC1-03BB639DD663}">
      <text>
        <r>
          <rPr>
            <b/>
            <sz val="9"/>
            <color indexed="81"/>
            <rFont val="Tahoma"/>
            <family val="2"/>
          </rPr>
          <t>Wiles, Richard (Research):</t>
        </r>
        <r>
          <rPr>
            <sz val="9"/>
            <color indexed="81"/>
            <rFont val="Tahoma"/>
            <family val="2"/>
          </rPr>
          <t xml:space="preserve">
includes A$50m pre tax of issue costs</t>
        </r>
      </text>
    </comment>
    <comment ref="CZ1075" authorId="1" shapeId="0" xr:uid="{142BEE2D-E4DB-445D-8FF8-E1AA35F4C94E}">
      <text>
        <r>
          <rPr>
            <b/>
            <sz val="9"/>
            <color indexed="81"/>
            <rFont val="Tahoma"/>
            <family val="2"/>
          </rPr>
          <t>Hong, Sally (Research):</t>
        </r>
        <r>
          <rPr>
            <sz val="9"/>
            <color indexed="81"/>
            <rFont val="Tahoma"/>
            <family val="2"/>
          </rPr>
          <t xml:space="preserve">
Agrees with Footnote 3 in 1H24 4D</t>
        </r>
      </text>
    </comment>
    <comment ref="CS1076" authorId="1" shapeId="0" xr:uid="{BDBD5AE7-32C4-4D8E-8339-A216FD1619FC}">
      <text>
        <r>
          <rPr>
            <b/>
            <sz val="9"/>
            <color indexed="81"/>
            <rFont val="Tahoma"/>
            <family val="2"/>
          </rPr>
          <t>Hong, Sally (Research):</t>
        </r>
        <r>
          <rPr>
            <sz val="9"/>
            <color indexed="81"/>
            <rFont val="Tahoma"/>
            <family val="2"/>
          </rPr>
          <t xml:space="preserve">
Agrres with Page 41 of the Fy22 Results 4E</t>
        </r>
      </text>
    </comment>
    <comment ref="CW1076" authorId="1" shapeId="0" xr:uid="{2269A66F-6478-4C3A-82DA-AB446ACFE2E7}">
      <text>
        <r>
          <rPr>
            <b/>
            <sz val="9"/>
            <color indexed="81"/>
            <rFont val="Tahoma"/>
            <family val="2"/>
          </rPr>
          <t>Hong, Sally (Research):</t>
        </r>
        <r>
          <rPr>
            <sz val="9"/>
            <color indexed="81"/>
            <rFont val="Tahoma"/>
            <family val="2"/>
          </rPr>
          <t xml:space="preserve">
agrees with Page 11 of FY23 Result 4E footnote 4</t>
        </r>
      </text>
    </comment>
    <comment ref="BI1083" authorId="4" shapeId="0" xr:uid="{00000000-0006-0000-0400-0000B3010000}">
      <text>
        <r>
          <rPr>
            <b/>
            <sz val="8"/>
            <color indexed="81"/>
            <rFont val="Tahoma"/>
            <family val="2"/>
          </rPr>
          <t>Dunger:</t>
        </r>
        <r>
          <rPr>
            <sz val="8"/>
            <color indexed="81"/>
            <rFont val="Tahoma"/>
            <family val="2"/>
          </rPr>
          <t xml:space="preserve">
FCTR of $1,706m</t>
        </r>
      </text>
    </comment>
    <comment ref="BL1083" authorId="4" shapeId="0" xr:uid="{00000000-0006-0000-0400-0000B4010000}">
      <text>
        <r>
          <rPr>
            <b/>
            <sz val="8"/>
            <color indexed="81"/>
            <rFont val="Tahoma"/>
            <family val="2"/>
          </rPr>
          <t>Dunger:</t>
        </r>
        <r>
          <rPr>
            <sz val="8"/>
            <color indexed="81"/>
            <rFont val="Tahoma"/>
            <family val="2"/>
          </rPr>
          <t xml:space="preserve">
FCTR of $1,706m</t>
        </r>
      </text>
    </comment>
    <comment ref="BM1083" authorId="2" shapeId="0" xr:uid="{00000000-0006-0000-0400-0000B5010000}">
      <text>
        <r>
          <rPr>
            <b/>
            <sz val="9"/>
            <color indexed="81"/>
            <rFont val="Tahoma"/>
            <family val="2"/>
          </rPr>
          <t>Dunger, Matt (Research):</t>
        </r>
        <r>
          <rPr>
            <sz val="9"/>
            <color indexed="81"/>
            <rFont val="Tahoma"/>
            <family val="2"/>
          </rPr>
          <t xml:space="preserve">
Transfers to P&amp;L</t>
        </r>
      </text>
    </comment>
    <comment ref="BP1083" authorId="2" shapeId="0" xr:uid="{00000000-0006-0000-0400-0000B6010000}">
      <text>
        <r>
          <rPr>
            <b/>
            <sz val="9"/>
            <color indexed="81"/>
            <rFont val="Tahoma"/>
            <family val="2"/>
          </rPr>
          <t>Dunger, Matt (Research):</t>
        </r>
        <r>
          <rPr>
            <sz val="9"/>
            <color indexed="81"/>
            <rFont val="Tahoma"/>
            <family val="2"/>
          </rPr>
          <t xml:space="preserve">
FCTR of $2,174m</t>
        </r>
      </text>
    </comment>
    <comment ref="BU1084" authorId="2" shapeId="0" xr:uid="{00000000-0006-0000-0400-0000B7010000}">
      <text>
        <r>
          <rPr>
            <b/>
            <sz val="9"/>
            <color indexed="81"/>
            <rFont val="Tahoma"/>
            <family val="2"/>
          </rPr>
          <t>Dunger, Matt (Research):</t>
        </r>
        <r>
          <rPr>
            <sz val="9"/>
            <color indexed="81"/>
            <rFont val="Tahoma"/>
            <family val="2"/>
          </rPr>
          <t xml:space="preserve">
swing in FCTR</t>
        </r>
      </text>
    </comment>
    <comment ref="BP1089" authorId="2" shapeId="0" xr:uid="{00000000-0006-0000-0400-0000B8010000}">
      <text>
        <r>
          <rPr>
            <b/>
            <sz val="9"/>
            <color indexed="81"/>
            <rFont val="Tahoma"/>
            <family val="2"/>
          </rPr>
          <t>Dunger, Matt (Research):</t>
        </r>
        <r>
          <rPr>
            <sz val="9"/>
            <color indexed="81"/>
            <rFont val="Tahoma"/>
            <family val="2"/>
          </rPr>
          <t xml:space="preserve">
pref shares bought back</t>
        </r>
      </text>
    </comment>
    <comment ref="CS1102" authorId="3" shapeId="0" xr:uid="{AD7ACDAB-FBC2-4410-888F-2D1A229CBED9}">
      <text>
        <r>
          <rPr>
            <b/>
            <sz val="9"/>
            <color indexed="81"/>
            <rFont val="Tahoma"/>
            <family val="2"/>
          </rPr>
          <t xml:space="preserve">Wiles, Richard (Research):
</t>
        </r>
        <r>
          <rPr>
            <sz val="9"/>
            <color indexed="81"/>
            <rFont val="Tahoma"/>
            <family val="2"/>
          </rPr>
          <t xml:space="preserve">
See Page 98 of the FY22 Results 4E
</t>
        </r>
        <r>
          <rPr>
            <b/>
            <sz val="9"/>
            <color indexed="81"/>
            <rFont val="Tahoma"/>
            <family val="2"/>
          </rPr>
          <t>19 Aug 2022:</t>
        </r>
        <r>
          <rPr>
            <sz val="9"/>
            <color indexed="81"/>
            <rFont val="Tahoma"/>
            <family val="2"/>
          </rPr>
          <t xml:space="preserve">
Retail shortfall = 36.4m shares x 18.90 per share = $687m --&gt; Cleared at $23 per share with $4.10 premium paid to retail shareholders who didn't take up entitement/ineligible retail shareholders on 1 Sep 2022</t>
        </r>
        <r>
          <rPr>
            <b/>
            <sz val="9"/>
            <color indexed="81"/>
            <rFont val="Tahoma"/>
            <family val="2"/>
          </rPr>
          <t xml:space="preserve">
18 Aug 2022:
</t>
        </r>
        <r>
          <rPr>
            <sz val="9"/>
            <color indexed="81"/>
            <rFont val="Tahoma"/>
            <family val="2"/>
          </rPr>
          <t xml:space="preserve">Retail Entitlement Offer = 60.8m shares x $18.90 per share = $1.15bn
</t>
        </r>
        <r>
          <rPr>
            <b/>
            <sz val="9"/>
            <color indexed="81"/>
            <rFont val="Tahoma"/>
            <family val="2"/>
          </rPr>
          <t xml:space="preserve">
21 July 2022:
</t>
        </r>
        <r>
          <rPr>
            <sz val="9"/>
            <color indexed="81"/>
            <rFont val="Tahoma"/>
            <family val="2"/>
          </rPr>
          <t xml:space="preserve">Instituitional Entitelement Offer = 89m shares x 18.90 = $1.7bn
Total shares = 36.4+60.8+89 = 186.2
</t>
        </r>
        <r>
          <rPr>
            <b/>
            <sz val="9"/>
            <color indexed="81"/>
            <rFont val="Tahoma"/>
            <family val="2"/>
          </rPr>
          <t xml:space="preserve">
Previous
</t>
        </r>
        <r>
          <rPr>
            <sz val="9"/>
            <color indexed="81"/>
            <rFont val="Tahoma"/>
            <family val="2"/>
          </rPr>
          <t xml:space="preserve">
1 for 15 rights issue at A$18.90 per share = 2802/15 = 186.8</t>
        </r>
      </text>
    </comment>
    <comment ref="CB1104" authorId="0" shapeId="0" xr:uid="{00000000-0006-0000-0400-0000B9010000}">
      <text>
        <r>
          <rPr>
            <b/>
            <sz val="9"/>
            <color indexed="81"/>
            <rFont val="Tahoma"/>
            <family val="2"/>
          </rPr>
          <t>O'Neill, Emilie (Research):</t>
        </r>
        <r>
          <rPr>
            <sz val="9"/>
            <color indexed="81"/>
            <rFont val="Tahoma"/>
            <family val="2"/>
          </rPr>
          <t xml:space="preserve">
Note 1 on pg 104</t>
        </r>
      </text>
    </comment>
    <comment ref="CB1105" authorId="0" shapeId="0" xr:uid="{00000000-0006-0000-0400-0000BA010000}">
      <text>
        <r>
          <rPr>
            <b/>
            <sz val="9"/>
            <color indexed="81"/>
            <rFont val="Tahoma"/>
            <family val="2"/>
          </rPr>
          <t>O'Neill, Emilie (Research):</t>
        </r>
        <r>
          <rPr>
            <sz val="9"/>
            <color indexed="81"/>
            <rFont val="Tahoma"/>
            <family val="2"/>
          </rPr>
          <t xml:space="preserve">
Note 1 on pg 104</t>
        </r>
      </text>
    </comment>
    <comment ref="CC1105" authorId="0" shapeId="0" xr:uid="{00000000-0006-0000-0400-0000BB010000}">
      <text>
        <r>
          <rPr>
            <b/>
            <sz val="9"/>
            <color indexed="81"/>
            <rFont val="Tahoma"/>
            <family val="2"/>
          </rPr>
          <t>O'Neill, Emilie (Research):</t>
        </r>
        <r>
          <rPr>
            <sz val="9"/>
            <color indexed="81"/>
            <rFont val="Tahoma"/>
            <family val="2"/>
          </rPr>
          <t xml:space="preserve">
26.6 m shares cancelled from buyback as per notes on page 84</t>
        </r>
      </text>
    </comment>
    <comment ref="CF1105" authorId="0" shapeId="0" xr:uid="{00000000-0006-0000-0400-0000BC010000}">
      <text>
        <r>
          <rPr>
            <b/>
            <sz val="9"/>
            <color indexed="81"/>
            <rFont val="Tahoma"/>
            <family val="2"/>
          </rPr>
          <t>O'Neill, Emilie (Research):</t>
        </r>
        <r>
          <rPr>
            <sz val="9"/>
            <color indexed="81"/>
            <rFont val="Tahoma"/>
            <family val="2"/>
          </rPr>
          <t xml:space="preserve">
Note on shareholders equity issued and quoted securities… buyback resulted in 42 m of ANZ shares being cancelled</t>
        </r>
      </text>
    </comment>
    <comment ref="CJ1105" authorId="0" shapeId="0" xr:uid="{00000000-0006-0000-0400-0000BD010000}">
      <text>
        <r>
          <rPr>
            <b/>
            <sz val="9"/>
            <color indexed="81"/>
            <rFont val="Tahoma"/>
            <family val="2"/>
          </rPr>
          <t>O'Neill, Emilie (Research):</t>
        </r>
        <r>
          <rPr>
            <sz val="9"/>
            <color indexed="81"/>
            <rFont val="Tahoma"/>
            <family val="2"/>
          </rPr>
          <t xml:space="preserve">
Note on shareholders equity issued and quoted securities… buyback resulted in 42 m of ANZ shares being cancelled</t>
        </r>
      </text>
    </comment>
    <comment ref="CC1106" authorId="0" shapeId="0" xr:uid="{00000000-0006-0000-0400-0000BE010000}">
      <text>
        <r>
          <rPr>
            <b/>
            <sz val="9"/>
            <color indexed="81"/>
            <rFont val="Tahoma"/>
            <family val="2"/>
          </rPr>
          <t>O'Neill, Emilie (Research):</t>
        </r>
        <r>
          <rPr>
            <sz val="9"/>
            <color indexed="81"/>
            <rFont val="Tahoma"/>
            <family val="2"/>
          </rPr>
          <t xml:space="preserve">
1.4m issued under BOP pg 101</t>
        </r>
      </text>
    </comment>
    <comment ref="CF1106" authorId="0" shapeId="0" xr:uid="{00000000-0006-0000-0400-0000BF010000}">
      <text>
        <r>
          <rPr>
            <b/>
            <sz val="9"/>
            <color indexed="81"/>
            <rFont val="Tahoma"/>
            <family val="2"/>
          </rPr>
          <t>O'Neill, Emilie (Research):</t>
        </r>
        <r>
          <rPr>
            <sz val="9"/>
            <color indexed="81"/>
            <rFont val="Tahoma"/>
            <family val="2"/>
          </rPr>
          <t xml:space="preserve">
BOP: Bonus Option Plan as per note 1 in note 15. Shareholders equity</t>
        </r>
      </text>
    </comment>
    <comment ref="CG1106" authorId="0" shapeId="0" xr:uid="{00000000-0006-0000-0400-0000C0010000}">
      <text>
        <r>
          <rPr>
            <b/>
            <sz val="9"/>
            <color indexed="81"/>
            <rFont val="Tahoma"/>
            <family val="2"/>
          </rPr>
          <t>Wiles (Research):</t>
        </r>
        <r>
          <rPr>
            <sz val="9"/>
            <color indexed="81"/>
            <rFont val="Tahoma"/>
            <family val="2"/>
          </rPr>
          <t xml:space="preserve">
1.4m issued under BOP pg 10 FY19</t>
        </r>
      </text>
    </comment>
    <comment ref="CJ1106" authorId="0" shapeId="0" xr:uid="{00000000-0006-0000-0400-0000C1010000}">
      <text>
        <r>
          <rPr>
            <b/>
            <sz val="9"/>
            <color indexed="81"/>
            <rFont val="Tahoma"/>
            <family val="2"/>
          </rPr>
          <t>O'Neill, Emilie (Research):</t>
        </r>
        <r>
          <rPr>
            <sz val="9"/>
            <color indexed="81"/>
            <rFont val="Tahoma"/>
            <family val="2"/>
          </rPr>
          <t xml:space="preserve">
BOP: Bonus Option Plan as per note 1 in note 15. Shareholders equity</t>
        </r>
      </text>
    </comment>
    <comment ref="CS1106" authorId="1" shapeId="0" xr:uid="{90E5E9D8-C5C0-46E8-A4E7-DA4F52A37170}">
      <text>
        <r>
          <rPr>
            <b/>
            <sz val="9"/>
            <color indexed="81"/>
            <rFont val="Tahoma"/>
            <family val="2"/>
          </rPr>
          <t>Hong, Sally (Research):</t>
        </r>
        <r>
          <rPr>
            <sz val="9"/>
            <color indexed="81"/>
            <rFont val="Tahoma"/>
            <family val="2"/>
          </rPr>
          <t xml:space="preserve">
Bonus Option Plan See 98 of the FY22 4E</t>
        </r>
      </text>
    </comment>
    <comment ref="CW1107" authorId="1" shapeId="0" xr:uid="{266805A0-0742-4E51-9956-D03419E67D6F}">
      <text>
        <r>
          <rPr>
            <b/>
            <sz val="9"/>
            <color indexed="81"/>
            <rFont val="Tahoma"/>
            <family val="2"/>
          </rPr>
          <t>Hong, Sally (Research):</t>
        </r>
        <r>
          <rPr>
            <sz val="9"/>
            <color indexed="81"/>
            <rFont val="Tahoma"/>
            <family val="2"/>
          </rPr>
          <t xml:space="preserve">
No longer provided in 2H23. Need to Backsolve: 
Closing balance ex treasury shares =
 (Total shareholders equity of $69,524 less $4058 intanigble asset) / NTA per share 21.78 </t>
        </r>
      </text>
    </comment>
    <comment ref="BQ1108" authorId="2" shapeId="0" xr:uid="{00000000-0006-0000-0400-0000C2010000}">
      <text>
        <r>
          <rPr>
            <b/>
            <sz val="9"/>
            <color indexed="81"/>
            <rFont val="Tahoma"/>
            <family val="2"/>
          </rPr>
          <t>Dunger, Matt (Research):</t>
        </r>
        <r>
          <rPr>
            <sz val="9"/>
            <color indexed="81"/>
            <rFont val="Tahoma"/>
            <family val="2"/>
          </rPr>
          <t xml:space="preserve">
p104, per note 6 EPS disclosure.</t>
        </r>
      </text>
    </comment>
    <comment ref="BX1108" authorId="0" shapeId="0" xr:uid="{00000000-0006-0000-0400-0000C3010000}">
      <text>
        <r>
          <rPr>
            <b/>
            <sz val="9"/>
            <color indexed="81"/>
            <rFont val="Tahoma"/>
            <family val="2"/>
          </rPr>
          <t>O'Neill, Emilie (Research):</t>
        </r>
        <r>
          <rPr>
            <sz val="9"/>
            <color indexed="81"/>
            <rFont val="Tahoma"/>
            <family val="2"/>
          </rPr>
          <t xml:space="preserve">
estimated weighted average</t>
        </r>
      </text>
    </comment>
    <comment ref="BY1108" authorId="0" shapeId="0" xr:uid="{00000000-0006-0000-0400-0000C4010000}">
      <text>
        <r>
          <rPr>
            <b/>
            <sz val="9"/>
            <color indexed="81"/>
            <rFont val="Tahoma"/>
            <family val="2"/>
          </rPr>
          <t>O'Neill, Emilie (Research):</t>
        </r>
        <r>
          <rPr>
            <sz val="9"/>
            <color indexed="81"/>
            <rFont val="Tahoma"/>
            <family val="2"/>
          </rPr>
          <t xml:space="preserve">
estimated weighted average</t>
        </r>
      </text>
    </comment>
    <comment ref="CB1108" authorId="0" shapeId="0" xr:uid="{00000000-0006-0000-0400-0000C5010000}">
      <text>
        <r>
          <rPr>
            <b/>
            <sz val="9"/>
            <color indexed="81"/>
            <rFont val="Tahoma"/>
            <family val="2"/>
          </rPr>
          <t>O'Neill, Emilie (Research):</t>
        </r>
        <r>
          <rPr>
            <sz val="9"/>
            <color indexed="81"/>
            <rFont val="Tahoma"/>
            <family val="2"/>
          </rPr>
          <t xml:space="preserve">
estimated weighted average, but also disclosed bottom of page 88 re EPS section</t>
        </r>
      </text>
    </comment>
    <comment ref="CC1108" authorId="0" shapeId="0" xr:uid="{00000000-0006-0000-0400-0000C6010000}">
      <text>
        <r>
          <rPr>
            <b/>
            <sz val="9"/>
            <color indexed="81"/>
            <rFont val="Tahoma"/>
            <family val="2"/>
          </rPr>
          <t>O'Neill, Emilie (Research):</t>
        </r>
        <r>
          <rPr>
            <sz val="9"/>
            <color indexed="81"/>
            <rFont val="Tahoma"/>
            <family val="2"/>
          </rPr>
          <t xml:space="preserve">
Post disposal of discontinued operations, treasury shares held in Wealth will cease to be eliminated</t>
        </r>
      </text>
    </comment>
    <comment ref="CG1108" authorId="0" shapeId="0" xr:uid="{00000000-0006-0000-0400-0000C7010000}">
      <text>
        <r>
          <rPr>
            <b/>
            <sz val="9"/>
            <color indexed="81"/>
            <rFont val="Tahoma"/>
            <family val="2"/>
          </rPr>
          <t>Wiles (Research):</t>
        </r>
        <r>
          <rPr>
            <sz val="9"/>
            <color indexed="81"/>
            <rFont val="Tahoma"/>
            <family val="2"/>
          </rPr>
          <t xml:space="preserve">
Disclosed in Shareholder's Equity Note 16
lower due to Wealth Australia discontinued operations </t>
        </r>
      </text>
    </comment>
    <comment ref="CJ1108" authorId="6" shapeId="0" xr:uid="{00000000-0006-0000-0400-0000C8010000}">
      <text>
        <r>
          <rPr>
            <b/>
            <sz val="9"/>
            <color indexed="81"/>
            <rFont val="Tahoma"/>
            <family val="2"/>
          </rPr>
          <t>Fernandes, Sona F (Research):</t>
        </r>
        <r>
          <rPr>
            <sz val="9"/>
            <color indexed="81"/>
            <rFont val="Tahoma"/>
            <family val="2"/>
          </rPr>
          <t xml:space="preserve">
Note 16 Shareholder's Equity Page 118 1H20 4D</t>
        </r>
      </text>
    </comment>
    <comment ref="CW1109" authorId="1" shapeId="0" xr:uid="{5D0AD00A-7564-4070-9144-0FDE9235EBFD}">
      <text>
        <r>
          <rPr>
            <b/>
            <sz val="9"/>
            <color indexed="81"/>
            <rFont val="Tahoma"/>
            <family val="2"/>
          </rPr>
          <t>Hong, Sally (Research):</t>
        </r>
        <r>
          <rPr>
            <sz val="9"/>
            <color indexed="81"/>
            <rFont val="Tahoma"/>
            <family val="2"/>
          </rPr>
          <t xml:space="preserve">
Footnote 3 of Page 80 FY23 4E</t>
        </r>
      </text>
    </comment>
    <comment ref="CS1120" authorId="1" shapeId="0" xr:uid="{C0E7E135-3CD4-416A-A69A-98AA69A960F2}">
      <text>
        <r>
          <rPr>
            <b/>
            <sz val="9"/>
            <color indexed="81"/>
            <rFont val="Tahoma"/>
            <family val="2"/>
          </rPr>
          <t>Hong, Sally (Research):</t>
        </r>
        <r>
          <rPr>
            <sz val="9"/>
            <color indexed="81"/>
            <rFont val="Tahoma"/>
            <family val="2"/>
          </rPr>
          <t xml:space="preserve">
Page 13 of the Fy22 Results 4E</t>
        </r>
      </text>
    </comment>
    <comment ref="DD1120" authorId="1" shapeId="0" xr:uid="{9D6CDE92-A75D-4D3F-A4DD-F3DC58358B40}">
      <text>
        <r>
          <rPr>
            <b/>
            <sz val="9"/>
            <color indexed="81"/>
            <rFont val="Tahoma"/>
            <family val="2"/>
          </rPr>
          <t>Hong, Sally (Research):</t>
        </r>
        <r>
          <rPr>
            <sz val="9"/>
            <color indexed="81"/>
            <rFont val="Tahoma"/>
            <family val="2"/>
          </rPr>
          <t xml:space="preserve">
Dividend by Closing blance ex Treasury Shares</t>
        </r>
      </text>
    </comment>
    <comment ref="CW1125" authorId="1" shapeId="0" xr:uid="{9460A450-3C30-4021-BE54-90086ACD045B}">
      <text>
        <r>
          <rPr>
            <b/>
            <sz val="9"/>
            <color indexed="81"/>
            <rFont val="Tahoma"/>
            <family val="2"/>
          </rPr>
          <t>Hong, Sally (Research):</t>
        </r>
        <r>
          <rPr>
            <sz val="9"/>
            <color indexed="81"/>
            <rFont val="Tahoma"/>
            <family val="2"/>
          </rPr>
          <t xml:space="preserve">
Final Dividend of 81c, 65% franked</t>
        </r>
      </text>
    </comment>
    <comment ref="CW1126" authorId="1" shapeId="0" xr:uid="{AD7521D9-1983-4B33-AB7A-9846673E3C8E}">
      <text>
        <r>
          <rPr>
            <b/>
            <sz val="9"/>
            <color indexed="81"/>
            <rFont val="Tahoma"/>
            <family val="2"/>
          </rPr>
          <t>Hong, Sally (Research):</t>
        </r>
        <r>
          <rPr>
            <sz val="9"/>
            <color indexed="81"/>
            <rFont val="Tahoma"/>
            <family val="2"/>
          </rPr>
          <t xml:space="preserve">
Unfranked dividend of 13c</t>
        </r>
      </text>
    </comment>
    <comment ref="CW1127" authorId="1" shapeId="0" xr:uid="{6A54A514-788F-40CD-944B-AD3286635004}">
      <text>
        <r>
          <rPr>
            <b/>
            <sz val="9"/>
            <color indexed="81"/>
            <rFont val="Tahoma"/>
            <family val="2"/>
          </rPr>
          <t>Hong, Sally (Research):</t>
        </r>
        <r>
          <rPr>
            <sz val="9"/>
            <color indexed="81"/>
            <rFont val="Tahoma"/>
            <family val="2"/>
          </rPr>
          <t xml:space="preserve">
Tota FY23l Final Dividend of 94c, 56% franked</t>
        </r>
      </text>
    </comment>
    <comment ref="CS1134" authorId="1" shapeId="0" xr:uid="{354E39CC-9555-48C1-BF35-60A6DDEB694D}">
      <text>
        <r>
          <rPr>
            <b/>
            <sz val="9"/>
            <color indexed="81"/>
            <rFont val="Tahoma"/>
            <family val="2"/>
          </rPr>
          <t>Hong, Sally (Research):</t>
        </r>
        <r>
          <rPr>
            <sz val="9"/>
            <color indexed="81"/>
            <rFont val="Tahoma"/>
            <family val="2"/>
          </rPr>
          <t xml:space="preserve">
Page 41 of the FY22 Results 4E </t>
        </r>
      </text>
    </comment>
    <comment ref="CR1151" authorId="1" shapeId="0" xr:uid="{5731F4FA-6F88-4428-8F5B-F66681C34E7E}">
      <text>
        <r>
          <rPr>
            <b/>
            <sz val="9"/>
            <color indexed="81"/>
            <rFont val="Tahoma"/>
            <family val="2"/>
          </rPr>
          <t>Hong, Sally (Research):</t>
        </r>
        <r>
          <rPr>
            <sz val="9"/>
            <color indexed="81"/>
            <rFont val="Tahoma"/>
            <family val="2"/>
          </rPr>
          <t xml:space="preserve">
Changed from 20% to 15% to bring it in line with CBA's reported long run average of 13%</t>
        </r>
      </text>
    </comment>
    <comment ref="CS1151" authorId="1" shapeId="0" xr:uid="{7729E89F-FB47-4298-B043-6096CBB95AF9}">
      <text>
        <r>
          <rPr>
            <b/>
            <sz val="9"/>
            <color indexed="81"/>
            <rFont val="Tahoma"/>
            <family val="2"/>
          </rPr>
          <t>Hong, Sally (Research):</t>
        </r>
        <r>
          <rPr>
            <sz val="9"/>
            <color indexed="81"/>
            <rFont val="Tahoma"/>
            <family val="2"/>
          </rPr>
          <t xml:space="preserve">
Slide 35 of the FY22 Results 4E Long Run Loan loss rate = 19bp … but adjusted downward to be in line with peers</t>
        </r>
      </text>
    </comment>
    <comment ref="BM1170" authorId="2" shapeId="0" xr:uid="{00000000-0006-0000-0400-0000C9010000}">
      <text>
        <r>
          <rPr>
            <b/>
            <sz val="9"/>
            <color indexed="81"/>
            <rFont val="Tahoma"/>
            <family val="2"/>
          </rPr>
          <t>Dunger, Matt (Research):</t>
        </r>
        <r>
          <rPr>
            <sz val="9"/>
            <color indexed="81"/>
            <rFont val="Tahoma"/>
            <family val="2"/>
          </rPr>
          <t xml:space="preserve">
Per Cameron Davis, IR: A large insto holder didn't participate plus Medibank tapped the retail market.</t>
        </r>
      </text>
    </comment>
    <comment ref="BP1170" authorId="2" shapeId="0" xr:uid="{00000000-0006-0000-0400-0000CA010000}">
      <text>
        <r>
          <rPr>
            <b/>
            <sz val="9"/>
            <color indexed="81"/>
            <rFont val="Tahoma"/>
            <family val="2"/>
          </rPr>
          <t>Dunger, Matt (Research):</t>
        </r>
        <r>
          <rPr>
            <sz val="9"/>
            <color indexed="81"/>
            <rFont val="Tahoma"/>
            <family val="2"/>
          </rPr>
          <t xml:space="preserve">
App 3B, 3 July
at a 1.5% discount</t>
        </r>
      </text>
    </comment>
    <comment ref="BQ1170" authorId="2" shapeId="0" xr:uid="{00000000-0006-0000-0400-0000CB010000}">
      <text>
        <r>
          <rPr>
            <b/>
            <sz val="9"/>
            <color indexed="81"/>
            <rFont val="Tahoma"/>
            <family val="2"/>
          </rPr>
          <t>Dunger, Matt (Research):</t>
        </r>
        <r>
          <rPr>
            <sz val="9"/>
            <color indexed="81"/>
            <rFont val="Tahoma"/>
            <family val="2"/>
          </rPr>
          <t xml:space="preserve">
App 3B, 3 July
at a 1.5% discount</t>
        </r>
      </text>
    </comment>
    <comment ref="BY1170" authorId="5" shapeId="0" xr:uid="{00000000-0006-0000-0400-0000CC010000}">
      <text>
        <r>
          <rPr>
            <b/>
            <sz val="9"/>
            <color indexed="81"/>
            <rFont val="Tahoma"/>
            <family val="2"/>
          </rPr>
          <t>Stadnik, Andrei (Research):</t>
        </r>
        <r>
          <rPr>
            <sz val="9"/>
            <color indexed="81"/>
            <rFont val="Tahoma"/>
            <family val="2"/>
          </rPr>
          <t xml:space="preserve">
back solved via the $192m</t>
        </r>
      </text>
    </comment>
    <comment ref="CC1170" authorId="0" shapeId="0" xr:uid="{00000000-0006-0000-0400-0000CD010000}">
      <text>
        <r>
          <rPr>
            <b/>
            <sz val="9"/>
            <color indexed="81"/>
            <rFont val="Tahoma"/>
            <family val="2"/>
          </rPr>
          <t>O'Neill, Emilie (Research):</t>
        </r>
        <r>
          <rPr>
            <sz val="9"/>
            <color indexed="81"/>
            <rFont val="Tahoma"/>
            <family val="2"/>
          </rPr>
          <t xml:space="preserve">
8.7% as per back calculating from the DRP nuetralisation announcement on 16th Nov 2018.</t>
        </r>
      </text>
    </comment>
    <comment ref="CF1170" authorId="0" shapeId="0" xr:uid="{00000000-0006-0000-0400-0000CE010000}">
      <text>
        <r>
          <rPr>
            <b/>
            <sz val="9"/>
            <color indexed="81"/>
            <rFont val="Tahoma"/>
            <family val="2"/>
          </rPr>
          <t>O'Neill, Emilie (Research):</t>
        </r>
        <r>
          <rPr>
            <sz val="9"/>
            <color indexed="81"/>
            <rFont val="Tahoma"/>
            <family val="2"/>
          </rPr>
          <t xml:space="preserve">
Back calculate from DRP neutralisation announcement 17 May 2019 to get A$234 purchase on market </t>
        </r>
      </text>
    </comment>
    <comment ref="CG1170" authorId="6" shapeId="0" xr:uid="{00000000-0006-0000-0400-0000CF010000}">
      <text>
        <r>
          <rPr>
            <b/>
            <sz val="9"/>
            <color indexed="81"/>
            <rFont val="Tahoma"/>
            <family val="2"/>
          </rPr>
          <t>Fernandes, Sona F (Research):</t>
        </r>
        <r>
          <rPr>
            <sz val="9"/>
            <color indexed="81"/>
            <rFont val="Tahoma"/>
            <family val="2"/>
          </rPr>
          <t xml:space="preserve">
Backsolved to get $185m issue per 83 1H20 Results footnote</t>
        </r>
      </text>
    </comment>
    <comment ref="DE1170" authorId="1" shapeId="0" xr:uid="{9C50D4C1-DD70-40B6-87CC-9778948549E8}">
      <text>
        <r>
          <rPr>
            <b/>
            <sz val="9"/>
            <color indexed="81"/>
            <rFont val="Tahoma"/>
            <family val="2"/>
          </rPr>
          <t>Hong, Sally (Research):</t>
        </r>
        <r>
          <rPr>
            <sz val="9"/>
            <color indexed="81"/>
            <rFont val="Tahoma"/>
            <family val="2"/>
          </rPr>
          <t xml:space="preserve">
Slide 31 ANZ Strategy update 13/10/25: Assumes a 30% DRP participation rate = A$750m +16bp CET1 per dividend</t>
        </r>
      </text>
    </comment>
    <comment ref="DH1170" authorId="1" shapeId="0" xr:uid="{972A65FA-70AF-419A-8709-6DE05357EBA3}">
      <text>
        <r>
          <rPr>
            <b/>
            <sz val="9"/>
            <color indexed="81"/>
            <rFont val="Tahoma"/>
            <family val="2"/>
          </rPr>
          <t>Hong, Sally (Research):</t>
        </r>
        <r>
          <rPr>
            <sz val="9"/>
            <color indexed="81"/>
            <rFont val="Tahoma"/>
            <family val="2"/>
          </rPr>
          <t xml:space="preserve">
Post FY25 .. Assume CET1 ratio is strong enough, so no DRP discount required and DRP neutralised
ANZ Strategy update 13/10/25 … No DRP neutralisation for next 2 dividends</t>
        </r>
      </text>
    </comment>
    <comment ref="CV1171" authorId="1" shapeId="0" xr:uid="{5499DDEB-7ACC-4EB3-84C8-77BCF27C1C29}">
      <text>
        <r>
          <rPr>
            <b/>
            <sz val="9"/>
            <color indexed="81"/>
            <rFont val="Tahoma"/>
            <family val="2"/>
          </rPr>
          <t>Hong, Sally (Research):</t>
        </r>
        <r>
          <rPr>
            <sz val="9"/>
            <color indexed="81"/>
            <rFont val="Tahoma"/>
            <family val="2"/>
          </rPr>
          <t xml:space="preserve">
See footnote 1 in Page 82 FY3 4E: on market share pruchases for the DRP were $326m in FY23 full year
See 19/5/23 ASX announcement:
Neutralise DRP A$327m of shares are to be  purchased on market for 1H23 Dividend</t>
        </r>
      </text>
    </comment>
    <comment ref="CW1171" authorId="1" shapeId="0" xr:uid="{3D0FD35C-C9E0-4458-A3B9-E165FCC25EA4}">
      <text>
        <r>
          <rPr>
            <b/>
            <sz val="9"/>
            <color indexed="81"/>
            <rFont val="Tahoma"/>
            <family val="2"/>
          </rPr>
          <t>Hong, Sally (Research):</t>
        </r>
        <r>
          <rPr>
            <sz val="9"/>
            <color indexed="81"/>
            <rFont val="Tahoma"/>
            <family val="2"/>
          </rPr>
          <t xml:space="preserve">
Footnote 1 on Page 75 1H24 4D
On-market share purchases for the DRP were $211 million in the March 2024 half (Sep 23 half: $326 million; Mar 23 half: nil).</t>
        </r>
      </text>
    </comment>
    <comment ref="CZ1171" authorId="1" shapeId="0" xr:uid="{A5F3F64F-68B3-41F5-8F3D-4E717014F8EA}">
      <text>
        <r>
          <rPr>
            <b/>
            <sz val="9"/>
            <color indexed="81"/>
            <rFont val="Tahoma"/>
            <family val="2"/>
          </rPr>
          <t>Hong, Sally (Research):</t>
        </r>
        <r>
          <rPr>
            <sz val="9"/>
            <color indexed="81"/>
            <rFont val="Tahoma"/>
            <family val="2"/>
          </rPr>
          <t xml:space="preserve">
See footnote 1 in Page 86 FY24 4E: on market share pruchases for the DRP were $535m in FY24full year less 1H24 of A$211m
</t>
        </r>
      </text>
    </comment>
    <comment ref="DA1171" authorId="1" shapeId="0" xr:uid="{21373C92-FE7D-44C3-BF3F-B6F2B56D337F}">
      <text>
        <r>
          <rPr>
            <b/>
            <sz val="9"/>
            <color indexed="81"/>
            <rFont val="Tahoma"/>
            <family val="2"/>
          </rPr>
          <t>Hong, Sally (Research):</t>
        </r>
        <r>
          <rPr>
            <sz val="9"/>
            <color indexed="81"/>
            <rFont val="Tahoma"/>
            <family val="2"/>
          </rPr>
          <t xml:space="preserve">
See footnote 1in Page 83 FY25 4E… 2024: A$535m for on market DRP</t>
        </r>
      </text>
    </comment>
    <comment ref="DD1171" authorId="1" shapeId="0" xr:uid="{2E90FB62-58D4-40CF-A447-D59752566EE3}">
      <text>
        <r>
          <rPr>
            <b/>
            <sz val="9"/>
            <color indexed="81"/>
            <rFont val="Tahoma"/>
            <family val="2"/>
          </rPr>
          <t>Hong, Sally (Research):</t>
        </r>
        <r>
          <rPr>
            <sz val="9"/>
            <color indexed="81"/>
            <rFont val="Tahoma"/>
            <family val="2"/>
          </rPr>
          <t xml:space="preserve">
Footnote 1 Page 83 FY25 result 4E</t>
        </r>
      </text>
    </comment>
    <comment ref="CC1172" authorId="0" shapeId="0" xr:uid="{00000000-0006-0000-0400-0000D0010000}">
      <text>
        <r>
          <rPr>
            <b/>
            <sz val="9"/>
            <color indexed="81"/>
            <rFont val="Tahoma"/>
            <family val="2"/>
          </rPr>
          <t>O'Neill, Emilie (Research):</t>
        </r>
        <r>
          <rPr>
            <sz val="9"/>
            <color indexed="81"/>
            <rFont val="Tahoma"/>
            <family val="2"/>
          </rPr>
          <t xml:space="preserve">
As per announcement on the 30/11/18</t>
        </r>
      </text>
    </comment>
    <comment ref="CF1172" authorId="0" shapeId="0" xr:uid="{00000000-0006-0000-0400-0000D1010000}">
      <text>
        <r>
          <rPr>
            <b/>
            <sz val="9"/>
            <color indexed="81"/>
            <rFont val="Tahoma"/>
            <family val="2"/>
          </rPr>
          <t>O'Neill, Emilie (Research):</t>
        </r>
        <r>
          <rPr>
            <sz val="9"/>
            <color indexed="81"/>
            <rFont val="Tahoma"/>
            <family val="2"/>
          </rPr>
          <t xml:space="preserve">
As per announcement on 31/05/19</t>
        </r>
      </text>
    </comment>
    <comment ref="CG1172" authorId="6" shapeId="0" xr:uid="{00000000-0006-0000-0400-0000D2010000}">
      <text>
        <r>
          <rPr>
            <b/>
            <sz val="9"/>
            <color indexed="81"/>
            <rFont val="Tahoma"/>
            <family val="2"/>
          </rPr>
          <t>Fernandes, Sona F (Research):</t>
        </r>
        <r>
          <rPr>
            <sz val="9"/>
            <color indexed="81"/>
            <rFont val="Tahoma"/>
            <family val="2"/>
          </rPr>
          <t xml:space="preserve">
See announcement on 29/11/19</t>
        </r>
      </text>
    </comment>
    <comment ref="CJ1172" authorId="6" shapeId="0" xr:uid="{00000000-0006-0000-0400-0000D3010000}">
      <text>
        <r>
          <rPr>
            <b/>
            <sz val="9"/>
            <color indexed="81"/>
            <rFont val="Tahoma"/>
            <family val="2"/>
          </rPr>
          <t>Fernandes, Sona F (Research):</t>
        </r>
        <r>
          <rPr>
            <sz val="9"/>
            <color indexed="81"/>
            <rFont val="Tahoma"/>
            <family val="2"/>
          </rPr>
          <t xml:space="preserve">
See announcement 11/9/20</t>
        </r>
      </text>
    </comment>
    <comment ref="CK1172" authorId="6" shapeId="0" xr:uid="{00000000-0006-0000-0400-0000D4010000}">
      <text>
        <r>
          <rPr>
            <b/>
            <sz val="9"/>
            <color indexed="81"/>
            <rFont val="Tahoma"/>
            <family val="2"/>
          </rPr>
          <t>Fernandes, Sona F (Research):</t>
        </r>
        <r>
          <rPr>
            <sz val="9"/>
            <color indexed="81"/>
            <rFont val="Tahoma"/>
            <family val="2"/>
          </rPr>
          <t xml:space="preserve">
See https://www.anz.com/shareholder/centre/your-shareholding/dividends/ for dividend price</t>
        </r>
      </text>
    </comment>
    <comment ref="CN1172" authorId="6" shapeId="0" xr:uid="{00000000-0006-0000-0400-0000D5010000}">
      <text>
        <r>
          <rPr>
            <b/>
            <sz val="9"/>
            <color indexed="81"/>
            <rFont val="Tahoma"/>
            <family val="2"/>
          </rPr>
          <t>Fernandes, Sona F (Research):</t>
        </r>
        <r>
          <rPr>
            <sz val="9"/>
            <color indexed="81"/>
            <rFont val="Tahoma"/>
            <family val="2"/>
          </rPr>
          <t xml:space="preserve">
See https://www.anz.com/shareholder/centre/your-shareholding/dividends/ for dividend price</t>
        </r>
      </text>
    </comment>
    <comment ref="CO1172" authorId="1" shapeId="0" xr:uid="{00000000-0006-0000-0400-0000D6010000}">
      <text>
        <r>
          <rPr>
            <b/>
            <sz val="9"/>
            <color indexed="81"/>
            <rFont val="Tahoma"/>
            <family val="2"/>
          </rPr>
          <t>Hong, Sally (Research):</t>
        </r>
        <r>
          <rPr>
            <sz val="9"/>
            <color indexed="81"/>
            <rFont val="Tahoma"/>
            <family val="2"/>
          </rPr>
          <t xml:space="preserve">
See 16/12/2021 ASX DRP Dividend Announcment</t>
        </r>
      </text>
    </comment>
    <comment ref="CR1172" authorId="1" shapeId="0" xr:uid="{00000000-0006-0000-0400-0000D7010000}">
      <text>
        <r>
          <rPr>
            <b/>
            <sz val="9"/>
            <color indexed="81"/>
            <rFont val="Tahoma"/>
            <family val="2"/>
          </rPr>
          <t xml:space="preserve">Hong, Sally (Research):
ASX announcmeent 27/05/2022: </t>
        </r>
        <r>
          <rPr>
            <sz val="9"/>
            <color indexed="81"/>
            <rFont val="Tahoma"/>
            <family val="2"/>
          </rPr>
          <t xml:space="preserve">DRP price at $25.52 </t>
        </r>
      </text>
    </comment>
    <comment ref="CS1172" authorId="1" shapeId="0" xr:uid="{4FD5AEB1-48B3-473D-846F-4B43956D6616}">
      <text>
        <r>
          <rPr>
            <b/>
            <sz val="9"/>
            <color indexed="81"/>
            <rFont val="Tahoma"/>
            <family val="2"/>
          </rPr>
          <t>Hong, Sally (Research):</t>
        </r>
        <r>
          <rPr>
            <sz val="9"/>
            <color indexed="81"/>
            <rFont val="Tahoma"/>
            <family val="2"/>
          </rPr>
          <t xml:space="preserve">
As per ASX announcmeent on 15/12/22: DRP price = $24.51
</t>
        </r>
      </text>
    </comment>
    <comment ref="CV1172" authorId="1" shapeId="0" xr:uid="{21C6FB5B-1963-4E63-9DA5-4BC2BC3C4523}">
      <text>
        <r>
          <rPr>
            <b/>
            <sz val="9"/>
            <color indexed="81"/>
            <rFont val="Tahoma"/>
            <family val="2"/>
          </rPr>
          <t xml:space="preserve">Hong, Sally (Research):
ASX announcmeent 2/6/23: </t>
        </r>
        <r>
          <rPr>
            <sz val="9"/>
            <color indexed="81"/>
            <rFont val="Tahoma"/>
            <family val="2"/>
          </rPr>
          <t>DRP price at $23.55</t>
        </r>
      </text>
    </comment>
    <comment ref="CW1172" authorId="1" shapeId="0" xr:uid="{56DBABA1-3784-4237-AC90-7EBDC29FA7E6}">
      <text>
        <r>
          <rPr>
            <b/>
            <sz val="9"/>
            <color indexed="81"/>
            <rFont val="Tahoma"/>
            <family val="2"/>
          </rPr>
          <t>Hong, Sally (Research):</t>
        </r>
        <r>
          <rPr>
            <sz val="9"/>
            <color indexed="81"/>
            <rFont val="Tahoma"/>
            <family val="2"/>
          </rPr>
          <t xml:space="preserve">
DRP price A$24.34 
6/12/23 ASX</t>
        </r>
      </text>
    </comment>
    <comment ref="CZ1172" authorId="1" shapeId="0" xr:uid="{303683FB-06C5-43B1-9326-F9B872F98281}">
      <text>
        <r>
          <rPr>
            <b/>
            <sz val="9"/>
            <color indexed="81"/>
            <rFont val="Tahoma"/>
            <family val="2"/>
          </rPr>
          <t xml:space="preserve">Hong, Sally (Research):
ASX announcmeent 7/6/24: </t>
        </r>
        <r>
          <rPr>
            <sz val="9"/>
            <color indexed="81"/>
            <rFont val="Tahoma"/>
            <family val="2"/>
          </rPr>
          <t>DRP price at $28.37</t>
        </r>
      </text>
    </comment>
    <comment ref="DE1172" authorId="1" shapeId="0" xr:uid="{1CE81C27-06BE-4F7C-9E2B-07FCFF556295}">
      <text>
        <r>
          <rPr>
            <b/>
            <sz val="9"/>
            <color indexed="81"/>
            <rFont val="Tahoma"/>
            <family val="2"/>
          </rPr>
          <t>Hong, Sally (Research):</t>
        </r>
        <r>
          <rPr>
            <sz val="9"/>
            <color indexed="81"/>
            <rFont val="Tahoma"/>
            <family val="2"/>
          </rPr>
          <t xml:space="preserve">
ANZ Strategy update 13/10/25
Include 1.5% DRP discount </t>
        </r>
      </text>
    </comment>
    <comment ref="DH1172" authorId="1" shapeId="0" xr:uid="{33F0EF1E-4292-49FD-8050-9117EB3EC503}">
      <text>
        <r>
          <rPr>
            <b/>
            <sz val="9"/>
            <color indexed="81"/>
            <rFont val="Tahoma"/>
            <family val="2"/>
          </rPr>
          <t>Hong, Sally (Research):</t>
        </r>
        <r>
          <rPr>
            <sz val="9"/>
            <color indexed="81"/>
            <rFont val="Tahoma"/>
            <family val="2"/>
          </rPr>
          <t xml:space="preserve">
ANZ Strategy update 13/10/25
Include 1.5% DRP discount </t>
        </r>
      </text>
    </comment>
    <comment ref="CJ1173" authorId="6" shapeId="0" xr:uid="{00000000-0006-0000-0400-0000D8010000}">
      <text>
        <r>
          <rPr>
            <b/>
            <sz val="9"/>
            <color indexed="81"/>
            <rFont val="Tahoma"/>
            <family val="2"/>
          </rPr>
          <t>Fernandes, Sona F (Research):</t>
        </r>
        <r>
          <rPr>
            <sz val="9"/>
            <color indexed="81"/>
            <rFont val="Tahoma"/>
            <family val="2"/>
          </rPr>
          <t xml:space="preserve">
See Appendix 2A on 1 Oct 2020 for # securities issued under DRP</t>
        </r>
      </text>
    </comment>
    <comment ref="CK1173" authorId="6" shapeId="0" xr:uid="{00000000-0006-0000-0400-0000D9010000}">
      <text>
        <r>
          <rPr>
            <b/>
            <sz val="9"/>
            <color indexed="81"/>
            <rFont val="Tahoma"/>
            <family val="2"/>
          </rPr>
          <t>Fernandes, Sona F (Research):</t>
        </r>
        <r>
          <rPr>
            <sz val="9"/>
            <color indexed="81"/>
            <rFont val="Tahoma"/>
            <family val="2"/>
          </rPr>
          <t xml:space="preserve">
See Appendix 2A on 17 Dec 2020 for # securities issued under DRP</t>
        </r>
      </text>
    </comment>
    <comment ref="CN1173" authorId="3" shapeId="0" xr:uid="{00000000-0006-0000-0400-0000DA010000}">
      <text>
        <r>
          <rPr>
            <b/>
            <sz val="9"/>
            <color indexed="81"/>
            <rFont val="Tahoma"/>
            <family val="2"/>
          </rPr>
          <t>Wiles, Richard (Research):</t>
        </r>
        <r>
          <rPr>
            <sz val="9"/>
            <color indexed="81"/>
            <rFont val="Tahoma"/>
            <family val="2"/>
          </rPr>
          <t xml:space="preserve">
refer FY21 page 102</t>
        </r>
      </text>
    </comment>
    <comment ref="CO1173" authorId="1" shapeId="0" xr:uid="{00000000-0006-0000-0400-0000DB010000}">
      <text>
        <r>
          <rPr>
            <b/>
            <sz val="9"/>
            <color indexed="81"/>
            <rFont val="Tahoma"/>
            <family val="2"/>
          </rPr>
          <t>Hong, Sally (Research):</t>
        </r>
        <r>
          <rPr>
            <sz val="9"/>
            <color indexed="81"/>
            <rFont val="Tahoma"/>
            <family val="2"/>
          </rPr>
          <t xml:space="preserve">
See Footnote 3 of the 113 1H22 results 4D</t>
        </r>
      </text>
    </comment>
    <comment ref="CR1173" authorId="3" shapeId="0" xr:uid="{11D3C965-EA4D-4E4D-B432-115E1ACFB1DA}">
      <text>
        <r>
          <rPr>
            <b/>
            <sz val="9"/>
            <color indexed="81"/>
            <rFont val="Tahoma"/>
            <family val="2"/>
          </rPr>
          <t>Wiles, Richard (Research):</t>
        </r>
        <r>
          <rPr>
            <sz val="9"/>
            <color indexed="81"/>
            <rFont val="Tahoma"/>
            <family val="2"/>
          </rPr>
          <t xml:space="preserve">
refer FY22 page 98</t>
        </r>
      </text>
    </comment>
    <comment ref="CS1173" authorId="1" shapeId="0" xr:uid="{0F73BB58-ED37-40C1-B5E3-4B432B3BD4B8}">
      <text>
        <r>
          <rPr>
            <b/>
            <sz val="9"/>
            <color indexed="81"/>
            <rFont val="Tahoma"/>
            <family val="2"/>
          </rPr>
          <t>Hong, Sally (Research):</t>
        </r>
        <r>
          <rPr>
            <sz val="9"/>
            <color indexed="81"/>
            <rFont val="Tahoma"/>
            <family val="2"/>
          </rPr>
          <t xml:space="preserve">
Issue date 15/12/2022</t>
        </r>
      </text>
    </comment>
    <comment ref="DD1173" authorId="1" shapeId="0" xr:uid="{3497D161-FC26-42B9-8205-FD8BD3CBC24C}">
      <text>
        <r>
          <rPr>
            <b/>
            <sz val="9"/>
            <color indexed="81"/>
            <rFont val="Tahoma"/>
            <family val="2"/>
          </rPr>
          <t>Hong, Sally (Research):</t>
        </r>
        <r>
          <rPr>
            <sz val="9"/>
            <color indexed="81"/>
            <rFont val="Tahoma"/>
            <family val="2"/>
          </rPr>
          <t xml:space="preserve">
Page 93 FY25 4E</t>
        </r>
      </text>
    </comment>
    <comment ref="BX1174" authorId="0" shapeId="0" xr:uid="{00000000-0006-0000-0400-0000DC010000}">
      <text>
        <r>
          <rPr>
            <b/>
            <sz val="9"/>
            <color indexed="81"/>
            <rFont val="Tahoma"/>
            <family val="2"/>
          </rPr>
          <t>O'Neill, Emilie (Research):</t>
        </r>
        <r>
          <rPr>
            <sz val="9"/>
            <color indexed="81"/>
            <rFont val="Tahoma"/>
            <family val="2"/>
          </rPr>
          <t xml:space="preserve">
DRP neutralized</t>
        </r>
      </text>
    </comment>
    <comment ref="CB1174" authorId="0" shapeId="0" xr:uid="{00000000-0006-0000-0400-0000DD010000}">
      <text>
        <r>
          <rPr>
            <b/>
            <sz val="9"/>
            <color indexed="81"/>
            <rFont val="Tahoma"/>
            <family val="2"/>
          </rPr>
          <t>O'Neill, Emilie (Research):</t>
        </r>
        <r>
          <rPr>
            <sz val="9"/>
            <color indexed="81"/>
            <rFont val="Tahoma"/>
            <family val="2"/>
          </rPr>
          <t xml:space="preserve">
DRP neutralized</t>
        </r>
      </text>
    </comment>
    <comment ref="CR1174" authorId="3" shapeId="0" xr:uid="{00000000-0006-0000-0400-0000DE010000}">
      <text>
        <r>
          <rPr>
            <b/>
            <sz val="9"/>
            <color indexed="81"/>
            <rFont val="Tahoma"/>
            <family val="2"/>
          </rPr>
          <t>Wiles, Richard (Research):</t>
        </r>
        <r>
          <rPr>
            <sz val="9"/>
            <color indexed="81"/>
            <rFont val="Tahoma"/>
            <family val="2"/>
          </rPr>
          <t xml:space="preserve">
no DRP neutralisation for 1H22 interim dividend</t>
        </r>
      </text>
    </comment>
    <comment ref="CS1174" authorId="3" shapeId="0" xr:uid="{1F6C8EF9-A47B-4931-8B0B-060176BF31CB}">
      <text>
        <r>
          <rPr>
            <b/>
            <sz val="9"/>
            <color indexed="81"/>
            <rFont val="Tahoma"/>
            <family val="2"/>
          </rPr>
          <t>Wiles, Richard (Research):</t>
        </r>
        <r>
          <rPr>
            <sz val="9"/>
            <color indexed="81"/>
            <rFont val="Tahoma"/>
            <family val="2"/>
          </rPr>
          <t xml:space="preserve">
For the 2022 Final dividend, ANZ intends to provide shares under the DRP and BOP through the issue of new shares - Page 2 of the FY22 4E</t>
        </r>
      </text>
    </comment>
    <comment ref="CV1174" authorId="3" shapeId="0" xr:uid="{B5FEFBF3-CF6F-455D-8756-59C61676F5DE}">
      <text>
        <r>
          <rPr>
            <b/>
            <sz val="9"/>
            <color indexed="81"/>
            <rFont val="Tahoma"/>
            <family val="2"/>
          </rPr>
          <t>Wiles, Richard (Research):</t>
        </r>
        <r>
          <rPr>
            <sz val="9"/>
            <color indexed="81"/>
            <rFont val="Tahoma"/>
            <family val="2"/>
          </rPr>
          <t xml:space="preserve">
Page 2 1H23 4E For the 2023 interim dividend, ANZ intends to provide shares under the DRP through an on-market purchase and BOP through the
issue of new shares.</t>
        </r>
      </text>
    </comment>
    <comment ref="CW1174" authorId="1" shapeId="0" xr:uid="{70A4ED55-AFB1-4C4B-BB79-559CFAD1513F}">
      <text>
        <r>
          <rPr>
            <b/>
            <sz val="9"/>
            <color indexed="81"/>
            <rFont val="Tahoma"/>
            <family val="2"/>
          </rPr>
          <t>Hong, Sally (Research):</t>
        </r>
        <r>
          <rPr>
            <sz val="9"/>
            <color indexed="81"/>
            <rFont val="Tahoma"/>
            <family val="2"/>
          </rPr>
          <t xml:space="preserve">
Page 2 FY234E:
for the 2023 fnal dividend, ANZ intends to provide shares under the DRP thorugh an on-market purchase</t>
        </r>
      </text>
    </comment>
    <comment ref="DA1174" authorId="1" shapeId="0" xr:uid="{53CBB9A3-B384-4605-B4D9-9934388F5DF7}">
      <text>
        <r>
          <rPr>
            <b/>
            <sz val="9"/>
            <color indexed="81"/>
            <rFont val="Tahoma"/>
            <family val="2"/>
          </rPr>
          <t>Hong, Sally (Research):</t>
        </r>
        <r>
          <rPr>
            <sz val="9"/>
            <color indexed="81"/>
            <rFont val="Tahoma"/>
            <family val="2"/>
          </rPr>
          <t xml:space="preserve">
For the 2024 final dividend, ANZ intends to provide shares under the DRP through an on-market purchase</t>
        </r>
      </text>
    </comment>
    <comment ref="DD1174" authorId="1" shapeId="0" xr:uid="{AA81909D-E448-4BBD-B2B7-336C1E9CBE88}">
      <text>
        <r>
          <rPr>
            <b/>
            <sz val="9"/>
            <color indexed="81"/>
            <rFont val="Tahoma"/>
            <family val="2"/>
          </rPr>
          <t>Hong, Sally (Research):</t>
        </r>
        <r>
          <rPr>
            <sz val="9"/>
            <color indexed="81"/>
            <rFont val="Tahoma"/>
            <family val="2"/>
          </rPr>
          <t xml:space="preserve">
For the 2025 interim dividend, ANZ intends to provide shares under the DRP and BOP through the issue of new shares.</t>
        </r>
      </text>
    </comment>
    <comment ref="DE1174" authorId="1" shapeId="0" xr:uid="{4C7C2C89-1651-46F3-9AC2-AE6CA8F6F170}">
      <text>
        <r>
          <rPr>
            <b/>
            <sz val="9"/>
            <color indexed="81"/>
            <rFont val="Tahoma"/>
            <family val="2"/>
          </rPr>
          <t>Hong, Sally (Research):</t>
        </r>
        <r>
          <rPr>
            <sz val="9"/>
            <color indexed="81"/>
            <rFont val="Tahoma"/>
            <family val="2"/>
          </rPr>
          <t xml:space="preserve">
ANZ Strategy update 13/10/25 … No DRP neutralisation for next 2 dividends</t>
        </r>
      </text>
    </comment>
    <comment ref="DH1174" authorId="1" shapeId="0" xr:uid="{24785690-45E6-4E88-9241-7F9B3841211E}">
      <text>
        <r>
          <rPr>
            <b/>
            <sz val="9"/>
            <color indexed="81"/>
            <rFont val="Tahoma"/>
            <family val="2"/>
          </rPr>
          <t>Hong, Sally (Research):</t>
        </r>
        <r>
          <rPr>
            <sz val="9"/>
            <color indexed="81"/>
            <rFont val="Tahoma"/>
            <family val="2"/>
          </rPr>
          <t xml:space="preserve">
Post FY25 .. Assume CET1 ratio is strong enough, so no DRP discount required and DRP neutralised
ANZ Strategy update 13/10/25 … No DRP neutralisation for next 2 dividends</t>
        </r>
      </text>
    </comment>
    <comment ref="CV1182" authorId="9" shapeId="0" xr:uid="{00000000-0006-0000-0400-0000DF010000}">
      <text>
        <r>
          <rPr>
            <b/>
            <sz val="8"/>
            <color indexed="81"/>
            <rFont val="Tahoma"/>
            <family val="2"/>
          </rPr>
          <t>richwile:</t>
        </r>
        <r>
          <rPr>
            <sz val="8"/>
            <color indexed="81"/>
            <rFont val="Tahoma"/>
            <family val="2"/>
          </rPr>
          <t xml:space="preserve">
10.5% min by 1 Jan 2020, based on 9.5% min plus 1% buffer …. Phased to esnure no capital raise required</t>
        </r>
      </text>
    </comment>
    <comment ref="CZ1182" authorId="9" shapeId="0" xr:uid="{00000000-0006-0000-0400-0000E0010000}">
      <text>
        <r>
          <rPr>
            <b/>
            <sz val="8"/>
            <color indexed="81"/>
            <rFont val="Tahoma"/>
            <family val="2"/>
          </rPr>
          <t>richwile:</t>
        </r>
        <r>
          <rPr>
            <sz val="8"/>
            <color indexed="81"/>
            <rFont val="Tahoma"/>
            <family val="2"/>
          </rPr>
          <t xml:space="preserve">
10.5% min by 1 Jan 2020, based on 9.5% min plus 1% buffer …. Phased to esnure no capital raise required</t>
        </r>
      </text>
    </comment>
    <comment ref="DD1182" authorId="9" shapeId="0" xr:uid="{00000000-0006-0000-0400-0000E1010000}">
      <text>
        <r>
          <rPr>
            <b/>
            <sz val="8"/>
            <color indexed="81"/>
            <rFont val="Tahoma"/>
            <family val="2"/>
          </rPr>
          <t>richwile:</t>
        </r>
        <r>
          <rPr>
            <sz val="8"/>
            <color indexed="81"/>
            <rFont val="Tahoma"/>
            <family val="2"/>
          </rPr>
          <t xml:space="preserve">
10.5% min by 1 Jan 2020, based on 9.5% min plus 1% buffer …. Phased to esnure no capital raise required</t>
        </r>
      </text>
    </comment>
    <comment ref="DH1182" authorId="9" shapeId="0" xr:uid="{FF40ADF4-4D63-4304-A2BF-2D25C1D62469}">
      <text>
        <r>
          <rPr>
            <b/>
            <sz val="8"/>
            <color indexed="81"/>
            <rFont val="Tahoma"/>
            <family val="2"/>
          </rPr>
          <t>richwile:</t>
        </r>
        <r>
          <rPr>
            <sz val="8"/>
            <color indexed="81"/>
            <rFont val="Tahoma"/>
            <family val="2"/>
          </rPr>
          <t xml:space="preserve">
10.5% min by 1 Jan 2020, based on 9.5% min plus 1% buffer …. Phased to esnure no capital raise required</t>
        </r>
      </text>
    </comment>
    <comment ref="DL1182" authorId="9" shapeId="0" xr:uid="{78EF385B-64E5-4E3F-A3AE-0CCABCD3101F}">
      <text>
        <r>
          <rPr>
            <b/>
            <sz val="8"/>
            <color indexed="81"/>
            <rFont val="Tahoma"/>
            <family val="2"/>
          </rPr>
          <t>richwile:</t>
        </r>
        <r>
          <rPr>
            <sz val="8"/>
            <color indexed="81"/>
            <rFont val="Tahoma"/>
            <family val="2"/>
          </rPr>
          <t xml:space="preserve">
10.5% min by 1 Jan 2020, based on 9.5% min plus 1% buffer …. Phased to esnure no capital raise required</t>
        </r>
      </text>
    </comment>
    <comment ref="DP1182" authorId="9" shapeId="0" xr:uid="{8EF87C93-8897-4784-9C92-33C586CDBE38}">
      <text>
        <r>
          <rPr>
            <b/>
            <sz val="8"/>
            <color indexed="81"/>
            <rFont val="Tahoma"/>
            <family val="2"/>
          </rPr>
          <t>richwile:</t>
        </r>
        <r>
          <rPr>
            <sz val="8"/>
            <color indexed="81"/>
            <rFont val="Tahoma"/>
            <family val="2"/>
          </rPr>
          <t xml:space="preserve">
10.5% min by 1 Jan 2020, based on 9.5% min plus 1% buffer …. Phased to esnure no capital raise required</t>
        </r>
      </text>
    </comment>
    <comment ref="CR1186" authorId="1" shapeId="0" xr:uid="{6A0512F4-487F-4AA3-8E64-01E207F46DF3}">
      <text>
        <r>
          <rPr>
            <b/>
            <sz val="9"/>
            <color indexed="81"/>
            <rFont val="Tahoma"/>
            <family val="2"/>
          </rPr>
          <t>Hong, Sally (Research):</t>
        </r>
        <r>
          <rPr>
            <sz val="9"/>
            <color indexed="81"/>
            <rFont val="Tahoma"/>
            <family val="2"/>
          </rPr>
          <t xml:space="preserve">
Confirmed by ANZ IR email = $3,519m</t>
        </r>
      </text>
    </comment>
    <comment ref="BP1187" authorId="2" shapeId="0" xr:uid="{00000000-0006-0000-0400-0000E2010000}">
      <text>
        <r>
          <rPr>
            <b/>
            <sz val="9"/>
            <color indexed="81"/>
            <rFont val="Tahoma"/>
            <family val="2"/>
          </rPr>
          <t>Dunger, Matt (Research):</t>
        </r>
        <r>
          <rPr>
            <sz val="9"/>
            <color indexed="81"/>
            <rFont val="Tahoma"/>
            <family val="2"/>
          </rPr>
          <t xml:space="preserve">
Appendix 3B 12/8 and 17/9</t>
        </r>
      </text>
    </comment>
    <comment ref="CR1188" authorId="3" shapeId="0" xr:uid="{B1F71839-A8A0-4E0C-8B9B-9CA521F29564}">
      <text>
        <r>
          <rPr>
            <b/>
            <sz val="9"/>
            <color indexed="81"/>
            <rFont val="Tahoma"/>
            <family val="2"/>
          </rPr>
          <t xml:space="preserve">Wiles, Richard (Research):
</t>
        </r>
        <r>
          <rPr>
            <sz val="9"/>
            <color indexed="81"/>
            <rFont val="Tahoma"/>
            <family val="2"/>
          </rPr>
          <t xml:space="preserve">
See page 98 of the Fy22 Results 4E for $187.1m shares issued
</t>
        </r>
        <r>
          <rPr>
            <b/>
            <sz val="9"/>
            <color indexed="81"/>
            <rFont val="Tahoma"/>
            <family val="2"/>
          </rPr>
          <t>19 Aug 2022:</t>
        </r>
        <r>
          <rPr>
            <sz val="9"/>
            <color indexed="81"/>
            <rFont val="Tahoma"/>
            <family val="2"/>
          </rPr>
          <t xml:space="preserve">
Retail shortfall = 36.4m shares x 18.90 per share = $687m --&gt; Cleared at $23 per share with $4.10 premium paid to retail shareholders who didn't take up entitement/ineligible retail shareholders on 1 Sep 2022</t>
        </r>
        <r>
          <rPr>
            <b/>
            <sz val="9"/>
            <color indexed="81"/>
            <rFont val="Tahoma"/>
            <family val="2"/>
          </rPr>
          <t xml:space="preserve">
18 Aug 2022:
</t>
        </r>
        <r>
          <rPr>
            <sz val="9"/>
            <color indexed="81"/>
            <rFont val="Tahoma"/>
            <family val="2"/>
          </rPr>
          <t xml:space="preserve">Retail Entitlement Offer = 60.8m shares x $18.90 per share = $1.15bn
</t>
        </r>
        <r>
          <rPr>
            <b/>
            <sz val="9"/>
            <color indexed="81"/>
            <rFont val="Tahoma"/>
            <family val="2"/>
          </rPr>
          <t xml:space="preserve">
21 July 2022:
</t>
        </r>
        <r>
          <rPr>
            <sz val="9"/>
            <color indexed="81"/>
            <rFont val="Tahoma"/>
            <family val="2"/>
          </rPr>
          <t xml:space="preserve">Instituitional Entitelement Offer = 89m shares x 18.90 = $1.7bn
Total shares = 36.4+60.8+89 = 186.2
</t>
        </r>
        <r>
          <rPr>
            <b/>
            <sz val="9"/>
            <color indexed="81"/>
            <rFont val="Tahoma"/>
            <family val="2"/>
          </rPr>
          <t xml:space="preserve">
Previous
</t>
        </r>
        <r>
          <rPr>
            <sz val="9"/>
            <color indexed="81"/>
            <rFont val="Tahoma"/>
            <family val="2"/>
          </rPr>
          <t xml:space="preserve">
1 for 15 rights issue at A$18.90 per share = 2802/15 = 186.8</t>
        </r>
      </text>
    </comment>
    <comment ref="CS1193" authorId="3" shapeId="0" xr:uid="{89401ABE-95C8-4FF6-8D80-133898BC207E}">
      <text>
        <r>
          <rPr>
            <b/>
            <sz val="9"/>
            <color indexed="81"/>
            <rFont val="Tahoma"/>
            <family val="2"/>
          </rPr>
          <t>Wiles, Richard (Research):</t>
        </r>
        <r>
          <rPr>
            <sz val="9"/>
            <color indexed="81"/>
            <rFont val="Tahoma"/>
            <family val="2"/>
          </rPr>
          <t xml:space="preserve">
Model includes capital raising, but does not include acquisition of SUN …. so buyback trigger adjusted to by approx 120bp reflect this </t>
        </r>
      </text>
    </comment>
    <comment ref="CV1193" authorId="3" shapeId="0" xr:uid="{AB0DA26F-91F7-4172-8942-146D7DB627A0}">
      <text>
        <r>
          <rPr>
            <b/>
            <sz val="9"/>
            <color indexed="81"/>
            <rFont val="Tahoma"/>
            <family val="2"/>
          </rPr>
          <t>Wiles, Richard (Research):</t>
        </r>
        <r>
          <rPr>
            <sz val="9"/>
            <color indexed="81"/>
            <rFont val="Tahoma"/>
            <family val="2"/>
          </rPr>
          <t xml:space="preserve">
Buyback trigger under new framework is 12.25% (+75bp excess above 11-11.5% assumed target)
BUT pre SUN Bank completion: MS model includes capital raising, but does not include acquisition of SUN …. so buyback trigger adjusted to by approx 120bp reflect this </t>
        </r>
      </text>
    </comment>
    <comment ref="CW1193" authorId="3" shapeId="0" xr:uid="{E0570580-8088-44C2-A36B-2C46AC2670C3}">
      <text>
        <r>
          <rPr>
            <b/>
            <sz val="9"/>
            <color indexed="81"/>
            <rFont val="Tahoma"/>
            <family val="2"/>
          </rPr>
          <t>Wiles, Richard (Research):</t>
        </r>
        <r>
          <rPr>
            <sz val="9"/>
            <color indexed="81"/>
            <rFont val="Tahoma"/>
            <family val="2"/>
          </rPr>
          <t xml:space="preserve">
Model includes capital raising, but does not include acquisition of SUN …. so buyback trigger adjusted to by approx 120bp reflect this </t>
        </r>
      </text>
    </comment>
    <comment ref="CZ1193" authorId="3" shapeId="0" xr:uid="{90B05AA8-7A6C-48BB-BCA1-9FDC3F3D05A8}">
      <text>
        <r>
          <rPr>
            <b/>
            <sz val="9"/>
            <color indexed="81"/>
            <rFont val="Tahoma"/>
            <family val="2"/>
          </rPr>
          <t>Wiles, Richard (Research):</t>
        </r>
        <r>
          <rPr>
            <sz val="9"/>
            <color indexed="81"/>
            <rFont val="Tahoma"/>
            <family val="2"/>
          </rPr>
          <t xml:space="preserve">
Buyback trigger under new framework is 12.25% (+75bp excess above 11-11.5% assumed target)
BUT pre SUN Bank completion: MS model includes capital raising, but does not include acquisition of SUN …. so buyback trigger adjusted to by approx 120bp reflect this </t>
        </r>
      </text>
    </comment>
    <comment ref="DA1193" authorId="3" shapeId="0" xr:uid="{3334D3AA-46BA-4303-BD66-E5F1AAAE59B8}">
      <text>
        <r>
          <rPr>
            <b/>
            <sz val="9"/>
            <color indexed="81"/>
            <rFont val="Tahoma"/>
            <family val="2"/>
          </rPr>
          <t>Wiles, Richard (Research):</t>
        </r>
        <r>
          <rPr>
            <sz val="9"/>
            <color indexed="81"/>
            <rFont val="Tahoma"/>
            <family val="2"/>
          </rPr>
          <t xml:space="preserve">
implied target is 11-11.5% (based on other majors) … so trigger is above that 
PRE pre SUN Bank completion: MS model includes capital raising, but does not include acquisition of SUN …. so buyback trigger adjusted to by approx 120bp reflect this </t>
        </r>
      </text>
    </comment>
    <comment ref="DD1193" authorId="3" shapeId="0" xr:uid="{AFC13CC3-F523-4637-836E-D931C4047142}">
      <text>
        <r>
          <rPr>
            <b/>
            <sz val="9"/>
            <color indexed="81"/>
            <rFont val="Tahoma"/>
            <family val="2"/>
          </rPr>
          <t>Wiles, Richard (Research):</t>
        </r>
        <r>
          <rPr>
            <sz val="9"/>
            <color indexed="81"/>
            <rFont val="Tahoma"/>
            <family val="2"/>
          </rPr>
          <t xml:space="preserve">
Assume Target operating ratio of 11.0-11.5%
 is increased to 11.25-11.75% post AT1 changes 
</t>
        </r>
        <r>
          <rPr>
            <b/>
            <sz val="9"/>
            <color indexed="81"/>
            <rFont val="Tahoma"/>
            <family val="2"/>
          </rPr>
          <t>Previous</t>
        </r>
        <r>
          <rPr>
            <sz val="9"/>
            <color indexed="81"/>
            <rFont val="Tahoma"/>
            <family val="2"/>
          </rPr>
          <t xml:space="preserve">
implied target is 11-11.5% (based on other majors) … so trigger is above that 
PRE pre SUN Bank completion: MS model includes capital raising, but does not include acquisition of SUN …. so buyback trigger adjusted to by approx 120bp reflect this </t>
        </r>
      </text>
    </comment>
    <comment ref="DE1193" authorId="3" shapeId="0" xr:uid="{75DE769E-1DF2-4130-A500-BE28B40E52EE}">
      <text>
        <r>
          <rPr>
            <b/>
            <sz val="9"/>
            <color indexed="81"/>
            <rFont val="Tahoma"/>
            <family val="2"/>
          </rPr>
          <t>Wiles, Richard (Research):</t>
        </r>
        <r>
          <rPr>
            <sz val="9"/>
            <color indexed="81"/>
            <rFont val="Tahoma"/>
            <family val="2"/>
          </rPr>
          <t xml:space="preserve">
Assume Target operating ratio of 11.0-11.5%
 is increased to 11.25-11.75% post AT1 changes 
</t>
        </r>
        <r>
          <rPr>
            <b/>
            <sz val="9"/>
            <color indexed="81"/>
            <rFont val="Tahoma"/>
            <family val="2"/>
          </rPr>
          <t>Previous</t>
        </r>
        <r>
          <rPr>
            <sz val="9"/>
            <color indexed="81"/>
            <rFont val="Tahoma"/>
            <family val="2"/>
          </rPr>
          <t xml:space="preserve">
Buyback trigger under new framework is 12.25% (+75bp excess above 11-11.5% assumed target)
BUT pre SUN Bank completion: MS model includes capital raising, but does not include acquisition of SUN …. so buyback trigger adjusted to by approx 120bp reflect this </t>
        </r>
      </text>
    </comment>
    <comment ref="DH1193" authorId="3" shapeId="0" xr:uid="{D11A2C44-D5C7-4720-B537-CC531C55AB9E}">
      <text>
        <r>
          <rPr>
            <b/>
            <sz val="9"/>
            <color indexed="81"/>
            <rFont val="Tahoma"/>
            <family val="2"/>
          </rPr>
          <t>Wiles, Richard (Research):</t>
        </r>
        <r>
          <rPr>
            <sz val="9"/>
            <color indexed="81"/>
            <rFont val="Tahoma"/>
            <family val="2"/>
          </rPr>
          <t xml:space="preserve">
Assume Target operating ratio of 11.0-11.5%
 is increased to 11.25-11.75% post AT1 changes 
</t>
        </r>
        <r>
          <rPr>
            <b/>
            <sz val="9"/>
            <color indexed="81"/>
            <rFont val="Tahoma"/>
            <family val="2"/>
          </rPr>
          <t>Previous</t>
        </r>
        <r>
          <rPr>
            <sz val="9"/>
            <color indexed="81"/>
            <rFont val="Tahoma"/>
            <family val="2"/>
          </rPr>
          <t xml:space="preserve">
Buyback trigger under new framework is 12.25% (+75bp excess above 11-11.5% assumed target)
BUT pre SUN Bank completion: MS model includes capital raising, but does not include acquisition of SUN …. so buyback trigger adjusted to by approx 120bp reflect this </t>
        </r>
      </text>
    </comment>
    <comment ref="DL1193" authorId="3" shapeId="0" xr:uid="{CF1C283C-BF2A-413B-A633-36D1AA4D37F0}">
      <text>
        <r>
          <rPr>
            <b/>
            <sz val="9"/>
            <color indexed="81"/>
            <rFont val="Tahoma"/>
            <family val="2"/>
          </rPr>
          <t>Wiles, Richard (Research):</t>
        </r>
        <r>
          <rPr>
            <sz val="9"/>
            <color indexed="81"/>
            <rFont val="Tahoma"/>
            <family val="2"/>
          </rPr>
          <t xml:space="preserve">
Assume Target operating ratio of 11.0-11.5%
 is increased to 11.25-11.75% post AT1 changes 
</t>
        </r>
        <r>
          <rPr>
            <b/>
            <sz val="9"/>
            <color indexed="81"/>
            <rFont val="Tahoma"/>
            <family val="2"/>
          </rPr>
          <t>Previous</t>
        </r>
        <r>
          <rPr>
            <sz val="9"/>
            <color indexed="81"/>
            <rFont val="Tahoma"/>
            <family val="2"/>
          </rPr>
          <t xml:space="preserve">
Buyback trigger under new framework is 12.25% (+75bp excess above 11-11.5% assumed target)
BUT pre SUN Bank completion: MS model includes capital raising, but does not include acquisition of SUN …. so buyback trigger adjusted to by approx 120bp reflect this </t>
        </r>
      </text>
    </comment>
    <comment ref="DM1193" authorId="3" shapeId="0" xr:uid="{A6C122E2-EB79-453D-9838-F09BD7236BDC}">
      <text>
        <r>
          <rPr>
            <b/>
            <sz val="9"/>
            <color indexed="81"/>
            <rFont val="Tahoma"/>
            <family val="2"/>
          </rPr>
          <t>Wiles, Richard (Research):</t>
        </r>
        <r>
          <rPr>
            <sz val="9"/>
            <color indexed="81"/>
            <rFont val="Tahoma"/>
            <family val="2"/>
          </rPr>
          <t xml:space="preserve">
Assume Target operating ratio of 11.0-11.5%
 is increased to 11.25-11.75% post AT1 changes 
</t>
        </r>
        <r>
          <rPr>
            <b/>
            <sz val="9"/>
            <color indexed="81"/>
            <rFont val="Tahoma"/>
            <family val="2"/>
          </rPr>
          <t>Previous</t>
        </r>
        <r>
          <rPr>
            <sz val="9"/>
            <color indexed="81"/>
            <rFont val="Tahoma"/>
            <family val="2"/>
          </rPr>
          <t xml:space="preserve">
Buyback trigger under new framework is 12.25% (+75bp excess above 11-11.5% assumed target)
BUT pre SUN Bank completion: MS model includes capital raising, but does not include acquisition of SUN …. so buyback trigger adjusted to by approx 120bp reflect this </t>
        </r>
      </text>
    </comment>
    <comment ref="DQ1193" authorId="3" shapeId="0" xr:uid="{3F93E998-A4A8-45CA-9B5E-ACFDA6FFADEF}">
      <text>
        <r>
          <rPr>
            <b/>
            <sz val="9"/>
            <color indexed="81"/>
            <rFont val="Tahoma"/>
            <family val="2"/>
          </rPr>
          <t>Wiles, Richard (Research):</t>
        </r>
        <r>
          <rPr>
            <sz val="9"/>
            <color indexed="81"/>
            <rFont val="Tahoma"/>
            <family val="2"/>
          </rPr>
          <t xml:space="preserve">
Assume Target operating ratio of 11.0-11.5%
 is increased to 11.25-11.75% post AT1 changes 
</t>
        </r>
        <r>
          <rPr>
            <b/>
            <sz val="9"/>
            <color indexed="81"/>
            <rFont val="Tahoma"/>
            <family val="2"/>
          </rPr>
          <t>Previous</t>
        </r>
        <r>
          <rPr>
            <sz val="9"/>
            <color indexed="81"/>
            <rFont val="Tahoma"/>
            <family val="2"/>
          </rPr>
          <t xml:space="preserve">
Buyback trigger under new framework is 12.25% (+75bp excess above 11-11.5% assumed target)
BUT pre SUN Bank completion: MS model includes capital raising, but does not include acquisition of SUN …. so buyback trigger adjusted to by approx 120bp reflect this </t>
        </r>
      </text>
    </comment>
    <comment ref="CV1196" authorId="3" shapeId="0" xr:uid="{2EAF3101-800F-458C-B687-9FE8E4A4F901}">
      <text>
        <r>
          <rPr>
            <b/>
            <sz val="9"/>
            <color indexed="81"/>
            <rFont val="Tahoma"/>
            <family val="2"/>
          </rPr>
          <t>Wiles, Richard (Research):</t>
        </r>
        <r>
          <rPr>
            <sz val="9"/>
            <color indexed="81"/>
            <rFont val="Tahoma"/>
            <family val="2"/>
          </rPr>
          <t xml:space="preserve">
Buyback target under new framework is assumed to be 11.75% (+25bp excess above 11-11.5% assumed target)
BUT pre SUN Bank completion: MS model includes capital raising, but does not include acquisition of SUN …. so buyback trigger adjusted to by approx 120bp reflect this </t>
        </r>
      </text>
    </comment>
    <comment ref="BM1197" authorId="2" shapeId="0" xr:uid="{00000000-0006-0000-0400-0000E3010000}">
      <text>
        <r>
          <rPr>
            <b/>
            <sz val="9"/>
            <color indexed="81"/>
            <rFont val="Tahoma"/>
            <family val="2"/>
          </rPr>
          <t>Dunger, Matt (Research):</t>
        </r>
        <r>
          <rPr>
            <sz val="9"/>
            <color indexed="81"/>
            <rFont val="Tahoma"/>
            <family val="2"/>
          </rPr>
          <t xml:space="preserve">
on market purchase of $180m shares for ESS announced 12 Nov 2014</t>
        </r>
      </text>
    </comment>
    <comment ref="CN1197" authorId="3" shapeId="0" xr:uid="{00000000-0006-0000-0400-0000E4010000}">
      <text>
        <r>
          <rPr>
            <b/>
            <sz val="9"/>
            <color indexed="81"/>
            <rFont val="Tahoma"/>
            <family val="2"/>
          </rPr>
          <t>Wiles, Richard (Research):</t>
        </r>
        <r>
          <rPr>
            <sz val="9"/>
            <color indexed="81"/>
            <rFont val="Tahoma"/>
            <family val="2"/>
          </rPr>
          <t xml:space="preserve">
A$1.5bn buyback to commence in August 2021. 
refer FY21 page 102: 23.308448 shares or A$654m cancelled in 2H21 and A$2m shares (A$55m) after 30 Sep
A$709m at average price of A$28.04 by end of September 2021. 
Assume remainder in 1H22</t>
        </r>
      </text>
    </comment>
    <comment ref="CO1197" authorId="3" shapeId="0" xr:uid="{00000000-0006-0000-0400-0000E5010000}">
      <text>
        <r>
          <rPr>
            <b/>
            <sz val="9"/>
            <color indexed="81"/>
            <rFont val="Tahoma"/>
            <family val="2"/>
          </rPr>
          <t>Wiles, Richard (Research):</t>
        </r>
        <r>
          <rPr>
            <sz val="9"/>
            <color indexed="81"/>
            <rFont val="Tahoma"/>
            <family val="2"/>
          </rPr>
          <t xml:space="preserve">
A$1.5bn buyback to commence in August 2021. 
refer FY21 page 102: 23.308448 shares or A$654m cancelled in 2H21 and A$2m shares (A$55m) after 30 Sep
Assume remainder in 1H22</t>
        </r>
      </text>
    </comment>
    <comment ref="CR1197" authorId="3" shapeId="0" xr:uid="{00000000-0006-0000-0400-0000E6010000}">
      <text>
        <r>
          <rPr>
            <b/>
            <sz val="9"/>
            <color indexed="81"/>
            <rFont val="Tahoma"/>
            <family val="2"/>
          </rPr>
          <t>Wiles, Richard (Research):</t>
        </r>
        <r>
          <rPr>
            <sz val="9"/>
            <color indexed="81"/>
            <rFont val="Tahoma"/>
            <family val="2"/>
          </rPr>
          <t xml:space="preserve">
no buyback at 1H22 result</t>
        </r>
      </text>
    </comment>
    <comment ref="CZ1197" authorId="1" shapeId="0" xr:uid="{EDDAEBEA-B21D-4E76-B8CB-3E491811246A}">
      <text>
        <r>
          <rPr>
            <b/>
            <sz val="9"/>
            <color indexed="81"/>
            <rFont val="Tahoma"/>
            <family val="2"/>
          </rPr>
          <t>Hong, Sally (Research):</t>
        </r>
        <r>
          <rPr>
            <sz val="9"/>
            <color indexed="81"/>
            <rFont val="Tahoma"/>
            <family val="2"/>
          </rPr>
          <t xml:space="preserve">
</t>
        </r>
        <r>
          <rPr>
            <b/>
            <sz val="9"/>
            <color indexed="81"/>
            <rFont val="Tahoma"/>
            <family val="2"/>
          </rPr>
          <t xml:space="preserve">Current
</t>
        </r>
        <r>
          <rPr>
            <sz val="9"/>
            <color indexed="81"/>
            <rFont val="Tahoma"/>
            <family val="2"/>
          </rPr>
          <t xml:space="preserve">completed A$883m of share buyback from Sep-24
</t>
        </r>
        <r>
          <rPr>
            <b/>
            <sz val="9"/>
            <color indexed="81"/>
            <rFont val="Tahoma"/>
            <family val="2"/>
          </rPr>
          <t>Previous</t>
        </r>
        <r>
          <rPr>
            <sz val="9"/>
            <color indexed="81"/>
            <rFont val="Tahoma"/>
            <family val="2"/>
          </rPr>
          <t xml:space="preserve">
Announced A$2bn buyback at 1H24 results on 7/5/2024 .. Estimate complete A$1bn a half</t>
        </r>
      </text>
    </comment>
    <comment ref="DA1197" authorId="1" shapeId="0" xr:uid="{4E22B437-221F-47DD-8CD4-6E4CD273CF35}">
      <text>
        <r>
          <rPr>
            <b/>
            <sz val="9"/>
            <color indexed="81"/>
            <rFont val="Tahoma"/>
            <family val="2"/>
          </rPr>
          <t>Hong, Sally (Research):</t>
        </r>
        <r>
          <rPr>
            <sz val="9"/>
            <color indexed="81"/>
            <rFont val="Tahoma"/>
            <family val="2"/>
          </rPr>
          <t xml:space="preserve">
Announced A$2bn buyback at 1H24 results on 7/5/2024 .. Estimate complete A$1bn a half</t>
        </r>
      </text>
    </comment>
    <comment ref="DD1197" authorId="1" shapeId="0" xr:uid="{7356FDB7-C0A1-4F8F-865E-62F4D9467A65}">
      <text>
        <r>
          <rPr>
            <b/>
            <sz val="9"/>
            <color indexed="81"/>
            <rFont val="Tahoma"/>
            <family val="2"/>
          </rPr>
          <t>Hong, Sally (Research):
13/10/25 Strategy Update
Remaining A$825m buyback has been cancelled, return +17bp CET1 to the bank
1H25 Results 8/5/25
$</t>
        </r>
        <r>
          <rPr>
            <sz val="9"/>
            <color indexed="81"/>
            <rFont val="Tahoma"/>
            <family val="2"/>
          </rPr>
          <t>0.9bn buyback remaining of A$2bn at 31/3/25
Buyback timing extended to 7 May 2026
PRevious
Announced A$2bn buyback at 1H24 results on 7/5/2024 .. Estimate complete A$1bn a half</t>
        </r>
      </text>
    </comment>
    <comment ref="CS1212" authorId="1" shapeId="0" xr:uid="{D26437BD-56A5-4F75-AEDC-B64290FC823E}">
      <text>
        <r>
          <rPr>
            <b/>
            <sz val="9"/>
            <color indexed="81"/>
            <rFont val="Tahoma"/>
            <family val="2"/>
          </rPr>
          <t>Hong, Sally (Research):</t>
        </r>
        <r>
          <rPr>
            <sz val="9"/>
            <color indexed="81"/>
            <rFont val="Tahoma"/>
            <family val="2"/>
          </rPr>
          <t xml:space="preserve">
Page 92 of the FY22 Results 4E</t>
        </r>
      </text>
    </comment>
    <comment ref="BX1218" authorId="0" shapeId="0" xr:uid="{00000000-0006-0000-0400-0000E7010000}">
      <text>
        <r>
          <rPr>
            <b/>
            <sz val="9"/>
            <color indexed="81"/>
            <rFont val="Tahoma"/>
            <family val="2"/>
          </rPr>
          <t>O'Neill, Emilie (Research):</t>
        </r>
        <r>
          <rPr>
            <sz val="9"/>
            <color indexed="81"/>
            <rFont val="Tahoma"/>
            <family val="2"/>
          </rPr>
          <t xml:space="preserve">
Restated 1H18
</t>
        </r>
      </text>
    </comment>
    <comment ref="BY1218" authorId="0" shapeId="0" xr:uid="{00000000-0006-0000-0400-0000E8010000}">
      <text>
        <r>
          <rPr>
            <b/>
            <sz val="9"/>
            <color indexed="81"/>
            <rFont val="Tahoma"/>
            <family val="2"/>
          </rPr>
          <t>O'Neill, Emilie (Research):</t>
        </r>
        <r>
          <rPr>
            <sz val="9"/>
            <color indexed="81"/>
            <rFont val="Tahoma"/>
            <family val="2"/>
          </rPr>
          <t xml:space="preserve">
Restated 1H18
</t>
        </r>
      </text>
    </comment>
    <comment ref="CL1218" authorId="6" shapeId="0" xr:uid="{00000000-0006-0000-0400-0000E9010000}">
      <text>
        <r>
          <rPr>
            <b/>
            <sz val="9"/>
            <color indexed="81"/>
            <rFont val="Tahoma"/>
            <family val="2"/>
          </rPr>
          <t>Fernandes, Sona F (Research):pg 40</t>
        </r>
      </text>
    </comment>
    <comment ref="CN1218" authorId="6" shapeId="0" xr:uid="{00000000-0006-0000-0400-0000EA010000}">
      <text>
        <r>
          <rPr>
            <b/>
            <sz val="9"/>
            <color indexed="81"/>
            <rFont val="Tahoma"/>
            <family val="2"/>
          </rPr>
          <t xml:space="preserve">Wiles (Research):
</t>
        </r>
        <r>
          <rPr>
            <sz val="9"/>
            <color indexed="81"/>
            <rFont val="Tahoma"/>
            <family val="2"/>
          </rPr>
          <t>FY21 pg 44</t>
        </r>
      </text>
    </comment>
    <comment ref="CO1218" authorId="6" shapeId="0" xr:uid="{00000000-0006-0000-0400-0000EB010000}">
      <text>
        <r>
          <rPr>
            <b/>
            <sz val="9"/>
            <color indexed="81"/>
            <rFont val="Tahoma"/>
            <family val="2"/>
          </rPr>
          <t xml:space="preserve">Wiles (Research):
</t>
        </r>
        <r>
          <rPr>
            <sz val="9"/>
            <color indexed="81"/>
            <rFont val="Tahoma"/>
            <family val="2"/>
          </rPr>
          <t>FY21 pg 44</t>
        </r>
      </text>
    </comment>
    <comment ref="CP1218" authorId="6" shapeId="0" xr:uid="{00000000-0006-0000-0400-0000EC010000}">
      <text>
        <r>
          <rPr>
            <b/>
            <sz val="9"/>
            <color indexed="81"/>
            <rFont val="Tahoma"/>
            <family val="2"/>
          </rPr>
          <t xml:space="preserve">Wiles (Research):
</t>
        </r>
        <r>
          <rPr>
            <sz val="9"/>
            <color indexed="81"/>
            <rFont val="Tahoma"/>
            <family val="2"/>
          </rPr>
          <t>FY21 pg 44</t>
        </r>
      </text>
    </comment>
    <comment ref="CS1218" authorId="1" shapeId="0" xr:uid="{3C9E9258-BE36-49C8-BBAD-0B29448D9328}">
      <text>
        <r>
          <rPr>
            <b/>
            <sz val="9"/>
            <color indexed="81"/>
            <rFont val="Tahoma"/>
            <family val="2"/>
          </rPr>
          <t>Hong, Sally (Research):</t>
        </r>
        <r>
          <rPr>
            <sz val="9"/>
            <color indexed="81"/>
            <rFont val="Tahoma"/>
            <family val="2"/>
          </rPr>
          <t xml:space="preserve">
Page 40 of the FY22 Results 4E
Cash profit from cont ops used in calculating diluted cash EPS</t>
        </r>
      </text>
    </comment>
    <comment ref="BH1229" authorId="3" shapeId="0" xr:uid="{E71D7DCA-D78B-4235-93FA-EAA42BC0BE1B}">
      <text>
        <r>
          <rPr>
            <b/>
            <sz val="9"/>
            <color indexed="81"/>
            <rFont val="Tahoma"/>
            <family val="2"/>
          </rPr>
          <t>Wiles, Richard (Research):</t>
        </r>
        <r>
          <rPr>
            <sz val="9"/>
            <color indexed="81"/>
            <rFont val="Tahoma"/>
            <family val="2"/>
          </rPr>
          <t xml:space="preserve">
weighted average shares adjusted for dilution</t>
        </r>
      </text>
    </comment>
    <comment ref="BI1229" authorId="3" shapeId="0" xr:uid="{6145EC96-F3AA-4DD0-82DD-635F4D31882C}">
      <text>
        <r>
          <rPr>
            <b/>
            <sz val="9"/>
            <color indexed="81"/>
            <rFont val="Tahoma"/>
            <family val="2"/>
          </rPr>
          <t>Wiles, Richard (Research):</t>
        </r>
        <r>
          <rPr>
            <sz val="9"/>
            <color indexed="81"/>
            <rFont val="Tahoma"/>
            <family val="2"/>
          </rPr>
          <t xml:space="preserve">
weighted average shares adjusted for dilution</t>
        </r>
      </text>
    </comment>
    <comment ref="BL1229" authorId="3" shapeId="0" xr:uid="{2392273F-95BD-4A39-8A6F-FF20523A864B}">
      <text>
        <r>
          <rPr>
            <b/>
            <sz val="9"/>
            <color indexed="81"/>
            <rFont val="Tahoma"/>
            <family val="2"/>
          </rPr>
          <t>Wiles, Richard (Research):</t>
        </r>
        <r>
          <rPr>
            <sz val="9"/>
            <color indexed="81"/>
            <rFont val="Tahoma"/>
            <family val="2"/>
          </rPr>
          <t xml:space="preserve">
weighted average shares adjusted for dilution</t>
        </r>
      </text>
    </comment>
    <comment ref="BM1229" authorId="3" shapeId="0" xr:uid="{AA877E6B-6B84-4E40-8A7E-348EE950255A}">
      <text>
        <r>
          <rPr>
            <b/>
            <sz val="9"/>
            <color indexed="81"/>
            <rFont val="Tahoma"/>
            <family val="2"/>
          </rPr>
          <t>Wiles, Richard (Research):</t>
        </r>
        <r>
          <rPr>
            <sz val="9"/>
            <color indexed="81"/>
            <rFont val="Tahoma"/>
            <family val="2"/>
          </rPr>
          <t xml:space="preserve">
weighted average shares adjusted for dilution</t>
        </r>
      </text>
    </comment>
    <comment ref="BP1229" authorId="3" shapeId="0" xr:uid="{3380A276-A8D6-4201-81B8-70D67D1A1954}">
      <text>
        <r>
          <rPr>
            <b/>
            <sz val="9"/>
            <color indexed="81"/>
            <rFont val="Tahoma"/>
            <family val="2"/>
          </rPr>
          <t>Wiles, Richard (Research):</t>
        </r>
        <r>
          <rPr>
            <sz val="9"/>
            <color indexed="81"/>
            <rFont val="Tahoma"/>
            <family val="2"/>
          </rPr>
          <t xml:space="preserve">
weighted average shares adjusted for dilution</t>
        </r>
      </text>
    </comment>
    <comment ref="BQ1229" authorId="3" shapeId="0" xr:uid="{4B3207FB-A87E-4B5B-B20F-6B6858116C51}">
      <text>
        <r>
          <rPr>
            <b/>
            <sz val="9"/>
            <color indexed="81"/>
            <rFont val="Tahoma"/>
            <family val="2"/>
          </rPr>
          <t>Wiles, Richard (Research):</t>
        </r>
        <r>
          <rPr>
            <sz val="9"/>
            <color indexed="81"/>
            <rFont val="Tahoma"/>
            <family val="2"/>
          </rPr>
          <t xml:space="preserve">
weighted average shares adjusted for dilution</t>
        </r>
      </text>
    </comment>
    <comment ref="BT1229" authorId="3" shapeId="0" xr:uid="{B56240C2-4B4D-447A-B4FE-FB1E745AE209}">
      <text>
        <r>
          <rPr>
            <b/>
            <sz val="9"/>
            <color indexed="81"/>
            <rFont val="Tahoma"/>
            <family val="2"/>
          </rPr>
          <t>Wiles, Richard (Research):</t>
        </r>
        <r>
          <rPr>
            <sz val="9"/>
            <color indexed="81"/>
            <rFont val="Tahoma"/>
            <family val="2"/>
          </rPr>
          <t xml:space="preserve">
weighted average shares adjusted for dilution</t>
        </r>
      </text>
    </comment>
    <comment ref="BU1229" authorId="3" shapeId="0" xr:uid="{D6F21C6E-5F2F-42E8-AAF2-F9612B05A4FE}">
      <text>
        <r>
          <rPr>
            <b/>
            <sz val="9"/>
            <color indexed="81"/>
            <rFont val="Tahoma"/>
            <family val="2"/>
          </rPr>
          <t>Wiles, Richard (Research):</t>
        </r>
        <r>
          <rPr>
            <sz val="9"/>
            <color indexed="81"/>
            <rFont val="Tahoma"/>
            <family val="2"/>
          </rPr>
          <t xml:space="preserve">
weighted average shares adjusted for dilution</t>
        </r>
      </text>
    </comment>
    <comment ref="BX1229" authorId="3" shapeId="0" xr:uid="{B0B7239E-284A-4F96-BBE6-BE7A491E36EE}">
      <text>
        <r>
          <rPr>
            <b/>
            <sz val="9"/>
            <color indexed="81"/>
            <rFont val="Tahoma"/>
            <family val="2"/>
          </rPr>
          <t>Wiles, Richard (Research):</t>
        </r>
        <r>
          <rPr>
            <sz val="9"/>
            <color indexed="81"/>
            <rFont val="Tahoma"/>
            <family val="2"/>
          </rPr>
          <t xml:space="preserve">
weighted average shares adjusted for dilution</t>
        </r>
      </text>
    </comment>
    <comment ref="BY1229" authorId="3" shapeId="0" xr:uid="{4981628A-6140-4592-810B-FFF6A9C54BBE}">
      <text>
        <r>
          <rPr>
            <b/>
            <sz val="9"/>
            <color indexed="81"/>
            <rFont val="Tahoma"/>
            <family val="2"/>
          </rPr>
          <t>Wiles, Richard (Research):</t>
        </r>
        <r>
          <rPr>
            <sz val="9"/>
            <color indexed="81"/>
            <rFont val="Tahoma"/>
            <family val="2"/>
          </rPr>
          <t xml:space="preserve">
weighted average shares adjusted for dilution</t>
        </r>
      </text>
    </comment>
    <comment ref="CB1229" authorId="3" shapeId="0" xr:uid="{D644424E-6406-40FA-B1C7-20AFAFE8A284}">
      <text>
        <r>
          <rPr>
            <b/>
            <sz val="9"/>
            <color indexed="81"/>
            <rFont val="Tahoma"/>
            <family val="2"/>
          </rPr>
          <t>Wiles, Richard (Research):</t>
        </r>
        <r>
          <rPr>
            <sz val="9"/>
            <color indexed="81"/>
            <rFont val="Tahoma"/>
            <family val="2"/>
          </rPr>
          <t xml:space="preserve">
weighted average shares adjusted for dilution</t>
        </r>
      </text>
    </comment>
    <comment ref="CC1229" authorId="3" shapeId="0" xr:uid="{90240D8F-DDA3-4ADB-95AA-49288589AC6F}">
      <text>
        <r>
          <rPr>
            <b/>
            <sz val="9"/>
            <color indexed="81"/>
            <rFont val="Tahoma"/>
            <family val="2"/>
          </rPr>
          <t>Wiles, Richard (Research):</t>
        </r>
        <r>
          <rPr>
            <sz val="9"/>
            <color indexed="81"/>
            <rFont val="Tahoma"/>
            <family val="2"/>
          </rPr>
          <t xml:space="preserve">
weighted average shares adjusted for dilution</t>
        </r>
      </text>
    </comment>
    <comment ref="CF1229" authorId="3" shapeId="0" xr:uid="{2F4F7001-F2D0-4857-AA38-B0B14B20311B}">
      <text>
        <r>
          <rPr>
            <b/>
            <sz val="9"/>
            <color indexed="81"/>
            <rFont val="Tahoma"/>
            <family val="2"/>
          </rPr>
          <t>Wiles, Richard (Research):</t>
        </r>
        <r>
          <rPr>
            <sz val="9"/>
            <color indexed="81"/>
            <rFont val="Tahoma"/>
            <family val="2"/>
          </rPr>
          <t xml:space="preserve">
weighted average shares adjusted for dilution</t>
        </r>
      </text>
    </comment>
    <comment ref="CG1229" authorId="3" shapeId="0" xr:uid="{7B33A27B-904B-4E87-9234-BF0A6A359B1A}">
      <text>
        <r>
          <rPr>
            <b/>
            <sz val="9"/>
            <color indexed="81"/>
            <rFont val="Tahoma"/>
            <family val="2"/>
          </rPr>
          <t>Wiles, Richard (Research):</t>
        </r>
        <r>
          <rPr>
            <sz val="9"/>
            <color indexed="81"/>
            <rFont val="Tahoma"/>
            <family val="2"/>
          </rPr>
          <t xml:space="preserve">
weighted average shares adjusted for dilution</t>
        </r>
      </text>
    </comment>
    <comment ref="CJ1229" authorId="3" shapeId="0" xr:uid="{6085B782-B70A-45F5-ACD7-ADD33B9BEF78}">
      <text>
        <r>
          <rPr>
            <b/>
            <sz val="9"/>
            <color indexed="81"/>
            <rFont val="Tahoma"/>
            <family val="2"/>
          </rPr>
          <t>Wiles, Richard (Research):</t>
        </r>
        <r>
          <rPr>
            <sz val="9"/>
            <color indexed="81"/>
            <rFont val="Tahoma"/>
            <family val="2"/>
          </rPr>
          <t xml:space="preserve">
weighted average shares adjusted for dilution</t>
        </r>
      </text>
    </comment>
    <comment ref="CK1229" authorId="3" shapeId="0" xr:uid="{F1CBB660-33FF-42CB-AD82-5FA0DD54A419}">
      <text>
        <r>
          <rPr>
            <b/>
            <sz val="9"/>
            <color indexed="81"/>
            <rFont val="Tahoma"/>
            <family val="2"/>
          </rPr>
          <t>Wiles, Richard (Research):</t>
        </r>
        <r>
          <rPr>
            <sz val="9"/>
            <color indexed="81"/>
            <rFont val="Tahoma"/>
            <family val="2"/>
          </rPr>
          <t xml:space="preserve">
weighted average shares adjusted for dilution</t>
        </r>
      </text>
    </comment>
    <comment ref="CN1229" authorId="3" shapeId="0" xr:uid="{15E9DC50-1B05-451A-90D4-E5884CEF4D2B}">
      <text>
        <r>
          <rPr>
            <b/>
            <sz val="9"/>
            <color indexed="81"/>
            <rFont val="Tahoma"/>
            <family val="2"/>
          </rPr>
          <t>Wiles, Richard (Research):</t>
        </r>
        <r>
          <rPr>
            <sz val="9"/>
            <color indexed="81"/>
            <rFont val="Tahoma"/>
            <family val="2"/>
          </rPr>
          <t xml:space="preserve">
weighted average shares adjusted for dilution</t>
        </r>
      </text>
    </comment>
    <comment ref="CO1229" authorId="3" shapeId="0" xr:uid="{4B5A73D8-C02D-4B39-AE9B-FF1F57AFB08E}">
      <text>
        <r>
          <rPr>
            <b/>
            <sz val="9"/>
            <color indexed="81"/>
            <rFont val="Tahoma"/>
            <family val="2"/>
          </rPr>
          <t>Wiles, Richard (Research):</t>
        </r>
        <r>
          <rPr>
            <sz val="9"/>
            <color indexed="81"/>
            <rFont val="Tahoma"/>
            <family val="2"/>
          </rPr>
          <t xml:space="preserve">
weighted average shares adjusted for dilution</t>
        </r>
      </text>
    </comment>
    <comment ref="CR1229" authorId="3" shapeId="0" xr:uid="{F3C83437-C341-4DEA-9D23-37F3275386BE}">
      <text>
        <r>
          <rPr>
            <b/>
            <sz val="9"/>
            <color indexed="81"/>
            <rFont val="Tahoma"/>
            <family val="2"/>
          </rPr>
          <t>Wiles, Richard (Research):</t>
        </r>
        <r>
          <rPr>
            <sz val="9"/>
            <color indexed="81"/>
            <rFont val="Tahoma"/>
            <family val="2"/>
          </rPr>
          <t xml:space="preserve">
weighted average shares adjusted for dilution</t>
        </r>
      </text>
    </comment>
    <comment ref="CS1229" authorId="3" shapeId="0" xr:uid="{62C0C7F1-636F-4C21-B6F7-0059C50CE3B1}">
      <text>
        <r>
          <rPr>
            <b/>
            <sz val="9"/>
            <color indexed="81"/>
            <rFont val="Tahoma"/>
            <family val="2"/>
          </rPr>
          <t>Wiles, Richard (Research):</t>
        </r>
        <r>
          <rPr>
            <sz val="9"/>
            <color indexed="81"/>
            <rFont val="Tahoma"/>
            <family val="2"/>
          </rPr>
          <t xml:space="preserve">
weighted average shares adjusted for dilution</t>
        </r>
      </text>
    </comment>
    <comment ref="CV1229" authorId="3" shapeId="0" xr:uid="{C6AF3A58-45B4-485F-8304-D288FECE04E8}">
      <text>
        <r>
          <rPr>
            <b/>
            <sz val="9"/>
            <color indexed="81"/>
            <rFont val="Tahoma"/>
            <family val="2"/>
          </rPr>
          <t>Wiles, Richard (Research):</t>
        </r>
        <r>
          <rPr>
            <sz val="9"/>
            <color indexed="81"/>
            <rFont val="Tahoma"/>
            <family val="2"/>
          </rPr>
          <t xml:space="preserve">
weighted average shares adjusted for dilution</t>
        </r>
      </text>
    </comment>
    <comment ref="CS1239" authorId="1" shapeId="0" xr:uid="{85CDF07E-8133-4848-8545-B049EEA9AD05}">
      <text>
        <r>
          <rPr>
            <b/>
            <sz val="9"/>
            <color indexed="81"/>
            <rFont val="Tahoma"/>
            <family val="2"/>
          </rPr>
          <t>Hong, Sally (Research):</t>
        </r>
        <r>
          <rPr>
            <sz val="9"/>
            <color indexed="81"/>
            <rFont val="Tahoma"/>
            <family val="2"/>
          </rPr>
          <t xml:space="preserve">
Basic EPS - Coninuing operations Page 12 Of FY22 Results 4E</t>
        </r>
      </text>
    </comment>
    <comment ref="CS1241" authorId="1" shapeId="0" xr:uid="{B52970AB-6B5A-4CF9-B4F6-7943A7F68A9C}">
      <text>
        <r>
          <rPr>
            <b/>
            <sz val="9"/>
            <color indexed="81"/>
            <rFont val="Tahoma"/>
            <family val="2"/>
          </rPr>
          <t>Hong, Sally (Research):</t>
        </r>
        <r>
          <rPr>
            <sz val="9"/>
            <color indexed="81"/>
            <rFont val="Tahoma"/>
            <family val="2"/>
          </rPr>
          <t xml:space="preserve">
Diluted Continuing Ops Page 40 of the FY22 Results</t>
        </r>
      </text>
    </comment>
    <comment ref="CF1243" authorId="3" shapeId="0" xr:uid="{00000000-0006-0000-0400-0000EE010000}">
      <text>
        <r>
          <rPr>
            <b/>
            <sz val="9"/>
            <color indexed="81"/>
            <rFont val="Tahoma"/>
            <family val="2"/>
          </rPr>
          <t>Wiles, Richard (Research):</t>
        </r>
        <r>
          <rPr>
            <sz val="9"/>
            <color indexed="81"/>
            <rFont val="Tahoma"/>
            <family val="2"/>
          </rPr>
          <t xml:space="preserve">
Refer Note 6</t>
        </r>
      </text>
    </comment>
    <comment ref="CG1243" authorId="3" shapeId="0" xr:uid="{00000000-0006-0000-0400-0000EF010000}">
      <text>
        <r>
          <rPr>
            <b/>
            <sz val="9"/>
            <color indexed="81"/>
            <rFont val="Tahoma"/>
            <family val="2"/>
          </rPr>
          <t>Wiles, Richard (Research):</t>
        </r>
        <r>
          <rPr>
            <sz val="9"/>
            <color indexed="81"/>
            <rFont val="Tahoma"/>
            <family val="2"/>
          </rPr>
          <t xml:space="preserve">
Refer Note 6</t>
        </r>
      </text>
    </comment>
    <comment ref="CH1243" authorId="3" shapeId="0" xr:uid="{00000000-0006-0000-0400-0000F0010000}">
      <text>
        <r>
          <rPr>
            <b/>
            <sz val="9"/>
            <color indexed="81"/>
            <rFont val="Tahoma"/>
            <family val="2"/>
          </rPr>
          <t>Wiles, Richard (Research):</t>
        </r>
        <r>
          <rPr>
            <sz val="9"/>
            <color indexed="81"/>
            <rFont val="Tahoma"/>
            <family val="2"/>
          </rPr>
          <t xml:space="preserve">
Refer Note 6</t>
        </r>
      </text>
    </comment>
    <comment ref="CJ1243" authorId="3" shapeId="0" xr:uid="{00000000-0006-0000-0400-0000F1010000}">
      <text>
        <r>
          <rPr>
            <b/>
            <sz val="9"/>
            <color indexed="81"/>
            <rFont val="Tahoma"/>
            <family val="2"/>
          </rPr>
          <t>Wiles, Richard (Research):</t>
        </r>
        <r>
          <rPr>
            <sz val="9"/>
            <color indexed="81"/>
            <rFont val="Tahoma"/>
            <family val="2"/>
          </rPr>
          <t xml:space="preserve">
Refer Note 6</t>
        </r>
      </text>
    </comment>
    <comment ref="CK1243" authorId="3" shapeId="0" xr:uid="{00000000-0006-0000-0400-0000F2010000}">
      <text>
        <r>
          <rPr>
            <b/>
            <sz val="9"/>
            <color indexed="81"/>
            <rFont val="Tahoma"/>
            <family val="2"/>
          </rPr>
          <t>Wiles, Richard (Research):</t>
        </r>
        <r>
          <rPr>
            <sz val="9"/>
            <color indexed="81"/>
            <rFont val="Tahoma"/>
            <family val="2"/>
          </rPr>
          <t xml:space="preserve">
Refer Note 6</t>
        </r>
      </text>
    </comment>
    <comment ref="CL1243" authorId="3" shapeId="0" xr:uid="{00000000-0006-0000-0400-0000F3010000}">
      <text>
        <r>
          <rPr>
            <b/>
            <sz val="9"/>
            <color indexed="81"/>
            <rFont val="Tahoma"/>
            <family val="2"/>
          </rPr>
          <t>Wiles, Richard (Research):</t>
        </r>
        <r>
          <rPr>
            <sz val="9"/>
            <color indexed="81"/>
            <rFont val="Tahoma"/>
            <family val="2"/>
          </rPr>
          <t xml:space="preserve">
Refer Note 6</t>
        </r>
      </text>
    </comment>
    <comment ref="CO1243" authorId="3" shapeId="0" xr:uid="{00000000-0006-0000-0400-0000F4010000}">
      <text>
        <r>
          <rPr>
            <b/>
            <sz val="9"/>
            <color indexed="81"/>
            <rFont val="Tahoma"/>
            <family val="2"/>
          </rPr>
          <t>Wiles, Richard (Research):</t>
        </r>
        <r>
          <rPr>
            <sz val="9"/>
            <color indexed="81"/>
            <rFont val="Tahoma"/>
            <family val="2"/>
          </rPr>
          <t xml:space="preserve">
Refer Note 6</t>
        </r>
      </text>
    </comment>
    <comment ref="CP1243" authorId="3" shapeId="0" xr:uid="{00000000-0006-0000-0400-0000F5010000}">
      <text>
        <r>
          <rPr>
            <b/>
            <sz val="9"/>
            <color indexed="81"/>
            <rFont val="Tahoma"/>
            <family val="2"/>
          </rPr>
          <t>Wiles, Richard (Research):</t>
        </r>
        <r>
          <rPr>
            <sz val="9"/>
            <color indexed="81"/>
            <rFont val="Tahoma"/>
            <family val="2"/>
          </rPr>
          <t xml:space="preserve">
Refer Note 6</t>
        </r>
      </text>
    </comment>
    <comment ref="CS1243" authorId="1" shapeId="0" xr:uid="{FD6E8C76-FC07-4994-87CC-4EF58F605225}">
      <text>
        <r>
          <rPr>
            <b/>
            <sz val="9"/>
            <color indexed="81"/>
            <rFont val="Tahoma"/>
            <family val="2"/>
          </rPr>
          <t>Hong, Sally (Research):</t>
        </r>
        <r>
          <rPr>
            <sz val="9"/>
            <color indexed="81"/>
            <rFont val="Tahoma"/>
            <family val="2"/>
          </rPr>
          <t xml:space="preserve">
Basic EPS incl. discontinuied ops
Page 80 of FY22 4E</t>
        </r>
      </text>
    </comment>
    <comment ref="CS1245" authorId="1" shapeId="0" xr:uid="{876A602B-D3DA-4760-92D3-E0586B43F708}">
      <text>
        <r>
          <rPr>
            <b/>
            <sz val="9"/>
            <color indexed="81"/>
            <rFont val="Tahoma"/>
            <family val="2"/>
          </rPr>
          <t>Hong, Sally (Research):</t>
        </r>
        <r>
          <rPr>
            <sz val="9"/>
            <color indexed="81"/>
            <rFont val="Tahoma"/>
            <family val="2"/>
          </rPr>
          <t xml:space="preserve">
Basic EPS Page 12 Of FY22 Results 4E</t>
        </r>
      </text>
    </comment>
    <comment ref="CW1263" authorId="3" shapeId="0" xr:uid="{B06D611C-C6CF-427E-A51F-4E19B5677640}">
      <text>
        <r>
          <rPr>
            <b/>
            <sz val="9"/>
            <color indexed="81"/>
            <rFont val="Tahoma"/>
            <family val="2"/>
          </rPr>
          <t>Wiles, Richard (Research):</t>
        </r>
        <r>
          <rPr>
            <sz val="9"/>
            <color indexed="81"/>
            <rFont val="Tahoma"/>
            <family val="2"/>
          </rPr>
          <t xml:space="preserve">
1.15% at 1H23, which implies A$5.0bn</t>
        </r>
      </text>
    </comment>
    <comment ref="CZ1263" authorId="3" shapeId="0" xr:uid="{3C788D7D-B24D-47C5-8962-BDA15DCA8D5F}">
      <text>
        <r>
          <rPr>
            <b/>
            <sz val="9"/>
            <color indexed="81"/>
            <rFont val="Tahoma"/>
            <family val="2"/>
          </rPr>
          <t>Wiles, Richard (Research):</t>
        </r>
        <r>
          <rPr>
            <sz val="9"/>
            <color indexed="81"/>
            <rFont val="Tahoma"/>
            <family val="2"/>
          </rPr>
          <t xml:space="preserve">
1.15% at 1H23, which implies A$5.0bn</t>
        </r>
      </text>
    </comment>
    <comment ref="CV1264" authorId="3" shapeId="0" xr:uid="{E2922AEE-D9DE-4A80-BBDB-E1472AC0A14C}">
      <text>
        <r>
          <rPr>
            <b/>
            <sz val="9"/>
            <color indexed="81"/>
            <rFont val="Tahoma"/>
            <family val="2"/>
          </rPr>
          <t>Wiles, Richard (Research):</t>
        </r>
        <r>
          <rPr>
            <sz val="9"/>
            <color indexed="81"/>
            <rFont val="Tahoma"/>
            <family val="2"/>
          </rPr>
          <t xml:space="preserve">
assume 50bp buffer</t>
        </r>
      </text>
    </comment>
    <comment ref="CW1264" authorId="3" shapeId="0" xr:uid="{17BBCDBD-586A-4C08-8AA6-3FFEB9C3F5C3}">
      <text>
        <r>
          <rPr>
            <b/>
            <sz val="9"/>
            <color indexed="81"/>
            <rFont val="Tahoma"/>
            <family val="2"/>
          </rPr>
          <t>Wiles, Richard (Research):</t>
        </r>
        <r>
          <rPr>
            <sz val="9"/>
            <color indexed="81"/>
            <rFont val="Tahoma"/>
            <family val="2"/>
          </rPr>
          <t xml:space="preserve">
assume 50bp buffer</t>
        </r>
      </text>
    </comment>
    <comment ref="CZ1264" authorId="3" shapeId="0" xr:uid="{9FCB201F-3C08-4F05-9374-70833E1F190E}">
      <text>
        <r>
          <rPr>
            <b/>
            <sz val="9"/>
            <color indexed="81"/>
            <rFont val="Tahoma"/>
            <family val="2"/>
          </rPr>
          <t>Wiles, Richard (Research):</t>
        </r>
        <r>
          <rPr>
            <sz val="9"/>
            <color indexed="81"/>
            <rFont val="Tahoma"/>
            <family val="2"/>
          </rPr>
          <t xml:space="preserve">
assume 50bp buffer</t>
        </r>
      </text>
    </comment>
    <comment ref="CJ1267" authorId="6" shapeId="0" xr:uid="{00000000-0006-0000-0400-0000F6010000}">
      <text>
        <r>
          <rPr>
            <b/>
            <sz val="9"/>
            <color indexed="81"/>
            <rFont val="Tahoma"/>
            <family val="2"/>
          </rPr>
          <t>Fernandes, Sona F (Research):</t>
        </r>
        <r>
          <rPr>
            <sz val="9"/>
            <color indexed="81"/>
            <rFont val="Tahoma"/>
            <family val="2"/>
          </rPr>
          <t xml:space="preserve">
Investor Presentations</t>
        </r>
      </text>
    </comment>
    <comment ref="CK1267" authorId="6" shapeId="0" xr:uid="{00000000-0006-0000-0400-0000F7010000}">
      <text>
        <r>
          <rPr>
            <b/>
            <sz val="9"/>
            <color indexed="81"/>
            <rFont val="Tahoma"/>
            <family val="2"/>
          </rPr>
          <t>Fernandes, Sona F (Research):</t>
        </r>
        <r>
          <rPr>
            <sz val="9"/>
            <color indexed="81"/>
            <rFont val="Tahoma"/>
            <family val="2"/>
          </rPr>
          <t xml:space="preserve">
Internationally Comparable Regulatory Capital Position</t>
        </r>
      </text>
    </comment>
    <comment ref="CN1267" authorId="6" shapeId="0" xr:uid="{00000000-0006-0000-0400-0000F8010000}">
      <text>
        <r>
          <rPr>
            <b/>
            <sz val="9"/>
            <color indexed="81"/>
            <rFont val="Tahoma"/>
            <family val="2"/>
          </rPr>
          <t>Fernandes, Sona F (Research):</t>
        </r>
        <r>
          <rPr>
            <sz val="9"/>
            <color indexed="81"/>
            <rFont val="Tahoma"/>
            <family val="2"/>
          </rPr>
          <t xml:space="preserve">
Internationally Comparable Regulatory Capital Position</t>
        </r>
      </text>
    </comment>
    <comment ref="CO1267" authorId="6" shapeId="0" xr:uid="{00000000-0006-0000-0400-0000F9010000}">
      <text>
        <r>
          <rPr>
            <b/>
            <sz val="9"/>
            <color indexed="81"/>
            <rFont val="Tahoma"/>
            <family val="2"/>
          </rPr>
          <t>Fernandes, Sona F (Research):</t>
        </r>
        <r>
          <rPr>
            <sz val="9"/>
            <color indexed="81"/>
            <rFont val="Tahoma"/>
            <family val="2"/>
          </rPr>
          <t xml:space="preserve">
Internationally Comparable Regulatory Capital Position</t>
        </r>
      </text>
    </comment>
    <comment ref="CR1267" authorId="1" shapeId="0" xr:uid="{00000000-0006-0000-0400-0000FA010000}">
      <text>
        <r>
          <rPr>
            <b/>
            <sz val="9"/>
            <color indexed="81"/>
            <rFont val="Tahoma"/>
            <family val="2"/>
          </rPr>
          <t>Hong, Sally (Research):</t>
        </r>
        <r>
          <rPr>
            <sz val="9"/>
            <color indexed="81"/>
            <rFont val="Tahoma"/>
            <family val="2"/>
          </rPr>
          <t xml:space="preserve">
Slide 76 of the 1H22 Results Preso - Interntionalyl comparable reg cap</t>
        </r>
      </text>
    </comment>
    <comment ref="CS1267" authorId="6" shapeId="0" xr:uid="{DC919C5D-8F28-4262-99AE-F4F036DEA89C}">
      <text>
        <r>
          <rPr>
            <b/>
            <sz val="9"/>
            <color indexed="81"/>
            <rFont val="Tahoma"/>
            <family val="2"/>
          </rPr>
          <t>Fernandes, Sona F (Research):</t>
        </r>
        <r>
          <rPr>
            <sz val="9"/>
            <color indexed="81"/>
            <rFont val="Tahoma"/>
            <family val="2"/>
          </rPr>
          <t xml:space="preserve">
Internationally Comparable Regulatory Capital Position</t>
        </r>
      </text>
    </comment>
    <comment ref="BX1271" authorId="0" shapeId="0" xr:uid="{00000000-0006-0000-0400-0000FB010000}">
      <text>
        <r>
          <rPr>
            <b/>
            <sz val="9"/>
            <color indexed="81"/>
            <rFont val="Tahoma"/>
            <family val="2"/>
          </rPr>
          <t>O'Neill, Emilie (Research):</t>
        </r>
        <r>
          <rPr>
            <sz val="9"/>
            <color indexed="81"/>
            <rFont val="Tahoma"/>
            <family val="2"/>
          </rPr>
          <t xml:space="preserve">
incl specialised lending, other + corporate adjustments</t>
        </r>
      </text>
    </comment>
    <comment ref="BY1271" authorId="0" shapeId="0" xr:uid="{00000000-0006-0000-0400-0000FC010000}">
      <text>
        <r>
          <rPr>
            <b/>
            <sz val="9"/>
            <color indexed="81"/>
            <rFont val="Tahoma"/>
            <family val="2"/>
          </rPr>
          <t>O'Neill, Emilie (Research):</t>
        </r>
        <r>
          <rPr>
            <sz val="9"/>
            <color indexed="81"/>
            <rFont val="Tahoma"/>
            <family val="2"/>
          </rPr>
          <t xml:space="preserve">
incl other, specialised lending, corporate EAD</t>
        </r>
      </text>
    </comment>
    <comment ref="CB1271" authorId="0" shapeId="0" xr:uid="{00000000-0006-0000-0400-0000FD010000}">
      <text>
        <r>
          <rPr>
            <b/>
            <sz val="9"/>
            <color indexed="81"/>
            <rFont val="Tahoma"/>
            <family val="2"/>
          </rPr>
          <t>O'Neill, Emilie (Research):</t>
        </r>
        <r>
          <rPr>
            <sz val="9"/>
            <color indexed="81"/>
            <rFont val="Tahoma"/>
            <family val="2"/>
          </rPr>
          <t xml:space="preserve">
incl specialised lending, other + corporate adjustments</t>
        </r>
      </text>
    </comment>
    <comment ref="CC1271" authorId="0" shapeId="0" xr:uid="{00000000-0006-0000-0400-0000FE010000}">
      <text>
        <r>
          <rPr>
            <b/>
            <sz val="9"/>
            <color indexed="81"/>
            <rFont val="Tahoma"/>
            <family val="2"/>
          </rPr>
          <t>O'Neill, Emilie (Research):</t>
        </r>
        <r>
          <rPr>
            <sz val="9"/>
            <color indexed="81"/>
            <rFont val="Tahoma"/>
            <family val="2"/>
          </rPr>
          <t xml:space="preserve">
incl other, specialised lending, corporate EAD</t>
        </r>
      </text>
    </comment>
    <comment ref="CF1271" authorId="0" shapeId="0" xr:uid="{00000000-0006-0000-0400-0000FF010000}">
      <text>
        <r>
          <rPr>
            <b/>
            <sz val="9"/>
            <color indexed="81"/>
            <rFont val="Tahoma"/>
            <family val="2"/>
          </rPr>
          <t>O'Neill, Emilie (Research):</t>
        </r>
        <r>
          <rPr>
            <sz val="9"/>
            <color indexed="81"/>
            <rFont val="Tahoma"/>
            <family val="2"/>
          </rPr>
          <t xml:space="preserve">
incl specialised lending, other + corporate adjustments</t>
        </r>
      </text>
    </comment>
    <comment ref="CG1271" authorId="0" shapeId="0" xr:uid="{00000000-0006-0000-0400-000000020000}">
      <text>
        <r>
          <rPr>
            <b/>
            <sz val="9"/>
            <color indexed="81"/>
            <rFont val="Tahoma"/>
            <family val="2"/>
          </rPr>
          <t>O'Neill, Emilie (Research):</t>
        </r>
        <r>
          <rPr>
            <sz val="9"/>
            <color indexed="81"/>
            <rFont val="Tahoma"/>
            <family val="2"/>
          </rPr>
          <t xml:space="preserve">
incl other, specialised lending, corporate EAD</t>
        </r>
      </text>
    </comment>
    <comment ref="CJ1271" authorId="0" shapeId="0" xr:uid="{00000000-0006-0000-0400-000001020000}">
      <text>
        <r>
          <rPr>
            <b/>
            <sz val="9"/>
            <color indexed="81"/>
            <rFont val="Tahoma"/>
            <family val="2"/>
          </rPr>
          <t>O'Neill, Emilie (Research):</t>
        </r>
        <r>
          <rPr>
            <sz val="9"/>
            <color indexed="81"/>
            <rFont val="Tahoma"/>
            <family val="2"/>
          </rPr>
          <t xml:space="preserve">
incl specialised lending, other + corporate adjustments</t>
        </r>
      </text>
    </comment>
    <comment ref="CK1271" authorId="6" shapeId="0" xr:uid="{00000000-0006-0000-0400-000002020000}">
      <text>
        <r>
          <rPr>
            <b/>
            <sz val="9"/>
            <color indexed="81"/>
            <rFont val="Tahoma"/>
            <family val="2"/>
          </rPr>
          <t>Fernandes, Sona F (Research):</t>
        </r>
        <r>
          <rPr>
            <sz val="9"/>
            <color indexed="81"/>
            <rFont val="Tahoma"/>
            <family val="2"/>
          </rPr>
          <t xml:space="preserve">
Corporate undrawn + Specialised Lending + Other</t>
        </r>
      </text>
    </comment>
    <comment ref="CO1271" authorId="6" shapeId="0" xr:uid="{00000000-0006-0000-0400-000003020000}">
      <text>
        <r>
          <rPr>
            <b/>
            <sz val="9"/>
            <color indexed="81"/>
            <rFont val="Tahoma"/>
            <family val="2"/>
          </rPr>
          <t>Fernandes, Sona F (Research):</t>
        </r>
        <r>
          <rPr>
            <sz val="9"/>
            <color indexed="81"/>
            <rFont val="Tahoma"/>
            <family val="2"/>
          </rPr>
          <t xml:space="preserve">
Corporate undrawn + Specialised Lending + Other</t>
        </r>
      </text>
    </comment>
    <comment ref="CS1271" authorId="6" shapeId="0" xr:uid="{9B0F38EC-DA10-4758-AE4A-A834AD322F33}">
      <text>
        <r>
          <rPr>
            <b/>
            <sz val="9"/>
            <color indexed="81"/>
            <rFont val="Tahoma"/>
            <family val="2"/>
          </rPr>
          <t>Fernandes, Sona F (Research):</t>
        </r>
        <r>
          <rPr>
            <sz val="9"/>
            <color indexed="81"/>
            <rFont val="Tahoma"/>
            <family val="2"/>
          </rPr>
          <t xml:space="preserve">
Corporate undrawn + Specialised Lending + Other</t>
        </r>
      </text>
    </comment>
    <comment ref="CS1281" authorId="1" shapeId="0" xr:uid="{0A7737CC-AE62-489B-A2E4-4316C5C4F5BE}">
      <text>
        <r>
          <rPr>
            <b/>
            <sz val="9"/>
            <color indexed="81"/>
            <rFont val="Tahoma"/>
            <family val="2"/>
          </rPr>
          <t>Hong, Sally (Research):</t>
        </r>
        <r>
          <rPr>
            <sz val="9"/>
            <color indexed="81"/>
            <rFont val="Tahoma"/>
            <family val="2"/>
          </rPr>
          <t xml:space="preserve">
Page 105 of the FY22 Results 4E</t>
        </r>
      </text>
    </comment>
    <comment ref="CV1281" authorId="1" shapeId="0" xr:uid="{7426B22E-DFE6-4209-A708-ADB2764BF194}">
      <text>
        <r>
          <rPr>
            <b/>
            <sz val="9"/>
            <color indexed="81"/>
            <rFont val="Tahoma"/>
            <family val="2"/>
          </rPr>
          <t>Hong, Sally (Research):</t>
        </r>
        <r>
          <rPr>
            <sz val="9"/>
            <color indexed="81"/>
            <rFont val="Tahoma"/>
            <family val="2"/>
          </rPr>
          <t xml:space="preserve">
ANZ Bank Group capital only See Page 43 1H23 4E</t>
        </r>
      </text>
    </comment>
    <comment ref="CW1281" authorId="1" shapeId="0" xr:uid="{B4E10B42-76A6-4765-A55F-26929F1B1B0D}">
      <text>
        <r>
          <rPr>
            <b/>
            <sz val="9"/>
            <color indexed="81"/>
            <rFont val="Tahoma"/>
            <family val="2"/>
          </rPr>
          <t>Hong, Sally (Research):</t>
        </r>
        <r>
          <rPr>
            <sz val="9"/>
            <color indexed="81"/>
            <rFont val="Tahoma"/>
            <family val="2"/>
          </rPr>
          <t xml:space="preserve">
ANZ Bank Group capital only See Page 43 1H23 4E</t>
        </r>
      </text>
    </comment>
    <comment ref="CJ1283" authorId="7" shapeId="0" xr:uid="{00000000-0006-0000-0400-000004020000}">
      <text>
        <r>
          <rPr>
            <b/>
            <sz val="9"/>
            <color indexed="81"/>
            <rFont val="Tahoma"/>
            <family val="2"/>
          </rPr>
          <t>Fernandes, Sona (Research):</t>
        </r>
        <r>
          <rPr>
            <sz val="9"/>
            <color indexed="81"/>
            <rFont val="Tahoma"/>
            <family val="2"/>
          </rPr>
          <t xml:space="preserve">
Restated 1H21</t>
        </r>
      </text>
    </comment>
    <comment ref="CK1283" authorId="7" shapeId="0" xr:uid="{00000000-0006-0000-0400-000005020000}">
      <text>
        <r>
          <rPr>
            <b/>
            <sz val="9"/>
            <color indexed="81"/>
            <rFont val="Tahoma"/>
            <family val="2"/>
          </rPr>
          <t>Fernandes, Sona (Research):</t>
        </r>
        <r>
          <rPr>
            <sz val="9"/>
            <color indexed="81"/>
            <rFont val="Tahoma"/>
            <family val="2"/>
          </rPr>
          <t xml:space="preserve">
Restated 1H21</t>
        </r>
      </text>
    </comment>
    <comment ref="DA1289" authorId="1" shapeId="0" xr:uid="{191DCDF5-E87A-4E08-9550-E6B09B9760FC}">
      <text>
        <r>
          <rPr>
            <b/>
            <sz val="9"/>
            <color indexed="81"/>
            <rFont val="Tahoma"/>
            <family val="2"/>
          </rPr>
          <t>Hong, Sally (Research):</t>
        </r>
        <r>
          <rPr>
            <sz val="9"/>
            <color indexed="81"/>
            <rFont val="Tahoma"/>
            <family val="2"/>
          </rPr>
          <t xml:space="preserve">
Includes A$1.3bn Goodwill Deduction from SUN Bank Acquisition</t>
        </r>
      </text>
    </comment>
    <comment ref="CR1290" authorId="1" shapeId="0" xr:uid="{00000000-0006-0000-0400-000006020000}">
      <text>
        <r>
          <rPr>
            <b/>
            <sz val="9"/>
            <color indexed="81"/>
            <rFont val="Tahoma"/>
            <family val="2"/>
          </rPr>
          <t>Hong, Sally (Research):</t>
        </r>
        <r>
          <rPr>
            <sz val="9"/>
            <color indexed="81"/>
            <rFont val="Tahoma"/>
            <family val="2"/>
          </rPr>
          <t xml:space="preserve">
Page 10 of the 1H22 Pillar 3 - Table D </t>
        </r>
      </text>
    </comment>
    <comment ref="CJ1292" authorId="7" shapeId="0" xr:uid="{00000000-0006-0000-0400-000007020000}">
      <text>
        <r>
          <rPr>
            <b/>
            <sz val="9"/>
            <color indexed="81"/>
            <rFont val="Tahoma"/>
            <family val="2"/>
          </rPr>
          <t>Fernandes, Sona (Research):</t>
        </r>
        <r>
          <rPr>
            <sz val="9"/>
            <color indexed="81"/>
            <rFont val="Tahoma"/>
            <family val="2"/>
          </rPr>
          <t xml:space="preserve">
Restated 1H21</t>
        </r>
      </text>
    </comment>
    <comment ref="CK1292" authorId="7" shapeId="0" xr:uid="{00000000-0006-0000-0400-000008020000}">
      <text>
        <r>
          <rPr>
            <b/>
            <sz val="9"/>
            <color indexed="81"/>
            <rFont val="Tahoma"/>
            <family val="2"/>
          </rPr>
          <t>Fernandes, Sona (Research):</t>
        </r>
        <r>
          <rPr>
            <sz val="9"/>
            <color indexed="81"/>
            <rFont val="Tahoma"/>
            <family val="2"/>
          </rPr>
          <t xml:space="preserve">
Restated 1H21</t>
        </r>
      </text>
    </comment>
    <comment ref="CJ1294" authorId="7" shapeId="0" xr:uid="{00000000-0006-0000-0400-000009020000}">
      <text>
        <r>
          <rPr>
            <b/>
            <sz val="9"/>
            <color indexed="81"/>
            <rFont val="Tahoma"/>
            <family val="2"/>
          </rPr>
          <t>Fernandes, Sona (Research):</t>
        </r>
        <r>
          <rPr>
            <sz val="9"/>
            <color indexed="81"/>
            <rFont val="Tahoma"/>
            <family val="2"/>
          </rPr>
          <t xml:space="preserve">
Restated 1H21</t>
        </r>
      </text>
    </comment>
    <comment ref="CK1294" authorId="7" shapeId="0" xr:uid="{00000000-0006-0000-0400-00000A020000}">
      <text>
        <r>
          <rPr>
            <b/>
            <sz val="9"/>
            <color indexed="81"/>
            <rFont val="Tahoma"/>
            <family val="2"/>
          </rPr>
          <t>Fernandes, Sona (Research):</t>
        </r>
        <r>
          <rPr>
            <sz val="9"/>
            <color indexed="81"/>
            <rFont val="Tahoma"/>
            <family val="2"/>
          </rPr>
          <t xml:space="preserve">
Restated 1H21</t>
        </r>
      </text>
    </comment>
    <comment ref="CR1294" authorId="1" shapeId="0" xr:uid="{00000000-0006-0000-0400-00000B020000}">
      <text>
        <r>
          <rPr>
            <b/>
            <sz val="9"/>
            <color indexed="81"/>
            <rFont val="Tahoma"/>
            <family val="2"/>
          </rPr>
          <t>Hong, Sally (Research):</t>
        </r>
        <r>
          <rPr>
            <sz val="9"/>
            <color indexed="81"/>
            <rFont val="Tahoma"/>
            <family val="2"/>
          </rPr>
          <t xml:space="preserve">
Page 16 of 1H22 Pillar 3 Investments in Associates </t>
        </r>
      </text>
    </comment>
    <comment ref="CZ1294" authorId="1" shapeId="0" xr:uid="{68576589-EAB7-4E55-906C-43F03C1284EF}">
      <text>
        <r>
          <rPr>
            <b/>
            <sz val="9"/>
            <color indexed="81"/>
            <rFont val="Tahoma"/>
            <family val="2"/>
          </rPr>
          <t>Hong, Sally (Research):</t>
        </r>
        <r>
          <rPr>
            <sz val="9"/>
            <color indexed="81"/>
            <rFont val="Tahoma"/>
            <family val="2"/>
          </rPr>
          <t xml:space="preserve">
Sale of Stake in AM bank</t>
        </r>
      </text>
    </comment>
    <comment ref="DE1294" authorId="1" shapeId="0" xr:uid="{442C79EA-7314-4BC4-8471-A1F8B753ED34}">
      <text>
        <r>
          <rPr>
            <b/>
            <sz val="9"/>
            <color indexed="81"/>
            <rFont val="Tahoma"/>
            <family val="2"/>
          </rPr>
          <t>Hong, Sally (Research):</t>
        </r>
        <r>
          <rPr>
            <sz val="9"/>
            <color indexed="81"/>
            <rFont val="Tahoma"/>
            <family val="2"/>
          </rPr>
          <t xml:space="preserve">
Panin impairment of A$285m in 2H25</t>
        </r>
      </text>
    </comment>
    <comment ref="CK1295" authorId="3" shapeId="0" xr:uid="{00000000-0006-0000-0400-00000C020000}">
      <text>
        <r>
          <rPr>
            <b/>
            <sz val="9"/>
            <color indexed="81"/>
            <rFont val="Tahoma"/>
            <family val="2"/>
          </rPr>
          <t>Wiles, Richard (Research):</t>
        </r>
        <r>
          <rPr>
            <sz val="9"/>
            <color indexed="81"/>
            <rFont val="Tahoma"/>
            <family val="2"/>
          </rPr>
          <t xml:space="preserve">
increase due to CP overlay …</t>
        </r>
      </text>
    </comment>
    <comment ref="CR1295" authorId="3" shapeId="0" xr:uid="{00000000-0006-0000-0400-00000D020000}">
      <text>
        <r>
          <rPr>
            <b/>
            <sz val="9"/>
            <color indexed="81"/>
            <rFont val="Tahoma"/>
            <family val="2"/>
          </rPr>
          <t>Wiles, Richard (Research):</t>
        </r>
        <r>
          <rPr>
            <sz val="9"/>
            <color indexed="81"/>
            <rFont val="Tahoma"/>
            <family val="2"/>
          </rPr>
          <t xml:space="preserve">
increase due to CP overlay …</t>
        </r>
      </text>
    </comment>
    <comment ref="CW1295" authorId="3" shapeId="0" xr:uid="{00000000-0006-0000-0400-000010020000}">
      <text>
        <r>
          <rPr>
            <b/>
            <sz val="9"/>
            <color indexed="81"/>
            <rFont val="Tahoma"/>
            <family val="2"/>
          </rPr>
          <t>Wiles, Richard (Research):</t>
        </r>
        <r>
          <rPr>
            <sz val="9"/>
            <color indexed="81"/>
            <rFont val="Tahoma"/>
            <family val="2"/>
          </rPr>
          <t xml:space="preserve">
increase due to CP overlay …</t>
        </r>
      </text>
    </comment>
    <comment ref="CZ1295" authorId="3" shapeId="0" xr:uid="{00000000-0006-0000-0400-000011020000}">
      <text>
        <r>
          <rPr>
            <b/>
            <sz val="9"/>
            <color indexed="81"/>
            <rFont val="Tahoma"/>
            <family val="2"/>
          </rPr>
          <t>Wiles, Richard (Research):</t>
        </r>
        <r>
          <rPr>
            <sz val="9"/>
            <color indexed="81"/>
            <rFont val="Tahoma"/>
            <family val="2"/>
          </rPr>
          <t xml:space="preserve">
increase due to CP overlay …</t>
        </r>
      </text>
    </comment>
    <comment ref="DA1295" authorId="3" shapeId="0" xr:uid="{00000000-0006-0000-0400-000012020000}">
      <text>
        <r>
          <rPr>
            <b/>
            <sz val="9"/>
            <color indexed="81"/>
            <rFont val="Tahoma"/>
            <family val="2"/>
          </rPr>
          <t>Wiles, Richard (Research):</t>
        </r>
        <r>
          <rPr>
            <sz val="9"/>
            <color indexed="81"/>
            <rFont val="Tahoma"/>
            <family val="2"/>
          </rPr>
          <t xml:space="preserve">
increase due to CP overlay …</t>
        </r>
      </text>
    </comment>
    <comment ref="CJ1296" authorId="7" shapeId="0" xr:uid="{00000000-0006-0000-0400-000015020000}">
      <text>
        <r>
          <rPr>
            <b/>
            <sz val="9"/>
            <color indexed="81"/>
            <rFont val="Tahoma"/>
            <family val="2"/>
          </rPr>
          <t>Fernandes, Sona (Research):</t>
        </r>
        <r>
          <rPr>
            <sz val="9"/>
            <color indexed="81"/>
            <rFont val="Tahoma"/>
            <family val="2"/>
          </rPr>
          <t xml:space="preserve">
Restated 1H21</t>
        </r>
      </text>
    </comment>
    <comment ref="CK1296" authorId="7" shapeId="0" xr:uid="{00000000-0006-0000-0400-000016020000}">
      <text>
        <r>
          <rPr>
            <b/>
            <sz val="9"/>
            <color indexed="81"/>
            <rFont val="Tahoma"/>
            <family val="2"/>
          </rPr>
          <t>Fernandes, Sona (Research):</t>
        </r>
        <r>
          <rPr>
            <sz val="9"/>
            <color indexed="81"/>
            <rFont val="Tahoma"/>
            <family val="2"/>
          </rPr>
          <t xml:space="preserve">
Restated 1H21</t>
        </r>
      </text>
    </comment>
    <comment ref="BL1297" authorId="2" shapeId="0" xr:uid="{00000000-0006-0000-0400-000017020000}">
      <text>
        <r>
          <rPr>
            <b/>
            <sz val="9"/>
            <color indexed="81"/>
            <rFont val="Tahoma"/>
            <family val="2"/>
          </rPr>
          <t>Dunger, Matt (Research):</t>
        </r>
        <r>
          <rPr>
            <sz val="9"/>
            <color indexed="81"/>
            <rFont val="Tahoma"/>
            <family val="2"/>
          </rPr>
          <t xml:space="preserve">
restated FY14</t>
        </r>
      </text>
    </comment>
    <comment ref="CJ1299" authorId="7" shapeId="0" xr:uid="{00000000-0006-0000-0400-000018020000}">
      <text>
        <r>
          <rPr>
            <b/>
            <sz val="9"/>
            <color indexed="81"/>
            <rFont val="Tahoma"/>
            <family val="2"/>
          </rPr>
          <t>Fernandes, Sona (Research):</t>
        </r>
        <r>
          <rPr>
            <sz val="9"/>
            <color indexed="81"/>
            <rFont val="Tahoma"/>
            <family val="2"/>
          </rPr>
          <t xml:space="preserve">
Restated 1H21</t>
        </r>
      </text>
    </comment>
    <comment ref="CK1299" authorId="7" shapeId="0" xr:uid="{00000000-0006-0000-0400-000019020000}">
      <text>
        <r>
          <rPr>
            <b/>
            <sz val="9"/>
            <color indexed="81"/>
            <rFont val="Tahoma"/>
            <family val="2"/>
          </rPr>
          <t>Fernandes, Sona (Research):</t>
        </r>
        <r>
          <rPr>
            <sz val="9"/>
            <color indexed="81"/>
            <rFont val="Tahoma"/>
            <family val="2"/>
          </rPr>
          <t xml:space="preserve">
Restated 1H21</t>
        </r>
      </text>
    </comment>
    <comment ref="CJ1320" authorId="3" shapeId="0" xr:uid="{00000000-0006-0000-0400-00001A020000}">
      <text>
        <r>
          <rPr>
            <b/>
            <sz val="9"/>
            <color indexed="81"/>
            <rFont val="Tahoma"/>
            <family val="2"/>
          </rPr>
          <t>Wiles, Richard (Research):</t>
        </r>
        <r>
          <rPr>
            <sz val="9"/>
            <color indexed="81"/>
            <rFont val="Tahoma"/>
            <family val="2"/>
          </rPr>
          <t xml:space="preserve">
Assume delayed until 2020 given uncertainty re IOOF sale
Removal of deduction for IOOF (A$1bn split between goodwill of A$800m of investment ofg A$200m…. 
A$A$120m loss on sale and A$300m separation costs recognised in 1H18
</t>
        </r>
      </text>
    </comment>
    <comment ref="CK1320" authorId="3" shapeId="0" xr:uid="{00000000-0006-0000-0400-00001B020000}">
      <text>
        <r>
          <rPr>
            <b/>
            <sz val="9"/>
            <color indexed="81"/>
            <rFont val="Tahoma"/>
            <family val="2"/>
          </rPr>
          <t>Wiles, Richard (Research):</t>
        </r>
        <r>
          <rPr>
            <sz val="9"/>
            <color indexed="81"/>
            <rFont val="Tahoma"/>
            <family val="2"/>
          </rPr>
          <t xml:space="preserve">
Assume delayed until 2020 given uncertainty re IOOF sale
Removal of deduction for IOOF (A$1bn split between goodwill of A$800m of investment ofg A$200m…. 
A$A$120m loss on sale and A$300m separation costs recognised in 1H18
</t>
        </r>
      </text>
    </comment>
    <comment ref="DA1324" authorId="1" shapeId="0" xr:uid="{2CACA9DC-25C5-4F7C-9F24-6158879DE486}">
      <text>
        <r>
          <rPr>
            <b/>
            <sz val="9"/>
            <color indexed="81"/>
            <rFont val="Tahoma"/>
            <family val="2"/>
          </rPr>
          <t>Hong, Sally (Research):</t>
        </r>
        <r>
          <rPr>
            <sz val="9"/>
            <color indexed="81"/>
            <rFont val="Tahoma"/>
            <family val="2"/>
          </rPr>
          <t xml:space="preserve">
Add in SUN Bank Capitalised Costs Deduction A$330m</t>
        </r>
      </text>
    </comment>
    <comment ref="CJ1332" authorId="3" shapeId="0" xr:uid="{00000000-0006-0000-0400-00001C020000}">
      <text>
        <r>
          <rPr>
            <b/>
            <sz val="9"/>
            <color indexed="81"/>
            <rFont val="Tahoma"/>
            <family val="2"/>
          </rPr>
          <t>Wiles, Richard (Research):</t>
        </r>
        <r>
          <rPr>
            <sz val="9"/>
            <color indexed="81"/>
            <rFont val="Tahoma"/>
            <family val="2"/>
          </rPr>
          <t xml:space="preserve">
Assume delayed until 2020 given uncertainty re IOOF sale
Removal of deduction for IOOF (A$1bn split between goodwill of A$800m of investment ofg A$200m…. 
A$A$120m loss on sale and A$300m separation costs recognised in 1H18
</t>
        </r>
      </text>
    </comment>
    <comment ref="DE1348" authorId="1" shapeId="0" xr:uid="{F497D704-B56C-402F-9D3A-6B5389181A25}">
      <text>
        <r>
          <rPr>
            <b/>
            <sz val="9"/>
            <color indexed="81"/>
            <rFont val="Tahoma"/>
            <family val="2"/>
          </rPr>
          <t>Hong, Sally (Research):</t>
        </r>
        <r>
          <rPr>
            <sz val="9"/>
            <color indexed="81"/>
            <rFont val="Tahoma"/>
            <family val="2"/>
          </rPr>
          <t xml:space="preserve">
Panin impairment A$285m in 2H25</t>
        </r>
      </text>
    </comment>
    <comment ref="CB1349" authorId="5" shapeId="0" xr:uid="{00000000-0006-0000-0400-00001D020000}">
      <text>
        <r>
          <rPr>
            <b/>
            <sz val="9"/>
            <color indexed="81"/>
            <rFont val="Tahoma"/>
            <family val="2"/>
          </rPr>
          <t>Stadnik, Andrei (Research):</t>
        </r>
        <r>
          <rPr>
            <sz val="9"/>
            <color indexed="81"/>
            <rFont val="Tahoma"/>
            <family val="2"/>
          </rPr>
          <t xml:space="preserve">
sold Asia retail and Wealth, SRCB, MCC</t>
        </r>
      </text>
    </comment>
    <comment ref="CC1349" authorId="3" shapeId="0" xr:uid="{00000000-0006-0000-0400-00001E020000}">
      <text>
        <r>
          <rPr>
            <b/>
            <sz val="9"/>
            <color indexed="81"/>
            <rFont val="Tahoma"/>
            <family val="2"/>
          </rPr>
          <t>Wiles, Richard (Research):</t>
        </r>
        <r>
          <rPr>
            <sz val="9"/>
            <color indexed="81"/>
            <rFont val="Tahoma"/>
            <family val="2"/>
          </rPr>
          <t xml:space="preserve">
balancing item … probablt relates to disposals</t>
        </r>
      </text>
    </comment>
    <comment ref="CZ1349" authorId="1" shapeId="0" xr:uid="{1A30D5B0-D507-4815-9441-AD16837AA08A}">
      <text>
        <r>
          <rPr>
            <b/>
            <sz val="9"/>
            <color indexed="81"/>
            <rFont val="Tahoma"/>
            <family val="2"/>
          </rPr>
          <t>Hong, Sally (Research):</t>
        </r>
        <r>
          <rPr>
            <sz val="9"/>
            <color indexed="81"/>
            <rFont val="Tahoma"/>
            <family val="2"/>
          </rPr>
          <t xml:space="preserve">
Sale of 16.5% AmBank Stake on 8/3/24:
Carrying value = A$916m at 29 Feb 2024
x Stake sold 16.5% / Current Stake 21.7%</t>
        </r>
      </text>
    </comment>
    <comment ref="BU1350" authorId="3" shapeId="0" xr:uid="{00000000-0006-0000-0400-00001F020000}">
      <text>
        <r>
          <rPr>
            <b/>
            <sz val="9"/>
            <color indexed="81"/>
            <rFont val="Tahoma"/>
            <family val="2"/>
          </rPr>
          <t>Wiles, Richard (Research):</t>
        </r>
        <r>
          <rPr>
            <sz val="9"/>
            <color indexed="81"/>
            <rFont val="Tahoma"/>
            <family val="2"/>
          </rPr>
          <t xml:space="preserve">
more negative due to fall in market value of listed investments and higher A$</t>
        </r>
      </text>
    </comment>
    <comment ref="CB1350" authorId="5" shapeId="0" xr:uid="{00000000-0006-0000-0400-000020020000}">
      <text>
        <r>
          <rPr>
            <b/>
            <sz val="9"/>
            <color indexed="81"/>
            <rFont val="Tahoma"/>
            <family val="2"/>
          </rPr>
          <t>Stadnik, Andrei (Research):</t>
        </r>
        <r>
          <rPr>
            <sz val="9"/>
            <color indexed="81"/>
            <rFont val="Tahoma"/>
            <family val="2"/>
          </rPr>
          <t xml:space="preserve">
sold Asia retail and Wealth, SRCB, MCC</t>
        </r>
      </text>
    </comment>
    <comment ref="BL1352" authorId="3" shapeId="0" xr:uid="{00000000-0006-0000-0400-000021020000}">
      <text>
        <r>
          <rPr>
            <b/>
            <sz val="9"/>
            <color indexed="81"/>
            <rFont val="Tahoma"/>
            <family val="2"/>
          </rPr>
          <t>Wiles, Richard (Research):</t>
        </r>
        <r>
          <rPr>
            <sz val="9"/>
            <color indexed="81"/>
            <rFont val="Tahoma"/>
            <family val="2"/>
          </rPr>
          <t xml:space="preserve">
Other includes dividends (-ve), capital injections (+ve), and movements in market value and FX.</t>
        </r>
      </text>
    </comment>
    <comment ref="BM1352" authorId="3" shapeId="0" xr:uid="{00000000-0006-0000-0400-000022020000}">
      <text>
        <r>
          <rPr>
            <b/>
            <sz val="9"/>
            <color indexed="81"/>
            <rFont val="Tahoma"/>
            <family val="2"/>
          </rPr>
          <t>Wiles, Richard (Research):</t>
        </r>
        <r>
          <rPr>
            <sz val="9"/>
            <color indexed="81"/>
            <rFont val="Tahoma"/>
            <family val="2"/>
          </rPr>
          <t xml:space="preserve">
Other includes dividends (-ve), capital injections (+ve), and movements in market value and FX.</t>
        </r>
      </text>
    </comment>
    <comment ref="BP1352" authorId="3" shapeId="0" xr:uid="{00000000-0006-0000-0400-000023020000}">
      <text>
        <r>
          <rPr>
            <b/>
            <sz val="9"/>
            <color indexed="81"/>
            <rFont val="Tahoma"/>
            <family val="2"/>
          </rPr>
          <t>Wiles, Richard (Research):</t>
        </r>
        <r>
          <rPr>
            <sz val="9"/>
            <color indexed="81"/>
            <rFont val="Tahoma"/>
            <family val="2"/>
          </rPr>
          <t xml:space="preserve">
Other includes dividends (-ve), capital injections (+ve), and movements in market value and FX.</t>
        </r>
      </text>
    </comment>
    <comment ref="BQ1352" authorId="3" shapeId="0" xr:uid="{00000000-0006-0000-0400-000024020000}">
      <text>
        <r>
          <rPr>
            <b/>
            <sz val="9"/>
            <color indexed="81"/>
            <rFont val="Tahoma"/>
            <family val="2"/>
          </rPr>
          <t>Wiles, Richard (Research):</t>
        </r>
        <r>
          <rPr>
            <sz val="9"/>
            <color indexed="81"/>
            <rFont val="Tahoma"/>
            <family val="2"/>
          </rPr>
          <t xml:space="preserve">
Other includes dividends (-ve), capital injections (+ve), and movements in market value and FX.</t>
        </r>
      </text>
    </comment>
    <comment ref="BT1352" authorId="3" shapeId="0" xr:uid="{00000000-0006-0000-0400-000025020000}">
      <text>
        <r>
          <rPr>
            <b/>
            <sz val="9"/>
            <color indexed="81"/>
            <rFont val="Tahoma"/>
            <family val="2"/>
          </rPr>
          <t>Wiles, Richard (Research):</t>
        </r>
        <r>
          <rPr>
            <sz val="9"/>
            <color indexed="81"/>
            <rFont val="Tahoma"/>
            <family val="2"/>
          </rPr>
          <t xml:space="preserve">
Other includes dividends (-ve), capital injections (+ve), and movements in market value and FX.</t>
        </r>
      </text>
    </comment>
    <comment ref="BU1352" authorId="3" shapeId="0" xr:uid="{00000000-0006-0000-0400-000026020000}">
      <text>
        <r>
          <rPr>
            <b/>
            <sz val="9"/>
            <color indexed="81"/>
            <rFont val="Tahoma"/>
            <family val="2"/>
          </rPr>
          <t>Wiles, Richard (Research):</t>
        </r>
        <r>
          <rPr>
            <sz val="9"/>
            <color indexed="81"/>
            <rFont val="Tahoma"/>
            <family val="2"/>
          </rPr>
          <t xml:space="preserve">
Other includes dividends (-ve), capital injections (+ve), and movements in market value and FX.</t>
        </r>
      </text>
    </comment>
    <comment ref="BX1352" authorId="3" shapeId="0" xr:uid="{00000000-0006-0000-0400-000027020000}">
      <text>
        <r>
          <rPr>
            <b/>
            <sz val="9"/>
            <color indexed="81"/>
            <rFont val="Tahoma"/>
            <family val="2"/>
          </rPr>
          <t>Wiles, Richard (Research):</t>
        </r>
        <r>
          <rPr>
            <sz val="9"/>
            <color indexed="81"/>
            <rFont val="Tahoma"/>
            <family val="2"/>
          </rPr>
          <t xml:space="preserve">
Other includes dividends (-ve), capital injections (+ve), and movements in market value and FX.</t>
        </r>
      </text>
    </comment>
    <comment ref="BY1352" authorId="3" shapeId="0" xr:uid="{00000000-0006-0000-0400-000028020000}">
      <text>
        <r>
          <rPr>
            <b/>
            <sz val="9"/>
            <color indexed="81"/>
            <rFont val="Tahoma"/>
            <family val="2"/>
          </rPr>
          <t>Wiles, Richard (Research):</t>
        </r>
        <r>
          <rPr>
            <sz val="9"/>
            <color indexed="81"/>
            <rFont val="Tahoma"/>
            <family val="2"/>
          </rPr>
          <t xml:space="preserve">
Other includes dividends (-ve), capital injections (+ve), and movements in market value and FX.</t>
        </r>
      </text>
    </comment>
    <comment ref="CB1352" authorId="3" shapeId="0" xr:uid="{00000000-0006-0000-0400-000029020000}">
      <text>
        <r>
          <rPr>
            <b/>
            <sz val="9"/>
            <color indexed="81"/>
            <rFont val="Tahoma"/>
            <family val="2"/>
          </rPr>
          <t>Wiles, Richard (Research):</t>
        </r>
        <r>
          <rPr>
            <sz val="9"/>
            <color indexed="81"/>
            <rFont val="Tahoma"/>
            <family val="2"/>
          </rPr>
          <t xml:space="preserve">
Other includes dividends (-ve), capital injections (+ve), and movements in market value and FX.</t>
        </r>
      </text>
    </comment>
    <comment ref="CC1352" authorId="3" shapeId="0" xr:uid="{00000000-0006-0000-0400-00002A020000}">
      <text>
        <r>
          <rPr>
            <b/>
            <sz val="9"/>
            <color indexed="81"/>
            <rFont val="Tahoma"/>
            <family val="2"/>
          </rPr>
          <t>Wiles, Richard (Research):</t>
        </r>
        <r>
          <rPr>
            <sz val="9"/>
            <color indexed="81"/>
            <rFont val="Tahoma"/>
            <family val="2"/>
          </rPr>
          <t xml:space="preserve">
Other includes dividends (-ve), capital injections (+ve), and movements in market value and FX.</t>
        </r>
      </text>
    </comment>
    <comment ref="CF1352" authorId="3" shapeId="0" xr:uid="{00000000-0006-0000-0400-00002B020000}">
      <text>
        <r>
          <rPr>
            <b/>
            <sz val="9"/>
            <color indexed="81"/>
            <rFont val="Tahoma"/>
            <family val="2"/>
          </rPr>
          <t>Wiles, Richard (Research):</t>
        </r>
        <r>
          <rPr>
            <sz val="9"/>
            <color indexed="81"/>
            <rFont val="Tahoma"/>
            <family val="2"/>
          </rPr>
          <t xml:space="preserve">
Other includes dividends (-ve), capital injections (+ve), and movements in market value and FX.</t>
        </r>
      </text>
    </comment>
    <comment ref="CG1352" authorId="3" shapeId="0" xr:uid="{00000000-0006-0000-0400-00002C020000}">
      <text>
        <r>
          <rPr>
            <b/>
            <sz val="9"/>
            <color indexed="81"/>
            <rFont val="Tahoma"/>
            <family val="2"/>
          </rPr>
          <t>Wiles, Richard (Research):</t>
        </r>
        <r>
          <rPr>
            <sz val="9"/>
            <color indexed="81"/>
            <rFont val="Tahoma"/>
            <family val="2"/>
          </rPr>
          <t xml:space="preserve">
Other includes dividends (-ve), capital injections (+ve), and movements in market value and FX.</t>
        </r>
      </text>
    </comment>
    <comment ref="CJ1352" authorId="3" shapeId="0" xr:uid="{00000000-0006-0000-0400-00002D020000}">
      <text>
        <r>
          <rPr>
            <b/>
            <sz val="9"/>
            <color indexed="81"/>
            <rFont val="Tahoma"/>
            <family val="2"/>
          </rPr>
          <t>Wiles, Richard (Research):</t>
        </r>
        <r>
          <rPr>
            <sz val="9"/>
            <color indexed="81"/>
            <rFont val="Tahoma"/>
            <family val="2"/>
          </rPr>
          <t xml:space="preserve">
Other includes dividends (-ve), capital injections (+ve), and movements in market value and FX.</t>
        </r>
      </text>
    </comment>
    <comment ref="CV1352" authorId="3" shapeId="0" xr:uid="{00000000-0006-0000-0400-00002F020000}">
      <text>
        <r>
          <rPr>
            <b/>
            <sz val="9"/>
            <color indexed="81"/>
            <rFont val="Tahoma"/>
            <family val="2"/>
          </rPr>
          <t>Wiles, Richard (Research):</t>
        </r>
        <r>
          <rPr>
            <sz val="9"/>
            <color indexed="81"/>
            <rFont val="Tahoma"/>
            <family val="2"/>
          </rPr>
          <t xml:space="preserve">
Other includes dividends (-ve), capital injections (+ve), and movements in market value and FX.</t>
        </r>
      </text>
    </comment>
    <comment ref="CW1352" authorId="3" shapeId="0" xr:uid="{00000000-0006-0000-0400-000030020000}">
      <text>
        <r>
          <rPr>
            <b/>
            <sz val="9"/>
            <color indexed="81"/>
            <rFont val="Tahoma"/>
            <family val="2"/>
          </rPr>
          <t>Wiles, Richard (Research):</t>
        </r>
        <r>
          <rPr>
            <sz val="9"/>
            <color indexed="81"/>
            <rFont val="Tahoma"/>
            <family val="2"/>
          </rPr>
          <t xml:space="preserve">
Other includes dividends (-ve), capital injections (+ve), and movements in market value and FX.</t>
        </r>
      </text>
    </comment>
    <comment ref="CZ1352" authorId="3" shapeId="0" xr:uid="{00000000-0006-0000-0400-000031020000}">
      <text>
        <r>
          <rPr>
            <b/>
            <sz val="9"/>
            <color indexed="81"/>
            <rFont val="Tahoma"/>
            <family val="2"/>
          </rPr>
          <t>Wiles, Richard (Research):</t>
        </r>
        <r>
          <rPr>
            <sz val="9"/>
            <color indexed="81"/>
            <rFont val="Tahoma"/>
            <family val="2"/>
          </rPr>
          <t xml:space="preserve">
Other includes dividends (-ve), capital injections (+ve), and movements in market value and FX.</t>
        </r>
      </text>
    </comment>
    <comment ref="DA1352" authorId="3" shapeId="0" xr:uid="{00000000-0006-0000-0400-000032020000}">
      <text>
        <r>
          <rPr>
            <b/>
            <sz val="9"/>
            <color indexed="81"/>
            <rFont val="Tahoma"/>
            <family val="2"/>
          </rPr>
          <t>Wiles, Richard (Research):</t>
        </r>
        <r>
          <rPr>
            <sz val="9"/>
            <color indexed="81"/>
            <rFont val="Tahoma"/>
            <family val="2"/>
          </rPr>
          <t xml:space="preserve">
Other includes dividends (-ve), capital injections (+ve), and movements in market value and FX.</t>
        </r>
      </text>
    </comment>
    <comment ref="DD1352" authorId="3" shapeId="0" xr:uid="{00000000-0006-0000-0400-000033020000}">
      <text>
        <r>
          <rPr>
            <b/>
            <sz val="9"/>
            <color indexed="81"/>
            <rFont val="Tahoma"/>
            <family val="2"/>
          </rPr>
          <t>Wiles, Richard (Research):</t>
        </r>
        <r>
          <rPr>
            <sz val="9"/>
            <color indexed="81"/>
            <rFont val="Tahoma"/>
            <family val="2"/>
          </rPr>
          <t xml:space="preserve">
Other includes dividends (-ve), capital injections (+ve), and movements in market value and FX.</t>
        </r>
      </text>
    </comment>
    <comment ref="DE1352" authorId="3" shapeId="0" xr:uid="{00000000-0006-0000-0400-000034020000}">
      <text>
        <r>
          <rPr>
            <b/>
            <sz val="9"/>
            <color indexed="81"/>
            <rFont val="Tahoma"/>
            <family val="2"/>
          </rPr>
          <t>Wiles, Richard (Research):</t>
        </r>
        <r>
          <rPr>
            <sz val="9"/>
            <color indexed="81"/>
            <rFont val="Tahoma"/>
            <family val="2"/>
          </rPr>
          <t xml:space="preserve">
Other includes dividends (-ve), capital injections (+ve), and movements in market value and FX.</t>
        </r>
      </text>
    </comment>
    <comment ref="DH1352" authorId="3" shapeId="0" xr:uid="{B6EC7E01-0893-43C5-AA09-A4D0F52FDB26}">
      <text>
        <r>
          <rPr>
            <b/>
            <sz val="9"/>
            <color indexed="81"/>
            <rFont val="Tahoma"/>
            <family val="2"/>
          </rPr>
          <t>Wiles, Richard (Research):</t>
        </r>
        <r>
          <rPr>
            <sz val="9"/>
            <color indexed="81"/>
            <rFont val="Tahoma"/>
            <family val="2"/>
          </rPr>
          <t xml:space="preserve">
Other includes dividends (-ve), capital injections (+ve), and movements in market value and FX.</t>
        </r>
      </text>
    </comment>
    <comment ref="DI1352" authorId="3" shapeId="0" xr:uid="{A5FA99D8-3500-40BD-84B5-2BD3ED535713}">
      <text>
        <r>
          <rPr>
            <b/>
            <sz val="9"/>
            <color indexed="81"/>
            <rFont val="Tahoma"/>
            <family val="2"/>
          </rPr>
          <t>Wiles, Richard (Research):</t>
        </r>
        <r>
          <rPr>
            <sz val="9"/>
            <color indexed="81"/>
            <rFont val="Tahoma"/>
            <family val="2"/>
          </rPr>
          <t xml:space="preserve">
Other includes dividends (-ve), capital injections (+ve), and movements in market value and FX.</t>
        </r>
      </text>
    </comment>
    <comment ref="DL1352" authorId="3" shapeId="0" xr:uid="{CAB42CCD-E6E0-4339-A8FA-DC9F864FC11D}">
      <text>
        <r>
          <rPr>
            <b/>
            <sz val="9"/>
            <color indexed="81"/>
            <rFont val="Tahoma"/>
            <family val="2"/>
          </rPr>
          <t>Wiles, Richard (Research):</t>
        </r>
        <r>
          <rPr>
            <sz val="9"/>
            <color indexed="81"/>
            <rFont val="Tahoma"/>
            <family val="2"/>
          </rPr>
          <t xml:space="preserve">
Other includes dividends (-ve), capital injections (+ve), and movements in market value and FX.</t>
        </r>
      </text>
    </comment>
    <comment ref="DM1352" authorId="3" shapeId="0" xr:uid="{4D698E32-EAA1-442D-ACBB-7B91D76076C0}">
      <text>
        <r>
          <rPr>
            <b/>
            <sz val="9"/>
            <color indexed="81"/>
            <rFont val="Tahoma"/>
            <family val="2"/>
          </rPr>
          <t>Wiles, Richard (Research):</t>
        </r>
        <r>
          <rPr>
            <sz val="9"/>
            <color indexed="81"/>
            <rFont val="Tahoma"/>
            <family val="2"/>
          </rPr>
          <t xml:space="preserve">
Other includes dividends (-ve), capital injections (+ve), and movements in market value and FX.</t>
        </r>
      </text>
    </comment>
    <comment ref="DP1352" authorId="3" shapeId="0" xr:uid="{F1AE7441-F5F3-4C57-BFBF-FCB709A0B8C5}">
      <text>
        <r>
          <rPr>
            <b/>
            <sz val="9"/>
            <color indexed="81"/>
            <rFont val="Tahoma"/>
            <family val="2"/>
          </rPr>
          <t>Wiles, Richard (Research):</t>
        </r>
        <r>
          <rPr>
            <sz val="9"/>
            <color indexed="81"/>
            <rFont val="Tahoma"/>
            <family val="2"/>
          </rPr>
          <t xml:space="preserve">
Other includes dividends (-ve), capital injections (+ve), and movements in market value and FX.</t>
        </r>
      </text>
    </comment>
    <comment ref="DQ1352" authorId="3" shapeId="0" xr:uid="{5DFEFA45-0F4D-4996-9997-A83E60274669}">
      <text>
        <r>
          <rPr>
            <b/>
            <sz val="9"/>
            <color indexed="81"/>
            <rFont val="Tahoma"/>
            <family val="2"/>
          </rPr>
          <t>Wiles, Richard (Research):</t>
        </r>
        <r>
          <rPr>
            <sz val="9"/>
            <color indexed="81"/>
            <rFont val="Tahoma"/>
            <family val="2"/>
          </rPr>
          <t xml:space="preserve">
Other includes dividends (-ve), capital injections (+ve), and movements in market value and FX.</t>
        </r>
      </text>
    </comment>
    <comment ref="DA1372" authorId="1" shapeId="0" xr:uid="{132A3C99-0B80-45F7-ADA5-4F3C810EBFE5}">
      <text>
        <r>
          <rPr>
            <b/>
            <sz val="9"/>
            <color indexed="81"/>
            <rFont val="Tahoma"/>
            <family val="2"/>
          </rPr>
          <t>Hong, Sally (Research):</t>
        </r>
        <r>
          <rPr>
            <sz val="9"/>
            <color indexed="81"/>
            <rFont val="Tahoma"/>
            <family val="2"/>
          </rPr>
          <t xml:space="preserve">
Add in SUN Other CET1 deductions</t>
        </r>
      </text>
    </comment>
    <comment ref="CO1378" authorId="3" shapeId="0" xr:uid="{00000000-0006-0000-0400-000035020000}">
      <text>
        <r>
          <rPr>
            <b/>
            <sz val="9"/>
            <color indexed="81"/>
            <rFont val="Tahoma"/>
            <family val="2"/>
          </rPr>
          <t>Wiles, Richard (Research):</t>
        </r>
        <r>
          <rPr>
            <sz val="9"/>
            <color indexed="81"/>
            <rFont val="Tahoma"/>
            <family val="2"/>
          </rPr>
          <t xml:space="preserve">
Redeemed on 1 Sep 2021 for face value of A$100. 
CN1 holders had option to convert into CN6.</t>
        </r>
      </text>
    </comment>
    <comment ref="CR1379" authorId="1" shapeId="0" xr:uid="{00000000-0006-0000-0400-000036020000}">
      <text>
        <r>
          <rPr>
            <b/>
            <sz val="9"/>
            <color indexed="81"/>
            <rFont val="Tahoma"/>
            <family val="2"/>
          </rPr>
          <t>Hong, Sally (Research):</t>
        </r>
        <r>
          <rPr>
            <sz val="9"/>
            <color indexed="81"/>
            <rFont val="Tahoma"/>
            <family val="2"/>
          </rPr>
          <t xml:space="preserve">
</t>
        </r>
        <r>
          <rPr>
            <u/>
            <sz val="9"/>
            <color indexed="81"/>
            <rFont val="Tahoma"/>
            <family val="2"/>
          </rPr>
          <t xml:space="preserve">ASX annoucement 24 March 2022:
</t>
        </r>
        <r>
          <rPr>
            <sz val="9"/>
            <color indexed="81"/>
            <rFont val="Tahoma"/>
            <family val="2"/>
          </rPr>
          <t xml:space="preserve">ANZ capital notes 2 fully redeemed on 15 Feb 2022
</t>
        </r>
        <r>
          <rPr>
            <u/>
            <sz val="9"/>
            <color indexed="81"/>
            <rFont val="Tahoma"/>
            <family val="2"/>
          </rPr>
          <t xml:space="preserve">Capital Notes 7 Investor Presentation:
</t>
        </r>
        <r>
          <rPr>
            <sz val="9"/>
            <color indexed="81"/>
            <rFont val="Tahoma"/>
            <family val="2"/>
          </rPr>
          <t>AZN to redeem all CN2 for their value on 24 March 2022 - CN2 to continue to trade on ASX until 14 March 2022 (Slide 5)</t>
        </r>
      </text>
    </comment>
    <comment ref="CR1380" authorId="1" shapeId="0" xr:uid="{00000000-0006-0000-0400-000037020000}">
      <text>
        <r>
          <rPr>
            <b/>
            <sz val="9"/>
            <color indexed="81"/>
            <rFont val="Tahoma"/>
            <family val="2"/>
          </rPr>
          <t>Hong, Sally (Research):</t>
        </r>
        <r>
          <rPr>
            <sz val="9"/>
            <color indexed="81"/>
            <rFont val="Tahoma"/>
            <family val="2"/>
          </rPr>
          <t xml:space="preserve">
Page 103 of the 1H22 Results 4D - Debt issuances</t>
        </r>
      </text>
    </comment>
    <comment ref="CV1380" authorId="1" shapeId="0" xr:uid="{0F28D92A-88A4-4988-BBC1-857B4F7A7554}">
      <text>
        <r>
          <rPr>
            <b/>
            <sz val="9"/>
            <color indexed="81"/>
            <rFont val="Tahoma"/>
            <family val="2"/>
          </rPr>
          <t>Hong, Sally (Research):</t>
        </r>
        <r>
          <rPr>
            <sz val="9"/>
            <color indexed="81"/>
            <rFont val="Tahoma"/>
            <family val="2"/>
          </rPr>
          <t xml:space="preserve">
Redeem CN3 on 24 March 2023 as part of CN8 issuance</t>
        </r>
      </text>
    </comment>
    <comment ref="BU1381" authorId="3" shapeId="0" xr:uid="{00000000-0006-0000-0400-000038020000}">
      <text>
        <r>
          <rPr>
            <b/>
            <sz val="9"/>
            <color indexed="81"/>
            <rFont val="Tahoma"/>
            <family val="2"/>
          </rPr>
          <t>Wiles, Richard (Research):</t>
        </r>
        <r>
          <rPr>
            <sz val="9"/>
            <color indexed="81"/>
            <rFont val="Tahoma"/>
            <family val="2"/>
          </rPr>
          <t xml:space="preserve">
A$1.622m AT1 issued on 27 Sep 2016 at 90BBSW + 470bp</t>
        </r>
      </text>
    </comment>
    <comment ref="CZ1381" authorId="3" shapeId="0" xr:uid="{50FE3D2F-6A31-48F5-BBBC-585C01B918A3}">
      <text>
        <r>
          <rPr>
            <b/>
            <sz val="9"/>
            <color indexed="81"/>
            <rFont val="Tahoma"/>
            <family val="2"/>
          </rPr>
          <t>Wiles, Richard (Research):</t>
        </r>
        <r>
          <rPr>
            <sz val="9"/>
            <color indexed="81"/>
            <rFont val="Tahoma"/>
            <family val="2"/>
          </rPr>
          <t xml:space="preserve">
CN4 redeeemed on 21 March 2024 and replaced by CN9</t>
        </r>
      </text>
    </comment>
    <comment ref="BU1383" authorId="2" shapeId="0" xr:uid="{00000000-0006-0000-0400-000039020000}">
      <text>
        <r>
          <rPr>
            <b/>
            <sz val="9"/>
            <color indexed="81"/>
            <rFont val="Tahoma"/>
            <family val="2"/>
          </rPr>
          <t>Dunger, Matt (Research):</t>
        </r>
        <r>
          <rPr>
            <sz val="9"/>
            <color indexed="81"/>
            <rFont val="Tahoma"/>
            <family val="2"/>
          </rPr>
          <t xml:space="preserve">
USD1,500,000 ATI FRN announced in May 2016</t>
        </r>
      </text>
    </comment>
    <comment ref="CR1384" authorId="1" shapeId="0" xr:uid="{00000000-0006-0000-0400-00003A020000}">
      <text>
        <r>
          <rPr>
            <b/>
            <sz val="9"/>
            <color indexed="81"/>
            <rFont val="Tahoma"/>
            <family val="2"/>
          </rPr>
          <t>Hong, Sally (Research):</t>
        </r>
        <r>
          <rPr>
            <sz val="9"/>
            <color indexed="81"/>
            <rFont val="Tahoma"/>
            <family val="2"/>
          </rPr>
          <t xml:space="preserve">
Announced redemption of NZ capital notes NZ$500m on 19 th Nov 2021. This has been redeemed on 31 Dec-2021
Confirmed with Cameron on 15/3/2022</t>
        </r>
      </text>
    </comment>
    <comment ref="CO1385" authorId="3" shapeId="0" xr:uid="{00000000-0006-0000-0400-00003B020000}">
      <text>
        <r>
          <rPr>
            <b/>
            <sz val="9"/>
            <color indexed="81"/>
            <rFont val="Tahoma"/>
            <family val="2"/>
          </rPr>
          <t>Wiles, Richard (Research):</t>
        </r>
        <r>
          <rPr>
            <sz val="9"/>
            <color indexed="81"/>
            <rFont val="Tahoma"/>
            <family val="2"/>
          </rPr>
          <t xml:space="preserve">
ANZ Capital Notes 4
Commenced trading on ASX under code ANZPI on 9 July 2021
BBSW = 3.00%
First distribution on 20 Sep 2021 
</t>
        </r>
      </text>
    </comment>
    <comment ref="CR1386" authorId="1" shapeId="0" xr:uid="{00000000-0006-0000-0400-00003C020000}">
      <text>
        <r>
          <rPr>
            <b/>
            <sz val="9"/>
            <color indexed="81"/>
            <rFont val="Tahoma"/>
            <family val="2"/>
          </rPr>
          <t>Hong, Sally (Research):</t>
        </r>
        <r>
          <rPr>
            <sz val="9"/>
            <color indexed="81"/>
            <rFont val="Tahoma"/>
            <family val="2"/>
          </rPr>
          <t xml:space="preserve">
24 March Announcment:
Issed $1.31b for CN7 on 24 March
3m BBSW Rate = 0.1950%
Margin = 2.7$
9March: Upsized to A$1.31b; margin = 2.7%
18 Feb: Bookbuild completed: A$1.28bn; margin is +2.7%
</t>
        </r>
        <r>
          <rPr>
            <u/>
            <sz val="9"/>
            <color indexed="81"/>
            <rFont val="Tahoma"/>
            <family val="2"/>
          </rPr>
          <t xml:space="preserve">Capital Notes 7 Investor Presentation:
</t>
        </r>
        <r>
          <rPr>
            <sz val="9"/>
            <color indexed="81"/>
            <rFont val="Tahoma"/>
            <family val="2"/>
          </rPr>
          <t>Issue Date = 24 March 2022 (Slide 29)
Offer Size = $1b (Slide 3)
Margin expected to be in the range of 2.70% to 2.90% per annum (Slide 3)</t>
        </r>
      </text>
    </comment>
    <comment ref="CV1387" authorId="1" shapeId="0" xr:uid="{02DF554C-77F8-4851-952B-2E85775BE612}">
      <text>
        <r>
          <rPr>
            <b/>
            <sz val="9"/>
            <color indexed="81"/>
            <rFont val="Tahoma"/>
            <family val="2"/>
          </rPr>
          <t>Hong, Sally (Research):</t>
        </r>
        <r>
          <rPr>
            <sz val="9"/>
            <color indexed="81"/>
            <rFont val="Tahoma"/>
            <family val="2"/>
          </rPr>
          <t xml:space="preserve">
ASX 17 Feb 2023:
CN8 of $1.5bn Margin at 2.75%)</t>
        </r>
      </text>
    </comment>
    <comment ref="CZ1388" authorId="1" shapeId="0" xr:uid="{A1886F10-64CE-47F5-BB6B-00D2209F7D3D}">
      <text>
        <r>
          <rPr>
            <b/>
            <sz val="9"/>
            <color indexed="81"/>
            <rFont val="Tahoma"/>
            <family val="2"/>
          </rPr>
          <t>Hong, Sally (Research):</t>
        </r>
        <r>
          <rPr>
            <sz val="9"/>
            <color indexed="81"/>
            <rFont val="Tahoma"/>
            <family val="2"/>
          </rPr>
          <t xml:space="preserve">
20/2/2024 - ANZ allocates A$1.7bn under CN9 at 2.9%</t>
        </r>
      </text>
    </comment>
    <comment ref="CZ1389" authorId="1" shapeId="0" xr:uid="{0E23B36E-0EAB-422A-9732-5B7CB7051E02}">
      <text>
        <r>
          <rPr>
            <b/>
            <sz val="9"/>
            <color indexed="81"/>
            <rFont val="Tahoma"/>
            <family val="2"/>
          </rPr>
          <t>Hong, Sally (Research):</t>
        </r>
        <r>
          <rPr>
            <sz val="9"/>
            <color indexed="81"/>
            <rFont val="Tahoma"/>
            <family val="2"/>
          </rPr>
          <t xml:space="preserve">
Regulatory adjustment</t>
        </r>
      </text>
    </comment>
    <comment ref="CV1415" authorId="1" shapeId="0" xr:uid="{8C80FAE7-4437-4EF5-A4F7-9D1B912099B9}">
      <text>
        <r>
          <rPr>
            <b/>
            <sz val="9"/>
            <color indexed="81"/>
            <rFont val="Tahoma"/>
            <family val="2"/>
          </rPr>
          <t>Hong, Sally (Research):</t>
        </r>
        <r>
          <rPr>
            <sz val="9"/>
            <color indexed="81"/>
            <rFont val="Tahoma"/>
            <family val="2"/>
          </rPr>
          <t xml:space="preserve">
Risk weight est of 18.8% at 1H23 based on the NZ Disclosures Page 37 (Residential mortgages RWA / Residential Mortgages EAD)</t>
        </r>
      </text>
    </comment>
    <comment ref="CW1415" authorId="1" shapeId="0" xr:uid="{AD40D9DF-DFC6-4771-B698-898E0D4EFF00}">
      <text>
        <r>
          <rPr>
            <b/>
            <sz val="9"/>
            <color indexed="81"/>
            <rFont val="Tahoma"/>
            <family val="2"/>
          </rPr>
          <t>Hong, Sally (Research):</t>
        </r>
        <r>
          <rPr>
            <sz val="9"/>
            <color indexed="81"/>
            <rFont val="Tahoma"/>
            <family val="2"/>
          </rPr>
          <t xml:space="preserve">
See FY23 NZ dislcosures Page 97</t>
        </r>
      </text>
    </comment>
    <comment ref="CZ1415" authorId="1" shapeId="0" xr:uid="{1CA28302-50DD-4290-ADD4-E3E337A77302}">
      <text>
        <r>
          <rPr>
            <b/>
            <sz val="9"/>
            <color indexed="81"/>
            <rFont val="Tahoma"/>
            <family val="2"/>
          </rPr>
          <t>Hong, Sally (Research):</t>
        </r>
        <r>
          <rPr>
            <sz val="9"/>
            <color indexed="81"/>
            <rFont val="Tahoma"/>
            <family val="2"/>
          </rPr>
          <t xml:space="preserve">
Risk weight est  based on the NZ Disclosures 1H24 Page 40 (Residential mortgages RWA / Residential Mortgages EAD)</t>
        </r>
      </text>
    </comment>
    <comment ref="DE1415" authorId="1" shapeId="0" xr:uid="{1D1E348A-2592-44B2-9DC9-F3774CA5645D}">
      <text>
        <r>
          <rPr>
            <b/>
            <sz val="9"/>
            <color indexed="81"/>
            <rFont val="Tahoma"/>
            <family val="2"/>
          </rPr>
          <t>Hong, Sally (Research):</t>
        </r>
        <r>
          <rPr>
            <sz val="9"/>
            <color indexed="81"/>
            <rFont val="Tahoma"/>
            <family val="2"/>
          </rPr>
          <t xml:space="preserve">
See pillar 3 Page 61 FY25</t>
        </r>
      </text>
    </comment>
    <comment ref="BT1418" authorId="0" shapeId="0" xr:uid="{00000000-0006-0000-0400-00003D020000}">
      <text>
        <r>
          <rPr>
            <b/>
            <sz val="9"/>
            <color indexed="81"/>
            <rFont val="Tahoma"/>
            <family val="2"/>
          </rPr>
          <t>O'Neill, Emilie (Research):</t>
        </r>
        <r>
          <rPr>
            <sz val="9"/>
            <color indexed="81"/>
            <rFont val="Tahoma"/>
            <family val="2"/>
          </rPr>
          <t xml:space="preserve">
Restatement 1H17</t>
        </r>
      </text>
    </comment>
    <comment ref="BT1420" authorId="0" shapeId="0" xr:uid="{00000000-0006-0000-0400-00003E020000}">
      <text>
        <r>
          <rPr>
            <b/>
            <sz val="9"/>
            <color indexed="81"/>
            <rFont val="Tahoma"/>
            <family val="2"/>
          </rPr>
          <t>O'Neill, Emilie (Research):</t>
        </r>
        <r>
          <rPr>
            <sz val="9"/>
            <color indexed="81"/>
            <rFont val="Tahoma"/>
            <family val="2"/>
          </rPr>
          <t xml:space="preserve">
Restatement 1H17</t>
        </r>
      </text>
    </comment>
    <comment ref="DD1420" authorId="1" shapeId="0" xr:uid="{AC9E30A2-3CF7-4E85-976E-179B9C09BCD2}">
      <text>
        <r>
          <rPr>
            <b/>
            <sz val="9"/>
            <color indexed="81"/>
            <rFont val="Tahoma"/>
            <family val="2"/>
          </rPr>
          <t>Hong, Sally (Research):</t>
        </r>
        <r>
          <rPr>
            <sz val="9"/>
            <color indexed="81"/>
            <rFont val="Tahoma"/>
            <family val="2"/>
          </rPr>
          <t xml:space="preserve">
Add in Counterparty cRedit Risk (CCP)
New APS 220 disclosues effective 1 Jan 2025</t>
        </r>
      </text>
    </comment>
    <comment ref="CV1434" authorId="3" shapeId="0" xr:uid="{FE936704-18FC-4EEA-BD29-90DA5810BBB4}">
      <text>
        <r>
          <rPr>
            <b/>
            <sz val="9"/>
            <color indexed="81"/>
            <rFont val="Tahoma"/>
            <family val="2"/>
          </rPr>
          <t>Wiles, Richard (Research):</t>
        </r>
        <r>
          <rPr>
            <sz val="9"/>
            <color indexed="81"/>
            <rFont val="Tahoma"/>
            <family val="2"/>
          </rPr>
          <t xml:space="preserve">
NZ mortgage EAD not disclosed at 1H23 … asuume A$97bn in line with 2H22 (refer Pillar 3 page 21)</t>
        </r>
      </text>
    </comment>
    <comment ref="CV1435" authorId="1" shapeId="0" xr:uid="{6FEA9B80-0355-467E-A51D-C2203C391DD8}">
      <text>
        <r>
          <rPr>
            <b/>
            <sz val="9"/>
            <color indexed="81"/>
            <rFont val="Tahoma"/>
            <family val="2"/>
          </rPr>
          <t>Hong, Sally (Research):</t>
        </r>
        <r>
          <rPr>
            <sz val="9"/>
            <color indexed="81"/>
            <rFont val="Tahoma"/>
            <family val="2"/>
          </rPr>
          <t xml:space="preserve">
NZ housing EAD estimated based on   personal industry NZ EAD split (1H23 Pillar 3 Page 22)</t>
        </r>
      </text>
    </comment>
    <comment ref="CW1435" authorId="1" shapeId="0" xr:uid="{618B723D-6973-4FCB-8C98-75853597BED5}">
      <text>
        <r>
          <rPr>
            <b/>
            <sz val="9"/>
            <color indexed="81"/>
            <rFont val="Tahoma"/>
            <family val="2"/>
          </rPr>
          <t>Hong, Sally (Research):</t>
        </r>
        <r>
          <rPr>
            <sz val="9"/>
            <color indexed="81"/>
            <rFont val="Tahoma"/>
            <family val="2"/>
          </rPr>
          <t xml:space="preserve">
NZ personal EAD</t>
        </r>
      </text>
    </comment>
    <comment ref="CZ1435" authorId="1" shapeId="0" xr:uid="{67ECCB8B-C576-46FD-9C3D-A11DA9F4B00D}">
      <text>
        <r>
          <rPr>
            <b/>
            <sz val="9"/>
            <color indexed="81"/>
            <rFont val="Tahoma"/>
            <family val="2"/>
          </rPr>
          <t>Hong, Sally (Research):</t>
        </r>
        <r>
          <rPr>
            <sz val="9"/>
            <color indexed="81"/>
            <rFont val="Tahoma"/>
            <family val="2"/>
          </rPr>
          <t xml:space="preserve">
NZ Personal EAD</t>
        </r>
      </text>
    </comment>
    <comment ref="CC1436" authorId="0" shapeId="0" xr:uid="{00000000-0006-0000-0400-00003F020000}">
      <text>
        <r>
          <rPr>
            <b/>
            <sz val="9"/>
            <color indexed="81"/>
            <rFont val="Tahoma"/>
            <family val="2"/>
          </rPr>
          <t>O'Neill, Emilie (Research):</t>
        </r>
        <r>
          <rPr>
            <sz val="9"/>
            <color indexed="81"/>
            <rFont val="Tahoma"/>
            <family val="2"/>
          </rPr>
          <t xml:space="preserve">
Updated</t>
        </r>
      </text>
    </comment>
    <comment ref="CF1436" authorId="0" shapeId="0" xr:uid="{00000000-0006-0000-0400-000040020000}">
      <text>
        <r>
          <rPr>
            <b/>
            <sz val="9"/>
            <color indexed="81"/>
            <rFont val="Tahoma"/>
            <family val="2"/>
          </rPr>
          <t>O'Neill, Emilie (Research):</t>
        </r>
        <r>
          <rPr>
            <sz val="9"/>
            <color indexed="81"/>
            <rFont val="Tahoma"/>
            <family val="2"/>
          </rPr>
          <t xml:space="preserve">
Australia + NZ + Other</t>
        </r>
      </text>
    </comment>
    <comment ref="CG1436" authorId="0" shapeId="0" xr:uid="{00000000-0006-0000-0400-000041020000}">
      <text>
        <r>
          <rPr>
            <b/>
            <sz val="9"/>
            <color indexed="81"/>
            <rFont val="Tahoma"/>
            <family val="2"/>
          </rPr>
          <t>O'Neill, Emilie (Research):</t>
        </r>
        <r>
          <rPr>
            <sz val="9"/>
            <color indexed="81"/>
            <rFont val="Tahoma"/>
            <family val="2"/>
          </rPr>
          <t xml:space="preserve">
Updated</t>
        </r>
      </text>
    </comment>
    <comment ref="CV1436" authorId="3" shapeId="0" xr:uid="{9BEDFC5E-0A4F-4D11-85B4-55F66AE09F3E}">
      <text>
        <r>
          <rPr>
            <b/>
            <sz val="9"/>
            <color indexed="81"/>
            <rFont val="Tahoma"/>
            <family val="2"/>
          </rPr>
          <t>Wiles, Richard (Research):</t>
        </r>
        <r>
          <rPr>
            <sz val="9"/>
            <color indexed="81"/>
            <rFont val="Tahoma"/>
            <family val="2"/>
          </rPr>
          <t xml:space="preserve">
NZ mortgage EAD not disclosed at 1H23 … asuume A$97bn in line with 2H22 (refer Pillar 3 page 21)</t>
        </r>
      </text>
    </comment>
    <comment ref="CW1436" authorId="3" shapeId="0" xr:uid="{F7ED04FC-0194-4A91-AA9F-312D0CFD7B9B}">
      <text>
        <r>
          <rPr>
            <b/>
            <sz val="9"/>
            <color indexed="81"/>
            <rFont val="Tahoma"/>
            <family val="2"/>
          </rPr>
          <t>Wiles, Richard (Research):</t>
        </r>
        <r>
          <rPr>
            <sz val="9"/>
            <color indexed="81"/>
            <rFont val="Tahoma"/>
            <family val="2"/>
          </rPr>
          <t xml:space="preserve">
NZ mortgage EAD not disclosed at 1H23 … asuume A$97bn in line with 2H22 (refer Pillar 3 page 21)</t>
        </r>
      </text>
    </comment>
    <comment ref="CC1438" authorId="0" shapeId="0" xr:uid="{00000000-0006-0000-0400-000042020000}">
      <text>
        <r>
          <rPr>
            <b/>
            <sz val="9"/>
            <color indexed="81"/>
            <rFont val="Tahoma"/>
            <family val="2"/>
          </rPr>
          <t>O'Neill, Emilie (Research):</t>
        </r>
        <r>
          <rPr>
            <sz val="9"/>
            <color indexed="81"/>
            <rFont val="Tahoma"/>
            <family val="2"/>
          </rPr>
          <t xml:space="preserve">
Updated</t>
        </r>
      </text>
    </comment>
    <comment ref="CG1438" authorId="0" shapeId="0" xr:uid="{00000000-0006-0000-0400-000043020000}">
      <text>
        <r>
          <rPr>
            <b/>
            <sz val="9"/>
            <color indexed="81"/>
            <rFont val="Tahoma"/>
            <family val="2"/>
          </rPr>
          <t>O'Neill, Emilie (Research):</t>
        </r>
        <r>
          <rPr>
            <sz val="9"/>
            <color indexed="81"/>
            <rFont val="Tahoma"/>
            <family val="2"/>
          </rPr>
          <t xml:space="preserve">
Updated</t>
        </r>
      </text>
    </comment>
    <comment ref="DA1441" authorId="1" shapeId="0" xr:uid="{F5A7E73D-71FC-4E05-8AF6-FC44B2CAD0DE}">
      <text>
        <r>
          <rPr>
            <b/>
            <sz val="9"/>
            <color indexed="81"/>
            <rFont val="Tahoma"/>
            <family val="2"/>
          </rPr>
          <t>Hong, Sally (Research):</t>
        </r>
        <r>
          <rPr>
            <sz val="9"/>
            <color indexed="81"/>
            <rFont val="Tahoma"/>
            <family val="2"/>
          </rPr>
          <t xml:space="preserve">
SUN Bank Acquisition -  Addd in A$60.068bn of Mortgages EAD Standardised. Mortgages RWA = A$18.949bn; Avg Risk weight = ~31.5%.
Page 10 of the 1H24 SUN Pillar 3 </t>
        </r>
      </text>
    </comment>
    <comment ref="DD1447" authorId="1" shapeId="0" xr:uid="{01C746F9-3948-4412-BC51-E4EF08ECA3CC}">
      <text>
        <r>
          <rPr>
            <b/>
            <sz val="9"/>
            <color indexed="81"/>
            <rFont val="Tahoma"/>
            <family val="2"/>
          </rPr>
          <t>Hong, Sally (Research):</t>
        </r>
        <r>
          <rPr>
            <sz val="9"/>
            <color indexed="81"/>
            <rFont val="Tahoma"/>
            <family val="2"/>
          </rPr>
          <t xml:space="preserve">
AIRB + FIRB Corporate EAD</t>
        </r>
      </text>
    </comment>
    <comment ref="DD1448" authorId="1" shapeId="0" xr:uid="{A68D1E26-8D63-4D47-A969-50441A80B6F6}">
      <text>
        <r>
          <rPr>
            <b/>
            <sz val="9"/>
            <color indexed="81"/>
            <rFont val="Tahoma"/>
            <family val="2"/>
          </rPr>
          <t>Hong, Sally (Research):</t>
        </r>
        <r>
          <rPr>
            <sz val="9"/>
            <color indexed="81"/>
            <rFont val="Tahoma"/>
            <family val="2"/>
          </rPr>
          <t xml:space="preserve">
Corporate exposures, Specialised lending, commercial property, ADC</t>
        </r>
      </text>
    </comment>
    <comment ref="DA1455" authorId="1" shapeId="0" xr:uid="{4D169512-172C-454F-9444-2EF3901EB91D}">
      <text>
        <r>
          <rPr>
            <b/>
            <sz val="9"/>
            <color indexed="81"/>
            <rFont val="Tahoma"/>
            <family val="2"/>
          </rPr>
          <t>Hong, Sally (Research):</t>
        </r>
        <r>
          <rPr>
            <sz val="9"/>
            <color indexed="81"/>
            <rFont val="Tahoma"/>
            <family val="2"/>
          </rPr>
          <t xml:space="preserve">
SUN Bank Acquisition -  Add in A$12.684bn of Corporate EAD Standardised. Corporate RWA = A$8.728bn; Avg Risk weight = ~69%.
Page 10 of the 1H24 SUN Pillar 3 </t>
        </r>
      </text>
    </comment>
    <comment ref="DA1464" authorId="1" shapeId="0" xr:uid="{55F41BDD-46AB-466D-825A-93812854C1D2}">
      <text>
        <r>
          <rPr>
            <b/>
            <sz val="9"/>
            <color indexed="81"/>
            <rFont val="Tahoma"/>
            <family val="2"/>
          </rPr>
          <t>Hong, Sally (Research):</t>
        </r>
        <r>
          <rPr>
            <sz val="9"/>
            <color indexed="81"/>
            <rFont val="Tahoma"/>
            <family val="2"/>
          </rPr>
          <t xml:space="preserve">
ASX 8/8/24:
APRA approves AUS Mortgage LGD changes, which will lower the risk weight on IRB mortgages
Removes A$6bn of Advanced Mortgage RWAs or reduces the Risk Weight by -1.6%</t>
        </r>
      </text>
    </comment>
    <comment ref="DA1465" authorId="1" shapeId="0" xr:uid="{75E036E8-FBB5-4C57-B231-95324645E560}">
      <text>
        <r>
          <rPr>
            <b/>
            <sz val="9"/>
            <color indexed="81"/>
            <rFont val="Tahoma"/>
            <family val="2"/>
          </rPr>
          <t>Hong, Sally (Research):</t>
        </r>
        <r>
          <rPr>
            <sz val="9"/>
            <color indexed="81"/>
            <rFont val="Tahoma"/>
            <family val="2"/>
          </rPr>
          <t xml:space="preserve">
SUN Bank Acquisition -  Addd in A$60.068bn of Mortgages EAD Standardised. Mortgages RWA = A$18.949bn; Avg Risk weight = ~31.5%.
Page 10 of the 1H24 SUN Pillar 3 </t>
        </r>
      </text>
    </comment>
    <comment ref="CV1468" authorId="1" shapeId="0" xr:uid="{FFC5AAB2-F5E5-4D96-A395-AD81C10DFF15}">
      <text>
        <r>
          <rPr>
            <b/>
            <sz val="9"/>
            <color indexed="81"/>
            <rFont val="Tahoma"/>
            <family val="2"/>
          </rPr>
          <t>Hong, Sally (Research):</t>
        </r>
        <r>
          <rPr>
            <sz val="9"/>
            <color indexed="81"/>
            <rFont val="Tahoma"/>
            <family val="2"/>
          </rPr>
          <t xml:space="preserve">
1Q23: Mortgage risk weight was up 0.5%</t>
        </r>
      </text>
    </comment>
    <comment ref="CW1468" authorId="1" shapeId="0" xr:uid="{DE004CCC-87DA-42C3-96B2-90493BBAC389}">
      <text>
        <r>
          <rPr>
            <b/>
            <sz val="9"/>
            <color indexed="81"/>
            <rFont val="Tahoma"/>
            <family val="2"/>
          </rPr>
          <t>Hong, Sally (Research):</t>
        </r>
        <r>
          <rPr>
            <sz val="9"/>
            <color indexed="81"/>
            <rFont val="Tahoma"/>
            <family val="2"/>
          </rPr>
          <t xml:space="preserve">
1Q23: Mortgage risk weight was up 0.5%</t>
        </r>
      </text>
    </comment>
    <comment ref="CV1471" authorId="3" shapeId="0" xr:uid="{EB30879D-6E46-4904-BC81-7E9C15CA0BFF}">
      <text>
        <r>
          <rPr>
            <b/>
            <sz val="9"/>
            <color indexed="81"/>
            <rFont val="Tahoma"/>
            <family val="2"/>
          </rPr>
          <t>Wiles, Richard (Research):</t>
        </r>
        <r>
          <rPr>
            <sz val="9"/>
            <color indexed="81"/>
            <rFont val="Tahoma"/>
            <family val="2"/>
          </rPr>
          <t xml:space="preserve">
adjust RW density to reflect +70bp impact from 'new' APRA capital framework</t>
        </r>
      </text>
    </comment>
    <comment ref="CW1471" authorId="3" shapeId="0" xr:uid="{C6B06A38-F313-408A-8AEF-DDCA92C34181}">
      <text>
        <r>
          <rPr>
            <b/>
            <sz val="9"/>
            <color indexed="81"/>
            <rFont val="Tahoma"/>
            <family val="2"/>
          </rPr>
          <t>Wiles, Richard (Research):</t>
        </r>
        <r>
          <rPr>
            <sz val="9"/>
            <color indexed="81"/>
            <rFont val="Tahoma"/>
            <family val="2"/>
          </rPr>
          <t xml:space="preserve">
adjust RW density to reflect +70bp impact from 'new' APRA capital framework</t>
        </r>
      </text>
    </comment>
    <comment ref="DA1471" authorId="1" shapeId="0" xr:uid="{742CC3E3-0191-466C-BE4D-2106A6BA501B}">
      <text>
        <r>
          <rPr>
            <b/>
            <sz val="9"/>
            <color indexed="81"/>
            <rFont val="Tahoma"/>
            <family val="2"/>
          </rPr>
          <t>Hong, Sally (Research):</t>
        </r>
        <r>
          <rPr>
            <sz val="9"/>
            <color indexed="81"/>
            <rFont val="Tahoma"/>
            <family val="2"/>
          </rPr>
          <t xml:space="preserve">
SUN Bank Acquisition -  Add in A$12.684bn of Corporate EAD Standardised. Corporate RWA = A$8.728bn; Avg Risk weight = ~69%.
Page 10 of the 1H24 SUN Pillar 3 </t>
        </r>
      </text>
    </comment>
    <comment ref="DE1471" authorId="3" shapeId="0" xr:uid="{5E319DE0-6B72-4089-9126-9B21CE17EC5B}">
      <text>
        <r>
          <rPr>
            <b/>
            <sz val="9"/>
            <color indexed="81"/>
            <rFont val="Tahoma"/>
            <family val="2"/>
          </rPr>
          <t>Wiles, Richard (Research):</t>
        </r>
        <r>
          <rPr>
            <sz val="9"/>
            <color indexed="81"/>
            <rFont val="Tahoma"/>
            <family val="2"/>
          </rPr>
          <t xml:space="preserve">
reduction due to growth in Markets EAD</t>
        </r>
      </text>
    </comment>
    <comment ref="DH1471" authorId="3" shapeId="0" xr:uid="{DBB6C0DC-E444-4875-BD6B-93A8396E7DAE}">
      <text>
        <r>
          <rPr>
            <b/>
            <sz val="9"/>
            <color indexed="81"/>
            <rFont val="Tahoma"/>
            <family val="2"/>
          </rPr>
          <t>Wiles, Richard (Research):</t>
        </r>
        <r>
          <rPr>
            <sz val="9"/>
            <color indexed="81"/>
            <rFont val="Tahoma"/>
            <family val="2"/>
          </rPr>
          <t xml:space="preserve">
reduction due to growth in Markets EAD</t>
        </r>
      </text>
    </comment>
    <comment ref="CV1472" authorId="3" shapeId="0" xr:uid="{D726C10E-1733-41E2-89A9-5B0404D713CD}">
      <text>
        <r>
          <rPr>
            <b/>
            <sz val="9"/>
            <color indexed="81"/>
            <rFont val="Tahoma"/>
            <family val="2"/>
          </rPr>
          <t>Wiles, Richard (Research):</t>
        </r>
        <r>
          <rPr>
            <sz val="9"/>
            <color indexed="81"/>
            <rFont val="Tahoma"/>
            <family val="2"/>
          </rPr>
          <t xml:space="preserve">
adjust RW density to reflect +70bp impact from 'new' APRA capital framework</t>
        </r>
      </text>
    </comment>
    <comment ref="CW1472" authorId="3" shapeId="0" xr:uid="{2B5D4867-4976-4432-A548-814AE831E0DB}">
      <text>
        <r>
          <rPr>
            <b/>
            <sz val="9"/>
            <color indexed="81"/>
            <rFont val="Tahoma"/>
            <family val="2"/>
          </rPr>
          <t>Wiles, Richard (Research):</t>
        </r>
        <r>
          <rPr>
            <sz val="9"/>
            <color indexed="81"/>
            <rFont val="Tahoma"/>
            <family val="2"/>
          </rPr>
          <t xml:space="preserve">
adjust RW density to reflect +70bp impact from 'new' APRA capital framework</t>
        </r>
      </text>
    </comment>
    <comment ref="DA1472" authorId="1" shapeId="0" xr:uid="{23F7F020-1D4A-4AAF-8049-BF34FC8DF780}">
      <text>
        <r>
          <rPr>
            <b/>
            <sz val="9"/>
            <color indexed="81"/>
            <rFont val="Tahoma"/>
            <family val="2"/>
          </rPr>
          <t>Hong, Sally (Research):</t>
        </r>
        <r>
          <rPr>
            <sz val="9"/>
            <color indexed="81"/>
            <rFont val="Tahoma"/>
            <family val="2"/>
          </rPr>
          <t xml:space="preserve">
ASX 8/8/24:
Revised APS112 RWA rules relating to Corporate will reduce the standardised RWAs calculated for the purposes of the Capital Floor by A$17bn, and reduce the Capital floor by A$12bn
</t>
        </r>
        <r>
          <rPr>
            <b/>
            <sz val="9"/>
            <color indexed="81"/>
            <rFont val="Tahoma"/>
            <family val="2"/>
          </rPr>
          <t>SUN Bank Acquisition</t>
        </r>
        <r>
          <rPr>
            <sz val="9"/>
            <color indexed="81"/>
            <rFont val="Tahoma"/>
            <family val="2"/>
          </rPr>
          <t xml:space="preserve">
SUN Bank Acquisition -  Add in A$12.684bn of Corporate EAD Standardised. Corporate RWA = A$8.728bn; Avg Risk weight = ~69%.
Page 10 of the 1H24 SUN Pillar 3 
</t>
        </r>
      </text>
    </comment>
    <comment ref="CV1473" authorId="3" shapeId="0" xr:uid="{2D16EEFB-36C6-4F2A-8CD7-AD6ABA348265}">
      <text>
        <r>
          <rPr>
            <b/>
            <sz val="9"/>
            <color indexed="81"/>
            <rFont val="Tahoma"/>
            <family val="2"/>
          </rPr>
          <t>Wiles, Richard (Research):</t>
        </r>
        <r>
          <rPr>
            <sz val="9"/>
            <color indexed="81"/>
            <rFont val="Tahoma"/>
            <family val="2"/>
          </rPr>
          <t xml:space="preserve">
adjust RW density to reflect +70bp impact from 'new' APRA capital framework</t>
        </r>
      </text>
    </comment>
    <comment ref="CW1473" authorId="3" shapeId="0" xr:uid="{A6605D32-69F9-430B-87C0-2B3D375C4B9B}">
      <text>
        <r>
          <rPr>
            <b/>
            <sz val="9"/>
            <color indexed="81"/>
            <rFont val="Tahoma"/>
            <family val="2"/>
          </rPr>
          <t>Wiles, Richard (Research):</t>
        </r>
        <r>
          <rPr>
            <sz val="9"/>
            <color indexed="81"/>
            <rFont val="Tahoma"/>
            <family val="2"/>
          </rPr>
          <t xml:space="preserve">
adjust RW density to reflect +70bp impact from 'new' APRA capital framework</t>
        </r>
      </text>
    </comment>
    <comment ref="CV1474" authorId="3" shapeId="0" xr:uid="{4B95CC76-060C-4769-95D6-941ACEB5ED20}">
      <text>
        <r>
          <rPr>
            <b/>
            <sz val="9"/>
            <color indexed="81"/>
            <rFont val="Tahoma"/>
            <family val="2"/>
          </rPr>
          <t>Wiles, Richard (Research):</t>
        </r>
        <r>
          <rPr>
            <sz val="9"/>
            <color indexed="81"/>
            <rFont val="Tahoma"/>
            <family val="2"/>
          </rPr>
          <t xml:space="preserve">
adjust RW density to reflect +70bp impact from 'new' APRA capital framework</t>
        </r>
      </text>
    </comment>
    <comment ref="CW1474" authorId="3" shapeId="0" xr:uid="{B15FC3E3-9415-43A0-A39C-6C38D347B96A}">
      <text>
        <r>
          <rPr>
            <b/>
            <sz val="9"/>
            <color indexed="81"/>
            <rFont val="Tahoma"/>
            <family val="2"/>
          </rPr>
          <t>Wiles, Richard (Research):</t>
        </r>
        <r>
          <rPr>
            <sz val="9"/>
            <color indexed="81"/>
            <rFont val="Tahoma"/>
            <family val="2"/>
          </rPr>
          <t xml:space="preserve">
adjust RW density to reflect +70bp impact from 'new' APRA capital framework</t>
        </r>
      </text>
    </comment>
    <comment ref="CV1485" authorId="1" shapeId="0" xr:uid="{433D90DE-2DAB-4D46-A7ED-AB4B48B7BCCF}">
      <text>
        <r>
          <rPr>
            <b/>
            <sz val="9"/>
            <color indexed="81"/>
            <rFont val="Tahoma"/>
            <family val="2"/>
          </rPr>
          <t>Hong, Sally (Research):</t>
        </r>
        <r>
          <rPr>
            <sz val="9"/>
            <color indexed="81"/>
            <rFont val="Tahoma"/>
            <family val="2"/>
          </rPr>
          <t xml:space="preserve">
Traded market risk increased by $2.1bn in 1Q23 due to higher Stressed VaR</t>
        </r>
      </text>
    </comment>
    <comment ref="CW1485" authorId="1" shapeId="0" xr:uid="{60B9D67C-3422-4D8D-A48F-A77523819CCE}">
      <text>
        <r>
          <rPr>
            <b/>
            <sz val="9"/>
            <color indexed="81"/>
            <rFont val="Tahoma"/>
            <family val="2"/>
          </rPr>
          <t>Hong, Sally (Research):</t>
        </r>
        <r>
          <rPr>
            <sz val="9"/>
            <color indexed="81"/>
            <rFont val="Tahoma"/>
            <family val="2"/>
          </rPr>
          <t xml:space="preserve">
Traded market risk increased by $2.1bn in 1Q23 due to higher Stressed VaR</t>
        </r>
      </text>
    </comment>
    <comment ref="DA1485" authorId="1" shapeId="0" xr:uid="{A1C184AF-FF78-4AE0-9122-F9AFBE8027FE}">
      <text>
        <r>
          <rPr>
            <b/>
            <sz val="9"/>
            <color indexed="81"/>
            <rFont val="Tahoma"/>
            <family val="2"/>
          </rPr>
          <t>Hong, Sally (Research):</t>
        </r>
        <r>
          <rPr>
            <sz val="9"/>
            <color indexed="81"/>
            <rFont val="Tahoma"/>
            <family val="2"/>
          </rPr>
          <t xml:space="preserve">
Add in A$260m of Market Risk RWA for SUN</t>
        </r>
      </text>
    </comment>
    <comment ref="DD1485" authorId="1" shapeId="0" xr:uid="{083719E1-2CB3-4B8A-952D-2DD40592E669}">
      <text>
        <r>
          <rPr>
            <b/>
            <sz val="9"/>
            <color indexed="81"/>
            <rFont val="Tahoma"/>
            <family val="2"/>
          </rPr>
          <t>Hong, Sally (Research):</t>
        </r>
        <r>
          <rPr>
            <sz val="9"/>
            <color indexed="81"/>
            <rFont val="Tahoma"/>
            <family val="2"/>
          </rPr>
          <t xml:space="preserve">
Add in A$260m of Market Risk RWA for SUN</t>
        </r>
      </text>
    </comment>
    <comment ref="CV1486" authorId="3" shapeId="0" xr:uid="{00000000-0006-0000-0400-000045020000}">
      <text>
        <r>
          <rPr>
            <b/>
            <sz val="9"/>
            <color indexed="81"/>
            <rFont val="Tahoma"/>
            <family val="2"/>
          </rPr>
          <t>Wiles, Richard (Research):</t>
        </r>
        <r>
          <rPr>
            <sz val="9"/>
            <color indexed="81"/>
            <rFont val="Tahoma"/>
            <family val="2"/>
          </rPr>
          <t xml:space="preserve">
refer slide 4 of 3Q22 trading update for expected decline in IRRBB embedded gain or loss … from A$21.7bn back towards zero by 2026-27</t>
        </r>
      </text>
    </comment>
    <comment ref="CW1486" authorId="3" shapeId="0" xr:uid="{C841092D-F5A8-465C-BAC6-C07964173D9E}">
      <text>
        <r>
          <rPr>
            <b/>
            <sz val="9"/>
            <color indexed="81"/>
            <rFont val="Tahoma"/>
            <family val="2"/>
          </rPr>
          <t>Wiles, Richard (Research):</t>
        </r>
        <r>
          <rPr>
            <sz val="9"/>
            <color indexed="81"/>
            <rFont val="Tahoma"/>
            <family val="2"/>
          </rPr>
          <t xml:space="preserve">
refer slide 4 of 3Q22 trading update for expected decline in IRRBB embedded gain or loss … from A$21.7bn back towards zero by 2026-27</t>
        </r>
      </text>
    </comment>
    <comment ref="DA1486" authorId="3" shapeId="0" xr:uid="{034E7A7D-BAD0-4FF3-B9A0-9CC455447E5D}">
      <text>
        <r>
          <rPr>
            <b/>
            <sz val="9"/>
            <color indexed="81"/>
            <rFont val="Tahoma"/>
            <family val="2"/>
          </rPr>
          <t>Wiles, Richard (Research):</t>
        </r>
        <r>
          <rPr>
            <sz val="9"/>
            <color indexed="81"/>
            <rFont val="Tahoma"/>
            <family val="2"/>
          </rPr>
          <t xml:space="preserve">
embedded loss was close to zero at 1H24, so assume only modest further reduction</t>
        </r>
      </text>
    </comment>
    <comment ref="CV1487" authorId="1" shapeId="0" xr:uid="{C1316B45-76C0-465C-BD8E-FD10DC580925}">
      <text>
        <r>
          <rPr>
            <b/>
            <sz val="9"/>
            <color indexed="81"/>
            <rFont val="Tahoma"/>
            <family val="2"/>
          </rPr>
          <t>Hong, Sally (Research):</t>
        </r>
        <r>
          <rPr>
            <sz val="9"/>
            <color indexed="81"/>
            <rFont val="Tahoma"/>
            <family val="2"/>
          </rPr>
          <t xml:space="preserve">
New SMA Approach - Reduction of $5.6bn Op Risk RWA in 1Q23</t>
        </r>
      </text>
    </comment>
    <comment ref="CW1487" authorId="1" shapeId="0" xr:uid="{85E2CFC2-8F93-432E-BD45-D29549A0915F}">
      <text>
        <r>
          <rPr>
            <b/>
            <sz val="9"/>
            <color indexed="81"/>
            <rFont val="Tahoma"/>
            <family val="2"/>
          </rPr>
          <t>Hong, Sally (Research):</t>
        </r>
        <r>
          <rPr>
            <sz val="9"/>
            <color indexed="81"/>
            <rFont val="Tahoma"/>
            <family val="2"/>
          </rPr>
          <t xml:space="preserve">
New SMA Approach - Reduction of $5.6bn Op Risk RWA in 1Q23</t>
        </r>
      </text>
    </comment>
    <comment ref="DA1487" authorId="1" shapeId="0" xr:uid="{D39B88C0-291A-4E47-97DE-834223C0F30B}">
      <text>
        <r>
          <rPr>
            <b/>
            <sz val="9"/>
            <color indexed="81"/>
            <rFont val="Tahoma"/>
            <family val="2"/>
          </rPr>
          <t>Hong, Sally (Research):</t>
        </r>
        <r>
          <rPr>
            <sz val="9"/>
            <color indexed="81"/>
            <rFont val="Tahoma"/>
            <family val="2"/>
          </rPr>
          <t xml:space="preserve">
</t>
        </r>
        <r>
          <rPr>
            <b/>
            <sz val="9"/>
            <color indexed="81"/>
            <rFont val="Tahoma"/>
            <family val="2"/>
          </rPr>
          <t xml:space="preserve">APRA announcement:23/8/24 Market Conduct Issues
</t>
        </r>
        <r>
          <rPr>
            <sz val="9"/>
            <color indexed="81"/>
            <rFont val="Tahoma"/>
            <family val="2"/>
          </rPr>
          <t xml:space="preserve">Additional +A$250m op risk capital overlay = -6bp CET1 </t>
        </r>
        <r>
          <rPr>
            <b/>
            <sz val="9"/>
            <color indexed="81"/>
            <rFont val="Tahoma"/>
            <family val="2"/>
          </rPr>
          <t xml:space="preserve">
= +</t>
        </r>
        <r>
          <rPr>
            <sz val="9"/>
            <color indexed="81"/>
            <rFont val="Tahoma"/>
            <family val="2"/>
          </rPr>
          <t xml:space="preserve">A$2bn of operational risk RWA
</t>
        </r>
        <r>
          <rPr>
            <b/>
            <sz val="9"/>
            <color indexed="81"/>
            <rFont val="Tahoma"/>
            <family val="2"/>
          </rPr>
          <t>SUN</t>
        </r>
        <r>
          <rPr>
            <sz val="9"/>
            <color indexed="81"/>
            <rFont val="Tahoma"/>
            <family val="2"/>
          </rPr>
          <t xml:space="preserve">
Add in SUN Op Risk RWA = $2512M
</t>
        </r>
      </text>
    </comment>
    <comment ref="DE1487" authorId="3" shapeId="0" xr:uid="{7B230F20-E89A-44B5-A926-66D38387CE7B}">
      <text>
        <r>
          <rPr>
            <b/>
            <sz val="9"/>
            <color indexed="81"/>
            <rFont val="Tahoma"/>
            <family val="2"/>
          </rPr>
          <t>Wiles, Richard (Research):</t>
        </r>
        <r>
          <rPr>
            <sz val="9"/>
            <color indexed="81"/>
            <rFont val="Tahoma"/>
            <family val="2"/>
          </rPr>
          <t xml:space="preserve">
8/2/25:
additional A$250m op risk overlay effective from 3/4/25 (~5bp impact on capital or A$3.1bn) (A$3.1bn RWA impact, but inclusive of the capital floor impact, the net RWA increase is A$2.3bn) takeing total overlay to A$1bn (per announcement on 3/4/25) 
23/8/24:
APRA has increased the op risk capital overlay by A$250m to a total of A$750m, which means we no longer assume that the APRA overlay will be removed 
</t>
        </r>
        <r>
          <rPr>
            <b/>
            <sz val="9"/>
            <color indexed="81"/>
            <rFont val="Tahoma"/>
            <family val="2"/>
          </rPr>
          <t>Previous:</t>
        </r>
        <r>
          <rPr>
            <sz val="9"/>
            <color indexed="81"/>
            <rFont val="Tahoma"/>
            <family val="2"/>
          </rPr>
          <t xml:space="preserve">
assume removal of APRA overlay of A$6.25bn RWA / A$500m capital .. Approx 0.45% reduction in op risk / total assets</t>
        </r>
      </text>
    </comment>
    <comment ref="DH1487" authorId="3" shapeId="0" xr:uid="{24C6754D-0A25-4BAB-BA5E-7E71CA3E866D}">
      <text>
        <r>
          <rPr>
            <b/>
            <sz val="9"/>
            <color indexed="81"/>
            <rFont val="Tahoma"/>
            <family val="2"/>
          </rPr>
          <t>Wiles, Richard (Research):</t>
        </r>
        <r>
          <rPr>
            <sz val="9"/>
            <color indexed="81"/>
            <rFont val="Tahoma"/>
            <family val="2"/>
          </rPr>
          <t xml:space="preserve">
assume removal of A$240m APRA operational risk overlay (+6bp tpo CET1) … implies A$500m remaining </t>
        </r>
      </text>
    </comment>
    <comment ref="DL1487" authorId="3" shapeId="0" xr:uid="{B531756C-228E-4787-B4E5-5D938357A60B}">
      <text>
        <r>
          <rPr>
            <b/>
            <sz val="9"/>
            <color indexed="81"/>
            <rFont val="Tahoma"/>
            <family val="2"/>
          </rPr>
          <t>Wiles, Richard (Research):</t>
        </r>
        <r>
          <rPr>
            <sz val="9"/>
            <color indexed="81"/>
            <rFont val="Tahoma"/>
            <family val="2"/>
          </rPr>
          <t xml:space="preserve">
assume removal of A$250m APRA operational risk overlay (+6bp tpo CET1) … implies A$750m remaining </t>
        </r>
      </text>
    </comment>
    <comment ref="DM1487" authorId="3" shapeId="0" xr:uid="{9967A0B1-6E87-4939-8797-1BA799CBF36F}">
      <text>
        <r>
          <rPr>
            <b/>
            <sz val="9"/>
            <color indexed="81"/>
            <rFont val="Tahoma"/>
            <family val="2"/>
          </rPr>
          <t>Wiles, Richard (Research):</t>
        </r>
        <r>
          <rPr>
            <sz val="9"/>
            <color indexed="81"/>
            <rFont val="Tahoma"/>
            <family val="2"/>
          </rPr>
          <t xml:space="preserve">
assume removal of A$250m APRA operational risk overlay (+6bp tpo CET1) … implies A$500m remaining </t>
        </r>
      </text>
    </comment>
    <comment ref="DP1487" authorId="3" shapeId="0" xr:uid="{E9963510-0F68-49FB-926E-2792A0D19A57}">
      <text>
        <r>
          <rPr>
            <b/>
            <sz val="9"/>
            <color indexed="81"/>
            <rFont val="Tahoma"/>
            <family val="2"/>
          </rPr>
          <t>Wiles, Richard (Research):</t>
        </r>
        <r>
          <rPr>
            <sz val="9"/>
            <color indexed="81"/>
            <rFont val="Tahoma"/>
            <family val="2"/>
          </rPr>
          <t xml:space="preserve">
assume removal of A$250m APRA operational risk overlay (+6bp tpo CET1) … implies A$750m remaining </t>
        </r>
      </text>
    </comment>
    <comment ref="DQ1487" authorId="3" shapeId="0" xr:uid="{37EEABC3-1A8D-4139-8318-D594763F5D24}">
      <text>
        <r>
          <rPr>
            <b/>
            <sz val="9"/>
            <color indexed="81"/>
            <rFont val="Tahoma"/>
            <family val="2"/>
          </rPr>
          <t>Wiles, Richard (Research):</t>
        </r>
        <r>
          <rPr>
            <sz val="9"/>
            <color indexed="81"/>
            <rFont val="Tahoma"/>
            <family val="2"/>
          </rPr>
          <t xml:space="preserve">
assume removal of A$250m APRA operational risk overlay (+6bp tpo CET1) … implies A$500m remaining </t>
        </r>
      </text>
    </comment>
    <comment ref="DA1501" authorId="1" shapeId="0" xr:uid="{1CA5511E-78F6-4934-9110-76BB04EB2B88}">
      <text>
        <r>
          <rPr>
            <b/>
            <sz val="9"/>
            <color indexed="81"/>
            <rFont val="Tahoma"/>
            <family val="2"/>
          </rPr>
          <t>Hong, Sally (Research):</t>
        </r>
        <r>
          <rPr>
            <sz val="9"/>
            <color indexed="81"/>
            <rFont val="Tahoma"/>
            <family val="2"/>
          </rPr>
          <t xml:space="preserve">
ASX 8/8/24:
Revised APS112 RWA rules will reduce Corporate Standardised RWA by A$17bn, this will reduce  Capital floor RWAs by A$12bn 
-1.3% Adjustment to Standardised Risk Weight
Includison of Suncorp further adjusts the floor ... implied -1%
</t>
        </r>
      </text>
    </comment>
    <comment ref="BT1574" authorId="3" shapeId="0" xr:uid="{00000000-0006-0000-0400-000049020000}">
      <text>
        <r>
          <rPr>
            <b/>
            <sz val="9"/>
            <color indexed="81"/>
            <rFont val="Tahoma"/>
            <family val="2"/>
          </rPr>
          <t>Wiles, Richard (Research):</t>
        </r>
        <r>
          <rPr>
            <sz val="9"/>
            <color indexed="81"/>
            <rFont val="Tahoma"/>
            <family val="2"/>
          </rPr>
          <t xml:space="preserve">
BoT and SRCB earnings</t>
        </r>
      </text>
    </comment>
    <comment ref="BU1574" authorId="3" shapeId="0" xr:uid="{00000000-0006-0000-0400-00004A020000}">
      <text>
        <r>
          <rPr>
            <b/>
            <sz val="9"/>
            <color indexed="81"/>
            <rFont val="Tahoma"/>
            <family val="2"/>
          </rPr>
          <t>Wiles, Richard (Research):</t>
        </r>
        <r>
          <rPr>
            <sz val="9"/>
            <color indexed="81"/>
            <rFont val="Tahoma"/>
            <family val="2"/>
          </rPr>
          <t xml:space="preserve">
SRCB earnings</t>
        </r>
      </text>
    </comment>
    <comment ref="BX1574" authorId="3" shapeId="0" xr:uid="{00000000-0006-0000-0400-00004B020000}">
      <text>
        <r>
          <rPr>
            <b/>
            <sz val="9"/>
            <color indexed="81"/>
            <rFont val="Tahoma"/>
            <family val="2"/>
          </rPr>
          <t>Wiles, Richard (Research):</t>
        </r>
        <r>
          <rPr>
            <sz val="9"/>
            <color indexed="81"/>
            <rFont val="Tahoma"/>
            <family val="2"/>
          </rPr>
          <t xml:space="preserve">
SRCB 1Q17 earnings</t>
        </r>
      </text>
    </comment>
    <comment ref="CB1574" authorId="3" shapeId="0" xr:uid="{00000000-0006-0000-0400-00004C020000}">
      <text>
        <r>
          <rPr>
            <b/>
            <sz val="9"/>
            <color indexed="81"/>
            <rFont val="Tahoma"/>
            <family val="2"/>
          </rPr>
          <t>Wiles, Richard (Research):</t>
        </r>
        <r>
          <rPr>
            <sz val="9"/>
            <color indexed="81"/>
            <rFont val="Tahoma"/>
            <family val="2"/>
          </rPr>
          <t xml:space="preserve">
SRCB earnings no longer recognised post 1Q17 due to sale</t>
        </r>
      </text>
    </comment>
    <comment ref="CC1574" authorId="3" shapeId="0" xr:uid="{00000000-0006-0000-0400-00004D020000}">
      <text>
        <r>
          <rPr>
            <b/>
            <sz val="9"/>
            <color indexed="81"/>
            <rFont val="Tahoma"/>
            <family val="2"/>
          </rPr>
          <t>Wiles, Richard (Research):</t>
        </r>
        <r>
          <rPr>
            <sz val="9"/>
            <color indexed="81"/>
            <rFont val="Tahoma"/>
            <family val="2"/>
          </rPr>
          <t xml:space="preserve">
SRCB earnings no longer recognised post 1Q17 due to sale</t>
        </r>
      </text>
    </comment>
    <comment ref="CF1574" authorId="3" shapeId="0" xr:uid="{00000000-0006-0000-0400-00004E020000}">
      <text>
        <r>
          <rPr>
            <b/>
            <sz val="9"/>
            <color indexed="81"/>
            <rFont val="Tahoma"/>
            <family val="2"/>
          </rPr>
          <t>Wiles, Richard (Research):</t>
        </r>
        <r>
          <rPr>
            <sz val="9"/>
            <color indexed="81"/>
            <rFont val="Tahoma"/>
            <family val="2"/>
          </rPr>
          <t xml:space="preserve">
SRCB earnings no longer recognised post 1Q17 due to sale</t>
        </r>
      </text>
    </comment>
    <comment ref="CG1574" authorId="3" shapeId="0" xr:uid="{00000000-0006-0000-0400-00004F020000}">
      <text>
        <r>
          <rPr>
            <b/>
            <sz val="9"/>
            <color indexed="81"/>
            <rFont val="Tahoma"/>
            <family val="2"/>
          </rPr>
          <t>Wiles, Richard (Research):</t>
        </r>
        <r>
          <rPr>
            <sz val="9"/>
            <color indexed="81"/>
            <rFont val="Tahoma"/>
            <family val="2"/>
          </rPr>
          <t xml:space="preserve">
SRCB earnings no longer recognised post 1Q17 due to sale</t>
        </r>
      </text>
    </comment>
    <comment ref="CJ1574" authorId="3" shapeId="0" xr:uid="{00000000-0006-0000-0400-000050020000}">
      <text>
        <r>
          <rPr>
            <b/>
            <sz val="9"/>
            <color indexed="81"/>
            <rFont val="Tahoma"/>
            <family val="2"/>
          </rPr>
          <t>Wiles, Richard (Research):</t>
        </r>
        <r>
          <rPr>
            <sz val="9"/>
            <color indexed="81"/>
            <rFont val="Tahoma"/>
            <family val="2"/>
          </rPr>
          <t xml:space="preserve">
SRCB earnings no longer recognised post 1Q17 due to sale</t>
        </r>
      </text>
    </comment>
    <comment ref="CK1574" authorId="3" shapeId="0" xr:uid="{00000000-0006-0000-0400-000051020000}">
      <text>
        <r>
          <rPr>
            <b/>
            <sz val="9"/>
            <color indexed="81"/>
            <rFont val="Tahoma"/>
            <family val="2"/>
          </rPr>
          <t>Wiles, Richard (Research):</t>
        </r>
        <r>
          <rPr>
            <sz val="9"/>
            <color indexed="81"/>
            <rFont val="Tahoma"/>
            <family val="2"/>
          </rPr>
          <t xml:space="preserve">
SRCB earnings no longer recognised post 1Q17 due to sale</t>
        </r>
      </text>
    </comment>
    <comment ref="CO1574" authorId="3" shapeId="0" xr:uid="{00000000-0006-0000-0400-000052020000}">
      <text>
        <r>
          <rPr>
            <b/>
            <sz val="9"/>
            <color indexed="81"/>
            <rFont val="Tahoma"/>
            <family val="2"/>
          </rPr>
          <t>Wiles, Richard (Research):</t>
        </r>
        <r>
          <rPr>
            <sz val="9"/>
            <color indexed="81"/>
            <rFont val="Tahoma"/>
            <family val="2"/>
          </rPr>
          <t xml:space="preserve">
SRCB earnings no longer recognised post 1Q17 due to sale</t>
        </r>
      </text>
    </comment>
    <comment ref="CR1574" authorId="3" shapeId="0" xr:uid="{00000000-0006-0000-0400-000053020000}">
      <text>
        <r>
          <rPr>
            <b/>
            <sz val="9"/>
            <color indexed="81"/>
            <rFont val="Tahoma"/>
            <family val="2"/>
          </rPr>
          <t>Wiles, Richard (Research):</t>
        </r>
        <r>
          <rPr>
            <sz val="9"/>
            <color indexed="81"/>
            <rFont val="Tahoma"/>
            <family val="2"/>
          </rPr>
          <t xml:space="preserve">
SRCB earnings no longer recognised post 1Q17 due to sale</t>
        </r>
      </text>
    </comment>
    <comment ref="CS1574" authorId="3" shapeId="0" xr:uid="{E143766A-9671-469D-A626-8B88BD9D1C62}">
      <text>
        <r>
          <rPr>
            <b/>
            <sz val="9"/>
            <color indexed="81"/>
            <rFont val="Tahoma"/>
            <family val="2"/>
          </rPr>
          <t>Wiles, Richard (Research):</t>
        </r>
        <r>
          <rPr>
            <sz val="9"/>
            <color indexed="81"/>
            <rFont val="Tahoma"/>
            <family val="2"/>
          </rPr>
          <t xml:space="preserve">
SRCB earnings no longer recognised post 1Q17 due to sale</t>
        </r>
      </text>
    </comment>
    <comment ref="CV1574" authorId="3" shapeId="0" xr:uid="{56AC01F7-2D18-4F69-AF4E-8DB77698700D}">
      <text>
        <r>
          <rPr>
            <b/>
            <sz val="9"/>
            <color indexed="81"/>
            <rFont val="Tahoma"/>
            <family val="2"/>
          </rPr>
          <t>Wiles, Richard (Research):</t>
        </r>
        <r>
          <rPr>
            <sz val="9"/>
            <color indexed="81"/>
            <rFont val="Tahoma"/>
            <family val="2"/>
          </rPr>
          <t xml:space="preserve">
SRCB earnings no longer recognised post 1Q17 due to sale</t>
        </r>
      </text>
    </comment>
    <comment ref="CW1574" authorId="3" shapeId="0" xr:uid="{00000000-0006-0000-0400-000056020000}">
      <text>
        <r>
          <rPr>
            <b/>
            <sz val="9"/>
            <color indexed="81"/>
            <rFont val="Tahoma"/>
            <family val="2"/>
          </rPr>
          <t>Wiles, Richard (Research):</t>
        </r>
        <r>
          <rPr>
            <sz val="9"/>
            <color indexed="81"/>
            <rFont val="Tahoma"/>
            <family val="2"/>
          </rPr>
          <t xml:space="preserve">
SRCB earnings no longer recognised post 1Q17 due to sale</t>
        </r>
      </text>
    </comment>
    <comment ref="CZ1574" authorId="3" shapeId="0" xr:uid="{00000000-0006-0000-0400-000057020000}">
      <text>
        <r>
          <rPr>
            <b/>
            <sz val="9"/>
            <color indexed="81"/>
            <rFont val="Tahoma"/>
            <family val="2"/>
          </rPr>
          <t>Wiles, Richard (Research):</t>
        </r>
        <r>
          <rPr>
            <sz val="9"/>
            <color indexed="81"/>
            <rFont val="Tahoma"/>
            <family val="2"/>
          </rPr>
          <t xml:space="preserve">
SRCB earnings no longer recognised post 1Q17 due to sale</t>
        </r>
      </text>
    </comment>
    <comment ref="DA1574" authorId="3" shapeId="0" xr:uid="{00000000-0006-0000-0400-000058020000}">
      <text>
        <r>
          <rPr>
            <b/>
            <sz val="9"/>
            <color indexed="81"/>
            <rFont val="Tahoma"/>
            <family val="2"/>
          </rPr>
          <t>Wiles, Richard (Research):</t>
        </r>
        <r>
          <rPr>
            <sz val="9"/>
            <color indexed="81"/>
            <rFont val="Tahoma"/>
            <family val="2"/>
          </rPr>
          <t xml:space="preserve">
SRCB earnings no longer recognised post 1Q17 due to sale</t>
        </r>
      </text>
    </comment>
    <comment ref="DD1574" authorId="3" shapeId="0" xr:uid="{00000000-0006-0000-0400-000059020000}">
      <text>
        <r>
          <rPr>
            <b/>
            <sz val="9"/>
            <color indexed="81"/>
            <rFont val="Tahoma"/>
            <family val="2"/>
          </rPr>
          <t>Wiles, Richard (Research):</t>
        </r>
        <r>
          <rPr>
            <sz val="9"/>
            <color indexed="81"/>
            <rFont val="Tahoma"/>
            <family val="2"/>
          </rPr>
          <t xml:space="preserve">
SRCB earnings no longer recognised post 1Q17 due to sale</t>
        </r>
      </text>
    </comment>
    <comment ref="DE1574" authorId="3" shapeId="0" xr:uid="{00000000-0006-0000-0400-00005A020000}">
      <text>
        <r>
          <rPr>
            <b/>
            <sz val="9"/>
            <color indexed="81"/>
            <rFont val="Tahoma"/>
            <family val="2"/>
          </rPr>
          <t>Wiles, Richard (Research):</t>
        </r>
        <r>
          <rPr>
            <sz val="9"/>
            <color indexed="81"/>
            <rFont val="Tahoma"/>
            <family val="2"/>
          </rPr>
          <t xml:space="preserve">
SRCB earnings no longer recognised post 1Q17 due to sale</t>
        </r>
      </text>
    </comment>
    <comment ref="DH1574" authorId="3" shapeId="0" xr:uid="{22DFC074-949E-48F4-9720-0A71C90381E1}">
      <text>
        <r>
          <rPr>
            <b/>
            <sz val="9"/>
            <color indexed="81"/>
            <rFont val="Tahoma"/>
            <family val="2"/>
          </rPr>
          <t>Wiles, Richard (Research):</t>
        </r>
        <r>
          <rPr>
            <sz val="9"/>
            <color indexed="81"/>
            <rFont val="Tahoma"/>
            <family val="2"/>
          </rPr>
          <t xml:space="preserve">
SRCB earnings no longer recognised post 1Q17 due to sale</t>
        </r>
      </text>
    </comment>
    <comment ref="DI1574" authorId="3" shapeId="0" xr:uid="{D03452BC-443B-434F-B300-9603B5738882}">
      <text>
        <r>
          <rPr>
            <b/>
            <sz val="9"/>
            <color indexed="81"/>
            <rFont val="Tahoma"/>
            <family val="2"/>
          </rPr>
          <t>Wiles, Richard (Research):</t>
        </r>
        <r>
          <rPr>
            <sz val="9"/>
            <color indexed="81"/>
            <rFont val="Tahoma"/>
            <family val="2"/>
          </rPr>
          <t xml:space="preserve">
SRCB earnings no longer recognised post 1Q17 due to sale</t>
        </r>
      </text>
    </comment>
    <comment ref="DL1574" authorId="3" shapeId="0" xr:uid="{A583B9C0-B15A-4FA2-99E8-3D3FDEE98A0C}">
      <text>
        <r>
          <rPr>
            <b/>
            <sz val="9"/>
            <color indexed="81"/>
            <rFont val="Tahoma"/>
            <family val="2"/>
          </rPr>
          <t>Wiles, Richard (Research):</t>
        </r>
        <r>
          <rPr>
            <sz val="9"/>
            <color indexed="81"/>
            <rFont val="Tahoma"/>
            <family val="2"/>
          </rPr>
          <t xml:space="preserve">
SRCB earnings no longer recognised post 1Q17 due to sale</t>
        </r>
      </text>
    </comment>
    <comment ref="DM1574" authorId="3" shapeId="0" xr:uid="{7A756C0C-F75E-4C0B-AE6C-4F41B3DC7521}">
      <text>
        <r>
          <rPr>
            <b/>
            <sz val="9"/>
            <color indexed="81"/>
            <rFont val="Tahoma"/>
            <family val="2"/>
          </rPr>
          <t>Wiles, Richard (Research):</t>
        </r>
        <r>
          <rPr>
            <sz val="9"/>
            <color indexed="81"/>
            <rFont val="Tahoma"/>
            <family val="2"/>
          </rPr>
          <t xml:space="preserve">
SRCB earnings no longer recognised post 1Q17 due to sale</t>
        </r>
      </text>
    </comment>
    <comment ref="DP1574" authorId="3" shapeId="0" xr:uid="{7776A54F-CE35-465F-9E50-9C3B27AEAE93}">
      <text>
        <r>
          <rPr>
            <b/>
            <sz val="9"/>
            <color indexed="81"/>
            <rFont val="Tahoma"/>
            <family val="2"/>
          </rPr>
          <t>Wiles, Richard (Research):</t>
        </r>
        <r>
          <rPr>
            <sz val="9"/>
            <color indexed="81"/>
            <rFont val="Tahoma"/>
            <family val="2"/>
          </rPr>
          <t xml:space="preserve">
SRCB earnings no longer recognised post 1Q17 due to sale</t>
        </r>
      </text>
    </comment>
    <comment ref="DQ1574" authorId="3" shapeId="0" xr:uid="{63790947-DBFF-429B-B800-35E60D52997A}">
      <text>
        <r>
          <rPr>
            <b/>
            <sz val="9"/>
            <color indexed="81"/>
            <rFont val="Tahoma"/>
            <family val="2"/>
          </rPr>
          <t>Wiles, Richard (Research):</t>
        </r>
        <r>
          <rPr>
            <sz val="9"/>
            <color indexed="81"/>
            <rFont val="Tahoma"/>
            <family val="2"/>
          </rPr>
          <t xml:space="preserve">
SRCB earnings no longer recognised post 1Q17 due to sale</t>
        </r>
      </text>
    </comment>
    <comment ref="CB1576" authorId="3" shapeId="0" xr:uid="{00000000-0006-0000-0400-00005B020000}">
      <text>
        <r>
          <rPr>
            <b/>
            <sz val="9"/>
            <color indexed="81"/>
            <rFont val="Tahoma"/>
            <family val="2"/>
          </rPr>
          <t>Wiles, Richard (Research):</t>
        </r>
        <r>
          <rPr>
            <sz val="9"/>
            <color indexed="81"/>
            <rFont val="Tahoma"/>
            <family val="2"/>
          </rPr>
          <t xml:space="preserve">
1H17 realted to loss on sale and write-downs of capitalised software etc; assume underlying earnings not YET treated as specified items</t>
        </r>
      </text>
    </comment>
    <comment ref="CC1576" authorId="3" shapeId="0" xr:uid="{00000000-0006-0000-0400-00005C020000}">
      <text>
        <r>
          <rPr>
            <b/>
            <sz val="9"/>
            <color indexed="81"/>
            <rFont val="Tahoma"/>
            <family val="2"/>
          </rPr>
          <t>Wiles, Richard (Research):</t>
        </r>
        <r>
          <rPr>
            <sz val="9"/>
            <color indexed="81"/>
            <rFont val="Tahoma"/>
            <family val="2"/>
          </rPr>
          <t xml:space="preserve">
1H17 realted to loss on sale and write-downs of capitalised software etc; assume underlying earnings not YET treated as specified items</t>
        </r>
      </text>
    </comment>
    <comment ref="CF1576" authorId="3" shapeId="0" xr:uid="{00000000-0006-0000-0400-00005D020000}">
      <text>
        <r>
          <rPr>
            <b/>
            <sz val="9"/>
            <color indexed="81"/>
            <rFont val="Tahoma"/>
            <family val="2"/>
          </rPr>
          <t>Wiles, Richard (Research):</t>
        </r>
        <r>
          <rPr>
            <sz val="9"/>
            <color indexed="81"/>
            <rFont val="Tahoma"/>
            <family val="2"/>
          </rPr>
          <t xml:space="preserve">
1H17 realted to loss on sale and write-downs of capitalised software etc; assume underlying earnings not YET treated as specified items</t>
        </r>
      </text>
    </comment>
    <comment ref="CG1576" authorId="3" shapeId="0" xr:uid="{00000000-0006-0000-0400-00005E020000}">
      <text>
        <r>
          <rPr>
            <b/>
            <sz val="9"/>
            <color indexed="81"/>
            <rFont val="Tahoma"/>
            <family val="2"/>
          </rPr>
          <t>Wiles, Richard (Research):</t>
        </r>
        <r>
          <rPr>
            <sz val="9"/>
            <color indexed="81"/>
            <rFont val="Tahoma"/>
            <family val="2"/>
          </rPr>
          <t xml:space="preserve">
1H17 realted to loss on sale and write-downs of capitalised software etc; assume underlying earnings not YET treated as specified items</t>
        </r>
      </text>
    </comment>
    <comment ref="CJ1576" authorId="3" shapeId="0" xr:uid="{00000000-0006-0000-0400-00005F020000}">
      <text>
        <r>
          <rPr>
            <b/>
            <sz val="9"/>
            <color indexed="81"/>
            <rFont val="Tahoma"/>
            <family val="2"/>
          </rPr>
          <t>Wiles, Richard (Research):</t>
        </r>
        <r>
          <rPr>
            <sz val="9"/>
            <color indexed="81"/>
            <rFont val="Tahoma"/>
            <family val="2"/>
          </rPr>
          <t xml:space="preserve">
1H17 realted to loss on sale and write-downs of capitalised software etc; assume underlying earnings not YET treated as specified items</t>
        </r>
      </text>
    </comment>
    <comment ref="CK1576" authorId="3" shapeId="0" xr:uid="{00000000-0006-0000-0400-000060020000}">
      <text>
        <r>
          <rPr>
            <b/>
            <sz val="9"/>
            <color indexed="81"/>
            <rFont val="Tahoma"/>
            <family val="2"/>
          </rPr>
          <t>Wiles, Richard (Research):</t>
        </r>
        <r>
          <rPr>
            <sz val="9"/>
            <color indexed="81"/>
            <rFont val="Tahoma"/>
            <family val="2"/>
          </rPr>
          <t xml:space="preserve">
1H17 realted to loss on sale and write-downs of capitalised software etc; assume underlying earnings not YET treated as specified items</t>
        </r>
      </text>
    </comment>
    <comment ref="CO1576" authorId="3" shapeId="0" xr:uid="{00000000-0006-0000-0400-000061020000}">
      <text>
        <r>
          <rPr>
            <b/>
            <sz val="9"/>
            <color indexed="81"/>
            <rFont val="Tahoma"/>
            <family val="2"/>
          </rPr>
          <t>Wiles, Richard (Research):</t>
        </r>
        <r>
          <rPr>
            <sz val="9"/>
            <color indexed="81"/>
            <rFont val="Tahoma"/>
            <family val="2"/>
          </rPr>
          <t xml:space="preserve">
1H17 realted to loss on sale and write-downs of capitalised software etc; assume underlying earnings not YET treated as specified items</t>
        </r>
      </text>
    </comment>
    <comment ref="CR1576" authorId="3" shapeId="0" xr:uid="{00000000-0006-0000-0400-000062020000}">
      <text>
        <r>
          <rPr>
            <b/>
            <sz val="9"/>
            <color indexed="81"/>
            <rFont val="Tahoma"/>
            <family val="2"/>
          </rPr>
          <t>Wiles, Richard (Research):</t>
        </r>
        <r>
          <rPr>
            <sz val="9"/>
            <color indexed="81"/>
            <rFont val="Tahoma"/>
            <family val="2"/>
          </rPr>
          <t xml:space="preserve">
1H17 realted to loss on sale and write-downs of capitalised software etc; assume underlying earnings not YET treated as specified items</t>
        </r>
      </text>
    </comment>
    <comment ref="CS1576" authorId="3" shapeId="0" xr:uid="{2072AAC3-2CBC-46CF-A78A-A8848B260AE9}">
      <text>
        <r>
          <rPr>
            <b/>
            <sz val="9"/>
            <color indexed="81"/>
            <rFont val="Tahoma"/>
            <family val="2"/>
          </rPr>
          <t>Wiles, Richard (Research):</t>
        </r>
        <r>
          <rPr>
            <sz val="9"/>
            <color indexed="81"/>
            <rFont val="Tahoma"/>
            <family val="2"/>
          </rPr>
          <t xml:space="preserve">
1H17 realted to loss on sale and write-downs of capitalised software etc; assume underlying earnings not YET treated as specified items</t>
        </r>
      </text>
    </comment>
    <comment ref="CV1576" authorId="3" shapeId="0" xr:uid="{ECB43786-48A6-401A-95E6-21DF7A5BDE31}">
      <text>
        <r>
          <rPr>
            <b/>
            <sz val="9"/>
            <color indexed="81"/>
            <rFont val="Tahoma"/>
            <family val="2"/>
          </rPr>
          <t>Wiles, Richard (Research):</t>
        </r>
        <r>
          <rPr>
            <sz val="9"/>
            <color indexed="81"/>
            <rFont val="Tahoma"/>
            <family val="2"/>
          </rPr>
          <t xml:space="preserve">
1H17 realted to loss on sale and write-downs of capitalised software etc; assume underlying earnings not YET treated as specified items</t>
        </r>
      </text>
    </comment>
    <comment ref="CW1576" authorId="3" shapeId="0" xr:uid="{00000000-0006-0000-0400-000065020000}">
      <text>
        <r>
          <rPr>
            <b/>
            <sz val="9"/>
            <color indexed="81"/>
            <rFont val="Tahoma"/>
            <family val="2"/>
          </rPr>
          <t>Wiles, Richard (Research):</t>
        </r>
        <r>
          <rPr>
            <sz val="9"/>
            <color indexed="81"/>
            <rFont val="Tahoma"/>
            <family val="2"/>
          </rPr>
          <t xml:space="preserve">
1H17 realted to loss on sale and write-downs of capitalised software etc; assume underlying earnings not YET treated as specified items</t>
        </r>
      </text>
    </comment>
    <comment ref="CZ1576" authorId="3" shapeId="0" xr:uid="{00000000-0006-0000-0400-000066020000}">
      <text>
        <r>
          <rPr>
            <b/>
            <sz val="9"/>
            <color indexed="81"/>
            <rFont val="Tahoma"/>
            <family val="2"/>
          </rPr>
          <t>Wiles, Richard (Research):</t>
        </r>
        <r>
          <rPr>
            <sz val="9"/>
            <color indexed="81"/>
            <rFont val="Tahoma"/>
            <family val="2"/>
          </rPr>
          <t xml:space="preserve">
1H17 realted to loss on sale and write-downs of capitalised software etc; assume underlying earnings not YET treated as specified items</t>
        </r>
      </text>
    </comment>
    <comment ref="DA1576" authorId="3" shapeId="0" xr:uid="{00000000-0006-0000-0400-000067020000}">
      <text>
        <r>
          <rPr>
            <b/>
            <sz val="9"/>
            <color indexed="81"/>
            <rFont val="Tahoma"/>
            <family val="2"/>
          </rPr>
          <t>Wiles, Richard (Research):</t>
        </r>
        <r>
          <rPr>
            <sz val="9"/>
            <color indexed="81"/>
            <rFont val="Tahoma"/>
            <family val="2"/>
          </rPr>
          <t xml:space="preserve">
1H17 realted to loss on sale and write-downs of capitalised software etc; assume underlying earnings not YET treated as specified items</t>
        </r>
      </text>
    </comment>
    <comment ref="DD1576" authorId="3" shapeId="0" xr:uid="{00000000-0006-0000-0400-000068020000}">
      <text>
        <r>
          <rPr>
            <b/>
            <sz val="9"/>
            <color indexed="81"/>
            <rFont val="Tahoma"/>
            <family val="2"/>
          </rPr>
          <t>Wiles, Richard (Research):</t>
        </r>
        <r>
          <rPr>
            <sz val="9"/>
            <color indexed="81"/>
            <rFont val="Tahoma"/>
            <family val="2"/>
          </rPr>
          <t xml:space="preserve">
1H17 realted to loss on sale and write-downs of capitalised software etc; assume underlying earnings not YET treated as specified items</t>
        </r>
      </text>
    </comment>
    <comment ref="DE1576" authorId="3" shapeId="0" xr:uid="{00000000-0006-0000-0400-000069020000}">
      <text>
        <r>
          <rPr>
            <b/>
            <sz val="9"/>
            <color indexed="81"/>
            <rFont val="Tahoma"/>
            <family val="2"/>
          </rPr>
          <t>Wiles, Richard (Research):</t>
        </r>
        <r>
          <rPr>
            <sz val="9"/>
            <color indexed="81"/>
            <rFont val="Tahoma"/>
            <family val="2"/>
          </rPr>
          <t xml:space="preserve">
1H17 realted to loss on sale and write-downs of capitalised software etc; assume underlying earnings not YET treated as specified items</t>
        </r>
      </text>
    </comment>
    <comment ref="DH1576" authorId="3" shapeId="0" xr:uid="{1B32C0C0-ACFC-43F8-B96D-CF864BC2CEA4}">
      <text>
        <r>
          <rPr>
            <b/>
            <sz val="9"/>
            <color indexed="81"/>
            <rFont val="Tahoma"/>
            <family val="2"/>
          </rPr>
          <t>Wiles, Richard (Research):</t>
        </r>
        <r>
          <rPr>
            <sz val="9"/>
            <color indexed="81"/>
            <rFont val="Tahoma"/>
            <family val="2"/>
          </rPr>
          <t xml:space="preserve">
1H17 realted to loss on sale and write-downs of capitalised software etc; assume underlying earnings not YET treated as specified items</t>
        </r>
      </text>
    </comment>
    <comment ref="DI1576" authorId="3" shapeId="0" xr:uid="{84DB9FE7-AB50-4C70-BBB7-6D95E6FFC8F0}">
      <text>
        <r>
          <rPr>
            <b/>
            <sz val="9"/>
            <color indexed="81"/>
            <rFont val="Tahoma"/>
            <family val="2"/>
          </rPr>
          <t>Wiles, Richard (Research):</t>
        </r>
        <r>
          <rPr>
            <sz val="9"/>
            <color indexed="81"/>
            <rFont val="Tahoma"/>
            <family val="2"/>
          </rPr>
          <t xml:space="preserve">
1H17 realted to loss on sale and write-downs of capitalised software etc; assume underlying earnings not YET treated as specified items</t>
        </r>
      </text>
    </comment>
    <comment ref="DL1576" authorId="3" shapeId="0" xr:uid="{6F288389-6A83-433F-B55E-AE88922F9622}">
      <text>
        <r>
          <rPr>
            <b/>
            <sz val="9"/>
            <color indexed="81"/>
            <rFont val="Tahoma"/>
            <family val="2"/>
          </rPr>
          <t>Wiles, Richard (Research):</t>
        </r>
        <r>
          <rPr>
            <sz val="9"/>
            <color indexed="81"/>
            <rFont val="Tahoma"/>
            <family val="2"/>
          </rPr>
          <t xml:space="preserve">
1H17 realted to loss on sale and write-downs of capitalised software etc; assume underlying earnings not YET treated as specified items</t>
        </r>
      </text>
    </comment>
    <comment ref="DM1576" authorId="3" shapeId="0" xr:uid="{4DE82432-A937-4DC9-8FCB-B8677B391A92}">
      <text>
        <r>
          <rPr>
            <b/>
            <sz val="9"/>
            <color indexed="81"/>
            <rFont val="Tahoma"/>
            <family val="2"/>
          </rPr>
          <t>Wiles, Richard (Research):</t>
        </r>
        <r>
          <rPr>
            <sz val="9"/>
            <color indexed="81"/>
            <rFont val="Tahoma"/>
            <family val="2"/>
          </rPr>
          <t xml:space="preserve">
1H17 realted to loss on sale and write-downs of capitalised software etc; assume underlying earnings not YET treated as specified items</t>
        </r>
      </text>
    </comment>
    <comment ref="DP1576" authorId="3" shapeId="0" xr:uid="{77088AFF-8DB4-4DE0-B1EB-180A1C68C233}">
      <text>
        <r>
          <rPr>
            <b/>
            <sz val="9"/>
            <color indexed="81"/>
            <rFont val="Tahoma"/>
            <family val="2"/>
          </rPr>
          <t>Wiles, Richard (Research):</t>
        </r>
        <r>
          <rPr>
            <sz val="9"/>
            <color indexed="81"/>
            <rFont val="Tahoma"/>
            <family val="2"/>
          </rPr>
          <t xml:space="preserve">
1H17 realted to loss on sale and write-downs of capitalised software etc; assume underlying earnings not YET treated as specified items</t>
        </r>
      </text>
    </comment>
    <comment ref="DQ1576" authorId="3" shapeId="0" xr:uid="{E8922809-9AA5-43A0-ACE0-27C9B8411C5C}">
      <text>
        <r>
          <rPr>
            <b/>
            <sz val="9"/>
            <color indexed="81"/>
            <rFont val="Tahoma"/>
            <family val="2"/>
          </rPr>
          <t>Wiles, Richard (Research):</t>
        </r>
        <r>
          <rPr>
            <sz val="9"/>
            <color indexed="81"/>
            <rFont val="Tahoma"/>
            <family val="2"/>
          </rPr>
          <t xml:space="preserve">
1H17 realted to loss on sale and write-downs of capitalised software etc; assume underlying earnings not YET treated as specified items</t>
        </r>
      </text>
    </comment>
    <comment ref="BT1578" authorId="3" shapeId="0" xr:uid="{00000000-0006-0000-0400-00006A020000}">
      <text>
        <r>
          <rPr>
            <b/>
            <sz val="9"/>
            <color indexed="81"/>
            <rFont val="Tahoma"/>
            <family val="2"/>
          </rPr>
          <t>Wiles, Richard (Research):</t>
        </r>
        <r>
          <rPr>
            <sz val="9"/>
            <color indexed="81"/>
            <rFont val="Tahoma"/>
            <family val="2"/>
          </rPr>
          <t xml:space="preserve">
Includes $66 gain on sale, which was included in other income</t>
        </r>
      </text>
    </comment>
    <comment ref="BT1593" authorId="3" shapeId="0" xr:uid="{00000000-0006-0000-0400-00006B020000}">
      <text>
        <r>
          <rPr>
            <b/>
            <sz val="9"/>
            <color indexed="81"/>
            <rFont val="Tahoma"/>
            <family val="2"/>
          </rPr>
          <t>Wiles, Richard (Research):</t>
        </r>
        <r>
          <rPr>
            <sz val="9"/>
            <color indexed="81"/>
            <rFont val="Tahoma"/>
            <family val="2"/>
          </rPr>
          <t xml:space="preserve">
Relates to Ambank writedown and BoT gain (included in Other income)</t>
        </r>
      </text>
    </comment>
    <comment ref="BT1597" authorId="3" shapeId="0" xr:uid="{00000000-0006-0000-0400-00006C020000}">
      <text>
        <r>
          <rPr>
            <b/>
            <sz val="9"/>
            <color indexed="81"/>
            <rFont val="Tahoma"/>
            <family val="2"/>
          </rPr>
          <t>Wiles, Richard (Research):</t>
        </r>
        <r>
          <rPr>
            <sz val="9"/>
            <color indexed="81"/>
            <rFont val="Tahoma"/>
            <family val="2"/>
          </rPr>
          <t xml:space="preserve">
Includes $66 gain on sale, which was included in other income</t>
        </r>
      </text>
    </comment>
    <comment ref="BT1604" authorId="3" shapeId="0" xr:uid="{00000000-0006-0000-0400-00006D020000}">
      <text>
        <r>
          <rPr>
            <b/>
            <sz val="9"/>
            <color indexed="81"/>
            <rFont val="Tahoma"/>
            <family val="2"/>
          </rPr>
          <t>Wiles, Richard (Research):</t>
        </r>
        <r>
          <rPr>
            <sz val="9"/>
            <color indexed="81"/>
            <rFont val="Tahoma"/>
            <family val="2"/>
          </rPr>
          <t xml:space="preserve">
Refer 1H16 p15: includes software capitalisation charges, Asian minority adjustments, restructuring costs an Esanda Dealer Finance</t>
        </r>
      </text>
    </comment>
    <comment ref="BX1604" authorId="3" shapeId="0" xr:uid="{00000000-0006-0000-0400-00006E020000}">
      <text>
        <r>
          <rPr>
            <b/>
            <sz val="9"/>
            <color indexed="81"/>
            <rFont val="Tahoma"/>
            <family val="2"/>
          </rPr>
          <t>Wiles, Richard (Research):</t>
        </r>
        <r>
          <rPr>
            <sz val="9"/>
            <color indexed="81"/>
            <rFont val="Tahoma"/>
            <family val="2"/>
          </rPr>
          <t xml:space="preserve">
Refer 1H16 p15: includes software capitalisation charges, Asian minority adjustments, restructuring costs an Esanda Dealer Finance</t>
        </r>
      </text>
    </comment>
    <comment ref="BT1607" authorId="3" shapeId="0" xr:uid="{00000000-0006-0000-0400-00006F020000}">
      <text>
        <r>
          <rPr>
            <b/>
            <sz val="9"/>
            <color indexed="81"/>
            <rFont val="Tahoma"/>
            <family val="2"/>
          </rPr>
          <t>Wiles, Richard (Research):</t>
        </r>
        <r>
          <rPr>
            <sz val="9"/>
            <color indexed="81"/>
            <rFont val="Tahoma"/>
            <family val="2"/>
          </rPr>
          <t xml:space="preserve">
Includes $66 gain on sale, which was included in other income</t>
        </r>
      </text>
    </comment>
    <comment ref="BT1620" authorId="3" shapeId="0" xr:uid="{00000000-0006-0000-0400-000070020000}">
      <text>
        <r>
          <rPr>
            <b/>
            <sz val="9"/>
            <color indexed="81"/>
            <rFont val="Tahoma"/>
            <family val="2"/>
          </rPr>
          <t>Wiles, Richard (Research):</t>
        </r>
        <r>
          <rPr>
            <sz val="9"/>
            <color indexed="81"/>
            <rFont val="Tahoma"/>
            <family val="2"/>
          </rPr>
          <t xml:space="preserve">
Relates to Ambank writedown and BoT gain (included in Other income)</t>
        </r>
      </text>
    </comment>
    <comment ref="BT1622" authorId="3" shapeId="0" xr:uid="{00000000-0006-0000-0400-000071020000}">
      <text>
        <r>
          <rPr>
            <b/>
            <sz val="9"/>
            <color indexed="81"/>
            <rFont val="Tahoma"/>
            <family val="2"/>
          </rPr>
          <t>Wiles, Richard (Research):</t>
        </r>
        <r>
          <rPr>
            <sz val="9"/>
            <color indexed="81"/>
            <rFont val="Tahoma"/>
            <family val="2"/>
          </rPr>
          <t xml:space="preserve">
Includes $66 gain on sale, which was included in other income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Wiles, Richard (Research)</author>
  </authors>
  <commentList>
    <comment ref="L10" authorId="0" shapeId="0" xr:uid="{8BF57B23-9BBD-4246-837D-93757BAF9F70}">
      <text>
        <r>
          <rPr>
            <b/>
            <sz val="9"/>
            <color indexed="81"/>
            <rFont val="Tahoma"/>
            <family val="2"/>
          </rPr>
          <t>Wiles, Richard (Research):</t>
        </r>
        <r>
          <rPr>
            <sz val="9"/>
            <color indexed="81"/>
            <rFont val="Tahoma"/>
            <family val="2"/>
          </rPr>
          <t xml:space="preserve">
FY24 adjusted for SUN</t>
        </r>
      </text>
    </comment>
    <comment ref="M10" authorId="0" shapeId="0" xr:uid="{216C08CA-133B-4DD0-920B-0CD1278C94B3}">
      <text>
        <r>
          <rPr>
            <b/>
            <sz val="9"/>
            <color indexed="81"/>
            <rFont val="Tahoma"/>
            <family val="2"/>
          </rPr>
          <t>Wiles, Richard (Research):</t>
        </r>
        <r>
          <rPr>
            <sz val="9"/>
            <color indexed="81"/>
            <rFont val="Tahoma"/>
            <family val="2"/>
          </rPr>
          <t xml:space="preserve">
FY24 adjusted for SUN</t>
        </r>
      </text>
    </comment>
  </commentList>
</comments>
</file>

<file path=xl/sharedStrings.xml><?xml version="1.0" encoding="utf-8"?>
<sst xmlns="http://schemas.openxmlformats.org/spreadsheetml/2006/main" count="2754" uniqueCount="1715">
  <si>
    <t>Group Loans</t>
  </si>
  <si>
    <t>Cash Profit for EPS</t>
  </si>
  <si>
    <t>Other Liabilities</t>
  </si>
  <si>
    <t>Other Wholesale Funding</t>
  </si>
  <si>
    <t>Funding</t>
  </si>
  <si>
    <t>Implied Bear Case</t>
  </si>
  <si>
    <t>Impairment Charges / Non-Housing Loans (%)</t>
  </si>
  <si>
    <t>Australia</t>
  </si>
  <si>
    <t>Total Residual Income</t>
  </si>
  <si>
    <t>Current Stock Price</t>
  </si>
  <si>
    <t>Pre-Provision Profit</t>
  </si>
  <si>
    <t>Pre-Tax Operating Profit</t>
  </si>
  <si>
    <t>Total Revenue</t>
  </si>
  <si>
    <t xml:space="preserve">    - ANZ Capital Notes 3</t>
  </si>
  <si>
    <t>IRRBB / Total Assets</t>
  </si>
  <si>
    <t xml:space="preserve">Impairment Charges </t>
  </si>
  <si>
    <t>Modelware Profit</t>
  </si>
  <si>
    <t>3-yr Average</t>
  </si>
  <si>
    <t>7-yr Average</t>
  </si>
  <si>
    <t>10-yr Average</t>
  </si>
  <si>
    <t>Return on Net Tangible Assets (RoNTA) (%)</t>
  </si>
  <si>
    <t>Ordinary Shareholders' Equity / Total Assets (%)</t>
  </si>
  <si>
    <t>FUNDING</t>
  </si>
  <si>
    <t>Deposits (incl CoD) / Total Funding (%)</t>
  </si>
  <si>
    <t>Basic Cash EPS</t>
  </si>
  <si>
    <t xml:space="preserve"> </t>
  </si>
  <si>
    <t xml:space="preserve">  Issued Shares (million)  </t>
  </si>
  <si>
    <t>2H13</t>
  </si>
  <si>
    <t>Asian Partnerships</t>
  </si>
  <si>
    <t>Currency</t>
  </si>
  <si>
    <t>Avg Interest Earning Assets</t>
  </si>
  <si>
    <t>ANZ.AX</t>
  </si>
  <si>
    <t>Asset Growth</t>
  </si>
  <si>
    <t>Net Loans / Total Assets</t>
  </si>
  <si>
    <t>Gross Loans &amp; Acceptances / Total Assets</t>
  </si>
  <si>
    <t>Other Assets / Gross Loans</t>
  </si>
  <si>
    <t>Other Assets / Total Assets</t>
  </si>
  <si>
    <t>Deposits / Total Liabilities</t>
  </si>
  <si>
    <t>Deposits / Total Loans</t>
  </si>
  <si>
    <t>Purchased Goodwill</t>
  </si>
  <si>
    <t>Computer Software Costs</t>
  </si>
  <si>
    <t>Goodwill at Cost</t>
  </si>
  <si>
    <t>Additions</t>
  </si>
  <si>
    <t>Amortisation</t>
  </si>
  <si>
    <t>Write-downs &amp; Other</t>
  </si>
  <si>
    <t>Additions / Opening Balance</t>
  </si>
  <si>
    <t>Amortisation / Opening Balance</t>
  </si>
  <si>
    <t>Computer Software Costs (Change h-o-h)</t>
  </si>
  <si>
    <t>Deposits / Loans &amp; Acceptances</t>
  </si>
  <si>
    <t>Other Borrowings / Loans &amp; Acceptances</t>
  </si>
  <si>
    <t>Other Liabilities / Loans &amp; Acceptances</t>
  </si>
  <si>
    <t>Total Deposits (excl Repurchase Agreements)</t>
  </si>
  <si>
    <t>Total Debt Issues</t>
  </si>
  <si>
    <t>CoD / Total Deposits</t>
  </si>
  <si>
    <t>Term Deposits / Total Deposits (incl CoD)</t>
  </si>
  <si>
    <t>Term Deposits / Total Deposits (excl CoD)</t>
  </si>
  <si>
    <t>Deposits (excl CoD) / Total Funding</t>
  </si>
  <si>
    <t>Deposits (incl CoD) / Total Funding</t>
  </si>
  <si>
    <t>Loan to Deposit Ratio (excl CoD)</t>
  </si>
  <si>
    <t>AV BALANCE SHEET</t>
  </si>
  <si>
    <t>Non Lending AIEA</t>
  </si>
  <si>
    <t>Total AIBL</t>
  </si>
  <si>
    <t>Average Liabilities</t>
  </si>
  <si>
    <t>Average Net Assets</t>
  </si>
  <si>
    <t>Av OEI</t>
  </si>
  <si>
    <t>Av Ord Equity</t>
  </si>
  <si>
    <t>Av Hybrids</t>
  </si>
  <si>
    <t>Av Ordinary Equity</t>
  </si>
  <si>
    <t>AIEA / Av Loans</t>
  </si>
  <si>
    <t>Non Lending AIEA / Av Loans</t>
  </si>
  <si>
    <t>Non Lending AIEA / AIEA</t>
  </si>
  <si>
    <t>Av Assets / Av Loans</t>
  </si>
  <si>
    <t>Av Assets / AIEA</t>
  </si>
  <si>
    <t>Other Assets / AIEA</t>
  </si>
  <si>
    <t>Other Assets / Av Assets</t>
  </si>
  <si>
    <t>Average (calculated)</t>
  </si>
  <si>
    <t>Actual / Calculated</t>
  </si>
  <si>
    <t>AIBL / Av Liabilities</t>
  </si>
  <si>
    <t>Margin Change (h-o-h)</t>
  </si>
  <si>
    <t>Margin Change (y-o-y)</t>
  </si>
  <si>
    <t>Lending Spread</t>
  </si>
  <si>
    <t>Liquidity Dilution</t>
  </si>
  <si>
    <t>Net Interest Spread</t>
  </si>
  <si>
    <t>Benefit of Free Funds</t>
  </si>
  <si>
    <t>Est</t>
  </si>
  <si>
    <t>90BBSW - Cash</t>
  </si>
  <si>
    <t>Loans: Interest Income</t>
  </si>
  <si>
    <t>Spread vs Av Cash Rate</t>
  </si>
  <si>
    <t xml:space="preserve"> Change (h-o-h)</t>
  </si>
  <si>
    <t>Non Lending IEA</t>
  </si>
  <si>
    <t>Other Assets: Interest Income</t>
  </si>
  <si>
    <t>Non Lending Rate</t>
  </si>
  <si>
    <t>Asset Yield</t>
  </si>
  <si>
    <t>AIBL</t>
  </si>
  <si>
    <t>Cost Above vs Av Cash Rate</t>
  </si>
  <si>
    <t>Cost Above vs Av 90BBSW</t>
  </si>
  <si>
    <t>Wealth Management Revenue</t>
  </si>
  <si>
    <t>Wealth: Total Income</t>
  </si>
  <si>
    <t>FM Revenue Margin</t>
  </si>
  <si>
    <t>Inflows</t>
  </si>
  <si>
    <t>Outflows</t>
  </si>
  <si>
    <t>Investment Income &amp; Other</t>
  </si>
  <si>
    <t>Insurance Revenue Margin</t>
  </si>
  <si>
    <t>Average Inforce Premium</t>
  </si>
  <si>
    <t>Opening Inforce Premium</t>
  </si>
  <si>
    <t>New Business</t>
  </si>
  <si>
    <t>Lapses</t>
  </si>
  <si>
    <t>Closing Inforce Premium</t>
  </si>
  <si>
    <t>New Business Ratio</t>
  </si>
  <si>
    <t>Lapse Ratio</t>
  </si>
  <si>
    <t xml:space="preserve">General Expenses </t>
  </si>
  <si>
    <t>Cost / Av Assets</t>
  </si>
  <si>
    <t>FTE</t>
  </si>
  <si>
    <t>Average FTE</t>
  </si>
  <si>
    <t>Staff Expenses / Average FTE</t>
  </si>
  <si>
    <t>Software Amortisation</t>
  </si>
  <si>
    <t>General Expenses</t>
  </si>
  <si>
    <t>Opening CP</t>
  </si>
  <si>
    <t>CP Charge</t>
  </si>
  <si>
    <t>Closing CP</t>
  </si>
  <si>
    <t>IP Charge</t>
  </si>
  <si>
    <t>Total Charge</t>
  </si>
  <si>
    <t>2H10</t>
  </si>
  <si>
    <t>Total Provisions (A$m)</t>
  </si>
  <si>
    <t>Cash Profit</t>
  </si>
  <si>
    <t>1H11</t>
  </si>
  <si>
    <t>Price Target</t>
  </si>
  <si>
    <t>Change (y-o-y)</t>
  </si>
  <si>
    <t>Residual Income (Stage 3)</t>
  </si>
  <si>
    <t>ROE</t>
  </si>
  <si>
    <t>ROA</t>
  </si>
  <si>
    <t>Total Provisions / Gross Loans &amp; Acceptances (%)</t>
  </si>
  <si>
    <t>Tax Rate</t>
  </si>
  <si>
    <t>1H12</t>
  </si>
  <si>
    <t>Dividend Grossed Up For Franking Credits</t>
  </si>
  <si>
    <t>Total AIEA</t>
  </si>
  <si>
    <t>Reported Cash Profit</t>
  </si>
  <si>
    <t>Reserves</t>
  </si>
  <si>
    <t>1H15</t>
  </si>
  <si>
    <t>Global Markets Income</t>
  </si>
  <si>
    <t>% Net Interest Income</t>
  </si>
  <si>
    <t>% Non Interest Income</t>
  </si>
  <si>
    <t>Group ex Markets</t>
  </si>
  <si>
    <t>Pre-Tax Profit</t>
  </si>
  <si>
    <t>Count</t>
  </si>
  <si>
    <t>Collective Provision / Performing Loans (%)</t>
  </si>
  <si>
    <t>Pre Provision Profit / Av Assets</t>
  </si>
  <si>
    <t>Impairment Charge / Av Assets</t>
  </si>
  <si>
    <t>ROE (opening)</t>
  </si>
  <si>
    <t>CTI Ratio</t>
  </si>
  <si>
    <t>Impairment Charge / Total Loans</t>
  </si>
  <si>
    <t>Average RWA</t>
  </si>
  <si>
    <t>Other Movements</t>
  </si>
  <si>
    <t>Explicit Period PV</t>
  </si>
  <si>
    <t>Price/Book (x)</t>
  </si>
  <si>
    <t>Total Equity</t>
  </si>
  <si>
    <t>12 month total return (%)</t>
  </si>
  <si>
    <t>PERFORMANCE ANALYSIS</t>
  </si>
  <si>
    <t>12 month forward</t>
  </si>
  <si>
    <t>Decline</t>
  </si>
  <si>
    <t>Total Tier 1 Capital</t>
  </si>
  <si>
    <t>Banking Income</t>
  </si>
  <si>
    <t>% Franked</t>
  </si>
  <si>
    <t>VALUATION</t>
  </si>
  <si>
    <t>Average Assets</t>
  </si>
  <si>
    <t>Avg Total Assets</t>
  </si>
  <si>
    <t>Other</t>
  </si>
  <si>
    <t>Return on Ordinary Equity (ROE) (%)</t>
  </si>
  <si>
    <t>Impairment Charge / Non Housing Loans</t>
  </si>
  <si>
    <t>DRP Shares</t>
  </si>
  <si>
    <t>Other Movements / Opening Balance</t>
  </si>
  <si>
    <t>Maximum</t>
  </si>
  <si>
    <t>Surplus &gt; Maximum</t>
  </si>
  <si>
    <t>Implied Buyback</t>
  </si>
  <si>
    <t>Capital Charge</t>
  </si>
  <si>
    <t>Present Value</t>
  </si>
  <si>
    <t>Capital to Fund Growth (CET1 Target)</t>
  </si>
  <si>
    <t>Expected Loss</t>
  </si>
  <si>
    <t>Total Loans</t>
  </si>
  <si>
    <t>Operating Expenses</t>
  </si>
  <si>
    <t>Total Dividend</t>
  </si>
  <si>
    <t>Net Loans &amp; Acceptances</t>
  </si>
  <si>
    <t>Provisions and Unearned Income</t>
  </si>
  <si>
    <t>AIFRS</t>
  </si>
  <si>
    <t>Term Deposits</t>
  </si>
  <si>
    <t>check</t>
  </si>
  <si>
    <t>Total Assets</t>
  </si>
  <si>
    <t xml:space="preserve">    - Preference shares</t>
  </si>
  <si>
    <t xml:space="preserve">    - Hybrid Securities</t>
  </si>
  <si>
    <t xml:space="preserve">    - ANZ Convertible Preference Shares 1</t>
  </si>
  <si>
    <t xml:space="preserve">    - ANZ Convertible Preference Shares 2</t>
  </si>
  <si>
    <t xml:space="preserve">    - ANZ Convertible Preference Shares 3</t>
  </si>
  <si>
    <t xml:space="preserve">    - ANZ Capital Notes 1</t>
  </si>
  <si>
    <t xml:space="preserve">    - ANZ Capital Notes 2</t>
  </si>
  <si>
    <t>Transitional Adjustments</t>
  </si>
  <si>
    <t>Total Allowable</t>
  </si>
  <si>
    <t>BALANCE SHEET DATA (A$bn)</t>
  </si>
  <si>
    <t>Total Deposits excl. CoD's</t>
  </si>
  <si>
    <t>Fin Stats, p113</t>
  </si>
  <si>
    <t>Other Wealth Revenue Margin</t>
  </si>
  <si>
    <t>CVA &amp; Central Counterparts</t>
  </si>
  <si>
    <t>Basel III   ---&gt;</t>
  </si>
  <si>
    <t>Credit Risk Weighted Assets (A$bn)</t>
  </si>
  <si>
    <t>Risk Weighted Assets (A$bn)</t>
  </si>
  <si>
    <t>Common Equity Tier 1 Capital (A$bn)</t>
  </si>
  <si>
    <t>Total Provisions / Gross Loans &amp; Acceptances</t>
  </si>
  <si>
    <t xml:space="preserve">Collective Provisions / Performing Loans </t>
  </si>
  <si>
    <t>Impairment Charges / Avg Credit RWA (%)</t>
  </si>
  <si>
    <t>Annual report, note 19</t>
  </si>
  <si>
    <t>Shareholders Funds (excl  Hybrids)</t>
  </si>
  <si>
    <t>Average FUM</t>
  </si>
  <si>
    <t>Closing FUM</t>
  </si>
  <si>
    <t>Opening FUM</t>
  </si>
  <si>
    <t>12-month fwd Bull Case Cash EPS</t>
  </si>
  <si>
    <t>ANZ Banking Group (ANZ)</t>
  </si>
  <si>
    <t>2H14</t>
  </si>
  <si>
    <t>Total Deposits</t>
  </si>
  <si>
    <t>Change (h-o-h)</t>
  </si>
  <si>
    <t>Underlying Profit</t>
  </si>
  <si>
    <t xml:space="preserve"> Forecast FY14E ROE</t>
  </si>
  <si>
    <t>CET1 / Ordinary Equity</t>
  </si>
  <si>
    <t xml:space="preserve"> Fair Value: Implied FY14E PE Multiple</t>
  </si>
  <si>
    <t xml:space="preserve"> Fair Value: Implied FY14E P/BV Multiple</t>
  </si>
  <si>
    <t>Non Interest Income</t>
  </si>
  <si>
    <t>BALANCE SHEET</t>
  </si>
  <si>
    <t>Deposits (excl CoD) / Total Funding (%)</t>
  </si>
  <si>
    <t>Loan to Deposit Ratio (excl CoD) (%)</t>
  </si>
  <si>
    <t>&gt;90DPD Loans / Gross Loans &amp; Acceptances (%)</t>
  </si>
  <si>
    <t>Gross Impaired Assets (A$m)</t>
  </si>
  <si>
    <t>Impaired / Gross Loans &amp; Acceptances (%)</t>
  </si>
  <si>
    <t>New Impaired Assets (A$m)</t>
  </si>
  <si>
    <t>Collective Provision / Credit RWA (%)</t>
  </si>
  <si>
    <t>Total Deductions</t>
  </si>
  <si>
    <t>Reported Profit</t>
  </si>
  <si>
    <t>Implied 12 month TSR</t>
  </si>
  <si>
    <t xml:space="preserve"> Maturity Phase  </t>
  </si>
  <si>
    <t>Franking Rate (Aust Tax Rate)</t>
  </si>
  <si>
    <t>Closing Goodwill</t>
  </si>
  <si>
    <t>Expenses</t>
  </si>
  <si>
    <t>Insurance Income</t>
  </si>
  <si>
    <t>EPS</t>
  </si>
  <si>
    <t>Total Tier 1</t>
  </si>
  <si>
    <t>Tier 2</t>
  </si>
  <si>
    <t>12-month fwd RIVM Valuation</t>
  </si>
  <si>
    <t>Current Share Price (A$)</t>
  </si>
  <si>
    <t>Collective Provisions</t>
  </si>
  <si>
    <t>Impaired Assets</t>
  </si>
  <si>
    <t>Standard Discounted Cash Flow</t>
  </si>
  <si>
    <t>Gearing (x)</t>
  </si>
  <si>
    <t>Bear Case P/BV Ratio</t>
  </si>
  <si>
    <t>Book Value per Share</t>
  </si>
  <si>
    <t>Residual Income (Stage 2)</t>
  </si>
  <si>
    <t>Net Bad Debts Written Off</t>
  </si>
  <si>
    <t>EXCHANGE RATES</t>
  </si>
  <si>
    <t>Individual Provision (A$m)</t>
  </si>
  <si>
    <t>Fees and Commissions</t>
  </si>
  <si>
    <t>Total Income</t>
  </si>
  <si>
    <t>Tier 1 Ratio (%)</t>
  </si>
  <si>
    <t>Housing Loan Growth</t>
  </si>
  <si>
    <t>Adjustment</t>
  </si>
  <si>
    <t>Non Housing Loan Growth</t>
  </si>
  <si>
    <t>Estimated fair value per share</t>
  </si>
  <si>
    <t>Total Loan Growth</t>
  </si>
  <si>
    <t>Other Asset Growth</t>
  </si>
  <si>
    <t>RWA / Housing Loans</t>
  </si>
  <si>
    <t>RWA / Other Assets</t>
  </si>
  <si>
    <t>Key Valuation Outcomes</t>
  </si>
  <si>
    <t>Housing RWA</t>
  </si>
  <si>
    <t>Premium / Discount to Valuation</t>
  </si>
  <si>
    <t xml:space="preserve"> Development Phase</t>
  </si>
  <si>
    <t>Value of Franking Credits</t>
  </si>
  <si>
    <t xml:space="preserve">  Cost of Common Equity (%)    </t>
  </si>
  <si>
    <t>Less:-</t>
  </si>
  <si>
    <t>Available for distribution</t>
  </si>
  <si>
    <t>Perpetuity value</t>
  </si>
  <si>
    <t>Explicit PV</t>
  </si>
  <si>
    <t>DDM</t>
  </si>
  <si>
    <t>Total present value</t>
  </si>
  <si>
    <t>Ordinary Shareholders' Equity</t>
  </si>
  <si>
    <t>Lending Rate</t>
  </si>
  <si>
    <t>APRA Basel III CET1 Ratio (%)</t>
  </si>
  <si>
    <t>Profit Before Tax</t>
  </si>
  <si>
    <t>Net Interest Income</t>
  </si>
  <si>
    <t>Perpetuity growth</t>
  </si>
  <si>
    <t>Intangible Assets</t>
  </si>
  <si>
    <t>Implied Upside / (Downside)</t>
  </si>
  <si>
    <t>Ratio</t>
  </si>
  <si>
    <t>Dividend Discount Model</t>
  </si>
  <si>
    <t>Sub total</t>
  </si>
  <si>
    <t>Perpetuity factor 10+yrs</t>
  </si>
  <si>
    <t>Return on Avg Assets (ROA) (%)</t>
  </si>
  <si>
    <t>Underlying Profit / Avg Assets  (%)</t>
  </si>
  <si>
    <t>Cash Payout Ratio</t>
  </si>
  <si>
    <t>Check</t>
  </si>
  <si>
    <t>Trading</t>
  </si>
  <si>
    <t>Target CET1 Ratio</t>
  </si>
  <si>
    <t>Total Capital Ratio</t>
  </si>
  <si>
    <t>Diluted Cash EPS</t>
  </si>
  <si>
    <t>Funding Rate</t>
  </si>
  <si>
    <t xml:space="preserve">  Last Reported BV Per Share</t>
  </si>
  <si>
    <t>Shares on Issue</t>
  </si>
  <si>
    <t xml:space="preserve">  Average PPP / Assets</t>
  </si>
  <si>
    <t>Share Buybacks</t>
  </si>
  <si>
    <t>Reported Earnings</t>
  </si>
  <si>
    <t>Previous</t>
  </si>
  <si>
    <t>Residual Income (Stage 1)</t>
  </si>
  <si>
    <t>Bonds and Notes</t>
  </si>
  <si>
    <t>Valuation</t>
  </si>
  <si>
    <t>Deposits</t>
  </si>
  <si>
    <t>P/E Multiple (Cash Profit Basis) (x)</t>
  </si>
  <si>
    <t>Opening Balance</t>
  </si>
  <si>
    <t>INCOME STATEMENT (A$m)</t>
  </si>
  <si>
    <t>CP / Credit RWA</t>
  </si>
  <si>
    <t>Banking Revenue</t>
  </si>
  <si>
    <t>Wealth Revenue</t>
  </si>
  <si>
    <t>Banking Revenue / Av Assets</t>
  </si>
  <si>
    <t>Wealth Revenue / Av Assets</t>
  </si>
  <si>
    <t>Banking Revenue Growth</t>
  </si>
  <si>
    <t>Wealth Revenue Growth</t>
  </si>
  <si>
    <t>Australian Tax Rate</t>
  </si>
  <si>
    <t>Tax Paid on Dividend</t>
  </si>
  <si>
    <t>% Valued</t>
  </si>
  <si>
    <t>Composite Valuation</t>
  </si>
  <si>
    <t>Avg fair value per share</t>
  </si>
  <si>
    <t>Total Liabilities</t>
  </si>
  <si>
    <t>Interest Income</t>
  </si>
  <si>
    <t>ASSET QUALITY</t>
  </si>
  <si>
    <t>US$m</t>
  </si>
  <si>
    <t>Less: Exp 12-month Div</t>
  </si>
  <si>
    <t>2H07</t>
  </si>
  <si>
    <t>Free Cash Flow</t>
  </si>
  <si>
    <t>Average Ordinary Equity</t>
  </si>
  <si>
    <t>Capitalised Software</t>
  </si>
  <si>
    <t xml:space="preserve">  Average CET1 Ratio</t>
  </si>
  <si>
    <t xml:space="preserve">12 month target price </t>
  </si>
  <si>
    <t xml:space="preserve">  Average Asset Growth</t>
  </si>
  <si>
    <t xml:space="preserve">  Average RWA / Assets</t>
  </si>
  <si>
    <t xml:space="preserve">  Average Imp Chge / Loans</t>
  </si>
  <si>
    <t>NTA per Share (A$)</t>
  </si>
  <si>
    <t>Book Value per Share (A$)</t>
  </si>
  <si>
    <t>Net Interest Margin</t>
  </si>
  <si>
    <t>Franking (%)</t>
  </si>
  <si>
    <t>12-month forward Price Target</t>
  </si>
  <si>
    <t>Fee Income</t>
  </si>
  <si>
    <t xml:space="preserve">Global Markets </t>
  </si>
  <si>
    <t>Associates Profits</t>
  </si>
  <si>
    <t>Other Banking Income</t>
  </si>
  <si>
    <t>Non Cash Items</t>
  </si>
  <si>
    <t>Revenue / Av Assets</t>
  </si>
  <si>
    <t>Expenses / Av Assets</t>
  </si>
  <si>
    <t>Less : Preference Share Dividends</t>
  </si>
  <si>
    <t>Australian Loans (local ccy)</t>
  </si>
  <si>
    <t>New Zealand Loans (local ccy)</t>
  </si>
  <si>
    <t>Assumption : 10 years</t>
  </si>
  <si>
    <t>Wealth Management Income</t>
  </si>
  <si>
    <t>Market Risk</t>
  </si>
  <si>
    <t>Cash dividends paid</t>
  </si>
  <si>
    <t xml:space="preserve">  Number of Years </t>
  </si>
  <si>
    <t>Opening Ordinary Shareholders Equity</t>
  </si>
  <si>
    <t>SHARES ON ISSUE</t>
  </si>
  <si>
    <t>p96</t>
  </si>
  <si>
    <t>p105</t>
  </si>
  <si>
    <t>Modelware EPS (diluted)</t>
  </si>
  <si>
    <t>Dilutive Securities &amp; Options</t>
  </si>
  <si>
    <t>1H07</t>
  </si>
  <si>
    <t>Dividend per Share</t>
  </si>
  <si>
    <t>APEA</t>
  </si>
  <si>
    <t>US$</t>
  </si>
  <si>
    <t>Investments in Non Consol Subsidiaries</t>
  </si>
  <si>
    <t>Non Recourse Debt Maturity</t>
  </si>
  <si>
    <t>% of RWA</t>
  </si>
  <si>
    <t>Shortfall to EL (post tax)</t>
  </si>
  <si>
    <t>Shortfall to EL (pre tax)</t>
  </si>
  <si>
    <t>EL / RWA</t>
  </si>
  <si>
    <t>Other Deductions (change h-o-h)</t>
  </si>
  <si>
    <t>Complying Instruments</t>
  </si>
  <si>
    <t xml:space="preserve">    - Other</t>
  </si>
  <si>
    <t>Non Complying Instruments</t>
  </si>
  <si>
    <t>Total Instruments allowable for transitional relief</t>
  </si>
  <si>
    <t>Maximium Allowable</t>
  </si>
  <si>
    <t>% Allowable</t>
  </si>
  <si>
    <t>IRRBB</t>
  </si>
  <si>
    <t>Operational Risk</t>
  </si>
  <si>
    <t>Mortgages</t>
  </si>
  <si>
    <t>Other Loans</t>
  </si>
  <si>
    <t>Lending RWA</t>
  </si>
  <si>
    <t>Secuitisation</t>
  </si>
  <si>
    <t>Other Lending: RWA / Loans</t>
  </si>
  <si>
    <t>Lending RWA / Loans</t>
  </si>
  <si>
    <t>Credit RWA / Loans</t>
  </si>
  <si>
    <t>Total RWA / Total Assets</t>
  </si>
  <si>
    <t>Av Treasury Shares</t>
  </si>
  <si>
    <t>Net Av Ord Equity</t>
  </si>
  <si>
    <t>Av Intangible Assets</t>
  </si>
  <si>
    <t>Av Tangible Equity</t>
  </si>
  <si>
    <t>Return on Ordinary Equity (ROE) (%) - Reported Cash Profit</t>
  </si>
  <si>
    <t>Net Int Income / Avg Assets (%)</t>
  </si>
  <si>
    <t>Other Banking Income / Avg Assets (%)</t>
  </si>
  <si>
    <t>Banking Income / Avg Assets (%)</t>
  </si>
  <si>
    <t>Wealth Income / Avg Assets (%)</t>
  </si>
  <si>
    <t>Impairment Charge / Avg Assets  (%)</t>
  </si>
  <si>
    <t>Pre-tax Return on Avg Assets (%)</t>
  </si>
  <si>
    <t>Tax on Avg Assets (%)</t>
  </si>
  <si>
    <t>Less Preference Share Distributions</t>
  </si>
  <si>
    <t>Less Other Equity Distributions</t>
  </si>
  <si>
    <t>Underlying Profit / Avg RWA (%)</t>
  </si>
  <si>
    <t>Less: Preference Share Capital</t>
  </si>
  <si>
    <t>Less: Available for sale reserve on deconsolidated entities</t>
  </si>
  <si>
    <t>Less: Other</t>
  </si>
  <si>
    <t>Retained Earnings</t>
  </si>
  <si>
    <t>Non Housing Loans</t>
  </si>
  <si>
    <t>Collective Provision (A$m)</t>
  </si>
  <si>
    <t>Average A$/NZ$</t>
  </si>
  <si>
    <t>DRP Participation Rate</t>
  </si>
  <si>
    <t>per share</t>
  </si>
  <si>
    <t>Weighted Average Shares (m)</t>
  </si>
  <si>
    <t>Underlying Tax Rate (%)</t>
  </si>
  <si>
    <t>Price/NTA (x)</t>
  </si>
  <si>
    <t>Ordinary Equity</t>
  </si>
  <si>
    <t>Richard.Wiles@morganstanley.com</t>
  </si>
  <si>
    <t>Other Issues</t>
  </si>
  <si>
    <t>Net Tangible Assets</t>
  </si>
  <si>
    <t>Interest Expense</t>
  </si>
  <si>
    <t>Dividend per Share (cps)</t>
  </si>
  <si>
    <t>2H14E</t>
  </si>
  <si>
    <t>P/UP Multiple (x)</t>
  </si>
  <si>
    <t>Other Funding</t>
  </si>
  <si>
    <t>Balance Sheet</t>
  </si>
  <si>
    <t>Avg Loans &amp; Acceptances</t>
  </si>
  <si>
    <t>Deposits (ex CoD)</t>
  </si>
  <si>
    <t>CoD</t>
  </si>
  <si>
    <t>Net Assets</t>
  </si>
  <si>
    <t>Bear Case</t>
  </si>
  <si>
    <t>Bull Case</t>
  </si>
  <si>
    <t>Movements</t>
  </si>
  <si>
    <t>Book value</t>
  </si>
  <si>
    <t>Est. fair value per share</t>
  </si>
  <si>
    <t>Specific Provisions</t>
  </si>
  <si>
    <t>RWA / Assets</t>
  </si>
  <si>
    <t>Assumptions</t>
  </si>
  <si>
    <t>Current Price</t>
  </si>
  <si>
    <t>Upside / (Downside)</t>
  </si>
  <si>
    <t>Issued Shares (m)</t>
  </si>
  <si>
    <t>CAPITAL ADEQUACY</t>
  </si>
  <si>
    <t>Add: Capitalised brokerage/ mortgage origination fees</t>
  </si>
  <si>
    <t>Add: Customers' liability for acceptances</t>
  </si>
  <si>
    <t>CFO Review, p28</t>
  </si>
  <si>
    <t>CFO Review, p27</t>
  </si>
  <si>
    <t>Pre Provision Profit</t>
  </si>
  <si>
    <t>Less: Other Intangibles (OnePath and NZ, ex software)</t>
  </si>
  <si>
    <t>Less: Investments in OnePath, Insurance and Funds management</t>
  </si>
  <si>
    <t>Less: Investment in Banking Associates</t>
  </si>
  <si>
    <t>RIVM</t>
  </si>
  <si>
    <t>Present value</t>
  </si>
  <si>
    <t>Effective Tax Rate</t>
  </si>
  <si>
    <t>p140, footnote to average balance sheet</t>
  </si>
  <si>
    <t>p139</t>
  </si>
  <si>
    <t>p138</t>
  </si>
  <si>
    <t>Premises Expenses</t>
  </si>
  <si>
    <t>Computer Expenses</t>
  </si>
  <si>
    <t>Revaluation of Policy Liabilities</t>
  </si>
  <si>
    <t>Economic Hedging</t>
  </si>
  <si>
    <t>Revenue and Net Investment Hedges</t>
  </si>
  <si>
    <t>Structured Credit Intermediation Trades</t>
  </si>
  <si>
    <t>Other Items, p88, Profit Reconciliation</t>
  </si>
  <si>
    <t>Revenue Growth</t>
  </si>
  <si>
    <t>Fee income (excl Global Markets)</t>
  </si>
  <si>
    <t>Global Markets and other operating income</t>
  </si>
  <si>
    <t>p21</t>
  </si>
  <si>
    <t>Other &amp; FX Income (excl Global Markets)</t>
  </si>
  <si>
    <t>Other Wealth Income</t>
  </si>
  <si>
    <t>p70</t>
  </si>
  <si>
    <t>p108, Note 7 Net Loans and Advances</t>
  </si>
  <si>
    <t>Total Provisions / RWA</t>
  </si>
  <si>
    <t>Exchange Rate Movements &amp; Discount Unwind</t>
  </si>
  <si>
    <t>Recoveries/ Write-backs</t>
  </si>
  <si>
    <t>Asia Pacific, Europe &amp; America (APEA)</t>
  </si>
  <si>
    <t xml:space="preserve">A$/US$: spot </t>
  </si>
  <si>
    <t xml:space="preserve">A$/NZ$: spot </t>
  </si>
  <si>
    <t>Fin Stats, p97</t>
  </si>
  <si>
    <t>Fin Stats, p98</t>
  </si>
  <si>
    <t>Settlement balances owed</t>
  </si>
  <si>
    <t>Settlement balances / Loans &amp; Acceptances</t>
  </si>
  <si>
    <t>Bonds and Notes / Loans &amp; Acceptances</t>
  </si>
  <si>
    <t>Loan Capital / Loans &amp; Acceptances</t>
  </si>
  <si>
    <t>Total RWA</t>
  </si>
  <si>
    <t>10-yr avge</t>
  </si>
  <si>
    <t>Banking Non Interest Income</t>
  </si>
  <si>
    <t>Other Income</t>
  </si>
  <si>
    <t>Dividend Yield (%)</t>
  </si>
  <si>
    <t>Impairment Charge</t>
  </si>
  <si>
    <t xml:space="preserve">  Beta  </t>
  </si>
  <si>
    <t xml:space="preserve">  Market Risk Premium (%)  </t>
  </si>
  <si>
    <t>Tax Expenses</t>
  </si>
  <si>
    <t xml:space="preserve">  Average ROA</t>
  </si>
  <si>
    <t>Distributions and OEI</t>
  </si>
  <si>
    <t>Current Share Price</t>
  </si>
  <si>
    <t>Dividends</t>
  </si>
  <si>
    <t xml:space="preserve"> Cost of Capital  </t>
  </si>
  <si>
    <t xml:space="preserve">  Development Payout Ratio</t>
  </si>
  <si>
    <t>Housing Loans</t>
  </si>
  <si>
    <t>Year End 30 September</t>
  </si>
  <si>
    <t>Closing Balance</t>
  </si>
  <si>
    <t>Total Provisions</t>
  </si>
  <si>
    <t>2H08</t>
  </si>
  <si>
    <t>Average A$/US$</t>
  </si>
  <si>
    <t>Cash Profit for Diluted EPS</t>
  </si>
  <si>
    <t xml:space="preserve"> Share Information  </t>
  </si>
  <si>
    <t xml:space="preserve">  Expected 12 Month Dividend  </t>
  </si>
  <si>
    <t>RETURNS</t>
  </si>
  <si>
    <t>Other Assets</t>
  </si>
  <si>
    <t>AUD</t>
  </si>
  <si>
    <t>Cash EPS</t>
  </si>
  <si>
    <t>Individual Provision Cover (%)</t>
  </si>
  <si>
    <t>Individual Provision Coverage</t>
  </si>
  <si>
    <t>Cost of Equity</t>
  </si>
  <si>
    <t>Richard Wiles (612) 9770 1537</t>
  </si>
  <si>
    <t>Total Operating Expenses</t>
  </si>
  <si>
    <t>Mortgage: RWA / Loans</t>
  </si>
  <si>
    <t>Ordinary Share Capital</t>
  </si>
  <si>
    <t>Loans &amp; Acceptances</t>
  </si>
  <si>
    <t>DRP Participation</t>
  </si>
  <si>
    <t>SHARE RATIOS &amp; VALUATION</t>
  </si>
  <si>
    <t>Avg Ordinary Shareholders' Equity</t>
  </si>
  <si>
    <t>Dividend Payout Ratio (%)</t>
  </si>
  <si>
    <t>CASH PROFIT BASIS:</t>
  </si>
  <si>
    <t>Less: Preference Share Dividends</t>
  </si>
  <si>
    <t>Income</t>
  </si>
  <si>
    <t>Risk Weighted Assets</t>
  </si>
  <si>
    <t>Total</t>
  </si>
  <si>
    <t>Tier 1 Capital</t>
  </si>
  <si>
    <t>Tier 2 Capital</t>
  </si>
  <si>
    <t>Average Loans</t>
  </si>
  <si>
    <t>New Zealand</t>
  </si>
  <si>
    <t>Gross Loans</t>
  </si>
  <si>
    <t>Credit RWA</t>
  </si>
  <si>
    <t xml:space="preserve">    - ANZ Bank NZ Capital Notes</t>
  </si>
  <si>
    <t>Total Capital Ratio (%)</t>
  </si>
  <si>
    <t>Mature payout ratio</t>
  </si>
  <si>
    <t>Residual Income</t>
  </si>
  <si>
    <t>Provisions</t>
  </si>
  <si>
    <t>6065586</t>
  </si>
  <si>
    <t xml:space="preserve"> Decline Phase  </t>
  </si>
  <si>
    <t>1H08</t>
  </si>
  <si>
    <t>A$m</t>
  </si>
  <si>
    <t>Tax Expense</t>
  </si>
  <si>
    <t>%</t>
  </si>
  <si>
    <t>FY14</t>
  </si>
  <si>
    <t xml:space="preserve">Collective Provision / RWA (%) </t>
  </si>
  <si>
    <t>Total Gross Loans &amp; Acceptances</t>
  </si>
  <si>
    <t>Maturity</t>
  </si>
  <si>
    <t>SUMMARY INCOME STATEMENT</t>
  </si>
  <si>
    <t>General / Other Expenses</t>
  </si>
  <si>
    <t>Cash Profit for EPS (Modelware Profit)</t>
  </si>
  <si>
    <t>Growth (y-o-y)</t>
  </si>
  <si>
    <t>A$/NZ$ Spot</t>
  </si>
  <si>
    <t>F'cast</t>
  </si>
  <si>
    <t>A$/NZ$ Average</t>
  </si>
  <si>
    <t>A$/US$ Spot</t>
  </si>
  <si>
    <t>A$/US$ Average</t>
  </si>
  <si>
    <t>A$/NZ$</t>
  </si>
  <si>
    <t>Less: Provisions for doubtful debts</t>
  </si>
  <si>
    <t>Credit Quality</t>
  </si>
  <si>
    <t>New and Increased Impaired Assets</t>
  </si>
  <si>
    <t>&gt;90DPD</t>
  </si>
  <si>
    <t>New Impaired Assets / Gross Loans &amp; Acceptances</t>
  </si>
  <si>
    <t>New Impaired Assets / Non Housing Loans &amp; Acceptances</t>
  </si>
  <si>
    <t>&gt;90DPD / Gross Loans &amp; Acceptances</t>
  </si>
  <si>
    <t>Impaired Assets / Gross Loans &amp; Acceptances</t>
  </si>
  <si>
    <t>NPL Ratio</t>
  </si>
  <si>
    <t>Specific Provision Charge</t>
  </si>
  <si>
    <t>Opening balance</t>
  </si>
  <si>
    <t>Adjustments / FX</t>
  </si>
  <si>
    <t>Closing balance</t>
  </si>
  <si>
    <t>Unearned Income</t>
  </si>
  <si>
    <t>CP / RWA</t>
  </si>
  <si>
    <t>Unearned Income / Gross Loans &amp; Acceptances</t>
  </si>
  <si>
    <t>Non Interest Bearing</t>
  </si>
  <si>
    <t>On demand &amp; ST deposits</t>
  </si>
  <si>
    <t>Group Deposits</t>
  </si>
  <si>
    <t>Total Deposits excl Repo's</t>
  </si>
  <si>
    <t xml:space="preserve">Total Deposits excl CoD and Repo's </t>
  </si>
  <si>
    <t>Summary Balance Sheet</t>
  </si>
  <si>
    <t>Life Insurance</t>
  </si>
  <si>
    <t>Goodwill &amp; Intangible Assets</t>
  </si>
  <si>
    <t>Other Borrowings (including Repurchase Agreements)</t>
  </si>
  <si>
    <t>Implied</t>
  </si>
  <si>
    <t>Personnel Expenses</t>
  </si>
  <si>
    <t xml:space="preserve">Deposits </t>
  </si>
  <si>
    <t>FY07</t>
  </si>
  <si>
    <t>FY08</t>
  </si>
  <si>
    <t>FY09</t>
  </si>
  <si>
    <t>FY10</t>
  </si>
  <si>
    <t>FY11</t>
  </si>
  <si>
    <t>FY12</t>
  </si>
  <si>
    <t>FY13</t>
  </si>
  <si>
    <t>Funds Management Income</t>
  </si>
  <si>
    <t>Tier 1 Deductions</t>
  </si>
  <si>
    <t>AIEA</t>
  </si>
  <si>
    <t>CP Charge / Total Loans</t>
  </si>
  <si>
    <t>IP Charge / Total Loans</t>
  </si>
  <si>
    <t>Total Charge / Total Loans</t>
  </si>
  <si>
    <t>Total Charge / Avge Loans</t>
  </si>
  <si>
    <t>Total Charge / Credit RWA</t>
  </si>
  <si>
    <t>Non Housing Loans &amp; Acceptances</t>
  </si>
  <si>
    <t>Av Non Housing Loans &amp; Acceptances</t>
  </si>
  <si>
    <t>CP Charge / Non Housing Loans</t>
  </si>
  <si>
    <t>IP Charge / Non Housing Loans</t>
  </si>
  <si>
    <t>IP Charge / Av Non Housing Loans</t>
  </si>
  <si>
    <t>IP Charge / Av RWA</t>
  </si>
  <si>
    <t>Total Charge / Non Housing Loans</t>
  </si>
  <si>
    <t>Treasury Shares Valuation Adjustment</t>
  </si>
  <si>
    <t>SHAREHOLDERS FUNDS</t>
  </si>
  <si>
    <t>Other Equity Instruments</t>
  </si>
  <si>
    <t>Outside Equity Interests</t>
  </si>
  <si>
    <t>Capital Raising</t>
  </si>
  <si>
    <t>Dividend Reinvestment Plan</t>
  </si>
  <si>
    <t>DRP Buyback</t>
  </si>
  <si>
    <t>Buyback</t>
  </si>
  <si>
    <t>Net Sale / (Purchase) of Treasury Shares</t>
  </si>
  <si>
    <t>Restatement</t>
  </si>
  <si>
    <t>Gain / (Loss) on Defined Benefit Plan</t>
  </si>
  <si>
    <t>Income on Treasury Shares</t>
  </si>
  <si>
    <t>Available for Appropriation</t>
  </si>
  <si>
    <t>From / (To) Reserves</t>
  </si>
  <si>
    <t>Final Dividend</t>
  </si>
  <si>
    <t>Interim Dividend</t>
  </si>
  <si>
    <t>Other (Distributions on Other Equity Instruments)</t>
  </si>
  <si>
    <t>From / (To) Retained Earnings</t>
  </si>
  <si>
    <t>Shares on Issue (m)</t>
  </si>
  <si>
    <t>Closing Balance (incl Treasury Shares)</t>
  </si>
  <si>
    <t>Less: Treasury Shares</t>
  </si>
  <si>
    <t>Closing Balance (ex Treasury Shares)</t>
  </si>
  <si>
    <t>Treasury Shares</t>
  </si>
  <si>
    <t>% of Total</t>
  </si>
  <si>
    <t>NTA per Share</t>
  </si>
  <si>
    <t>CAPITAL MANAGEMENT</t>
  </si>
  <si>
    <t>Ordinary Dividend per Share</t>
  </si>
  <si>
    <t>Special Dividend per Shares</t>
  </si>
  <si>
    <t>Total Dividend per Share</t>
  </si>
  <si>
    <t>Cash EPS - Basic</t>
  </si>
  <si>
    <t>Ordinary Dividend</t>
  </si>
  <si>
    <t>Special Dividend</t>
  </si>
  <si>
    <t>Cash Profit (post distributions)</t>
  </si>
  <si>
    <t>Ordinary Dividend Payout Ratio</t>
  </si>
  <si>
    <t>Special Dividend Payout Ratio</t>
  </si>
  <si>
    <t>Total Payout Ratio</t>
  </si>
  <si>
    <t xml:space="preserve">Total Dividend </t>
  </si>
  <si>
    <t>Ord Equity Raised Post Balance Date</t>
  </si>
  <si>
    <t>DRP Price</t>
  </si>
  <si>
    <t>Ordinary Share Issue (Next Period)</t>
  </si>
  <si>
    <t>DRP Neutralisation</t>
  </si>
  <si>
    <t>DRP Buyback Next Period (A$)</t>
  </si>
  <si>
    <t>DRP Buyback (shares 'm)</t>
  </si>
  <si>
    <t>CET 1 Capital</t>
  </si>
  <si>
    <t>Minimum CET1 Ratio</t>
  </si>
  <si>
    <t>CET1 Ratio Deficit</t>
  </si>
  <si>
    <t>CET1 Deficit</t>
  </si>
  <si>
    <t>Implied Capital Raising</t>
  </si>
  <si>
    <t>Share Price</t>
  </si>
  <si>
    <t>Share Issue</t>
  </si>
  <si>
    <t>Buybacks</t>
  </si>
  <si>
    <t>CET1 Ratio: Buyback Trigger</t>
  </si>
  <si>
    <t>CET1 Ratio Surplus</t>
  </si>
  <si>
    <t>CET1 Surplus</t>
  </si>
  <si>
    <t>Share Buyback</t>
  </si>
  <si>
    <t>Other Issues / Opening Equity</t>
  </si>
  <si>
    <t>Shares on Issue (ex Treasury shares)</t>
  </si>
  <si>
    <t>Calculated Average</t>
  </si>
  <si>
    <t>Weighted Average Shares: Cash Basis</t>
  </si>
  <si>
    <t>Weighted Average Shares for Diluted Cash EPS</t>
  </si>
  <si>
    <t>Earnings on Dilutive Securities</t>
  </si>
  <si>
    <t>Weighted Average Shares: Reported Basis</t>
  </si>
  <si>
    <t>Reported / Cash</t>
  </si>
  <si>
    <t xml:space="preserve">Less : Dividends on Other Equity Instruments </t>
  </si>
  <si>
    <t>Capital Ratios</t>
  </si>
  <si>
    <t>Common Equity Tier 1</t>
  </si>
  <si>
    <t>Additional Tier 1</t>
  </si>
  <si>
    <t>Add: Treasury Shares</t>
  </si>
  <si>
    <t>Add: Eligible Deferred Fee Income</t>
  </si>
  <si>
    <t>Less: Non Consol Sub RE and Reserves</t>
  </si>
  <si>
    <t>CET1 Capital Before Adjustments</t>
  </si>
  <si>
    <t>Less: Goodwill</t>
  </si>
  <si>
    <t>Less: Capitalised Costs</t>
  </si>
  <si>
    <t>Less: Capitalised Software</t>
  </si>
  <si>
    <t>Less: DTA in excess of DTL</t>
  </si>
  <si>
    <t>Less: Shortfall of Provsions to Expected Loss</t>
  </si>
  <si>
    <t>Less: Other Deductions</t>
  </si>
  <si>
    <t>Basel 3 Eligible Additional Tier 1</t>
  </si>
  <si>
    <t>Regulatory Adjustments</t>
  </si>
  <si>
    <t>Transitional Additional Tier 1</t>
  </si>
  <si>
    <t>Additional Tier 1 Capital</t>
  </si>
  <si>
    <t>Treasures Shares / Total Shares</t>
  </si>
  <si>
    <t>Goodwill &amp; Intangibles per Balance Sheet</t>
  </si>
  <si>
    <t>Less: Software</t>
  </si>
  <si>
    <t xml:space="preserve">Goodwill &amp; Intangibles (ex Software) </t>
  </si>
  <si>
    <t>Goodwill: Tier 1 Deduction</t>
  </si>
  <si>
    <t>Other Intangibles: Tier 1 Deduction</t>
  </si>
  <si>
    <t>Capitalised Software per Balance Sheet</t>
  </si>
  <si>
    <t>Tier 1 Deduction</t>
  </si>
  <si>
    <t>RWA Growth</t>
  </si>
  <si>
    <t>NZ$m</t>
  </si>
  <si>
    <t>Return on Avg RWA (%)</t>
  </si>
  <si>
    <t>Non-controlling Interests</t>
  </si>
  <si>
    <t>Markets</t>
  </si>
  <si>
    <t>Closing</t>
  </si>
  <si>
    <t>Adjustments</t>
  </si>
  <si>
    <t>Bad and Doubtful Debts Expense</t>
  </si>
  <si>
    <t>Pre Tax Profit</t>
  </si>
  <si>
    <t>Leverage</t>
  </si>
  <si>
    <t>Statutory Reported Profit</t>
  </si>
  <si>
    <t>2H12</t>
  </si>
  <si>
    <t xml:space="preserve">Minority Interests </t>
  </si>
  <si>
    <t>RWA</t>
  </si>
  <si>
    <t>INCOME STATEMENT</t>
  </si>
  <si>
    <t>Loans</t>
  </si>
  <si>
    <t>Shareholders Equity</t>
  </si>
  <si>
    <t>Closing Cash Rate</t>
  </si>
  <si>
    <t>Average Cash Rate</t>
  </si>
  <si>
    <t>Average 90BBSW</t>
  </si>
  <si>
    <t>Other Share Issues</t>
  </si>
  <si>
    <t xml:space="preserve">  Current Stock Price  </t>
  </si>
  <si>
    <t xml:space="preserve"> Stock Price  </t>
  </si>
  <si>
    <t>2H11</t>
  </si>
  <si>
    <t>Modelware P/E Multiple (x)</t>
  </si>
  <si>
    <t>Basic P/E Multiple (x)</t>
  </si>
  <si>
    <t>Impairment Charges</t>
  </si>
  <si>
    <t>1H13</t>
  </si>
  <si>
    <t>Franking</t>
  </si>
  <si>
    <t>ROE (average)</t>
  </si>
  <si>
    <t>Foreign Exchange</t>
  </si>
  <si>
    <t>90-day Past Due Loans (A$m)</t>
  </si>
  <si>
    <t>Base Case</t>
  </si>
  <si>
    <t>Cost / Income (%)</t>
  </si>
  <si>
    <t>Expenses / Avg Assets (%)</t>
  </si>
  <si>
    <t>Income / Avg Assets (%)</t>
  </si>
  <si>
    <t>Gross Loans &amp; Acceptances</t>
  </si>
  <si>
    <t>Non-Housing Loans &amp; Acceptances</t>
  </si>
  <si>
    <t>Recoveries / Opening Non Accrual Loans</t>
  </si>
  <si>
    <t xml:space="preserve">  Average ROE</t>
  </si>
  <si>
    <t>Pre Tax</t>
  </si>
  <si>
    <t>Implied Bull Case Valuation</t>
  </si>
  <si>
    <t>1H14</t>
  </si>
  <si>
    <t>DCF</t>
  </si>
  <si>
    <t>1H10</t>
  </si>
  <si>
    <t>Closing Ordinary Shareholders Equity</t>
  </si>
  <si>
    <t>Wealth Management</t>
  </si>
  <si>
    <t>Opening Goodwill</t>
  </si>
  <si>
    <t>Non Housing RWA</t>
  </si>
  <si>
    <t>CET1 Ratio</t>
  </si>
  <si>
    <t xml:space="preserve"> Current FY14E P/E Multiple</t>
  </si>
  <si>
    <t>CET1 Capital</t>
  </si>
  <si>
    <t xml:space="preserve"> Current FY14E P/BV Multiple</t>
  </si>
  <si>
    <t>Loan / Deposit Ratio</t>
  </si>
  <si>
    <t>Loan Growth</t>
  </si>
  <si>
    <t>Expense Growth</t>
  </si>
  <si>
    <t>Probability</t>
  </si>
  <si>
    <t>Less: Unearned income</t>
  </si>
  <si>
    <t>Non Performing Loans</t>
  </si>
  <si>
    <t>Ch</t>
  </si>
  <si>
    <t>1H09</t>
  </si>
  <si>
    <t>2H09</t>
  </si>
  <si>
    <t xml:space="preserve"> Estimated Fair Value ($)</t>
  </si>
  <si>
    <t xml:space="preserve"> 12-month Forward</t>
  </si>
  <si>
    <t xml:space="preserve">APRA CET1 </t>
  </si>
  <si>
    <t>Capital Deductions</t>
  </si>
  <si>
    <t>International CET1: Reported</t>
  </si>
  <si>
    <t>Adjustments not acknowledged by APRA</t>
  </si>
  <si>
    <t>International CET1: "APRA agreed"</t>
  </si>
  <si>
    <t>Other (incl SL and corporate adjustments)</t>
  </si>
  <si>
    <t>Scaling down of Unsecured Non-retail &amp; Specialised Lending</t>
  </si>
  <si>
    <t>Proforma</t>
  </si>
  <si>
    <t>International BCBS CET 1 Ratio (%)</t>
  </si>
  <si>
    <t>2H15</t>
  </si>
  <si>
    <t>FY15</t>
  </si>
  <si>
    <t>p24</t>
  </si>
  <si>
    <t>CFO Review, p31</t>
  </si>
  <si>
    <t>Gain on Sale</t>
  </si>
  <si>
    <t>Change</t>
  </si>
  <si>
    <t>y-o-y</t>
  </si>
  <si>
    <t>Local Currency Balances</t>
  </si>
  <si>
    <t>1H16</t>
  </si>
  <si>
    <t>ANZ</t>
  </si>
  <si>
    <t>Banking Non Interest Income / Total Income (%)</t>
  </si>
  <si>
    <t>One-off Items</t>
  </si>
  <si>
    <t>Underlying Payout Ratio</t>
  </si>
  <si>
    <t xml:space="preserve">    - ANZ Capital Notes, USD AT1</t>
  </si>
  <si>
    <t>Housing EAD</t>
  </si>
  <si>
    <t>Housing EAD / Loans</t>
  </si>
  <si>
    <t>Underlying Expenses</t>
  </si>
  <si>
    <t>Specified Items</t>
  </si>
  <si>
    <t>Proforma Cash Profit</t>
  </si>
  <si>
    <t>Proforma Cash EPS</t>
  </si>
  <si>
    <t>Probability: Bull Case</t>
  </si>
  <si>
    <t>Probability: Base Case</t>
  </si>
  <si>
    <t>Probability: Bear Case</t>
  </si>
  <si>
    <t>Non Housing EAD</t>
  </si>
  <si>
    <t>Total EAD</t>
  </si>
  <si>
    <t>Non Housing EAD / Loans</t>
  </si>
  <si>
    <t xml:space="preserve">    - ANZ Capital Notes 4</t>
  </si>
  <si>
    <t>Restructuring Charges</t>
  </si>
  <si>
    <t>Other Computer Expenses</t>
  </si>
  <si>
    <t>Computer Expenses (ex One Offs)</t>
  </si>
  <si>
    <t>Esanda Dealer Finance</t>
  </si>
  <si>
    <t>Total (Pre Tax)</t>
  </si>
  <si>
    <t>Software Capitalisation Changes</t>
  </si>
  <si>
    <t>Asian Minority Stakes</t>
  </si>
  <si>
    <t>Restructuring</t>
  </si>
  <si>
    <t>CVA Methodology Change</t>
  </si>
  <si>
    <t>Total Post Tax</t>
  </si>
  <si>
    <t>Tax Rate Applied</t>
  </si>
  <si>
    <t>Other &amp; FX Income</t>
  </si>
  <si>
    <t>Reported</t>
  </si>
  <si>
    <t>Underlying</t>
  </si>
  <si>
    <t>2H16</t>
  </si>
  <si>
    <t>FY16</t>
  </si>
  <si>
    <t>Growth (h-o-h)</t>
  </si>
  <si>
    <t>Sales</t>
  </si>
  <si>
    <t>Net charge off</t>
  </si>
  <si>
    <t>Change in provisions</t>
  </si>
  <si>
    <t>Investments in Banking Associates</t>
  </si>
  <si>
    <t>Profit from Associates</t>
  </si>
  <si>
    <t>Acquisitions / Disposals</t>
  </si>
  <si>
    <t>Write-downs</t>
  </si>
  <si>
    <t>Add: Non Cash Items</t>
  </si>
  <si>
    <t>Other / Opening</t>
  </si>
  <si>
    <t>Housing RWA / Housing EAD</t>
  </si>
  <si>
    <t>Total RWA / Total Assets (%)</t>
  </si>
  <si>
    <t>Dividend Reinvestment Plan (DRP) (A$bn)</t>
  </si>
  <si>
    <t>Capital Raisings / (Buybacks) (A$bn)</t>
  </si>
  <si>
    <t>Split</t>
  </si>
  <si>
    <t>Av Loans</t>
  </si>
  <si>
    <t>Av Other IEA</t>
  </si>
  <si>
    <t>Margin</t>
  </si>
  <si>
    <t>Charge / Loans</t>
  </si>
  <si>
    <t>Av Shares</t>
  </si>
  <si>
    <t>Difference</t>
  </si>
  <si>
    <t>BV per Share (Base)</t>
  </si>
  <si>
    <t>h-o-h</t>
  </si>
  <si>
    <t>Charge / Non Housing Loans</t>
  </si>
  <si>
    <t>Underlying Revenue</t>
  </si>
  <si>
    <t>Markets: Net Interest Income</t>
  </si>
  <si>
    <t>AIEA ex Markets</t>
  </si>
  <si>
    <t>Net Interest Margin (ex Markets)</t>
  </si>
  <si>
    <t>1H17</t>
  </si>
  <si>
    <t>p89, Note 9</t>
  </si>
  <si>
    <t>Note 15</t>
  </si>
  <si>
    <t>Specified Items as at 2H16</t>
  </si>
  <si>
    <t>Prezo/IDP</t>
  </si>
  <si>
    <t>PROFORMA INCOME STATEMENT</t>
  </si>
  <si>
    <t>Asian Write-downs / Gains</t>
  </si>
  <si>
    <t>Asia Retail &amp; Wealth</t>
  </si>
  <si>
    <t>CVA Adjustment</t>
  </si>
  <si>
    <t>Valuation Adjustment and Other</t>
  </si>
  <si>
    <t>Sub-total</t>
  </si>
  <si>
    <t>Total ex CVA</t>
  </si>
  <si>
    <t>Panin</t>
  </si>
  <si>
    <t>AMMB</t>
  </si>
  <si>
    <t>SRCB</t>
  </si>
  <si>
    <t>Bank of Tianjin</t>
  </si>
  <si>
    <t>Other Associates</t>
  </si>
  <si>
    <t>Other (Balancing)</t>
  </si>
  <si>
    <t>Pro-forma Pre Tax Profit</t>
  </si>
  <si>
    <t>Pro-forma Tax Expense</t>
  </si>
  <si>
    <t>Proforma Tax Rate</t>
  </si>
  <si>
    <t>Bank Levy</t>
  </si>
  <si>
    <t>Liabilities</t>
  </si>
  <si>
    <t>Exempt Deposits</t>
  </si>
  <si>
    <t>Assessable Liabilities</t>
  </si>
  <si>
    <t>Levy</t>
  </si>
  <si>
    <t>Net Interest Income (pre Bank Levy)</t>
  </si>
  <si>
    <t>Net Interest Margin (ex Bank Levy)</t>
  </si>
  <si>
    <t>Margin Change (ex Levy) (h-o-h)</t>
  </si>
  <si>
    <t>Net Interest Income (pre levy)</t>
  </si>
  <si>
    <t>vs FY14</t>
  </si>
  <si>
    <t>Markets Income</t>
  </si>
  <si>
    <t>Global Markets (total)</t>
  </si>
  <si>
    <t>Income ex Markets and Partnerships</t>
  </si>
  <si>
    <t>Underlying Income</t>
  </si>
  <si>
    <t>Gain / Loss on Sale</t>
  </si>
  <si>
    <t>OEI</t>
  </si>
  <si>
    <t>2H17</t>
  </si>
  <si>
    <t>FY17</t>
  </si>
  <si>
    <t>Total Deposits ex Repo's and Com Paper</t>
  </si>
  <si>
    <t>Levy backsolved</t>
  </si>
  <si>
    <t xml:space="preserve">    - ANZ Capital Notes 5</t>
  </si>
  <si>
    <t>Net total payout ratio</t>
  </si>
  <si>
    <t>Disposals</t>
  </si>
  <si>
    <t>Continuing Cash Profit</t>
  </si>
  <si>
    <t>Discontinued Operations</t>
  </si>
  <si>
    <t>Reported Cash Profit (continuing)</t>
  </si>
  <si>
    <t>Retained Wealth Business</t>
  </si>
  <si>
    <t>Discontinued items</t>
  </si>
  <si>
    <t>Gains on sale</t>
  </si>
  <si>
    <t>Separation and transaction costs</t>
  </si>
  <si>
    <t>Continuing Cash Profit for Basic EPS</t>
  </si>
  <si>
    <t>Continuing Cash EPS (undiluted)</t>
  </si>
  <si>
    <t>Statutory Reported Profit (post distributions)</t>
  </si>
  <si>
    <t>Statutory Reported EPS (undiluted)</t>
  </si>
  <si>
    <t>Reported Cash profit</t>
  </si>
  <si>
    <t>Reported Cash Profit EPS</t>
  </si>
  <si>
    <t>Reported Cash EPS (cps)</t>
  </si>
  <si>
    <t>1H18</t>
  </si>
  <si>
    <t>discontinued</t>
  </si>
  <si>
    <t>Life Insurance - Continuing GI / LMI from 1H17</t>
  </si>
  <si>
    <t>Average FUM - continuing ANZ Financial Planning</t>
  </si>
  <si>
    <t>Adj Pre Tax Profit</t>
  </si>
  <si>
    <t>Adj Tax Expense</t>
  </si>
  <si>
    <t>Underlying Tax Rate</t>
  </si>
  <si>
    <t>Reported Cash EPS</t>
  </si>
  <si>
    <t>2H18</t>
  </si>
  <si>
    <t>1H19</t>
  </si>
  <si>
    <t>Bull Case P/E Multiple</t>
  </si>
  <si>
    <t>Market Risk / Total Assets</t>
  </si>
  <si>
    <t>Operational Risk/ Total Assets</t>
  </si>
  <si>
    <t>Customer compensation</t>
  </si>
  <si>
    <t>Customer Remediation</t>
  </si>
  <si>
    <t>FY18</t>
  </si>
  <si>
    <t>Derivative Valuation Adjustment</t>
  </si>
  <si>
    <t>Underlying ex DVA</t>
  </si>
  <si>
    <t>Gains on Sale: Asian Minority Stakes</t>
  </si>
  <si>
    <t>Gains on Sale: Other</t>
  </si>
  <si>
    <t>Operating businesses</t>
  </si>
  <si>
    <t>RC Costs</t>
  </si>
  <si>
    <t>Customer Remediation Costs and Fines</t>
  </si>
  <si>
    <t>Accelerated Amortisation</t>
  </si>
  <si>
    <t>Remediation</t>
  </si>
  <si>
    <t xml:space="preserve">Tax </t>
  </si>
  <si>
    <t>Post Tax</t>
  </si>
  <si>
    <t>Wealth Income</t>
  </si>
  <si>
    <t>Underlying Reported Cash Profit</t>
  </si>
  <si>
    <t>Underlying Margin</t>
  </si>
  <si>
    <t>Group Margin</t>
  </si>
  <si>
    <t>Divested Businesses</t>
  </si>
  <si>
    <t xml:space="preserve">Target </t>
  </si>
  <si>
    <t>Surplus / Deficit</t>
  </si>
  <si>
    <t>Royal Commission Costs</t>
  </si>
  <si>
    <t>Underlying Pre Provision Profit</t>
  </si>
  <si>
    <t>Underlying (ex large and notable items)</t>
  </si>
  <si>
    <t>Tax and Minority Interests</t>
  </si>
  <si>
    <t xml:space="preserve">Remediation Costs </t>
  </si>
  <si>
    <t>Excluding Customer Remediation</t>
  </si>
  <si>
    <t>Loan Capital / Sub Debt</t>
  </si>
  <si>
    <t>Total Funding - reported</t>
  </si>
  <si>
    <t>Total Funding - calculated</t>
  </si>
  <si>
    <t>Total Loan Capital &amp; Sub Debt</t>
  </si>
  <si>
    <t>Divested Businesses (in continunig operations)</t>
  </si>
  <si>
    <t>Derivative valtn &amp; methodology changes</t>
  </si>
  <si>
    <t>Discontinued Items - Cash - Post Tax</t>
  </si>
  <si>
    <t>Remediation - Continuing</t>
  </si>
  <si>
    <t>Remediation - DisContinuing</t>
  </si>
  <si>
    <t>2H19-FY21 pre tax</t>
  </si>
  <si>
    <t>2H19-FY21 psot tax</t>
  </si>
  <si>
    <t>Royal Commission</t>
  </si>
  <si>
    <t>Gain / (Loss on Sale)</t>
  </si>
  <si>
    <t>Cash Profit ex Notable Items</t>
  </si>
  <si>
    <t>Impairement Charge (ex Divest)</t>
  </si>
  <si>
    <t>Revenue</t>
  </si>
  <si>
    <t>Cash Profit Ex Notable Items</t>
  </si>
  <si>
    <t>Underlying Tax Expense</t>
  </si>
  <si>
    <t>Av RWA (calculated)</t>
  </si>
  <si>
    <t>Underlying EPS (PPP EPS)</t>
  </si>
  <si>
    <t>2H19</t>
  </si>
  <si>
    <t>FY19</t>
  </si>
  <si>
    <t>Bank Levy  (CIRC RESET)</t>
  </si>
  <si>
    <t>Additions / Reductions</t>
  </si>
  <si>
    <t xml:space="preserve">Treasury Shares </t>
  </si>
  <si>
    <t>Notable Items</t>
  </si>
  <si>
    <t>Gain / Loss on sale</t>
  </si>
  <si>
    <t>Revenue ex Notable Items</t>
  </si>
  <si>
    <t>Notable Items - Credit Impairment Charge</t>
  </si>
  <si>
    <t>Tax on Notable Items</t>
  </si>
  <si>
    <t>Notable Items - Total Pre tax</t>
  </si>
  <si>
    <t>Notable items</t>
  </si>
  <si>
    <t>Underlying Pre-Provision Profit</t>
  </si>
  <si>
    <t>1H20</t>
  </si>
  <si>
    <t>Lease Related Items</t>
  </si>
  <si>
    <t>Provisons for Loans</t>
  </si>
  <si>
    <t>Other provisions</t>
  </si>
  <si>
    <t>Net Interest Income (ex Notable Items)</t>
  </si>
  <si>
    <t>Loan Provisions / Loans</t>
  </si>
  <si>
    <t>Provisions / Credit RWA</t>
  </si>
  <si>
    <t>Loan Provisions / Credit RWA</t>
  </si>
  <si>
    <t>Other Provisions / Credit RWA</t>
  </si>
  <si>
    <t>Other Lending: RWA / EAD</t>
  </si>
  <si>
    <t>Accounting Changes</t>
  </si>
  <si>
    <t>Corporate RWA</t>
  </si>
  <si>
    <t>Specialised Lending RWA</t>
  </si>
  <si>
    <t>Other RWA</t>
  </si>
  <si>
    <t>Non Mortgage Lending RWA</t>
  </si>
  <si>
    <t>Specialised Lending EAD</t>
  </si>
  <si>
    <t>Mix</t>
  </si>
  <si>
    <t>Credit RWA Off B/S / Total Credit RWA</t>
  </si>
  <si>
    <t>Specialised Lending RWA / EAD</t>
  </si>
  <si>
    <t>Corporate and Specialised Lending RWA / EAD</t>
  </si>
  <si>
    <t>Other Non Housing RWA / EAD</t>
  </si>
  <si>
    <t>Housing RW Density</t>
  </si>
  <si>
    <t>Non Housing RW Density</t>
  </si>
  <si>
    <t>Other Credit RWA / EAD</t>
  </si>
  <si>
    <t>Credit RW Density</t>
  </si>
  <si>
    <t>Other RWA / Total Assets</t>
  </si>
  <si>
    <t>Other Credit RWA</t>
  </si>
  <si>
    <t xml:space="preserve">Potential source of a circular reference between RWAs &amp; Total Assets </t>
  </si>
  <si>
    <t>3-yr avge</t>
  </si>
  <si>
    <t>FY22</t>
  </si>
  <si>
    <t>Reported Payout Ratio</t>
  </si>
  <si>
    <t xml:space="preserve">CET1 Impact: Dividend </t>
  </si>
  <si>
    <t>CET1 Impact: Net of DRP</t>
  </si>
  <si>
    <t>CET1 Ratio (post Dividend)</t>
  </si>
  <si>
    <t>CET1 Ratio (pre Dividend)</t>
  </si>
  <si>
    <t>Excess DTA</t>
  </si>
  <si>
    <t>DTA on CP</t>
  </si>
  <si>
    <t>Other Excess DTA</t>
  </si>
  <si>
    <t>Credit RWA / EAD (%)</t>
  </si>
  <si>
    <t>Credit RWA / EAD</t>
  </si>
  <si>
    <t>2H20</t>
  </si>
  <si>
    <t>FY20</t>
  </si>
  <si>
    <t>Goodwill Write-Off</t>
  </si>
  <si>
    <t xml:space="preserve">Notable Items - OLD </t>
  </si>
  <si>
    <t>Accelerate Software Amortisation</t>
  </si>
  <si>
    <t>Impairment Expenses</t>
  </si>
  <si>
    <t>Notable Items (Pre Tax)</t>
  </si>
  <si>
    <t>Notable Items (Post Tax)</t>
  </si>
  <si>
    <t>Total Operating Expenses ex Notable Items</t>
  </si>
  <si>
    <t>Avge Loans</t>
  </si>
  <si>
    <t>Av Loans (last 2 half years)</t>
  </si>
  <si>
    <t>Total Loans (prior 2 half years)</t>
  </si>
  <si>
    <t>Underlying (ex Notable Items)</t>
  </si>
  <si>
    <t>Net Interest Margin (%)</t>
  </si>
  <si>
    <t xml:space="preserve">  Risk Free Rate (%)  </t>
  </si>
  <si>
    <t>Market Cap</t>
  </si>
  <si>
    <t>1H21</t>
  </si>
  <si>
    <t>Credit and Capital Markets</t>
  </si>
  <si>
    <t>Rates</t>
  </si>
  <si>
    <t>Commodities</t>
  </si>
  <si>
    <t>Total Sales and Trading</t>
  </si>
  <si>
    <t>Sales and Trading</t>
  </si>
  <si>
    <t>Sub-Total</t>
  </si>
  <si>
    <t xml:space="preserve">can </t>
  </si>
  <si>
    <t>Investment Spending</t>
  </si>
  <si>
    <t>Capitalised</t>
  </si>
  <si>
    <t>Expensed</t>
  </si>
  <si>
    <t>Additions / Capitalised</t>
  </si>
  <si>
    <t>Expenses ex Notable Items</t>
  </si>
  <si>
    <t>Investment (Expensed)</t>
  </si>
  <si>
    <t>BAU Expense</t>
  </si>
  <si>
    <t>Other Computer / Investment Expenses</t>
  </si>
  <si>
    <t>Total Notable Items</t>
  </si>
  <si>
    <t>Technology Expenses</t>
  </si>
  <si>
    <t>Other Notable items</t>
  </si>
  <si>
    <t>Total Notable Items in General expenses</t>
  </si>
  <si>
    <t>Expenses excluding Notable Items</t>
  </si>
  <si>
    <t>Composition of Expenses</t>
  </si>
  <si>
    <t>Underlying other income</t>
  </si>
  <si>
    <t>Total Underlying Income</t>
  </si>
  <si>
    <t>Underlying Cash Profit</t>
  </si>
  <si>
    <t>Non-Housing Loans</t>
  </si>
  <si>
    <t>Underlying Impairment Charge</t>
  </si>
  <si>
    <t>2H21</t>
  </si>
  <si>
    <t>Net Interest Margin (ex Notable Items)</t>
  </si>
  <si>
    <t>Share of Associates</t>
  </si>
  <si>
    <t>Non Interest Income (ex Notable Items)</t>
  </si>
  <si>
    <t>Expenses (ex Notable Items)</t>
  </si>
  <si>
    <t>Revenue ex Notable Items (ex Markets)</t>
  </si>
  <si>
    <t>FY21</t>
  </si>
  <si>
    <t>p102</t>
  </si>
  <si>
    <t>p86</t>
  </si>
  <si>
    <t>p14</t>
  </si>
  <si>
    <t>p12</t>
  </si>
  <si>
    <t>p40</t>
  </si>
  <si>
    <t>p11</t>
  </si>
  <si>
    <t>Less: Other Equity Investments (incl ANZ Wealth  NZ)</t>
  </si>
  <si>
    <t>Other Equity Investments</t>
  </si>
  <si>
    <t>Opening</t>
  </si>
  <si>
    <t>Investments / Divestments</t>
  </si>
  <si>
    <t>Movements / Opening</t>
  </si>
  <si>
    <t xml:space="preserve">    - ANZ Capital Notes 6</t>
  </si>
  <si>
    <t>Aust: SME</t>
  </si>
  <si>
    <t>Aust: Institutional</t>
  </si>
  <si>
    <t>Aust: Other Non Housing</t>
  </si>
  <si>
    <t>Aust: Non Housing</t>
  </si>
  <si>
    <t>Goodwill Capital Deduction</t>
  </si>
  <si>
    <t>Net Interest Income (ex Markets)</t>
  </si>
  <si>
    <t>Group AIEA</t>
  </si>
  <si>
    <t>DVA Adjustment</t>
  </si>
  <si>
    <t>Cash Profit (ex Notable Items)</t>
  </si>
  <si>
    <t>1H22</t>
  </si>
  <si>
    <t xml:space="preserve">    - ANZ Capital Notes 7</t>
  </si>
  <si>
    <t>Additional Tier 1 Ratio</t>
  </si>
  <si>
    <t>Notable Income Items</t>
  </si>
  <si>
    <t>Notable Expense Items</t>
  </si>
  <si>
    <t>Underlying Cost to Income Ratio</t>
  </si>
  <si>
    <t>Income (ex Notable Items)</t>
  </si>
  <si>
    <t>Pre-Provision Profit (ex Notable Items)</t>
  </si>
  <si>
    <t>GROWTH RATES (%, y-o-y)</t>
  </si>
  <si>
    <t>Impairment Charges / Avg Loans (%)</t>
  </si>
  <si>
    <t>Impairment Charges / Loans (%)</t>
  </si>
  <si>
    <t>Individual Provision Charge/(Release) / Total Loans (%)</t>
  </si>
  <si>
    <t>Collective Provision Charge/(Release) / Total Loans (%)</t>
  </si>
  <si>
    <t>Collective provision (charge) / release</t>
  </si>
  <si>
    <t>Total Gross Loans</t>
  </si>
  <si>
    <t>Specific Provision (Charge) / Release</t>
  </si>
  <si>
    <t>Collective Provision (Charge)/Release</t>
  </si>
  <si>
    <t>Loan Loss Rate</t>
  </si>
  <si>
    <t>2H22</t>
  </si>
  <si>
    <t>Impairment Benefit / (Charges)</t>
  </si>
  <si>
    <t>Total Other</t>
  </si>
  <si>
    <t>Underlying Fee Income</t>
  </si>
  <si>
    <t>Notable Impairment Expenses</t>
  </si>
  <si>
    <t>Underlying Pre-Tax Profit</t>
  </si>
  <si>
    <t>Cash Profit ex Notable</t>
  </si>
  <si>
    <t>Underlying Cash EPS</t>
  </si>
  <si>
    <t>Term Deposits/ Total Deposits</t>
  </si>
  <si>
    <t>Normalised Loan Loss Rate</t>
  </si>
  <si>
    <t>Normalised Impairment Charge</t>
  </si>
  <si>
    <t>Implied Pre Tax Profit</t>
  </si>
  <si>
    <t>Normalised Cash Profit</t>
  </si>
  <si>
    <t>Normalised Loss Payout Ratio</t>
  </si>
  <si>
    <t>Dilution Factor</t>
  </si>
  <si>
    <t>Dilution Adjusted Shares</t>
  </si>
  <si>
    <t>Total Funding ex Equity - calculated</t>
  </si>
  <si>
    <t>Total Notable Items (Pre-tax)</t>
  </si>
  <si>
    <t>WorldLine</t>
  </si>
  <si>
    <t>Notable</t>
  </si>
  <si>
    <t>Australia (A$)</t>
  </si>
  <si>
    <t>New Zealand (NZ$)</t>
  </si>
  <si>
    <t>Return on Ordinary Equity ex Notable Items (%)</t>
  </si>
  <si>
    <t>CET Ratio (pre dividend)</t>
  </si>
  <si>
    <t>CET1 ratio (post dividend)</t>
  </si>
  <si>
    <t xml:space="preserve">    - ANZ Capital Notes 8</t>
  </si>
  <si>
    <t>1H23</t>
  </si>
  <si>
    <t>Notable Expense Items (Pre Tax)</t>
  </si>
  <si>
    <t>Capital Floor Adjustment</t>
  </si>
  <si>
    <t>Capital Floor Calculation</t>
  </si>
  <si>
    <t>Standardised Credit RWA</t>
  </si>
  <si>
    <t>Market Risk RWA</t>
  </si>
  <si>
    <t>Operational RWA</t>
  </si>
  <si>
    <t>Standardised Credit RWA / Total EAD</t>
  </si>
  <si>
    <t>Non-Bank Group and ANZGHL</t>
  </si>
  <si>
    <t xml:space="preserve">Comprising: </t>
  </si>
  <si>
    <t>Capital Floor</t>
  </si>
  <si>
    <t>Capital Floor (%)</t>
  </si>
  <si>
    <t>Total Standardised RWA</t>
  </si>
  <si>
    <t>Total IRB RWA</t>
  </si>
  <si>
    <t>IRB Credit RWA</t>
  </si>
  <si>
    <t>Capital mortgage costs / total loans</t>
  </si>
  <si>
    <t>Term Deposits / Total Deposits</t>
  </si>
  <si>
    <t>Seasonality (1H/2H)</t>
  </si>
  <si>
    <t>Margin ex Markets</t>
  </si>
  <si>
    <t>SUN Acquisition</t>
  </si>
  <si>
    <t>Buffer</t>
  </si>
  <si>
    <t>Aus Housing EAD / Loans</t>
  </si>
  <si>
    <t>Total Mortgages RWA</t>
  </si>
  <si>
    <t>Mortgages: NZ and Other</t>
  </si>
  <si>
    <t>Mortgages: Australia</t>
  </si>
  <si>
    <t>Housing EAD: Australia</t>
  </si>
  <si>
    <t>Housing EAD: NZ and Other</t>
  </si>
  <si>
    <t>Housing Loans: Australia</t>
  </si>
  <si>
    <t>Housing Loans: NZ and Other</t>
  </si>
  <si>
    <t>Housing Loans: Total</t>
  </si>
  <si>
    <t>NZ and Other Housing: RWA / EAD</t>
  </si>
  <si>
    <t>Total Housing: RWA / EAD</t>
  </si>
  <si>
    <t>NZ and Other Housing EAD / Loans</t>
  </si>
  <si>
    <t>CTI Ratio (Underlying)</t>
  </si>
  <si>
    <t>Group ex Markets (Peer Comprison)</t>
  </si>
  <si>
    <t>Net Interest Income ex Markets</t>
  </si>
  <si>
    <t>Margin ex Markets (Peer Comparison)</t>
  </si>
  <si>
    <t>Markets Impact (h-o-h)</t>
  </si>
  <si>
    <t>2H23</t>
  </si>
  <si>
    <t>FY23</t>
  </si>
  <si>
    <t>Royal Commission Costs / Conduct Costs</t>
  </si>
  <si>
    <t>One-Off Dividend per Share (cps)</t>
  </si>
  <si>
    <t>Ordinary Dividend per Share (cps)</t>
  </si>
  <si>
    <t>Global Markets: NII</t>
  </si>
  <si>
    <t>Capitalised Costs per Balance Sheet</t>
  </si>
  <si>
    <t>Other Non Housing EAD</t>
  </si>
  <si>
    <t xml:space="preserve">    - ANZ Capital Notes 9</t>
  </si>
  <si>
    <t>1H24</t>
  </si>
  <si>
    <t>Subtotal</t>
  </si>
  <si>
    <t>Housing: RBA System Growth (h-o-h)</t>
  </si>
  <si>
    <t>Average Assets (calculated)</t>
  </si>
  <si>
    <t>ANZ vs System</t>
  </si>
  <si>
    <t>Stage 2 Revenue Margin</t>
  </si>
  <si>
    <t>Stage 2 Housing Loan Growth</t>
  </si>
  <si>
    <t>Stage 2 Non-Housing Loan Growth</t>
  </si>
  <si>
    <t>Stage 2 Total Loan Growth</t>
  </si>
  <si>
    <t>10-year Forecast Avge ROE</t>
  </si>
  <si>
    <t>12-month Fwd RIVM</t>
  </si>
  <si>
    <t>Upside / Downside</t>
  </si>
  <si>
    <t>Mortgages: Standardised</t>
  </si>
  <si>
    <t>Mortgages: IRB</t>
  </si>
  <si>
    <t>Housing EAD: IRB</t>
  </si>
  <si>
    <t>Housing EAD: Standardised</t>
  </si>
  <si>
    <t>Aus Standardised Mortgages Mix: EAD</t>
  </si>
  <si>
    <t>Aus IRB Mortgages Mix: EAD</t>
  </si>
  <si>
    <t>Aus Housing: IRB RWA / EAD</t>
  </si>
  <si>
    <t>Aus Housing: Standardised RWA / EAD</t>
  </si>
  <si>
    <t>Corporate RWA: IRB</t>
  </si>
  <si>
    <t>Corporate RWA: Standardised</t>
  </si>
  <si>
    <t>Corporate EAD: IRB</t>
  </si>
  <si>
    <t>Corporate EAD: Standardised</t>
  </si>
  <si>
    <t>Aus Corporate Mix: IRB EAD</t>
  </si>
  <si>
    <t>Aus Corporate Mix: Standardised EAD</t>
  </si>
  <si>
    <t>Corporate EAD: Total</t>
  </si>
  <si>
    <t>Aus Housing Total: RWA / EAD</t>
  </si>
  <si>
    <t>Corporate IRB RWA / EAD</t>
  </si>
  <si>
    <t>Corporate Standardised RWA / EAD</t>
  </si>
  <si>
    <t>Corporate Total RWA / EAD</t>
  </si>
  <si>
    <t>1H26E</t>
  </si>
  <si>
    <t>2H26E</t>
  </si>
  <si>
    <t>EPS, for Consensus (cps)</t>
  </si>
  <si>
    <t>Diluted Cash EPS (cps)</t>
  </si>
  <si>
    <t xml:space="preserve">AIEA (ex Markets) Growth </t>
  </si>
  <si>
    <t>AIEA Growth (h-o-h)</t>
  </si>
  <si>
    <t>Margin ex Markets (h-o-h)</t>
  </si>
  <si>
    <t>Markets AIEA / Total AIEA</t>
  </si>
  <si>
    <t>Group Margin (h-o-h)</t>
  </si>
  <si>
    <t>FY24</t>
  </si>
  <si>
    <t>2H24</t>
  </si>
  <si>
    <t>Last reported</t>
  </si>
  <si>
    <t>HY (t+1)</t>
  </si>
  <si>
    <t>HY (t+2)</t>
  </si>
  <si>
    <t>Banking Group Equity (Level 2)</t>
  </si>
  <si>
    <t>Non Bank Group</t>
  </si>
  <si>
    <t>ANZGHL Outstanding Buyback</t>
  </si>
  <si>
    <t>ANZGHL Other</t>
  </si>
  <si>
    <t>Total Ordinary Equity</t>
  </si>
  <si>
    <t>Institutional Loans</t>
  </si>
  <si>
    <t>International</t>
  </si>
  <si>
    <t>International (US$)</t>
  </si>
  <si>
    <t>Other: Non Housing</t>
  </si>
  <si>
    <t>NZ: Non Housing</t>
  </si>
  <si>
    <t>International: Institutional</t>
  </si>
  <si>
    <t>NZ: Institutional</t>
  </si>
  <si>
    <t>NZ: Other (implied)</t>
  </si>
  <si>
    <t>International: Other (implied)</t>
  </si>
  <si>
    <t>1H25</t>
  </si>
  <si>
    <t>Less: Intangible component in Suncorp Bank</t>
  </si>
  <si>
    <t>Housing: RBNZ System Growth (h-o-h)</t>
  </si>
  <si>
    <t>Proforma Expense</t>
  </si>
  <si>
    <t>SUN</t>
  </si>
  <si>
    <t>Total Institutional</t>
  </si>
  <si>
    <t>Institutional (ex Markets)</t>
  </si>
  <si>
    <t>Markets: Av Loans</t>
  </si>
  <si>
    <t>Markets: Av Liquidity</t>
  </si>
  <si>
    <t>FY15 - FY24</t>
  </si>
  <si>
    <t>FY22 - FY24</t>
  </si>
  <si>
    <t>FY25-FY27</t>
  </si>
  <si>
    <t>FY25 - FY34</t>
  </si>
  <si>
    <t>FY18 - FY24</t>
  </si>
  <si>
    <t>Present Value (Book Value)</t>
  </si>
  <si>
    <t>Present Value (Net Tangible Assets)</t>
  </si>
  <si>
    <t>RIVM (Book Value)</t>
  </si>
  <si>
    <t>RIVM (Net Tangible Assets)</t>
  </si>
  <si>
    <t>Yr 4</t>
  </si>
  <si>
    <t>ROTE</t>
  </si>
  <si>
    <t>Return on Net Tangible Assets ex Notable ITems (RoNTA)  (%)</t>
  </si>
  <si>
    <t>Net DRP Payout Ratio</t>
  </si>
  <si>
    <t>Markets: Av Liquidity Change (h-o-h)</t>
  </si>
  <si>
    <t>2H25</t>
  </si>
  <si>
    <t>FY25</t>
  </si>
  <si>
    <t>Cost / Income ex Notable Items (%)</t>
  </si>
  <si>
    <t>ANZ Valuation</t>
  </si>
  <si>
    <t>ANZ Share Price Target</t>
  </si>
  <si>
    <t>12-month Fwd Valuation</t>
  </si>
  <si>
    <t>New</t>
  </si>
  <si>
    <t>Old</t>
  </si>
  <si>
    <t>Overweight</t>
  </si>
  <si>
    <t>NTA per Share (Base)</t>
  </si>
  <si>
    <t>RONTA</t>
  </si>
  <si>
    <t>FY26E Cash EPS</t>
  </si>
  <si>
    <t>FY27E Cash EPS</t>
  </si>
  <si>
    <t>FY26E ROE</t>
  </si>
  <si>
    <t>FY26E RoNTA</t>
  </si>
  <si>
    <t>FY26E P/E</t>
  </si>
  <si>
    <t>FY26E P/BV</t>
  </si>
  <si>
    <t>FY26E P/NTA</t>
  </si>
  <si>
    <t>Bear case FY26E ROE</t>
  </si>
  <si>
    <t>FY26E P/E at Price Target</t>
  </si>
  <si>
    <t>FY26E P/BV at Price Target</t>
  </si>
  <si>
    <t>FY26E P/NTA at Price Target</t>
  </si>
  <si>
    <t>FY26E P/Div Yield at Price Target</t>
  </si>
  <si>
    <t xml:space="preserve">1 Austin Road West </t>
  </si>
  <si>
    <t xml:space="preserve">Kowloon </t>
  </si>
  <si>
    <t xml:space="preserve">Hong Kong </t>
  </si>
  <si>
    <t>Tel: +852 2848 5200</t>
  </si>
  <si>
    <t>Authors: Richard Wiles</t>
  </si>
  <si>
    <t>Date: 13 Feb 2026</t>
  </si>
  <si>
    <t>Ticker: ANZ.AX</t>
  </si>
  <si>
    <t>Stock Rating: Overweight</t>
  </si>
  <si>
    <t>Industry: Australia Banks</t>
  </si>
  <si>
    <t>Industry View: In-Line</t>
  </si>
  <si>
    <t>Price as of 13 Feb 2026: 40.35</t>
  </si>
  <si>
    <t>Target Price: 41.30</t>
  </si>
  <si>
    <t>e = Morgan Stanley Research estimates unless otherwise noted</t>
  </si>
  <si>
    <t>Source: Morgan Stanley Research unless otherwise noted</t>
  </si>
  <si>
    <t>Stocks ratings are relative to the analyst's industry coverage universe.</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</si>
  <si>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</si>
  <si>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</si>
  <si>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</si>
  <si>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</si>
  <si>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The information and opinions in Morgan Stanley Research were prepared or are disseminated by Morgan</t>
  </si>
  <si>
    <t>Stanley Asia Limited (which accepts the responsibility for its contents) and/or Morgan Stanley Asia</t>
  </si>
  <si>
    <t>(Singapore) Pte. (Registration number 199206298Z) and/or Morgan Stanley Asia (Singapore) Securities Pte</t>
  </si>
  <si>
    <t>Ltd (Registration number 200008434H), regulated by the Monetary Authority of Singapore (which accepts</t>
  </si>
  <si>
    <t>legal responsibility for its contents and should be contacted with respect to any matters arising from,</t>
  </si>
  <si>
    <t>or in connection with, Morgan Stanley Research), and/or Morgan Stanley Taiwan Limited and/or Morgan</t>
  </si>
  <si>
    <t>Stanley &amp; Co International plc, Seoul Branch, and/or Morgan Stanley Australia Limited (A.B.N. 67 003 734</t>
  </si>
  <si>
    <t>576, holder of Australian financial services license No. 233742, which accepts responsibility for its</t>
  </si>
  <si>
    <t>contents), and/or Morgan Stanley Wealth Management Australia Pty Ltd (A.B.N. 19 009 145 555, holder of</t>
  </si>
  <si>
    <t>Australian financial services license No. 240813, which accepts responsibility for its contents), and/or</t>
  </si>
  <si>
    <t>Morgan Stanley India Company Private Limited having Corporate Identification No (CIN)</t>
  </si>
  <si>
    <t>U22990MH1998PTC115305, regulated by the Securities and Exchange Board of India (“SEBI”) and holder of</t>
  </si>
  <si>
    <t>licenses as a Research Analyst (SEBI Registration No. INH000001105); Stock Broker (SEBI Stock Broker</t>
  </si>
  <si>
    <t>Registration No. INZ000244438), Merchant Banker (SEBI Registration No. INM000011203), and depository</t>
  </si>
  <si>
    <t>participant with National Securities Depository Limited (SEBI Registration No. IN-DP-NSDL-567-2021)</t>
  </si>
  <si>
    <t>having registered office at Altimus, Level 39 &amp; 40, Pandurang Budhkar Marg, Worli, Mumbai 400018, India;</t>
  </si>
  <si>
    <t>Telephone no. +91-22-61181000; Compliance Officer Details: Mr. Tejarshi Hardas, Tel. No.:</t>
  </si>
  <si>
    <t>+91-22-61181000 or Email: tejarshi.hardas@morganstanley.com; Grievance officer details: Mr. Tejarshi</t>
  </si>
  <si>
    <t>Hardas, Tel. No.: +91-22-61181000 or Email: msic-compliance@morganstanley.com which accepts the</t>
  </si>
  <si>
    <t>responsibility for its contents and should be contacted with respect to any matters arising from, or in</t>
  </si>
  <si>
    <t>connection with, Morgan Stanley Research, and their affiliates (collectively, "Morgan Stanley"). Morgan</t>
  </si>
  <si>
    <t>Stanley India Company Private Limited (MSICPL) may use AI tools in providing research services. All</t>
  </si>
  <si>
    <t>recommendations contained herein are made by the duly qualified research analysts.</t>
  </si>
  <si>
    <t>For important disclosures, stock price charts and equity rating histories regarding companies that are</t>
  </si>
  <si>
    <t>the subject of this report, please see the Morgan Stanley Research Disclosure Website at</t>
  </si>
  <si>
    <t>www.morganstanley.com/eqr/disclosures/webapp/generalresearch, or contact your investment representative</t>
  </si>
  <si>
    <t>or Morgan Stanley Research at 1585 Broadway, (Attention: Research Management), New York, NY, 10036 USA.</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</si>
  <si>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</si>
  <si>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</si>
  <si>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</si>
  <si>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</si>
  <si>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</si>
  <si>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</si>
  <si>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Analyst Certification</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</si>
  <si>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</si>
  <si>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</si>
  <si>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</si>
  <si>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Richard E Wiles.</t>
  </si>
  <si>
    <t>.</t>
  </si>
  <si>
    <t>Global Research Conflict Management Policy</t>
  </si>
  <si>
    <t>Morgan Stanley Research has been published in accordance with our conflict management policy, which is</t>
  </si>
  <si>
    <t>available at www.morganstanley.com/institutional/research/conflictpolicies. A Portuguese version of the</t>
  </si>
  <si>
    <t>policy can be found at www.morganstanley.com.br</t>
  </si>
  <si>
    <t>Important Regulatory Disclosures on Subject Companies</t>
  </si>
  <si>
    <t>Within the last 12 months, Morgan Stanley managed or co-managed a public offering (or 144A offering) of</t>
  </si>
  <si>
    <t>securities of ANZ Group Holdings Limited.</t>
  </si>
  <si>
    <t>Within the last 12 months, Morgan Stanley has received compensation for investment banking services from</t>
  </si>
  <si>
    <t>ANZ Group Holdings Limited.</t>
  </si>
  <si>
    <t>In the next 3 months, Morgan Stanley expects to receive or intends to seek compensation for investment</t>
  </si>
  <si>
    <t>banking services from ANZ Group Holdings Limited.</t>
  </si>
  <si>
    <t>Within the last 12 months, Morgan Stanley has received compensation for products and services other than</t>
  </si>
  <si>
    <t>investment banking services from ANZ Group Holdings Limited.</t>
  </si>
  <si>
    <t>Within the last 12 months, Morgan Stanley has provided or is providing investment banking services to,</t>
  </si>
  <si>
    <t>or has an investment banking client relationship with, the following company: ANZ Group Holdings</t>
  </si>
  <si>
    <t>Limited.</t>
  </si>
  <si>
    <t>Within the last 12 months, Morgan Stanley has either provided or is providing non-investment banking,</t>
  </si>
  <si>
    <t>securities-related services to and/or in the past has entered into an agreement to provide services or</t>
  </si>
  <si>
    <t>has a client relationship with the following company: ANZ Group Holdings Limited.</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</si>
  <si>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</si>
  <si>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</si>
  <si>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</si>
  <si>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</si>
  <si>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</si>
  <si>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particular trading desks.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</si>
  <si>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</si>
  <si>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</si>
  <si>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</si>
  <si>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</si>
  <si>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</si>
  <si>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</si>
  <si>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</si>
  <si>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Certain disclosures listed above are also for compliance with applicable regulations in non-US</t>
  </si>
  <si>
    <t>jurisdictions.</t>
  </si>
  <si>
    <t>STOCK RATINGS</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</si>
  <si>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</si>
  <si>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</si>
  <si>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</si>
  <si>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</si>
  <si>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</si>
  <si>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</si>
  <si>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t>
  </si>
  <si>
    <t>upon as investment advice. An investor's decision to buy or sell a stock should depend on individual</t>
  </si>
  <si>
    <t>circumstances (such as the investor's existing holdings) and other considerations.</t>
  </si>
  <si>
    <t>Global Stock Ratings Distribution</t>
  </si>
  <si>
    <t>(as of January 31, 2026)</t>
  </si>
  <si>
    <t>The Stock Ratings described below apply to Morgan Stanley's Fundamental Equity Research and do not apply</t>
  </si>
  <si>
    <t>to Debt Research produced by the Firm.</t>
  </si>
  <si>
    <t>For disclosure purposes only (in accordance with FINRA requirements), we include the category headings</t>
  </si>
  <si>
    <t>of Buy, Hold, and Sell alongside our ratings of Overweight, Equal-weight, Not-Rated and Underweight.</t>
  </si>
  <si>
    <t>Morgan Stanley does not assign ratings of Buy, Hold or Sell to the stocks we cover. Overweight,</t>
  </si>
  <si>
    <t>Equal-weight, Not-Rated and Underweight are not the equivalent of buy, hold, and sell but represent</t>
  </si>
  <si>
    <t>recommended relative weightings (see definitions below). To satisfy regulatory requirements, we</t>
  </si>
  <si>
    <t>correspond Overweight, our most positive stock rating, with a buy recommendation; we correspond</t>
  </si>
  <si>
    <t>Equal-weight and Not-Rated to hold and Underweight to sell recommendations, respectively.</t>
  </si>
  <si>
    <t>Coverage Universe</t>
  </si>
  <si>
    <t>Investment Banking Clients (IBC)</t>
  </si>
  <si>
    <t>Other Material Investment Services Clients (MISC)</t>
  </si>
  <si>
    <t>Stock Rating Category</t>
  </si>
  <si>
    <t>% of Total IBC</t>
  </si>
  <si>
    <t>% of Rating Category</t>
  </si>
  <si>
    <t>% of Total Other MISC</t>
  </si>
  <si>
    <t>Overweight/Buy</t>
  </si>
  <si>
    <t>Equal-weight/Hold</t>
  </si>
  <si>
    <t>Not-Rated/Hold</t>
  </si>
  <si>
    <t>Underweight/Sell</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</si>
  <si>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</si>
  <si>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</si>
  <si>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</si>
  <si>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</si>
  <si>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Analyst Stock Ratings</t>
  </si>
  <si>
    <t>Overweight (O). The stock's total return is expected to exceed the average total return of the analyst's</t>
  </si>
  <si>
    <t>industry (or industry team's) coverage universe, 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</si>
  <si>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</si>
  <si>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</si>
  <si>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</si>
  <si>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</si>
  <si>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</si>
  <si>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</si>
  <si>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Underweight (U). The stock's total return is expected to be below the average total return of the</t>
  </si>
  <si>
    <t>analyst's industry (or industry team's) coverage universe, on a risk-adjusted basis, over the next 12-18</t>
  </si>
  <si>
    <t>months.</t>
  </si>
  <si>
    <t>Unless otherwise specified, the time frame for price targets included in Morgan Stanley Research is 12</t>
  </si>
  <si>
    <t>to 18 months.</t>
  </si>
  <si>
    <t>Analyst Industry Views</t>
  </si>
  <si>
    <t>Attractive (A): The analyst expects the performance of his or her industry coverage universe over the</t>
  </si>
  <si>
    <t>next 12-18 months to be attractive vs. the relevant broad market benchmark, as indicated below.</t>
  </si>
  <si>
    <t>In-Line (I): The analyst expects the performance of his or her industry coverage universe over the next</t>
  </si>
  <si>
    <t>12-18 months to be in line with the relevant broad market benchmark, as indicated below.</t>
  </si>
  <si>
    <t>Cautious (C): The analyst views the performance of his or her industry coverage universe over the next</t>
  </si>
  <si>
    <t>12-18 months with caution vs. the relevant broad market benchmark, as indicated below.</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</si>
  <si>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</si>
  <si>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</si>
  <si>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</si>
  <si>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Stock Price, Price Target and Rating History (See Rating Definitions)</t>
  </si>
  <si>
    <t>Important Disclosures for Morgan Stanley Smith Barney LLC Customers</t>
  </si>
  <si>
    <t>Important disclosures regarding any material conflict of interest that can reasonably be expected to</t>
  </si>
  <si>
    <t>have influenced Morgan Stanley Smith Barney LLC's choice of a third-party research provider or the</t>
  </si>
  <si>
    <t>subject company of a third-party research report, are available on the Morgan Stanley Wealth Management</t>
  </si>
  <si>
    <t>disclosure website at www.morganstanley.com/online/researchdisclosures. For Morgan Stanley specific</t>
  </si>
  <si>
    <t>disclosures, you may refer to https://www.morganstanley.com/eqr/disclosures/webapp/generalresearch.</t>
  </si>
  <si>
    <t>Each Morgan Stanley research report is reviewed and approved on behalf of Morgan Stanley Smith Barney</t>
  </si>
  <si>
    <t>LLC. This review and approval is conducted by the same person who reviews the research report on behalf</t>
  </si>
  <si>
    <t>of Morgan Stanley. This could create a conflict of interest.</t>
  </si>
  <si>
    <t>Other Important Disclosures</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</si>
  <si>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</si>
  <si>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</si>
  <si>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</si>
  <si>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</si>
  <si>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</si>
  <si>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</si>
  <si>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</si>
  <si>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</si>
  <si>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</si>
  <si>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</si>
  <si>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</si>
  <si>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</si>
  <si>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</si>
  <si>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</si>
  <si>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</si>
  <si>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</si>
  <si>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</si>
  <si>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</si>
  <si>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</si>
  <si>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</si>
  <si>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</si>
  <si>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</si>
  <si>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</si>
  <si>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</si>
  <si>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</si>
  <si>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</si>
  <si>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</si>
  <si>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</si>
  <si>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</si>
  <si>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</si>
  <si>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 Please use the provided link to review the Terms and</t>
  </si>
  <si>
    <t>Conditions and Most Important Terms and Conditions for Morgan Stanley India Company Private Limited</t>
  </si>
  <si>
    <t>(https://www.morganstanley.com/assets/pdfs/about-us-global-offices/india/Terms_and_conditions.pdf) and</t>
  </si>
  <si>
    <t>the following link to review the audit report</t>
  </si>
  <si>
    <t>(https://www.morganstanley.com/assets/pdfs/about-us-global-offices/india/Research_Audit_Report.pdf).</t>
  </si>
  <si>
    <t>If you do not agree to our Terms of Use and/or if you do not wish to provide your consent to Morgan</t>
  </si>
  <si>
    <t>Stanley processing your personal data or using cookies please do not access our research.</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</si>
  <si>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</si>
  <si>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</si>
  <si>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</si>
  <si>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</si>
  <si>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</si>
  <si>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</si>
  <si>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</si>
  <si>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</si>
  <si>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</si>
  <si>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</si>
  <si>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</si>
  <si>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</si>
  <si>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</si>
  <si>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</si>
  <si>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</si>
  <si>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</si>
  <si>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</si>
  <si>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</si>
  <si>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</si>
  <si>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</si>
  <si>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</si>
  <si>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</si>
  <si>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The "Important Regulatory Disclosures on Subject Companies" section in Morgan Stanley Research lists all</t>
  </si>
  <si>
    <t>companies mentioned where Morgan Stanley owns 1% or more of a class of common equity securities of the</t>
  </si>
  <si>
    <t>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</si>
  <si>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</si>
  <si>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</si>
  <si>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</si>
  <si>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</si>
  <si>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</si>
  <si>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</si>
  <si>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</si>
  <si>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</si>
  <si>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</si>
  <si>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</si>
  <si>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</si>
  <si>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</si>
  <si>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</si>
  <si>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Morgan Stanley Research personnel may participate in company events such as site visits and are</t>
  </si>
  <si>
    <t>generally prohibited from accepting payment by the company of associated expenses unless pre-approved by</t>
  </si>
  <si>
    <t>authorized members of Research management.</t>
  </si>
  <si>
    <t>Morgan Stanley may make investment decisions that are inconsistent with the recommendations or views in</t>
  </si>
  <si>
    <t>this report.</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</si>
  <si>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</si>
  <si>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</si>
  <si>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</si>
  <si>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</si>
  <si>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</si>
  <si>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</si>
  <si>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</si>
  <si>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</si>
  <si>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</si>
  <si>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</si>
  <si>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</si>
  <si>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</si>
  <si>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</si>
  <si>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Certain information in Morgan Stanley Research was sourced by employees of the Shanghai Representative</t>
  </si>
  <si>
    <t>Office of Morgan Stanley Asia Limited for the use of Morgan Stanley Asia Limited.</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</si>
  <si>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</si>
  <si>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</si>
  <si>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</si>
  <si>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</si>
  <si>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</si>
  <si>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</si>
  <si>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</si>
  <si>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</si>
  <si>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Morgan Stanley Research is disseminated in Brazil by Morgan Stanley C.T.V.M. S.A. located at Av.</t>
  </si>
  <si>
    <t>Brigadeiro Faria Lima, 3600, 6th floor, São Paulo - SP, Brazil; and is regulated by the Comissão de</t>
  </si>
  <si>
    <t>Valores Mobiliários; in Mexico by Morgan Stanley México, Casa de Bolsa, S.A. de C.V which is regulated</t>
  </si>
  <si>
    <t>by Comision Nacional Bancaria y de Valores. Paseo de los Tamarindos 90, Torre 1, Col. Bosques de las</t>
  </si>
  <si>
    <t>Lomas Floor 29, 05120 Mexico City; in Japan by Morgan Stanley MUFG Securities Co., Ltd. and, for</t>
  </si>
  <si>
    <t>Commodities related research reports only, Morgan Stanley Capital Group Japan Co., Ltd; in Hong Kong by</t>
  </si>
  <si>
    <t>Morgan Stanley Asia Limited (which accepts responsibility for its contents) and by Morgan Stanley Bank</t>
  </si>
  <si>
    <t>Asia Limited; in Singapore by Morgan Stanley Asia (Singapore) Pte. (Registration number 199206298Z)</t>
  </si>
  <si>
    <t>and/or Morgan Stanley Asia (Singapore) Securities Pte Ltd (Registration number 200008434H), regulated by</t>
  </si>
  <si>
    <t>the Monetary Authority of Singapore (which accepts legal responsibility for its contents and should be</t>
  </si>
  <si>
    <t>contacted with respect to any matters arising from, or in connection with, Morgan Stanley Research) and</t>
  </si>
  <si>
    <t>by Morgan Stanley Bank Asia Limited, Singapore Branch (Registration number T14FC0118J);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</si>
  <si>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</si>
  <si>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</si>
  <si>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</si>
  <si>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</si>
  <si>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</si>
  <si>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</si>
  <si>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having Corporate Identification No (CIN) U22990MH1998PTC115305,</t>
  </si>
  <si>
    <t>regulated by the Securities and Exchange Board of India (“SEBI”) and holder of licenses as a Research</t>
  </si>
  <si>
    <t>Analyst (SEBI Registration No. INH000001105); Stock Broker (SEBI Stock Broker Registration No.</t>
  </si>
  <si>
    <t>INZ000244438), Merchant Banker (SEBI Registration No. INM000011203), and depository participant with</t>
  </si>
  <si>
    <t>National Securities Depository Limited (SEBI Registration No. IN-DP-NSDL-567-2021) having registered</t>
  </si>
  <si>
    <t>office at Altimus, Level 39 &amp; 40, Pandurang Budhkar Marg, Worli, Mumbai 400018, India; Telephone no.</t>
  </si>
  <si>
    <t>+91-22-61181000; Compliance Officer Details: Mr. Tejarshi Hardas, Tel. No.: +91-22-61181000 or Email:</t>
  </si>
  <si>
    <t>tejarshi.hardas@morganstanley.com; Grievance officer details: Mr. Tejarshi Hardas, Tel. No.:</t>
  </si>
  <si>
    <t>+91-22-61181000 or Email: msic-compliance@morganstanley.com. Morgan Stanley India Company Private</t>
  </si>
  <si>
    <t>Limited (MSICPL) may use AI tools in providing research services. All recommendations contained herein</t>
  </si>
  <si>
    <t>are made by the duly qualified research analysts; in Canada by Morgan Stanley Canada Limited; in Germany</t>
  </si>
  <si>
    <t>and the European Economic Area where required by Morgan Stanley Europe S.E., authorised and regulated by</t>
  </si>
  <si>
    <t>Bundesanstalt fuer Finanzdienstleistungsaufsicht (BaFin) under the reference number 149169; in the US by</t>
  </si>
  <si>
    <t>Morgan Stanley &amp; Co. LLC, which accepts responsibility for its contents. Morgan Stanley &amp; Co.</t>
  </si>
  <si>
    <t>International plc, authorized by the Prudential Regulation Authority and regulated by the Financial</t>
  </si>
  <si>
    <t>Conduct Authority and the Prudential Regulation Authority, disseminates in the UK research that it has</t>
  </si>
  <si>
    <t>prepared, and research which has been prepared by any of its affiliates, only to persons who (i) are</t>
  </si>
  <si>
    <t>investment professionals falling within Article 19(5) of the Financial Services and Markets Act 2000</t>
  </si>
  <si>
    <t>(Financial Promotion) Order 2005 (as amended, the “Order”); (ii) are persons who are high net worth</t>
  </si>
  <si>
    <t>entities falling within Article 49(2)(a) to (d) of the Order; or (iii) are persons to whom an invitation</t>
  </si>
  <si>
    <t>or inducement to engage in investment activity (within the meaning of section 21 of the Financial</t>
  </si>
  <si>
    <t>Services and Markets Act 2000, as amended) may otherwise lawfully be communicated or caused to be</t>
  </si>
  <si>
    <t>communicated. RMB Morgan Stanley Proprietary Limited is a member of the JSE Limited and A2X (Pty) Ltd.</t>
  </si>
  <si>
    <t>RMB Morgan Stanley Proprietary Limited is a joint venture owned equally by Morgan Stanley International</t>
  </si>
  <si>
    <t>Holdings Inc. and RMB Investment Advisory (Proprietary) Limited, which is wholly owned by FirstRand</t>
  </si>
  <si>
    <t>Limited. The information in Morgan Stanley Research is being disseminated by Morgan Stanley Saudi</t>
  </si>
  <si>
    <t>Arabia, regulated by the Capital Market Authority in the Kingdom of Saudi Arabia, and is directed at</t>
  </si>
  <si>
    <t>Sophisticated investors only.</t>
  </si>
  <si>
    <t>The information in Morgan Stanley Research is being communicated by Morgan Stanley &amp; Co. International</t>
  </si>
  <si>
    <t>plc (DIFC Branch), regulated by the Dubai Financial Services Authority (the DFSA) or by Morgan Stanley &amp;</t>
  </si>
  <si>
    <t>Co. International plc (ADGM Branch), regulated by the Financial Services Regulatory Authority Abu Dhabi</t>
  </si>
  <si>
    <t>(the FSRA), and is directed at Professional Clients only, as defined by the DFSA or the FSRA,</t>
  </si>
  <si>
    <t>respectively. The financial products or financial services to which this research relates will only be</t>
  </si>
  <si>
    <t>made available to a customer who we are satisfied meets the regulatory criteria of a Professional</t>
  </si>
  <si>
    <t>Client. A distribution of the different MS Research ratings or recommendations, in percentage terms for</t>
  </si>
  <si>
    <t>Investments in each sector covered, is available upon request from your sales representative.</t>
  </si>
  <si>
    <t>plc (QFC Branch), regulated by the Qatar Financial Centre Regulatory Authority (the QFCRA), and is</t>
  </si>
  <si>
    <t>directed at business customers and market counterparties only and is not intended for Retail Customers</t>
  </si>
  <si>
    <t>as defined by the QFCRA.</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</si>
  <si>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</si>
  <si>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</si>
  <si>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</si>
  <si>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</si>
  <si>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</si>
  <si>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</si>
  <si>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</si>
  <si>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</si>
  <si>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</si>
  <si>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</si>
  <si>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</si>
  <si>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Morgan Stanley Research, or any portion thereof may not be reprinted, sold or redistributed without the</t>
  </si>
  <si>
    <t>written consent of Morgan Stanley.</t>
  </si>
  <si>
    <t>Indicators and trackers referenced in Morgan Stanley Research may not be used as, or treated as, a</t>
  </si>
  <si>
    <t>benchmark under Regulation EU 2016/1011, or any other similar framework.</t>
  </si>
  <si>
    <t>The issuers and/or fixed income products recommended or discussed in certain fixed income research</t>
  </si>
  <si>
    <t>reports may not be continuously followed. Accordingly, investors should regard those fixed income</t>
  </si>
  <si>
    <t>research reports as providing stand-alone analysis and should not expect continuing analysis or</t>
  </si>
  <si>
    <t>additional reports relating to such issuers and/or individual fixed income products.</t>
  </si>
  <si>
    <t>Morgan Stanley may hold, from time to time, material financial and commercial interests regarding the</t>
  </si>
  <si>
    <t>company subject to the Research report.</t>
  </si>
  <si>
    <t>Registration granted by SEBI and certification from the National Institute of Securities Markets (NISM)</t>
  </si>
  <si>
    <t>in no way guarantee performance of the intermediary or provide any assurance of returns to investors.</t>
  </si>
  <si>
    <t>Investment in securities market are subject to market risks. Read all the related documents carefully</t>
  </si>
  <si>
    <t>before investing.</t>
  </si>
  <si>
    <t>© Copyright 2026 Morgan Stanley</t>
  </si>
  <si>
    <t>MacroVersion</t>
  </si>
  <si>
    <t>6.10</t>
  </si>
  <si>
    <t>PublishDate</t>
  </si>
  <si>
    <t>02/13/26 10:06</t>
  </si>
  <si>
    <t>Discipline</t>
  </si>
  <si>
    <t>Research</t>
  </si>
  <si>
    <t>ResearchTopic</t>
  </si>
  <si>
    <t>Company</t>
  </si>
  <si>
    <t>DocType</t>
  </si>
  <si>
    <t>Model</t>
  </si>
  <si>
    <t>SubjectCode</t>
  </si>
  <si>
    <t>Description</t>
  </si>
  <si>
    <t>ANZ Group Holdings Limited</t>
  </si>
  <si>
    <t>KeepVersions</t>
  </si>
  <si>
    <t>All</t>
  </si>
  <si>
    <t>Rating</t>
  </si>
  <si>
    <t>Overweight / In-Line</t>
  </si>
  <si>
    <t>CurrYearTotalRevenue*</t>
  </si>
  <si>
    <t>CurrYearEPS*</t>
  </si>
  <si>
    <t>NextYearTotalRevenue*</t>
  </si>
  <si>
    <t>NextYearEPS*</t>
  </si>
  <si>
    <t>FollowingYearTotalRevenue*</t>
  </si>
  <si>
    <t>FollowingYearEPS*</t>
  </si>
  <si>
    <t>5YearGrowthRate</t>
  </si>
  <si>
    <t>UpdateReason</t>
  </si>
  <si>
    <t>Regular Update</t>
  </si>
  <si>
    <t>Authors</t>
  </si>
  <si>
    <t>MSA12226</t>
  </si>
  <si>
    <t>Tickers</t>
  </si>
  <si>
    <t>CUSIP</t>
  </si>
  <si>
    <t>052528106</t>
  </si>
  <si>
    <t>RIC</t>
  </si>
  <si>
    <t>SEDOL</t>
  </si>
  <si>
    <t>40.35</t>
  </si>
  <si>
    <t>PathName</t>
  </si>
  <si>
    <t>\\msad\root\AP\APBO\SY\LIB\EQR\USERS\Banks\rwiles\Banks New\ANZ\anz model new.xlsm</t>
  </si>
  <si>
    <t>Distribution</t>
  </si>
  <si>
    <t>0</t>
  </si>
  <si>
    <t>Deleted</t>
  </si>
  <si>
    <t>NO</t>
  </si>
  <si>
    <t>EmailAlert</t>
  </si>
  <si>
    <t>YES</t>
  </si>
  <si>
    <t>CurrQtrEPS</t>
  </si>
  <si>
    <t>CYEnd</t>
  </si>
  <si>
    <t>CQEnd</t>
  </si>
  <si>
    <t>CurrYearTotalRevenueActual*</t>
  </si>
  <si>
    <t>NextYearTotalRevenueActual*</t>
  </si>
  <si>
    <t>FollowingYearTotalRevenueActual*</t>
  </si>
  <si>
    <t>Multiplier</t>
  </si>
  <si>
    <t>1000000</t>
  </si>
  <si>
    <t>TemplateRegion</t>
  </si>
  <si>
    <t>AsiaPacific</t>
  </si>
  <si>
    <t>ObjectType</t>
  </si>
  <si>
    <t>excel</t>
  </si>
  <si>
    <t>LanguageCode</t>
  </si>
  <si>
    <t>en-US</t>
  </si>
  <si>
    <t>SubmitterUserId</t>
  </si>
  <si>
    <t>hongsal</t>
  </si>
  <si>
    <t>IndustryId</t>
  </si>
  <si>
    <t>1900001083</t>
  </si>
  <si>
    <t>TickerRegion</t>
  </si>
  <si>
    <t>5</t>
  </si>
  <si>
    <t>AdditionalInstructions</t>
  </si>
  <si>
    <t>*Estimated</t>
  </si>
  <si>
    <t>OwnerTeam</t>
  </si>
  <si>
    <t>I888888909</t>
  </si>
  <si>
    <t>[BRO MSA]</t>
  </si>
  <si>
    <t>[DOCDAT 2026-02-13]</t>
  </si>
  <si>
    <t>[DOCTIME 10:06]</t>
  </si>
  <si>
    <t>[PSYM ANZ.AX(Reuters) (None)]</t>
  </si>
  <si>
    <t>[COU Australia]</t>
  </si>
  <si>
    <t>[PRODUCT MODEL]</t>
  </si>
  <si>
    <t>[ANA ]</t>
  </si>
  <si>
    <t>[HL ANZ.AX Model]</t>
  </si>
  <si>
    <t>[IND Financial Services]</t>
  </si>
  <si>
    <t>[EMAIL_ALERT YES]</t>
  </si>
  <si>
    <t>[PANA  MSA12226]</t>
  </si>
  <si>
    <t>[DISCIPLINE Company]</t>
  </si>
  <si>
    <t>[SUPPRESSED NO]</t>
  </si>
  <si>
    <t>This workbook contains formulas which intentionally use circular reference calculation. These calculations can be resolved as intended by the originating analyst by applying the following settings in the File &gt;&gt; Options &gt;&gt; Formulas:</t>
  </si>
  <si>
    <t>1) Select the Enable iterative calculation check box</t>
  </si>
  <si>
    <t>2) Set Maximum Iterations = 100</t>
  </si>
  <si>
    <t>3) Set Maximum Change = 0.001</t>
  </si>
  <si>
    <t>Failure to apply these settings can result in incorrect calculation or unexpected termination of your Microsoft Excel session.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</si>
</sst>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64" formatCode="&quot;$&quot;#,##0.00_);\(&quot;$&quot;#,##0.00\)"/>
    <numFmt numFmtId="167" formatCode="_(&quot;$&quot;* #,##0.00_);_(&quot;$&quot;* \(#,##0.00\);_(&quot;$&quot;* &quot;-&quot;??_);_(@_)"/>
    <numFmt numFmtId="168" formatCode="_(* #,##0.00_);_(* \(#,##0.00\);_(* &quot;-&quot;??_);_(@_)"/>
    <numFmt numFmtId="170" formatCode="0.0%"/>
    <numFmt numFmtId="171" formatCode="#,##0.0"/>
    <numFmt numFmtId="172" formatCode="0.0"/>
    <numFmt numFmtId="173" formatCode="[$$-C09]#,##0.00"/>
    <numFmt numFmtId="174" formatCode="0.0000"/>
    <numFmt numFmtId="175" formatCode="_(* #,##0_);_(* \(#,##0\);_(* &quot;-&quot;??_);_(@_)"/>
    <numFmt numFmtId="176" formatCode="_(* #,##0.0_);_(* \(#,##0.0\);_(* &quot;-&quot;??_);_(@_)"/>
    <numFmt numFmtId="177" formatCode="#,##0.00_ ;\-#,##0.00\ "/>
    <numFmt numFmtId="178" formatCode="0.000"/>
    <numFmt numFmtId="179" formatCode="#,##0.0;[Red]\-#,##0.0"/>
    <numFmt numFmtId="180" formatCode="0;\(0\)"/>
    <numFmt numFmtId="181" formatCode="#,##0;\(#,##0\)"/>
    <numFmt numFmtId="182" formatCode="0_)"/>
    <numFmt numFmtId="185" formatCode="#,##0.0000"/>
    <numFmt numFmtId="186" formatCode="#,##0.0;\(#,##0.0\)"/>
    <numFmt numFmtId="187" formatCode="#,##0.000;\(#,##0.000\)"/>
    <numFmt numFmtId="188" formatCode="&quot;$&quot;#,##0.00"/>
    <numFmt numFmtId="189" formatCode="0.0%;\(0.0%\)"/>
    <numFmt numFmtId="190" formatCode="[$-409]mmm\-yy;@"/>
    <numFmt numFmtId="191" formatCode="[$-409]dd\-mmm\-yy;@"/>
    <numFmt numFmtId="192" formatCode="&quot;A$&quot;#,##0.00"/>
    <numFmt numFmtId="193" formatCode="0.0&quot;x&quot;"/>
    <numFmt numFmtId="194" formatCode="0.0&quot;¢&quot;"/>
    <numFmt numFmtId="200" formatCode="#,##0.0_);\(#,##0.0\)"/>
    <numFmt numFmtId="202" formatCode="#,##0.0&quot;x&quot;"/>
    <numFmt numFmtId="203" formatCode="#0.0%_);\(#0.0%\)"/>
    <numFmt numFmtId="206" formatCode="#0%_);\(#0%\)"/>
    <numFmt numFmtId="207" formatCode="#0.0\x"/>
    <numFmt numFmtId="211" formatCode="0.00&quot;x&quot;"/>
    <numFmt numFmtId="212" formatCode="#,##0.000"/>
    <numFmt numFmtId="213" formatCode="&quot;$&quot;0.00"/>
    <numFmt numFmtId="215" formatCode="0.000%"/>
    <numFmt numFmtId="216" formatCode="0&quot;bp&quot;"/>
    <numFmt numFmtId="218" formatCode="[$-409]d\-mmm\-yy;@"/>
    <numFmt numFmtId="219" formatCode="#,##0.0;\-#,##0.0"/>
    <numFmt numFmtId="220" formatCode="_ * #,##0.00_ ;_ * \-#,##0.00_ ;_ * &quot;-&quot;??_ ;_ @_ "/>
  </numFmts>
  <fonts count="202">
    <font>
      <sz val="10"/>
      <color rgb="FF000000"/>
      <name val="Arial"/>
      <family val="2"/>
    </font>
    <font>
      <sz val="11"/>
      <color theme="1"/>
      <name val="Calibri"/>
      <family val="2"/>
      <scheme val="minor"/>
    </font>
    <font>
      <sz val="10"/>
      <name val="Arial"/>
      <family val="2"/>
    </font>
    <font>
      <sz val="8"/>
      <name val="Arial"/>
      <family val="2"/>
    </font>
    <font>
      <b/>
      <sz val="10"/>
      <name val="Arial"/>
      <family val="2"/>
    </font>
    <font>
      <u/>
      <sz val="10"/>
      <color indexed="12"/>
      <name val="Arial"/>
      <family val="2"/>
    </font>
    <font>
      <sz val="10"/>
      <name val="Arial"/>
      <family val="2"/>
    </font>
    <font>
      <sz val="8"/>
      <name val="Arial"/>
      <family val="2"/>
    </font>
    <font>
      <b/>
      <sz val="10"/>
      <name val="Arial"/>
      <family val="2"/>
    </font>
    <font>
      <sz val="10"/>
      <color indexed="12"/>
      <name val="Arial"/>
      <family val="2"/>
    </font>
    <font>
      <sz val="10"/>
      <name val="Helvetica"/>
      <family val="2"/>
    </font>
    <font>
      <b/>
      <sz val="10"/>
      <name val="Helvetica"/>
      <family val="2"/>
    </font>
    <font>
      <sz val="10"/>
      <name val="Helvetica"/>
      <family val="2"/>
    </font>
    <font>
      <b/>
      <sz val="10"/>
      <name val="Helvetica"/>
      <family val="2"/>
    </font>
    <font>
      <sz val="10"/>
      <color indexed="12"/>
      <name val="Helvetica"/>
      <family val="2"/>
    </font>
    <font>
      <sz val="10"/>
      <color indexed="12"/>
      <name val="Helvetica"/>
      <family val="2"/>
    </font>
    <font>
      <i/>
      <sz val="10"/>
      <name val="Arial"/>
      <family val="2"/>
    </font>
    <font>
      <b/>
      <sz val="8"/>
      <color indexed="81"/>
      <name val="Tahoma"/>
      <family val="2"/>
    </font>
    <font>
      <sz val="8"/>
      <color indexed="81"/>
      <name val="Tahoma"/>
      <family val="2"/>
    </font>
    <font>
      <sz val="10"/>
      <name val="MS Sans Serif"/>
      <family val="2"/>
    </font>
    <font>
      <sz val="9"/>
      <name val="Times New Roman"/>
      <family val="1"/>
    </font>
    <font>
      <sz val="10"/>
      <name val="Arial"/>
      <family val="2"/>
    </font>
    <font>
      <sz val="8"/>
      <color indexed="22"/>
      <name val="Arial"/>
      <family val="2"/>
    </font>
    <font>
      <i/>
      <sz val="10"/>
      <name val="Helvetica"/>
      <family val="2"/>
    </font>
    <font>
      <sz val="10"/>
      <color indexed="12"/>
      <name val="Arial Narrow"/>
      <family val="2"/>
    </font>
    <font>
      <sz val="10"/>
      <name val="Arial Narrow"/>
      <family val="2"/>
    </font>
    <font>
      <b/>
      <sz val="10"/>
      <name val="Arial narrow"/>
      <family val="2"/>
    </font>
    <font>
      <b/>
      <sz val="10"/>
      <color indexed="9"/>
      <name val="Arial Narrow"/>
      <family val="2"/>
    </font>
    <font>
      <sz val="9"/>
      <name val="Arial Narrow"/>
      <family val="2"/>
    </font>
    <font>
      <b/>
      <sz val="9"/>
      <name val="Arial Narrow"/>
      <family val="2"/>
    </font>
    <font>
      <b/>
      <sz val="9"/>
      <color indexed="12"/>
      <name val="Arial Narrow"/>
      <family val="2"/>
    </font>
    <font>
      <i/>
      <sz val="10"/>
      <name val="Arial Narrow"/>
      <family val="2"/>
    </font>
    <font>
      <i/>
      <sz val="10"/>
      <color indexed="12"/>
      <name val="Helvetica"/>
      <family val="2"/>
    </font>
    <font>
      <b/>
      <sz val="10"/>
      <color indexed="10"/>
      <name val="Arial Narrow"/>
      <family val="2"/>
    </font>
    <font>
      <b/>
      <sz val="10"/>
      <color indexed="12"/>
      <name val="Arial Narrow"/>
      <family val="2"/>
    </font>
    <font>
      <sz val="10"/>
      <color indexed="10"/>
      <name val="Arial Narrow"/>
      <family val="2"/>
    </font>
    <font>
      <i/>
      <sz val="10"/>
      <color indexed="12"/>
      <name val="Arial Narrow"/>
      <family val="2"/>
    </font>
    <font>
      <sz val="10"/>
      <color indexed="8"/>
      <name val="Arial Narrow"/>
      <family val="2"/>
    </font>
    <font>
      <sz val="10"/>
      <color indexed="9"/>
      <name val="Arial Narrow"/>
      <family val="2"/>
    </font>
    <font>
      <b/>
      <i/>
      <sz val="10"/>
      <name val="Arial Narrow"/>
      <family val="2"/>
    </font>
    <font>
      <b/>
      <sz val="10"/>
      <color indexed="8"/>
      <name val="Times New Roman"/>
      <family val="1"/>
    </font>
    <font>
      <sz val="10"/>
      <color indexed="8"/>
      <name val="Times New Roman"/>
      <family val="1"/>
    </font>
    <font>
      <i/>
      <sz val="8"/>
      <name val="Times New Roman"/>
      <family val="1"/>
    </font>
    <font>
      <b/>
      <i/>
      <sz val="10"/>
      <color indexed="12"/>
      <name val="Arial Narrow"/>
      <family val="2"/>
    </font>
    <font>
      <sz val="10"/>
      <color indexed="10"/>
      <name val="Helvetica"/>
      <family val="2"/>
    </font>
    <font>
      <b/>
      <sz val="10"/>
      <color indexed="8"/>
      <name val="Arial Narrow"/>
      <family val="2"/>
    </font>
    <font>
      <i/>
      <sz val="10"/>
      <color indexed="10"/>
      <name val="Arial Narrow"/>
      <family val="2"/>
    </font>
    <font>
      <sz val="10"/>
      <color indexed="17"/>
      <name val="Arial"/>
      <family val="2"/>
    </font>
    <font>
      <b/>
      <i/>
      <sz val="10"/>
      <color indexed="10"/>
      <name val="Arial Narrow"/>
      <family val="2"/>
    </font>
    <font>
      <b/>
      <i/>
      <sz val="10"/>
      <name val="Arial"/>
      <family val="2"/>
    </font>
    <font>
      <b/>
      <i/>
      <sz val="10"/>
      <name val="Helvetica"/>
      <family val="2"/>
    </font>
    <font>
      <b/>
      <i/>
      <sz val="10"/>
      <color indexed="10"/>
      <name val="Helvetica"/>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62"/>
      <name val="Cambria"/>
      <family val="2"/>
    </font>
    <font>
      <b/>
      <sz val="11"/>
      <color indexed="8"/>
      <name val="Calibri"/>
      <family val="2"/>
    </font>
    <font>
      <sz val="11"/>
      <color indexed="10"/>
      <name val="Calibri"/>
      <family val="2"/>
    </font>
    <font>
      <b/>
      <sz val="10"/>
      <color indexed="12"/>
      <name val="Helvetica"/>
      <family val="2"/>
    </font>
    <font>
      <b/>
      <u/>
      <sz val="10"/>
      <name val="Helvetica"/>
      <family val="2"/>
    </font>
    <font>
      <i/>
      <sz val="10"/>
      <name val="Helvetica"/>
      <family val="2"/>
    </font>
    <font>
      <b/>
      <sz val="10"/>
      <color indexed="17"/>
      <name val="Helvetica"/>
      <family val="2"/>
    </font>
    <font>
      <b/>
      <i/>
      <sz val="10"/>
      <name val="Helvetica"/>
      <family val="2"/>
    </font>
    <font>
      <b/>
      <i/>
      <sz val="10"/>
      <color indexed="10"/>
      <name val="Arial"/>
      <family val="2"/>
    </font>
    <font>
      <b/>
      <i/>
      <sz val="10"/>
      <color indexed="12"/>
      <name val="Helvetica"/>
      <family val="2"/>
    </font>
    <font>
      <i/>
      <sz val="10"/>
      <color indexed="10"/>
      <name val="Helvetica"/>
      <family val="2"/>
    </font>
    <font>
      <i/>
      <sz val="10"/>
      <color indexed="8"/>
      <name val="Arial Narrow"/>
      <family val="2"/>
    </font>
    <font>
      <b/>
      <i/>
      <sz val="10"/>
      <color indexed="8"/>
      <name val="Arial Narrow"/>
      <family val="2"/>
    </font>
    <font>
      <sz val="10"/>
      <color indexed="30"/>
      <name val="Arial Narrow"/>
      <family val="2"/>
    </font>
    <font>
      <sz val="9"/>
      <color indexed="81"/>
      <name val="Tahoma"/>
      <family val="2"/>
    </font>
    <font>
      <b/>
      <sz val="9"/>
      <color indexed="81"/>
      <name val="Tahoma"/>
      <family val="2"/>
    </font>
    <font>
      <b/>
      <sz val="10"/>
      <color indexed="17"/>
      <name val="Helvetica"/>
      <family val="2"/>
    </font>
    <font>
      <i/>
      <sz val="10"/>
      <color indexed="10"/>
      <name val="Arial Narrow"/>
      <family val="2"/>
    </font>
    <font>
      <sz val="10"/>
      <color indexed="10"/>
      <name val="Arial Narrow"/>
      <family val="2"/>
    </font>
    <font>
      <sz val="10"/>
      <color indexed="10"/>
      <name val="Arial Narrow"/>
      <family val="2"/>
    </font>
    <font>
      <sz val="10"/>
      <color indexed="14"/>
      <name val="Arial narrow"/>
      <family val="2"/>
    </font>
    <font>
      <i/>
      <sz val="10"/>
      <color indexed="10"/>
      <name val="Arial Narrow"/>
      <family val="2"/>
    </font>
    <font>
      <b/>
      <sz val="10"/>
      <color indexed="57"/>
      <name val="Helvetica"/>
      <family val="2"/>
    </font>
    <font>
      <sz val="10"/>
      <color indexed="10"/>
      <name val="Arial Narrow"/>
      <family val="2"/>
    </font>
    <font>
      <sz val="10"/>
      <color indexed="12"/>
      <name val="Arial Narrow"/>
      <family val="2"/>
    </font>
    <font>
      <b/>
      <sz val="10"/>
      <color indexed="12"/>
      <name val="Arial Narrow"/>
      <family val="2"/>
    </font>
    <font>
      <b/>
      <sz val="10"/>
      <color indexed="12"/>
      <name val="Helvetica"/>
      <family val="2"/>
    </font>
    <font>
      <b/>
      <sz val="11"/>
      <color indexed="12"/>
      <name val="Helvetica"/>
      <family val="2"/>
    </font>
    <font>
      <sz val="10"/>
      <color indexed="20"/>
      <name val="Helvetica"/>
      <family val="2"/>
    </font>
    <font>
      <b/>
      <sz val="10"/>
      <color indexed="20"/>
      <name val="Helvetica"/>
      <family val="2"/>
    </font>
    <font>
      <sz val="10"/>
      <color indexed="17"/>
      <name val="Helvetica"/>
      <family val="2"/>
    </font>
    <font>
      <b/>
      <sz val="16"/>
      <color indexed="10"/>
      <name val="Arial Narrow"/>
      <family val="2"/>
    </font>
    <font>
      <b/>
      <i/>
      <sz val="10"/>
      <color indexed="20"/>
      <name val="Arial Narrow"/>
      <family val="2"/>
    </font>
    <font>
      <b/>
      <sz val="10"/>
      <color indexed="20"/>
      <name val="Arial narrow"/>
      <family val="2"/>
    </font>
    <font>
      <sz val="10"/>
      <name val="Helv"/>
      <charset val="204"/>
    </font>
    <font>
      <sz val="12"/>
      <name val="바탕체"/>
      <family val="3"/>
    </font>
    <font>
      <sz val="10"/>
      <color indexed="20"/>
      <name val="Arial narrow"/>
      <family val="2"/>
    </font>
    <font>
      <u/>
      <sz val="11"/>
      <color theme="10"/>
      <name val="Calibri"/>
      <family val="2"/>
      <scheme val="minor"/>
    </font>
    <font>
      <sz val="10"/>
      <color rgb="FF0000FF"/>
      <name val="Arial Narrow"/>
      <family val="2"/>
    </font>
    <font>
      <b/>
      <sz val="10"/>
      <color indexed="9"/>
      <name val="Calibri"/>
      <family val="2"/>
      <scheme val="minor"/>
    </font>
    <font>
      <b/>
      <sz val="10"/>
      <name val="Calibri"/>
      <family val="2"/>
      <scheme val="minor"/>
    </font>
    <font>
      <sz val="10"/>
      <name val="Calibri"/>
      <family val="2"/>
      <scheme val="minor"/>
    </font>
    <font>
      <b/>
      <i/>
      <sz val="10"/>
      <name val="Calibri"/>
      <family val="2"/>
      <scheme val="minor"/>
    </font>
    <font>
      <i/>
      <sz val="10"/>
      <name val="Calibri"/>
      <family val="2"/>
      <scheme val="minor"/>
    </font>
    <font>
      <b/>
      <sz val="16"/>
      <color indexed="10"/>
      <name val="Calibri"/>
      <family val="2"/>
      <scheme val="minor"/>
    </font>
    <font>
      <sz val="10"/>
      <color indexed="30"/>
      <name val="Calibri"/>
      <family val="2"/>
      <scheme val="minor"/>
    </font>
    <font>
      <b/>
      <sz val="14"/>
      <name val="Calibri"/>
      <family val="2"/>
      <scheme val="minor"/>
    </font>
    <font>
      <b/>
      <sz val="12"/>
      <color indexed="30"/>
      <name val="Calibri"/>
      <family val="2"/>
      <scheme val="minor"/>
    </font>
    <font>
      <b/>
      <sz val="12"/>
      <name val="Calibri"/>
      <family val="2"/>
      <scheme val="minor"/>
    </font>
    <font>
      <sz val="10"/>
      <color indexed="12"/>
      <name val="Calibri"/>
      <family val="2"/>
      <scheme val="minor"/>
    </font>
    <font>
      <u/>
      <sz val="10"/>
      <color indexed="30"/>
      <name val="Calibri"/>
      <family val="2"/>
      <scheme val="minor"/>
    </font>
    <font>
      <u/>
      <sz val="10"/>
      <name val="Calibri"/>
      <family val="2"/>
      <scheme val="minor"/>
    </font>
    <font>
      <b/>
      <sz val="12"/>
      <color indexed="9"/>
      <name val="Calibri"/>
      <family val="2"/>
      <scheme val="minor"/>
    </font>
    <font>
      <b/>
      <sz val="10"/>
      <color indexed="30"/>
      <name val="Calibri"/>
      <family val="2"/>
      <scheme val="minor"/>
    </font>
    <font>
      <b/>
      <sz val="10"/>
      <color indexed="12"/>
      <name val="Calibri"/>
      <family val="2"/>
      <scheme val="minor"/>
    </font>
    <font>
      <b/>
      <sz val="9"/>
      <color indexed="8"/>
      <name val="Calibri"/>
      <family val="2"/>
      <scheme val="minor"/>
    </font>
    <font>
      <b/>
      <sz val="10"/>
      <color indexed="8"/>
      <name val="Calibri"/>
      <family val="2"/>
      <scheme val="minor"/>
    </font>
    <font>
      <sz val="10"/>
      <color indexed="8"/>
      <name val="Calibri"/>
      <family val="2"/>
      <scheme val="minor"/>
    </font>
    <font>
      <i/>
      <sz val="10"/>
      <color indexed="8"/>
      <name val="Calibri"/>
      <family val="2"/>
      <scheme val="minor"/>
    </font>
    <font>
      <i/>
      <sz val="10"/>
      <color indexed="30"/>
      <name val="Calibri"/>
      <family val="2"/>
      <scheme val="minor"/>
    </font>
    <font>
      <b/>
      <sz val="10"/>
      <color indexed="10"/>
      <name val="Calibri"/>
      <family val="2"/>
      <scheme val="minor"/>
    </font>
    <font>
      <sz val="10"/>
      <color indexed="9"/>
      <name val="Calibri"/>
      <family val="2"/>
      <scheme val="minor"/>
    </font>
    <font>
      <sz val="9"/>
      <name val="Calibri"/>
      <family val="2"/>
      <scheme val="minor"/>
    </font>
    <font>
      <sz val="10"/>
      <color indexed="17"/>
      <name val="Calibri"/>
      <family val="2"/>
      <scheme val="minor"/>
    </font>
    <font>
      <b/>
      <sz val="10"/>
      <color indexed="17"/>
      <name val="Calibri"/>
      <family val="2"/>
      <scheme val="minor"/>
    </font>
    <font>
      <b/>
      <sz val="16"/>
      <name val="Calibri"/>
      <family val="2"/>
      <scheme val="minor"/>
    </font>
    <font>
      <sz val="10"/>
      <color rgb="FF0000FF"/>
      <name val="Calibri"/>
      <family val="2"/>
      <scheme val="minor"/>
    </font>
    <font>
      <b/>
      <sz val="10"/>
      <color theme="1"/>
      <name val="Arial Narrow"/>
      <family val="2"/>
    </font>
    <font>
      <b/>
      <sz val="10"/>
      <color rgb="FF0000FF"/>
      <name val="Arial Narrow"/>
      <family val="2"/>
    </font>
    <font>
      <b/>
      <sz val="10"/>
      <color rgb="FF0000FF"/>
      <name val="Calibri"/>
      <family val="2"/>
      <scheme val="minor"/>
    </font>
    <font>
      <b/>
      <i/>
      <sz val="10"/>
      <color rgb="FFFF33CC"/>
      <name val="Arial Narrow"/>
      <family val="2"/>
    </font>
    <font>
      <b/>
      <sz val="10"/>
      <color rgb="FF0000FF"/>
      <name val="Arial"/>
      <family val="2"/>
    </font>
    <font>
      <b/>
      <i/>
      <sz val="10"/>
      <color rgb="FF0000FF"/>
      <name val="Calibri"/>
      <family val="2"/>
      <scheme val="minor"/>
    </font>
    <font>
      <sz val="10"/>
      <color rgb="FFFF0000"/>
      <name val="Arial Narrow"/>
      <family val="2"/>
    </font>
    <font>
      <b/>
      <sz val="10"/>
      <color rgb="FFFF0000"/>
      <name val="Arial Narrow"/>
      <family val="2"/>
    </font>
    <font>
      <b/>
      <i/>
      <sz val="10"/>
      <color rgb="FFFF0000"/>
      <name val="Arial Narrow"/>
      <family val="2"/>
    </font>
    <font>
      <sz val="10"/>
      <color theme="1"/>
      <name val="Arial Narrow"/>
      <family val="2"/>
    </font>
    <font>
      <i/>
      <sz val="10"/>
      <color rgb="FF0000FF"/>
      <name val="Arial Narrow"/>
      <family val="2"/>
    </font>
    <font>
      <i/>
      <sz val="10"/>
      <color rgb="FFFF0000"/>
      <name val="Arial Narrow"/>
      <family val="2"/>
    </font>
    <font>
      <b/>
      <sz val="10"/>
      <color theme="0"/>
      <name val="Calibri"/>
      <family val="2"/>
      <scheme val="minor"/>
    </font>
    <font>
      <sz val="10"/>
      <color theme="0"/>
      <name val="Calibri"/>
      <family val="2"/>
      <scheme val="minor"/>
    </font>
    <font>
      <sz val="10"/>
      <color rgb="FF00B050"/>
      <name val="Calibri"/>
      <family val="2"/>
      <scheme val="minor"/>
    </font>
    <font>
      <i/>
      <sz val="10"/>
      <color rgb="FF00B050"/>
      <name val="Calibri"/>
      <family val="2"/>
      <scheme val="minor"/>
    </font>
    <font>
      <b/>
      <sz val="10"/>
      <color rgb="FF00B050"/>
      <name val="Calibri"/>
      <family val="2"/>
      <scheme val="minor"/>
    </font>
    <font>
      <i/>
      <sz val="10"/>
      <color rgb="FFFF0000"/>
      <name val="Calibri"/>
      <family val="2"/>
      <scheme val="minor"/>
    </font>
    <font>
      <sz val="10"/>
      <color rgb="FFFF0000"/>
      <name val="Calibri"/>
      <family val="2"/>
      <scheme val="minor"/>
    </font>
    <font>
      <b/>
      <i/>
      <sz val="10"/>
      <color theme="0"/>
      <name val="Calibri"/>
      <family val="2"/>
      <scheme val="minor"/>
    </font>
    <font>
      <b/>
      <i/>
      <sz val="10"/>
      <color indexed="8"/>
      <name val="Calibri"/>
      <family val="2"/>
      <scheme val="minor"/>
    </font>
    <font>
      <b/>
      <sz val="11"/>
      <color indexed="12"/>
      <name val="Calibri"/>
      <family val="2"/>
      <scheme val="minor"/>
    </font>
    <font>
      <i/>
      <sz val="10"/>
      <color rgb="FF0000FF"/>
      <name val="Calibri"/>
      <family val="2"/>
      <scheme val="minor"/>
    </font>
    <font>
      <sz val="10"/>
      <color rgb="FF0033CC"/>
      <name val="Calibri"/>
      <family val="2"/>
      <scheme val="minor"/>
    </font>
    <font>
      <sz val="10"/>
      <color rgb="FF7030A0"/>
      <name val="Arial Narrow"/>
      <family val="2"/>
    </font>
    <font>
      <b/>
      <u/>
      <sz val="10"/>
      <color indexed="12"/>
      <name val="Calibri"/>
      <family val="2"/>
      <scheme val="minor"/>
    </font>
    <font>
      <i/>
      <sz val="10"/>
      <color theme="1"/>
      <name val="Arial Narrow"/>
      <family val="2"/>
    </font>
    <font>
      <sz val="10"/>
      <color rgb="FFFF0000"/>
      <name val="Helvetica"/>
      <family val="2"/>
    </font>
    <font>
      <i/>
      <sz val="10"/>
      <color rgb="FF0033CC"/>
      <name val="Arial Narrow"/>
      <family val="2"/>
    </font>
    <font>
      <sz val="10"/>
      <color rgb="FF0033CC"/>
      <name val="Arial Narrow"/>
      <family val="2"/>
    </font>
    <font>
      <b/>
      <sz val="10"/>
      <color rgb="FF0033CC"/>
      <name val="Arial narrow"/>
      <family val="2"/>
    </font>
    <font>
      <sz val="10"/>
      <color indexed="10"/>
      <name val="Calibri"/>
      <family val="2"/>
      <scheme val="minor"/>
    </font>
    <font>
      <b/>
      <sz val="10"/>
      <color indexed="20"/>
      <name val="Calibri"/>
      <family val="2"/>
      <scheme val="minor"/>
    </font>
    <font>
      <sz val="10"/>
      <color indexed="20"/>
      <name val="Calibri"/>
      <family val="2"/>
      <scheme val="minor"/>
    </font>
    <font>
      <sz val="10"/>
      <color rgb="FF3333FF"/>
      <name val="Arial Narrow"/>
      <family val="2"/>
    </font>
    <font>
      <i/>
      <sz val="10"/>
      <color rgb="FF008000"/>
      <name val="Helvetica"/>
      <family val="2"/>
    </font>
    <font>
      <i/>
      <sz val="10"/>
      <color theme="1"/>
      <name val="Helvetica"/>
      <family val="2"/>
    </font>
    <font>
      <sz val="10"/>
      <color theme="1"/>
      <name val="Helvetica"/>
      <family val="2"/>
    </font>
    <font>
      <sz val="10"/>
      <color rgb="FF000000"/>
      <name val="Segoe UI"/>
      <family val="2"/>
    </font>
    <font>
      <i/>
      <sz val="10"/>
      <color rgb="FF3333FF"/>
      <name val="Arial Narrow"/>
      <family val="2"/>
    </font>
    <font>
      <b/>
      <sz val="10"/>
      <color rgb="FF00B050"/>
      <name val="Helvetica"/>
      <family val="2"/>
    </font>
    <font>
      <i/>
      <sz val="10"/>
      <color rgb="FFFF33CC"/>
      <name val="Arial Narrow"/>
      <family val="2"/>
    </font>
    <font>
      <b/>
      <i/>
      <sz val="10"/>
      <color indexed="9"/>
      <name val="Calibri"/>
      <family val="2"/>
      <scheme val="minor"/>
    </font>
    <font>
      <i/>
      <sz val="10"/>
      <color rgb="FFFF0000"/>
      <name val="Arial"/>
      <family val="2"/>
    </font>
    <font>
      <u/>
      <sz val="9"/>
      <color indexed="81"/>
      <name val="Tahoma"/>
      <family val="2"/>
    </font>
    <font>
      <b/>
      <sz val="10"/>
      <color indexed="48"/>
      <name val="Arial narrow"/>
      <family val="2"/>
    </font>
    <font>
      <sz val="10"/>
      <color rgb="FF0000FF"/>
      <name val="Helvetica"/>
    </font>
    <font>
      <sz val="10"/>
      <color rgb="FF00B050"/>
      <name val="Helvetica"/>
      <family val="2"/>
    </font>
    <font>
      <b/>
      <i/>
      <sz val="10"/>
      <color rgb="FF00B050"/>
      <name val="Helvetica"/>
      <family val="2"/>
    </font>
    <font>
      <b/>
      <i/>
      <sz val="10"/>
      <color theme="1"/>
      <name val="Arial Narrow"/>
      <family val="2"/>
    </font>
    <font>
      <b/>
      <i/>
      <sz val="10"/>
      <color rgb="FF0000FF"/>
      <name val="Arial Narrow"/>
      <family val="2"/>
    </font>
    <font>
      <sz val="10"/>
      <name val="Helvetica"/>
    </font>
    <font>
      <b/>
      <sz val="10"/>
      <color rgb="FFFF0000"/>
      <name val="Helvetica"/>
      <family val="2"/>
    </font>
    <font>
      <b/>
      <sz val="10"/>
      <name val="Helvetica"/>
    </font>
    <font>
      <i/>
      <sz val="10"/>
      <name val="Helvetica"/>
    </font>
    <font>
      <sz val="12"/>
      <name val="Helvetica"/>
      <family val="2"/>
    </font>
    <font>
      <b/>
      <sz val="12"/>
      <color indexed="12"/>
      <name val="Helvetica"/>
      <family val="2"/>
    </font>
    <font>
      <u/>
      <sz val="10"/>
      <color theme="10"/>
      <name val="Arial"/>
      <family val="2"/>
    </font>
    <font>
      <sz val="10"/>
      <color rgb="FF0000FF"/>
      <name val="Helvetica"/>
      <family val="2"/>
    </font>
    <font>
      <sz val="10"/>
      <color theme="1"/>
      <name val="Helvetica"/>
    </font>
    <font>
      <b/>
      <i/>
      <sz val="10"/>
      <color rgb="FF0000FF"/>
      <name val="Helvetica"/>
      <family val="2"/>
    </font>
    <font>
      <sz val="10"/>
      <color rgb="FF00B050"/>
      <name val="Helvetica"/>
    </font>
    <font>
      <b/>
      <sz val="10"/>
      <color indexed="17"/>
      <name val="Helvetica"/>
    </font>
    <font>
      <sz val="10"/>
      <color indexed="17"/>
      <name val="Helvetica"/>
    </font>
    <font>
      <sz val="10"/>
      <color rgb="FF000000"/>
      <name val="Arial"/>
      <family val="2"/>
    </font>
    <font>
      <i/>
      <sz val="10"/>
      <color rgb="FF000000"/>
      <name val="Arial"/>
      <family val="2"/>
    </font>
    <font>
      <b/>
      <sz val="12"/>
      <color rgb="FF000080"/>
      <name val="Arial"/>
      <family val="2"/>
    </font>
    <font>
      <sz val="14"/>
      <color rgb="FF000000"/>
      <name val="Arial"/>
      <family val="2"/>
    </font>
    <font>
      <b/>
      <u/>
      <sz val="14"/>
      <color rgb="FFFF0000"/>
      <name val="Arial"/>
      <family val="2"/>
    </font>
  </fonts>
  <fills count="42">
    <fill>
      <patternFill patternType="none"/>
    </fill>
    <fill>
      <patternFill patternType="gray125"/>
    </fill>
    <fill>
      <patternFill patternType="solid">
        <fgColor indexed="47"/>
      </patternFill>
    </fill>
    <fill>
      <patternFill patternType="solid">
        <fgColor indexed="29"/>
      </patternFill>
    </fill>
    <fill>
      <patternFill patternType="solid">
        <fgColor indexed="43"/>
      </patternFill>
    </fill>
    <fill>
      <patternFill patternType="solid">
        <fgColor indexed="27"/>
      </patternFill>
    </fill>
    <fill>
      <patternFill patternType="solid">
        <fgColor indexed="22"/>
      </patternFill>
    </fill>
    <fill>
      <patternFill patternType="solid">
        <fgColor indexed="44"/>
      </patternFill>
    </fill>
    <fill>
      <patternFill patternType="solid">
        <fgColor indexed="49"/>
      </patternFill>
    </fill>
    <fill>
      <patternFill patternType="solid">
        <fgColor indexed="26"/>
      </patternFill>
    </fill>
    <fill>
      <patternFill patternType="solid">
        <fgColor indexed="54"/>
      </patternFill>
    </fill>
    <fill>
      <patternFill patternType="solid">
        <fgColor indexed="45"/>
      </patternFill>
    </fill>
    <fill>
      <patternFill patternType="solid">
        <fgColor indexed="9"/>
      </patternFill>
    </fill>
    <fill>
      <patternFill patternType="solid">
        <fgColor indexed="55"/>
      </patternFill>
    </fill>
    <fill>
      <patternFill patternType="solid">
        <fgColor indexed="42"/>
      </patternFill>
    </fill>
    <fill>
      <patternFill patternType="solid">
        <fgColor indexed="43"/>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indexed="10"/>
        <bgColor indexed="64"/>
      </patternFill>
    </fill>
    <fill>
      <patternFill patternType="solid">
        <fgColor indexed="42"/>
        <bgColor indexed="64"/>
      </patternFill>
    </fill>
    <fill>
      <patternFill patternType="solid">
        <fgColor indexed="51"/>
        <bgColor indexed="64"/>
      </patternFill>
    </fill>
    <fill>
      <patternFill patternType="solid">
        <fgColor indexed="41"/>
        <bgColor indexed="64"/>
      </patternFill>
    </fill>
    <fill>
      <patternFill patternType="solid">
        <fgColor indexed="44"/>
        <bgColor indexed="64"/>
      </patternFill>
    </fill>
    <fill>
      <patternFill patternType="solid">
        <fgColor indexed="12"/>
        <bgColor indexed="64"/>
      </patternFill>
    </fill>
    <fill>
      <patternFill patternType="solid">
        <fgColor rgb="FF0070C0"/>
        <bgColor indexed="64"/>
      </patternFill>
    </fill>
    <fill>
      <patternFill patternType="solid">
        <fgColor rgb="FFFFFF99"/>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00"/>
        <bgColor indexed="64"/>
      </patternFill>
    </fill>
    <fill>
      <patternFill patternType="solid">
        <fgColor rgb="FFFFC000"/>
        <bgColor indexed="64"/>
      </patternFill>
    </fill>
    <fill>
      <patternFill patternType="solid">
        <fgColor theme="5" tint="0.79998168889431442"/>
        <bgColor indexed="64"/>
      </patternFill>
    </fill>
    <fill>
      <patternFill patternType="solid">
        <fgColor theme="1"/>
        <bgColor indexed="64"/>
      </patternFill>
    </fill>
    <fill>
      <patternFill patternType="solid">
        <fgColor rgb="FF0000FF"/>
        <bgColor indexed="64"/>
      </patternFill>
    </fill>
    <fill>
      <patternFill patternType="solid">
        <fgColor rgb="FFFF0000"/>
        <bgColor indexed="64"/>
      </patternFill>
    </fill>
    <fill>
      <patternFill patternType="solid">
        <fgColor rgb="FF92D050"/>
        <bgColor indexed="64"/>
      </patternFill>
    </fill>
    <fill>
      <patternFill patternType="solid">
        <fgColor rgb="FFFFFFCC"/>
        <bgColor indexed="64"/>
      </patternFill>
    </fill>
    <fill>
      <patternFill patternType="solid">
        <fgColor rgb="FFCCFFCC"/>
        <bgColor indexed="64"/>
      </patternFill>
    </fill>
    <fill>
      <patternFill patternType="solid">
        <fgColor theme="9" tint="0.59996337778862885"/>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indexed="65"/>
        <bgColor indexed="64"/>
      </patternFill>
    </fill>
  </fills>
  <borders count="10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9"/>
      </bottom>
      <diagonal/>
    </border>
    <border>
      <left/>
      <right/>
      <top/>
      <bottom style="thick">
        <color indexed="22"/>
      </bottom>
      <diagonal/>
    </border>
    <border>
      <left/>
      <right/>
      <top/>
      <bottom style="medium">
        <color indexed="49"/>
      </bottom>
      <diagonal/>
    </border>
    <border>
      <left/>
      <right/>
      <top/>
      <bottom style="double">
        <color indexed="52"/>
      </bottom>
      <diagonal/>
    </border>
    <border>
      <left/>
      <right style="medium">
        <color indexed="64"/>
      </right>
      <top/>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n">
        <color indexed="8"/>
      </bottom>
      <diagonal/>
    </border>
    <border>
      <left/>
      <right/>
      <top style="thin">
        <color indexed="49"/>
      </top>
      <bottom style="double">
        <color indexed="49"/>
      </bottom>
      <diagonal/>
    </border>
    <border>
      <left style="thin">
        <color indexed="64"/>
      </left>
      <right/>
      <top style="thin">
        <color indexed="64"/>
      </top>
      <bottom style="thin">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top style="thin">
        <color indexed="64"/>
      </top>
      <bottom/>
      <diagonal/>
    </border>
    <border>
      <left/>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8"/>
      </left>
      <right/>
      <top style="medium">
        <color indexed="64"/>
      </top>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medium">
        <color indexed="8"/>
      </left>
      <right/>
      <top/>
      <bottom/>
      <diagonal/>
    </border>
    <border>
      <left style="thin">
        <color indexed="8"/>
      </left>
      <right/>
      <top/>
      <bottom/>
      <diagonal/>
    </border>
    <border>
      <left/>
      <right style="thin">
        <color indexed="8"/>
      </right>
      <top/>
      <bottom/>
      <diagonal/>
    </border>
    <border>
      <left style="thin">
        <color indexed="64"/>
      </left>
      <right style="medium">
        <color indexed="64"/>
      </right>
      <top style="thin">
        <color indexed="64"/>
      </top>
      <bottom style="thin">
        <color indexed="64"/>
      </bottom>
      <diagonal/>
    </border>
    <border>
      <left style="thin">
        <color indexed="8"/>
      </left>
      <right/>
      <top style="thin">
        <color indexed="64"/>
      </top>
      <bottom style="medium">
        <color indexed="8"/>
      </bottom>
      <diagonal/>
    </border>
    <border>
      <left/>
      <right/>
      <top style="thin">
        <color indexed="64"/>
      </top>
      <bottom style="medium">
        <color indexed="8"/>
      </bottom>
      <diagonal/>
    </border>
    <border>
      <left/>
      <right style="thin">
        <color indexed="8"/>
      </right>
      <top style="thin">
        <color indexed="64"/>
      </top>
      <bottom style="medium">
        <color indexed="8"/>
      </bottom>
      <diagonal/>
    </border>
    <border>
      <left style="thin">
        <color indexed="8"/>
      </left>
      <right/>
      <top style="medium">
        <color indexed="8"/>
      </top>
      <bottom/>
      <diagonal/>
    </border>
    <border>
      <left/>
      <right/>
      <top style="medium">
        <color indexed="8"/>
      </top>
      <bottom/>
      <diagonal/>
    </border>
    <border>
      <left/>
      <right style="thin">
        <color indexed="8"/>
      </right>
      <top style="medium">
        <color indexed="8"/>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top/>
      <bottom style="medium">
        <color indexed="64"/>
      </bottom>
      <diagonal/>
    </border>
    <border>
      <left style="mediumDashed">
        <color indexed="64"/>
      </left>
      <right style="mediumDashed">
        <color indexed="64"/>
      </right>
      <top style="mediumDashed">
        <color indexed="64"/>
      </top>
      <bottom style="mediumDashed">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dashDotDot">
        <color indexed="64"/>
      </left>
      <right style="dashDotDot">
        <color indexed="64"/>
      </right>
      <top style="dashDotDot">
        <color indexed="64"/>
      </top>
      <bottom style="dashDotDot">
        <color indexed="64"/>
      </bottom>
      <diagonal/>
    </border>
    <border>
      <left style="mediumDashed">
        <color indexed="64"/>
      </left>
      <right/>
      <top style="mediumDashed">
        <color indexed="64"/>
      </top>
      <bottom style="mediumDashed">
        <color indexed="64"/>
      </bottom>
      <diagonal/>
    </border>
    <border>
      <left/>
      <right/>
      <top style="mediumDashed">
        <color indexed="64"/>
      </top>
      <bottom style="mediumDashed">
        <color indexed="64"/>
      </bottom>
      <diagonal/>
    </border>
    <border>
      <left/>
      <right style="mediumDashed">
        <color indexed="64"/>
      </right>
      <top style="mediumDashed">
        <color indexed="64"/>
      </top>
      <bottom style="mediumDashed">
        <color indexed="64"/>
      </bottom>
      <diagonal/>
    </border>
    <border>
      <left style="mediumDashDot">
        <color indexed="64"/>
      </left>
      <right style="mediumDashDot">
        <color indexed="64"/>
      </right>
      <top style="mediumDashDot">
        <color indexed="64"/>
      </top>
      <bottom style="mediumDashDot">
        <color indexed="64"/>
      </bottom>
      <diagonal/>
    </border>
    <border>
      <left style="medium">
        <color indexed="8"/>
      </left>
      <right/>
      <top style="thin">
        <color indexed="64"/>
      </top>
      <bottom style="medium">
        <color indexed="8"/>
      </bottom>
      <diagonal/>
    </border>
    <border>
      <left/>
      <right style="medium">
        <color indexed="8"/>
      </right>
      <top style="thin">
        <color indexed="64"/>
      </top>
      <bottom style="medium">
        <color indexed="8"/>
      </bottom>
      <diagonal/>
    </border>
    <border>
      <left/>
      <right/>
      <top style="medium">
        <color indexed="64"/>
      </top>
      <bottom style="medium">
        <color indexed="64"/>
      </bottom>
      <diagonal/>
    </border>
    <border>
      <left/>
      <right style="medium">
        <color indexed="64"/>
      </right>
      <top/>
      <bottom style="thin">
        <color indexed="64"/>
      </bottom>
      <diagonal/>
    </border>
    <border>
      <left/>
      <right style="mediumDashed">
        <color indexed="64"/>
      </right>
      <top/>
      <bottom/>
      <diagonal/>
    </border>
    <border>
      <left/>
      <right/>
      <top style="thin">
        <color auto="1"/>
      </top>
      <bottom style="thin">
        <color auto="1"/>
      </bottom>
      <diagonal/>
    </border>
    <border>
      <left style="thin">
        <color auto="1"/>
      </left>
      <right/>
      <top/>
      <bottom/>
      <diagonal/>
    </border>
    <border>
      <left/>
      <right/>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right style="thin">
        <color auto="1"/>
      </right>
      <top/>
      <bottom/>
      <diagonal/>
    </border>
    <border>
      <left/>
      <right style="thin">
        <color auto="1"/>
      </right>
      <top style="thin">
        <color auto="1"/>
      </top>
      <bottom style="thin">
        <color auto="1"/>
      </bottom>
      <diagonal/>
    </border>
    <border>
      <left style="dashDot">
        <color auto="1"/>
      </left>
      <right style="dashDot">
        <color auto="1"/>
      </right>
      <top style="dashDot">
        <color auto="1"/>
      </top>
      <bottom style="dashDot">
        <color auto="1"/>
      </bottom>
      <diagonal/>
    </border>
    <border>
      <left style="dashed">
        <color auto="1"/>
      </left>
      <right style="dashed">
        <color auto="1"/>
      </right>
      <top style="dashed">
        <color auto="1"/>
      </top>
      <bottom style="dashed">
        <color auto="1"/>
      </bottom>
      <diagonal/>
    </border>
    <border>
      <left style="dotted">
        <color indexed="64"/>
      </left>
      <right style="dotted">
        <color indexed="64"/>
      </right>
      <top style="dotted">
        <color indexed="64"/>
      </top>
      <bottom style="dotted">
        <color indexed="64"/>
      </bottom>
      <diagonal/>
    </border>
    <border>
      <left/>
      <right/>
      <top/>
      <bottom style="thin">
        <color indexed="8"/>
      </bottom>
      <diagonal/>
    </border>
    <border>
      <left/>
      <right/>
      <top/>
      <bottom style="thin">
        <color indexed="64"/>
      </bottom>
      <diagonal/>
    </border>
    <border>
      <left style="thin">
        <color indexed="8"/>
      </left>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mediumDashed">
        <color indexed="64"/>
      </left>
      <right/>
      <top style="mediumDashed">
        <color indexed="64"/>
      </top>
      <bottom/>
      <diagonal/>
    </border>
    <border>
      <left style="mediumDashed">
        <color indexed="64"/>
      </left>
      <right/>
      <top/>
      <bottom/>
      <diagonal/>
    </border>
    <border>
      <left style="mediumDashed">
        <color indexed="64"/>
      </left>
      <right/>
      <top/>
      <bottom style="mediumDashed">
        <color indexed="64"/>
      </bottom>
      <diagonal/>
    </border>
    <border>
      <left/>
      <right style="mediumDashed">
        <color indexed="64"/>
      </right>
      <top style="mediumDashed">
        <color indexed="64"/>
      </top>
      <bottom/>
      <diagonal/>
    </border>
    <border>
      <left/>
      <right style="mediumDashed">
        <color indexed="64"/>
      </right>
      <top/>
      <bottom style="mediumDashed">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49"/>
      </top>
      <bottom style="double">
        <color indexed="49"/>
      </bottom>
      <diagonal/>
    </border>
    <border>
      <left/>
      <right/>
      <top style="thin">
        <color indexed="64"/>
      </top>
      <bottom/>
      <diagonal/>
    </border>
    <border>
      <left/>
      <right style="thin">
        <color auto="1"/>
      </right>
      <top style="thin">
        <color auto="1"/>
      </top>
      <bottom style="thin">
        <color auto="1"/>
      </bottom>
      <diagonal/>
    </border>
    <border>
      <left/>
      <right/>
      <top style="thin">
        <color auto="1"/>
      </top>
      <bottom style="thin">
        <color auto="1"/>
      </bottom>
      <diagonal/>
    </border>
    <border>
      <left/>
      <right style="thin">
        <color auto="1"/>
      </right>
      <top/>
      <bottom/>
      <diagonal/>
    </border>
    <border>
      <left/>
      <right style="thin">
        <color indexed="64"/>
      </right>
      <top style="thin">
        <color auto="1"/>
      </top>
      <bottom/>
      <diagonal/>
    </border>
    <border>
      <left/>
      <right style="thin">
        <color indexed="64"/>
      </right>
      <top/>
      <bottom style="medium">
        <color indexed="64"/>
      </bottom>
      <diagonal/>
    </border>
    <border>
      <left style="thin">
        <color indexed="64"/>
      </left>
      <right/>
      <top/>
      <bottom style="medium">
        <color indexed="64"/>
      </bottom>
      <diagonal/>
    </border>
    <border>
      <left/>
      <right style="thin">
        <color auto="1"/>
      </right>
      <top/>
      <bottom/>
      <diagonal/>
    </border>
    <border>
      <left/>
      <right style="thin">
        <color auto="1"/>
      </right>
      <top/>
      <bottom/>
      <diagonal/>
    </border>
    <border>
      <left style="thin">
        <color indexed="64"/>
      </left>
      <right/>
      <top/>
      <bottom style="thin">
        <color indexed="64"/>
      </bottom>
      <diagonal/>
    </border>
    <border>
      <left style="mediumDashDot">
        <color indexed="64"/>
      </left>
      <right/>
      <top style="mediumDashDot">
        <color indexed="64"/>
      </top>
      <bottom style="mediumDashDot">
        <color indexed="64"/>
      </bottom>
      <diagonal/>
    </border>
    <border>
      <left/>
      <right style="mediumDashDot">
        <color indexed="64"/>
      </right>
      <top style="mediumDashDot">
        <color indexed="64"/>
      </top>
      <bottom style="mediumDashDot">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s>
  <cellStyleXfs count="109">
    <xf numFmtId="0" fontId="0" fillId="0" borderId="0"/>
    <xf numFmtId="0" fontId="21" fillId="0" borderId="0"/>
    <xf numFmtId="0" fontId="6" fillId="0" borderId="0"/>
    <xf numFmtId="0" fontId="100" fillId="0" borderId="0"/>
    <xf numFmtId="0" fontId="6" fillId="0" borderId="0"/>
    <xf numFmtId="0" fontId="6" fillId="0" borderId="0"/>
    <xf numFmtId="0" fontId="2" fillId="0" borderId="0"/>
    <xf numFmtId="0" fontId="6" fillId="0" borderId="0"/>
    <xf numFmtId="0" fontId="19" fillId="0" borderId="0"/>
    <xf numFmtId="0" fontId="19" fillId="0" borderId="0"/>
    <xf numFmtId="0" fontId="52" fillId="2" borderId="0" applyNumberFormat="0" applyBorder="0" applyAlignment="0" applyProtection="0"/>
    <xf numFmtId="0" fontId="52" fillId="3" borderId="0" applyNumberFormat="0" applyBorder="0" applyAlignment="0" applyProtection="0"/>
    <xf numFmtId="0" fontId="52" fillId="4" borderId="0" applyNumberFormat="0" applyBorder="0" applyAlignment="0" applyProtection="0"/>
    <xf numFmtId="0" fontId="52" fillId="2" borderId="0" applyNumberFormat="0" applyBorder="0" applyAlignment="0" applyProtection="0"/>
    <xf numFmtId="0" fontId="52" fillId="5" borderId="0" applyNumberFormat="0" applyBorder="0" applyAlignment="0" applyProtection="0"/>
    <xf numFmtId="0" fontId="52" fillId="4" borderId="0" applyNumberFormat="0" applyBorder="0" applyAlignment="0" applyProtection="0"/>
    <xf numFmtId="0" fontId="52" fillId="6" borderId="0" applyNumberFormat="0" applyBorder="0" applyAlignment="0" applyProtection="0"/>
    <xf numFmtId="0" fontId="52" fillId="3" borderId="0" applyNumberFormat="0" applyBorder="0" applyAlignment="0" applyProtection="0"/>
    <xf numFmtId="0" fontId="52" fillId="4" borderId="0" applyNumberFormat="0" applyBorder="0" applyAlignment="0" applyProtection="0"/>
    <xf numFmtId="0" fontId="52" fillId="6" borderId="0" applyNumberFormat="0" applyBorder="0" applyAlignment="0" applyProtection="0"/>
    <xf numFmtId="0" fontId="52" fillId="7" borderId="0" applyNumberFormat="0" applyBorder="0" applyAlignment="0" applyProtection="0"/>
    <xf numFmtId="0" fontId="52" fillId="4" borderId="0" applyNumberFormat="0" applyBorder="0" applyAlignment="0" applyProtection="0"/>
    <xf numFmtId="0" fontId="53" fillId="8" borderId="0" applyNumberFormat="0" applyBorder="0" applyAlignment="0" applyProtection="0"/>
    <xf numFmtId="0" fontId="53" fillId="3" borderId="0" applyNumberFormat="0" applyBorder="0" applyAlignment="0" applyProtection="0"/>
    <xf numFmtId="0" fontId="53" fillId="9" borderId="0" applyNumberFormat="0" applyBorder="0" applyAlignment="0" applyProtection="0"/>
    <xf numFmtId="0" fontId="53" fillId="6" borderId="0" applyNumberFormat="0" applyBorder="0" applyAlignment="0" applyProtection="0"/>
    <xf numFmtId="0" fontId="53" fillId="8" borderId="0" applyNumberFormat="0" applyBorder="0" applyAlignment="0" applyProtection="0"/>
    <xf numFmtId="0" fontId="53" fillId="4" borderId="0" applyNumberFormat="0" applyBorder="0" applyAlignment="0" applyProtection="0"/>
    <xf numFmtId="0" fontId="53" fillId="8" borderId="0" applyNumberFormat="0" applyBorder="0" applyAlignment="0" applyProtection="0"/>
    <xf numFmtId="0" fontId="53" fillId="3" borderId="0" applyNumberFormat="0" applyBorder="0" applyAlignment="0" applyProtection="0"/>
    <xf numFmtId="0" fontId="53" fillId="9" borderId="0" applyNumberFormat="0" applyBorder="0" applyAlignment="0" applyProtection="0"/>
    <xf numFmtId="0" fontId="53" fillId="10" borderId="0" applyNumberFormat="0" applyBorder="0" applyAlignment="0" applyProtection="0"/>
    <xf numFmtId="0" fontId="53" fillId="8" borderId="0" applyNumberFormat="0" applyBorder="0" applyAlignment="0" applyProtection="0"/>
    <xf numFmtId="0" fontId="53" fillId="3" borderId="0" applyNumberFormat="0" applyBorder="0" applyAlignment="0" applyProtection="0"/>
    <xf numFmtId="0" fontId="54" fillId="11" borderId="0" applyNumberFormat="0" applyBorder="0" applyAlignment="0" applyProtection="0"/>
    <xf numFmtId="0" fontId="40" fillId="0" borderId="0"/>
    <xf numFmtId="0" fontId="55" fillId="12" borderId="1" applyNumberFormat="0" applyAlignment="0" applyProtection="0"/>
    <xf numFmtId="0" fontId="56" fillId="13" borderId="2" applyNumberFormat="0" applyAlignment="0" applyProtection="0"/>
    <xf numFmtId="168" fontId="2" fillId="0" borderId="0" applyFont="0" applyFill="0" applyBorder="0" applyAlignment="0" applyProtection="0"/>
    <xf numFmtId="168" fontId="7" fillId="0" borderId="0" applyFont="0" applyFill="0" applyBorder="0" applyAlignment="0" applyProtection="0"/>
    <xf numFmtId="3" fontId="19" fillId="0" borderId="0" applyFont="0" applyFill="0" applyBorder="0" applyAlignment="0" applyProtection="0"/>
    <xf numFmtId="40" fontId="19" fillId="0" borderId="0" applyFont="0" applyFill="0" applyBorder="0" applyAlignment="0" applyProtection="0"/>
    <xf numFmtId="167" fontId="6" fillId="0" borderId="0" applyFont="0" applyFill="0" applyBorder="0" applyAlignment="0" applyProtection="0"/>
    <xf numFmtId="167" fontId="7" fillId="0" borderId="0" applyFont="0" applyFill="0" applyBorder="0" applyAlignment="0" applyProtection="0"/>
    <xf numFmtId="0" fontId="57" fillId="0" borderId="0" applyNumberFormat="0" applyFill="0" applyBorder="0" applyAlignment="0" applyProtection="0"/>
    <xf numFmtId="0" fontId="58" fillId="14" borderId="0" applyNumberFormat="0" applyBorder="0" applyAlignment="0" applyProtection="0"/>
    <xf numFmtId="0" fontId="59" fillId="0" borderId="3" applyNumberFormat="0" applyFill="0" applyAlignment="0" applyProtection="0"/>
    <xf numFmtId="0" fontId="60" fillId="0" borderId="4" applyNumberFormat="0" applyFill="0" applyAlignment="0" applyProtection="0"/>
    <xf numFmtId="0" fontId="61" fillId="0" borderId="5" applyNumberFormat="0" applyFill="0" applyAlignment="0" applyProtection="0"/>
    <xf numFmtId="0" fontId="61" fillId="0" borderId="0" applyNumberFormat="0" applyFill="0" applyBorder="0" applyAlignment="0" applyProtection="0"/>
    <xf numFmtId="0" fontId="5" fillId="0" borderId="0" applyNumberFormat="0" applyFill="0" applyBorder="0" applyAlignment="0" applyProtection="0">
      <alignment vertical="top"/>
      <protection locked="0"/>
    </xf>
    <xf numFmtId="0" fontId="62" fillId="4" borderId="1" applyNumberFormat="0" applyAlignment="0" applyProtection="0"/>
    <xf numFmtId="0" fontId="63" fillId="0" borderId="6" applyNumberFormat="0" applyFill="0" applyAlignment="0" applyProtection="0"/>
    <xf numFmtId="220" fontId="6" fillId="0" borderId="0" applyFont="0" applyFill="0" applyBorder="0" applyAlignment="0" applyProtection="0"/>
    <xf numFmtId="0" fontId="6" fillId="0" borderId="0" applyFont="0" applyFill="0" applyBorder="0" applyAlignment="0" applyProtection="0"/>
    <xf numFmtId="0" fontId="64" fillId="4" borderId="0" applyNumberFormat="0" applyBorder="0" applyAlignment="0" applyProtection="0"/>
    <xf numFmtId="0" fontId="6" fillId="0" borderId="0"/>
    <xf numFmtId="0" fontId="6" fillId="0" borderId="0"/>
    <xf numFmtId="0" fontId="2" fillId="0" borderId="0"/>
    <xf numFmtId="0" fontId="22" fillId="0" borderId="0"/>
    <xf numFmtId="2" fontId="20" fillId="0" borderId="7"/>
    <xf numFmtId="2" fontId="20" fillId="0" borderId="7"/>
    <xf numFmtId="0" fontId="19" fillId="0" borderId="0"/>
    <xf numFmtId="0" fontId="2" fillId="4" borderId="8" applyNumberFormat="0" applyFont="0" applyAlignment="0" applyProtection="0"/>
    <xf numFmtId="0" fontId="65" fillId="12" borderId="9" applyNumberFormat="0" applyAlignment="0" applyProtection="0"/>
    <xf numFmtId="0" fontId="20" fillId="0" borderId="0">
      <alignment vertical="center"/>
    </xf>
    <xf numFmtId="9" fontId="2" fillId="0" borderId="0" applyFont="0" applyFill="0" applyBorder="0" applyAlignment="0" applyProtection="0"/>
    <xf numFmtId="9" fontId="6" fillId="0" borderId="0" applyFont="0" applyFill="0" applyBorder="0" applyAlignment="0" applyProtection="0"/>
    <xf numFmtId="9" fontId="19" fillId="0" borderId="7" applyFont="0" applyFill="0" applyAlignment="0" applyProtection="0"/>
    <xf numFmtId="0" fontId="6" fillId="15" borderId="0" applyNumberFormat="0" applyFont="0" applyBorder="0" applyAlignment="0" applyProtection="0"/>
    <xf numFmtId="0" fontId="41" fillId="0" borderId="0"/>
    <xf numFmtId="0" fontId="41" fillId="0" borderId="10">
      <alignment horizontal="centerContinuous"/>
    </xf>
    <xf numFmtId="0" fontId="42" fillId="0" borderId="10"/>
    <xf numFmtId="0" fontId="66" fillId="0" borderId="0" applyNumberFormat="0" applyFill="0" applyBorder="0" applyAlignment="0" applyProtection="0"/>
    <xf numFmtId="0" fontId="67" fillId="0" borderId="11" applyNumberFormat="0" applyFill="0" applyAlignment="0" applyProtection="0"/>
    <xf numFmtId="0" fontId="68" fillId="0" borderId="0" applyNumberFormat="0" applyFill="0" applyBorder="0" applyAlignment="0" applyProtection="0"/>
    <xf numFmtId="0" fontId="101" fillId="0" borderId="0"/>
    <xf numFmtId="3" fontId="132" fillId="38" borderId="50">
      <alignment horizontal="center"/>
    </xf>
    <xf numFmtId="0" fontId="2" fillId="0" borderId="0"/>
    <xf numFmtId="0" fontId="2" fillId="0" borderId="0"/>
    <xf numFmtId="0" fontId="2"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xf numFmtId="0" fontId="2" fillId="0" borderId="0"/>
    <xf numFmtId="0" fontId="2" fillId="0" borderId="0"/>
    <xf numFmtId="0" fontId="2" fillId="0" borderId="0"/>
    <xf numFmtId="0" fontId="55" fillId="12" borderId="82" applyNumberFormat="0" applyAlignment="0" applyProtection="0"/>
    <xf numFmtId="168" fontId="2" fillId="0" borderId="0" applyFont="0" applyFill="0" applyBorder="0" applyAlignment="0" applyProtection="0"/>
    <xf numFmtId="168"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0" fontId="190" fillId="0" borderId="0" applyNumberFormat="0" applyFill="0" applyBorder="0" applyAlignment="0" applyProtection="0"/>
    <xf numFmtId="0" fontId="103" fillId="0" borderId="0" applyNumberFormat="0" applyFill="0" applyBorder="0" applyAlignment="0" applyProtection="0"/>
    <xf numFmtId="0" fontId="62" fillId="4" borderId="82" applyNumberFormat="0" applyAlignment="0" applyProtection="0"/>
    <xf numFmtId="0" fontId="2" fillId="0" borderId="0"/>
    <xf numFmtId="0" fontId="2" fillId="0" borderId="0"/>
    <xf numFmtId="0" fontId="2" fillId="0" borderId="0"/>
    <xf numFmtId="0" fontId="1" fillId="0" borderId="0"/>
    <xf numFmtId="0" fontId="2" fillId="4" borderId="83" applyNumberFormat="0" applyFont="0" applyAlignment="0" applyProtection="0"/>
    <xf numFmtId="0" fontId="65" fillId="12" borderId="84" applyNumberFormat="0" applyAlignment="0" applyProtection="0"/>
    <xf numFmtId="9" fontId="2" fillId="0" borderId="0" applyFont="0" applyFill="0" applyBorder="0" applyAlignment="0" applyProtection="0"/>
    <xf numFmtId="9" fontId="1" fillId="0" borderId="0" applyFont="0" applyFill="0" applyBorder="0" applyAlignment="0" applyProtection="0"/>
    <xf numFmtId="0" fontId="2" fillId="15" borderId="0" applyNumberFormat="0" applyFont="0" applyBorder="0" applyAlignment="0" applyProtection="0"/>
    <xf numFmtId="0" fontId="2" fillId="15" borderId="0" applyNumberFormat="0" applyFont="0" applyBorder="0" applyAlignment="0" applyProtection="0"/>
    <xf numFmtId="0" fontId="41" fillId="0" borderId="71">
      <alignment horizontal="centerContinuous"/>
    </xf>
    <xf numFmtId="0" fontId="42" fillId="0" borderId="71"/>
    <xf numFmtId="0" fontId="67" fillId="0" borderId="85" applyNumberFormat="0" applyFill="0" applyAlignment="0" applyProtection="0"/>
  </cellStyleXfs>
  <cellXfs count="1755">
    <xf numFmtId="0" fontId="0" fillId="0" borderId="0" xfId="0"/>
    <xf numFmtId="10" fontId="104" fillId="0" borderId="0" xfId="66" applyNumberFormat="1" applyFont="1" applyFill="1" applyAlignment="1">
      <alignment horizontal="center"/>
    </xf>
    <xf numFmtId="188" fontId="25" fillId="0" borderId="0" xfId="1" applyNumberFormat="1" applyFont="1"/>
    <xf numFmtId="0" fontId="6" fillId="0" borderId="0" xfId="1" applyFont="1"/>
    <xf numFmtId="0" fontId="8" fillId="0" borderId="0" xfId="1" applyFont="1"/>
    <xf numFmtId="170" fontId="10" fillId="0" borderId="0" xfId="66" applyNumberFormat="1" applyFont="1" applyFill="1" applyBorder="1"/>
    <xf numFmtId="0" fontId="6" fillId="0" borderId="15" xfId="59" applyFont="1" applyBorder="1"/>
    <xf numFmtId="170" fontId="6" fillId="0" borderId="0" xfId="59" applyNumberFormat="1" applyFont="1"/>
    <xf numFmtId="10" fontId="6" fillId="0" borderId="0" xfId="66" applyNumberFormat="1" applyFont="1" applyFill="1" applyBorder="1"/>
    <xf numFmtId="0" fontId="11" fillId="0" borderId="0" xfId="59" applyFont="1"/>
    <xf numFmtId="0" fontId="10" fillId="0" borderId="0" xfId="59" applyFont="1"/>
    <xf numFmtId="0" fontId="8" fillId="0" borderId="0" xfId="1" applyFont="1" applyAlignment="1">
      <alignment horizontal="center"/>
    </xf>
    <xf numFmtId="189" fontId="6" fillId="0" borderId="0" xfId="66" applyNumberFormat="1" applyFont="1" applyBorder="1" applyAlignment="1">
      <alignment horizontal="center"/>
    </xf>
    <xf numFmtId="177" fontId="6" fillId="0" borderId="0" xfId="38" applyNumberFormat="1" applyFont="1" applyFill="1" applyBorder="1" applyAlignment="1">
      <alignment horizontal="center"/>
    </xf>
    <xf numFmtId="10" fontId="9" fillId="0" borderId="0" xfId="66" applyNumberFormat="1" applyFont="1" applyFill="1" applyBorder="1" applyAlignment="1">
      <alignment horizontal="center"/>
    </xf>
    <xf numFmtId="164" fontId="8" fillId="0" borderId="0" xfId="1" applyNumberFormat="1" applyFont="1" applyAlignment="1">
      <alignment horizontal="center"/>
    </xf>
    <xf numFmtId="170" fontId="6" fillId="0" borderId="0" xfId="1" applyNumberFormat="1" applyFont="1" applyAlignment="1">
      <alignment horizontal="center"/>
    </xf>
    <xf numFmtId="0" fontId="10" fillId="0" borderId="0" xfId="1" applyFont="1"/>
    <xf numFmtId="9" fontId="10" fillId="0" borderId="0" xfId="66" applyFont="1" applyFill="1" applyBorder="1" applyAlignment="1">
      <alignment horizontal="center"/>
    </xf>
    <xf numFmtId="170" fontId="10" fillId="0" borderId="0" xfId="66" applyNumberFormat="1" applyFont="1" applyFill="1" applyBorder="1" applyAlignment="1">
      <alignment horizontal="center"/>
    </xf>
    <xf numFmtId="0" fontId="25" fillId="0" borderId="0" xfId="1" applyFont="1"/>
    <xf numFmtId="0" fontId="26" fillId="0" borderId="0" xfId="1" applyFont="1"/>
    <xf numFmtId="170" fontId="25" fillId="0" borderId="0" xfId="66" applyNumberFormat="1" applyFont="1"/>
    <xf numFmtId="172" fontId="25" fillId="0" borderId="0" xfId="1" applyNumberFormat="1" applyFont="1" applyAlignment="1">
      <alignment horizontal="center"/>
    </xf>
    <xf numFmtId="172" fontId="25" fillId="0" borderId="0" xfId="1" applyNumberFormat="1" applyFont="1"/>
    <xf numFmtId="1" fontId="25" fillId="0" borderId="0" xfId="1" applyNumberFormat="1" applyFont="1"/>
    <xf numFmtId="10" fontId="6" fillId="0" borderId="0" xfId="66" applyNumberFormat="1" applyFont="1" applyBorder="1" applyAlignment="1">
      <alignment horizontal="center"/>
    </xf>
    <xf numFmtId="0" fontId="26" fillId="0" borderId="0" xfId="1" applyFont="1" applyAlignment="1">
      <alignment horizontal="center"/>
    </xf>
    <xf numFmtId="3" fontId="25" fillId="0" borderId="0" xfId="1" applyNumberFormat="1" applyFont="1"/>
    <xf numFmtId="174" fontId="29" fillId="16" borderId="19" xfId="1" applyNumberFormat="1" applyFont="1" applyFill="1" applyBorder="1"/>
    <xf numFmtId="174" fontId="29" fillId="16" borderId="19" xfId="1" applyNumberFormat="1" applyFont="1" applyFill="1" applyBorder="1" applyAlignment="1" applyProtection="1">
      <alignment horizontal="center"/>
      <protection locked="0"/>
    </xf>
    <xf numFmtId="1" fontId="29" fillId="16" borderId="19" xfId="1" applyNumberFormat="1" applyFont="1" applyFill="1" applyBorder="1" applyAlignment="1" applyProtection="1">
      <alignment horizontal="center"/>
      <protection locked="0"/>
    </xf>
    <xf numFmtId="174" fontId="29" fillId="0" borderId="19" xfId="1" applyNumberFormat="1" applyFont="1" applyBorder="1" applyAlignment="1" applyProtection="1">
      <alignment horizontal="center"/>
      <protection locked="0"/>
    </xf>
    <xf numFmtId="174" fontId="29" fillId="0" borderId="19" xfId="1" applyNumberFormat="1" applyFont="1" applyBorder="1" applyAlignment="1">
      <alignment horizontal="center"/>
    </xf>
    <xf numFmtId="1" fontId="29" fillId="0" borderId="19" xfId="1" applyNumberFormat="1" applyFont="1" applyBorder="1" applyAlignment="1" applyProtection="1">
      <alignment horizontal="center"/>
      <protection locked="0"/>
    </xf>
    <xf numFmtId="174" fontId="29" fillId="16" borderId="0" xfId="1" applyNumberFormat="1" applyFont="1" applyFill="1" applyAlignment="1" applyProtection="1">
      <alignment horizontal="left"/>
      <protection locked="0"/>
    </xf>
    <xf numFmtId="1" fontId="29" fillId="16" borderId="0" xfId="1" applyNumberFormat="1" applyFont="1" applyFill="1" applyAlignment="1" applyProtection="1">
      <alignment horizontal="center"/>
      <protection locked="0"/>
    </xf>
    <xf numFmtId="174" fontId="29" fillId="16" borderId="0" xfId="1" applyNumberFormat="1" applyFont="1" applyFill="1" applyAlignment="1">
      <alignment horizontal="center"/>
    </xf>
    <xf numFmtId="1" fontId="29" fillId="16" borderId="0" xfId="1" applyNumberFormat="1" applyFont="1" applyFill="1" applyAlignment="1">
      <alignment horizontal="center"/>
    </xf>
    <xf numFmtId="174" fontId="29" fillId="0" borderId="0" xfId="1" applyNumberFormat="1" applyFont="1" applyAlignment="1">
      <alignment horizontal="center"/>
    </xf>
    <xf numFmtId="174" fontId="28" fillId="16" borderId="18" xfId="1" applyNumberFormat="1" applyFont="1" applyFill="1" applyBorder="1"/>
    <xf numFmtId="174" fontId="29" fillId="16" borderId="18" xfId="1" applyNumberFormat="1" applyFont="1" applyFill="1" applyBorder="1" applyAlignment="1">
      <alignment horizontal="center"/>
    </xf>
    <xf numFmtId="174" fontId="28" fillId="16" borderId="18" xfId="1" applyNumberFormat="1" applyFont="1" applyFill="1" applyBorder="1" applyAlignment="1">
      <alignment horizontal="center"/>
    </xf>
    <xf numFmtId="174" fontId="28" fillId="0" borderId="18" xfId="1" applyNumberFormat="1" applyFont="1" applyBorder="1" applyAlignment="1">
      <alignment horizontal="center"/>
    </xf>
    <xf numFmtId="174" fontId="29" fillId="0" borderId="18" xfId="1" applyNumberFormat="1" applyFont="1" applyBorder="1" applyAlignment="1">
      <alignment horizontal="center"/>
    </xf>
    <xf numFmtId="170" fontId="25" fillId="0" borderId="0" xfId="1" applyNumberFormat="1" applyFont="1"/>
    <xf numFmtId="3" fontId="26" fillId="0" borderId="0" xfId="1" applyNumberFormat="1" applyFont="1"/>
    <xf numFmtId="0" fontId="31" fillId="0" borderId="0" xfId="1" applyFont="1"/>
    <xf numFmtId="10" fontId="25" fillId="0" borderId="0" xfId="66" applyNumberFormat="1" applyFont="1"/>
    <xf numFmtId="0" fontId="25" fillId="0" borderId="0" xfId="1" applyFont="1" applyAlignment="1">
      <alignment horizontal="center"/>
    </xf>
    <xf numFmtId="174" fontId="26" fillId="16" borderId="19" xfId="1" applyNumberFormat="1" applyFont="1" applyFill="1" applyBorder="1" applyAlignment="1" applyProtection="1">
      <alignment horizontal="left"/>
      <protection locked="0"/>
    </xf>
    <xf numFmtId="1" fontId="26" fillId="16" borderId="0" xfId="1" applyNumberFormat="1" applyFont="1" applyFill="1" applyAlignment="1" applyProtection="1">
      <alignment horizontal="left"/>
      <protection locked="0"/>
    </xf>
    <xf numFmtId="174" fontId="25" fillId="16" borderId="18" xfId="1" applyNumberFormat="1" applyFont="1" applyFill="1" applyBorder="1" applyAlignment="1" applyProtection="1">
      <alignment horizontal="left"/>
      <protection locked="0"/>
    </xf>
    <xf numFmtId="3" fontId="31" fillId="0" borderId="0" xfId="1" applyNumberFormat="1" applyFont="1"/>
    <xf numFmtId="0" fontId="26" fillId="16" borderId="0" xfId="1" applyFont="1" applyFill="1"/>
    <xf numFmtId="0" fontId="25" fillId="16" borderId="0" xfId="1" applyFont="1" applyFill="1"/>
    <xf numFmtId="9" fontId="25" fillId="0" borderId="0" xfId="66" applyFont="1" applyAlignment="1">
      <alignment horizontal="center"/>
    </xf>
    <xf numFmtId="2" fontId="25" fillId="0" borderId="0" xfId="61" applyFont="1" applyBorder="1"/>
    <xf numFmtId="180" fontId="26" fillId="0" borderId="0" xfId="41" applyNumberFormat="1" applyFont="1" applyFill="1" applyBorder="1"/>
    <xf numFmtId="180" fontId="25" fillId="0" borderId="0" xfId="41" applyNumberFormat="1" applyFont="1" applyFill="1" applyBorder="1"/>
    <xf numFmtId="0" fontId="26" fillId="0" borderId="0" xfId="58" applyFont="1"/>
    <xf numFmtId="0" fontId="25" fillId="0" borderId="0" xfId="58" applyFont="1"/>
    <xf numFmtId="0" fontId="25" fillId="0" borderId="0" xfId="58" applyFont="1" applyAlignment="1">
      <alignment horizontal="left"/>
    </xf>
    <xf numFmtId="179" fontId="25" fillId="0" borderId="0" xfId="61" applyNumberFormat="1" applyFont="1" applyBorder="1"/>
    <xf numFmtId="3" fontId="25" fillId="0" borderId="0" xfId="40" applyFont="1" applyBorder="1" applyAlignment="1" applyProtection="1">
      <alignment horizontal="left"/>
    </xf>
    <xf numFmtId="3" fontId="25" fillId="0" borderId="0" xfId="1" applyNumberFormat="1" applyFont="1" applyAlignment="1">
      <alignment horizontal="center"/>
    </xf>
    <xf numFmtId="10" fontId="25" fillId="0" borderId="0" xfId="66" applyNumberFormat="1" applyFont="1" applyAlignment="1">
      <alignment horizontal="center"/>
    </xf>
    <xf numFmtId="3" fontId="24" fillId="0" borderId="0" xfId="1" applyNumberFormat="1" applyFont="1" applyAlignment="1">
      <alignment horizontal="center"/>
    </xf>
    <xf numFmtId="170" fontId="25" fillId="0" borderId="0" xfId="66" applyNumberFormat="1" applyFont="1" applyAlignment="1">
      <alignment horizontal="center"/>
    </xf>
    <xf numFmtId="171" fontId="25" fillId="0" borderId="0" xfId="1" applyNumberFormat="1" applyFont="1" applyAlignment="1">
      <alignment horizontal="center"/>
    </xf>
    <xf numFmtId="170" fontId="26" fillId="0" borderId="0" xfId="66" applyNumberFormat="1" applyFont="1" applyAlignment="1">
      <alignment horizontal="center"/>
    </xf>
    <xf numFmtId="170" fontId="25" fillId="0" borderId="0" xfId="66" applyNumberFormat="1" applyFont="1" applyFill="1" applyAlignment="1">
      <alignment horizontal="center"/>
    </xf>
    <xf numFmtId="3" fontId="26" fillId="0" borderId="0" xfId="1" applyNumberFormat="1" applyFont="1" applyAlignment="1">
      <alignment horizontal="center"/>
    </xf>
    <xf numFmtId="3" fontId="31" fillId="0" borderId="0" xfId="1" applyNumberFormat="1" applyFont="1" applyAlignment="1">
      <alignment horizontal="center"/>
    </xf>
    <xf numFmtId="10" fontId="26" fillId="0" borderId="0" xfId="66" applyNumberFormat="1" applyFont="1" applyAlignment="1">
      <alignment horizontal="center"/>
    </xf>
    <xf numFmtId="170" fontId="31" fillId="0" borderId="0" xfId="66" applyNumberFormat="1" applyFont="1" applyAlignment="1">
      <alignment horizontal="center"/>
    </xf>
    <xf numFmtId="10" fontId="31" fillId="0" borderId="0" xfId="66" applyNumberFormat="1" applyFont="1" applyAlignment="1">
      <alignment horizontal="center"/>
    </xf>
    <xf numFmtId="10" fontId="25" fillId="0" borderId="0" xfId="1" applyNumberFormat="1" applyFont="1" applyAlignment="1">
      <alignment horizontal="center"/>
    </xf>
    <xf numFmtId="0" fontId="39" fillId="0" borderId="0" xfId="1" applyFont="1"/>
    <xf numFmtId="170" fontId="39" fillId="0" borderId="0" xfId="66" applyNumberFormat="1" applyFont="1" applyAlignment="1">
      <alignment horizontal="center"/>
    </xf>
    <xf numFmtId="0" fontId="25" fillId="16" borderId="0" xfId="1" applyFont="1" applyFill="1" applyAlignment="1">
      <alignment horizontal="center"/>
    </xf>
    <xf numFmtId="0" fontId="26" fillId="16" borderId="0" xfId="1" applyFont="1" applyFill="1" applyAlignment="1">
      <alignment horizontal="center"/>
    </xf>
    <xf numFmtId="10" fontId="25" fillId="0" borderId="0" xfId="1" applyNumberFormat="1" applyFont="1"/>
    <xf numFmtId="194" fontId="6" fillId="0" borderId="0" xfId="1" applyNumberFormat="1" applyFont="1" applyAlignment="1">
      <alignment horizontal="center"/>
    </xf>
    <xf numFmtId="193" fontId="6" fillId="0" borderId="0" xfId="1" applyNumberFormat="1" applyFont="1" applyAlignment="1">
      <alignment horizontal="center"/>
    </xf>
    <xf numFmtId="9" fontId="6" fillId="0" borderId="0" xfId="1" applyNumberFormat="1" applyFont="1" applyAlignment="1">
      <alignment horizontal="center"/>
    </xf>
    <xf numFmtId="164" fontId="6" fillId="0" borderId="0" xfId="1" applyNumberFormat="1" applyFont="1" applyAlignment="1">
      <alignment horizontal="center"/>
    </xf>
    <xf numFmtId="9" fontId="9" fillId="0" borderId="0" xfId="66" applyFont="1" applyBorder="1" applyAlignment="1">
      <alignment horizontal="center"/>
    </xf>
    <xf numFmtId="9" fontId="9" fillId="0" borderId="0" xfId="66" applyFont="1" applyFill="1" applyBorder="1" applyAlignment="1">
      <alignment horizontal="center"/>
    </xf>
    <xf numFmtId="10" fontId="9" fillId="0" borderId="0" xfId="1" applyNumberFormat="1" applyFont="1" applyAlignment="1">
      <alignment horizontal="center"/>
    </xf>
    <xf numFmtId="172" fontId="9" fillId="0" borderId="0" xfId="1" applyNumberFormat="1" applyFont="1" applyAlignment="1">
      <alignment horizontal="center"/>
    </xf>
    <xf numFmtId="171" fontId="25" fillId="0" borderId="0" xfId="1" applyNumberFormat="1" applyFont="1"/>
    <xf numFmtId="0" fontId="31" fillId="0" borderId="0" xfId="1" applyFont="1" applyAlignment="1">
      <alignment horizontal="center"/>
    </xf>
    <xf numFmtId="0" fontId="26" fillId="15" borderId="0" xfId="1" applyFont="1" applyFill="1"/>
    <xf numFmtId="0" fontId="26" fillId="15" borderId="0" xfId="1" applyFont="1" applyFill="1" applyAlignment="1">
      <alignment horizontal="center"/>
    </xf>
    <xf numFmtId="0" fontId="39" fillId="0" borderId="0" xfId="1" applyFont="1" applyAlignment="1">
      <alignment horizontal="center"/>
    </xf>
    <xf numFmtId="170" fontId="31" fillId="0" borderId="0" xfId="66" applyNumberFormat="1" applyFont="1" applyFill="1" applyAlignment="1">
      <alignment horizontal="center"/>
    </xf>
    <xf numFmtId="170" fontId="39" fillId="0" borderId="0" xfId="66" applyNumberFormat="1" applyFont="1" applyFill="1" applyAlignment="1">
      <alignment horizontal="center"/>
    </xf>
    <xf numFmtId="3" fontId="34" fillId="0" borderId="0" xfId="1" applyNumberFormat="1" applyFont="1" applyAlignment="1">
      <alignment horizontal="center"/>
    </xf>
    <xf numFmtId="171" fontId="26" fillId="0" borderId="0" xfId="1" applyNumberFormat="1" applyFont="1" applyAlignment="1">
      <alignment horizontal="center"/>
    </xf>
    <xf numFmtId="10" fontId="25" fillId="0" borderId="0" xfId="66" applyNumberFormat="1" applyFont="1" applyFill="1" applyAlignment="1">
      <alignment horizontal="center"/>
    </xf>
    <xf numFmtId="0" fontId="46" fillId="0" borderId="0" xfId="1" applyFont="1"/>
    <xf numFmtId="3" fontId="37" fillId="0" borderId="0" xfId="1" applyNumberFormat="1" applyFont="1" applyAlignment="1">
      <alignment horizontal="center"/>
    </xf>
    <xf numFmtId="174" fontId="29" fillId="16" borderId="19" xfId="1" applyNumberFormat="1" applyFont="1" applyFill="1" applyBorder="1" applyAlignment="1">
      <alignment horizontal="center"/>
    </xf>
    <xf numFmtId="3" fontId="45" fillId="0" borderId="0" xfId="1" applyNumberFormat="1" applyFont="1" applyAlignment="1">
      <alignment horizontal="center"/>
    </xf>
    <xf numFmtId="0" fontId="46" fillId="0" borderId="0" xfId="1" applyFont="1" applyAlignment="1">
      <alignment horizontal="center"/>
    </xf>
    <xf numFmtId="0" fontId="24" fillId="0" borderId="0" xfId="1" applyFont="1" applyAlignment="1">
      <alignment horizontal="center"/>
    </xf>
    <xf numFmtId="0" fontId="49" fillId="0" borderId="0" xfId="1" applyFont="1"/>
    <xf numFmtId="0" fontId="50" fillId="0" borderId="0" xfId="59" applyFont="1"/>
    <xf numFmtId="0" fontId="51" fillId="0" borderId="0" xfId="59" applyFont="1"/>
    <xf numFmtId="0" fontId="70" fillId="0" borderId="0" xfId="59" applyFont="1"/>
    <xf numFmtId="0" fontId="10" fillId="0" borderId="0" xfId="59" applyFont="1" applyAlignment="1">
      <alignment horizontal="center"/>
    </xf>
    <xf numFmtId="0" fontId="71" fillId="0" borderId="0" xfId="59" applyFont="1"/>
    <xf numFmtId="0" fontId="13" fillId="0" borderId="0" xfId="59" applyFont="1"/>
    <xf numFmtId="188" fontId="13" fillId="0" borderId="0" xfId="59" applyNumberFormat="1" applyFont="1" applyAlignment="1">
      <alignment horizontal="center"/>
    </xf>
    <xf numFmtId="191" fontId="10" fillId="0" borderId="0" xfId="59" applyNumberFormat="1" applyFont="1"/>
    <xf numFmtId="0" fontId="11" fillId="16" borderId="21" xfId="59" applyFont="1" applyFill="1" applyBorder="1"/>
    <xf numFmtId="0" fontId="10" fillId="16" borderId="22" xfId="59" applyFont="1" applyFill="1" applyBorder="1" applyAlignment="1">
      <alignment horizontal="center"/>
    </xf>
    <xf numFmtId="203" fontId="10" fillId="0" borderId="0" xfId="59" applyNumberFormat="1" applyFont="1"/>
    <xf numFmtId="0" fontId="10" fillId="0" borderId="23" xfId="59" applyFont="1" applyBorder="1"/>
    <xf numFmtId="0" fontId="10" fillId="0" borderId="14" xfId="59" applyFont="1" applyBorder="1" applyAlignment="1">
      <alignment horizontal="center"/>
    </xf>
    <xf numFmtId="0" fontId="11" fillId="16" borderId="24" xfId="59" applyFont="1" applyFill="1" applyBorder="1"/>
    <xf numFmtId="0" fontId="11" fillId="16" borderId="25" xfId="59" applyFont="1" applyFill="1" applyBorder="1" applyAlignment="1">
      <alignment horizontal="center"/>
    </xf>
    <xf numFmtId="0" fontId="11" fillId="16" borderId="26" xfId="59" applyFont="1" applyFill="1" applyBorder="1" applyAlignment="1">
      <alignment horizontal="center"/>
    </xf>
    <xf numFmtId="0" fontId="11" fillId="0" borderId="0" xfId="59" applyFont="1" applyAlignment="1">
      <alignment horizontal="center"/>
    </xf>
    <xf numFmtId="0" fontId="10" fillId="20" borderId="0" xfId="59" applyFont="1" applyFill="1"/>
    <xf numFmtId="0" fontId="10" fillId="18" borderId="0" xfId="59" applyFont="1" applyFill="1"/>
    <xf numFmtId="0" fontId="11" fillId="0" borderId="27" xfId="59" applyFont="1" applyBorder="1"/>
    <xf numFmtId="0" fontId="11" fillId="0" borderId="7" xfId="59" applyFont="1" applyBorder="1" applyAlignment="1">
      <alignment horizontal="center"/>
    </xf>
    <xf numFmtId="0" fontId="10" fillId="0" borderId="28" xfId="59" applyFont="1" applyBorder="1"/>
    <xf numFmtId="188" fontId="10" fillId="0" borderId="29" xfId="59" applyNumberFormat="1" applyFont="1" applyBorder="1" applyAlignment="1">
      <alignment horizontal="center"/>
    </xf>
    <xf numFmtId="190" fontId="11" fillId="0" borderId="0" xfId="1" applyNumberFormat="1" applyFont="1" applyAlignment="1">
      <alignment horizontal="right"/>
    </xf>
    <xf numFmtId="190" fontId="11" fillId="20" borderId="0" xfId="1" applyNumberFormat="1" applyFont="1" applyFill="1" applyAlignment="1">
      <alignment horizontal="right"/>
    </xf>
    <xf numFmtId="190" fontId="10" fillId="18" borderId="0" xfId="59" applyNumberFormat="1" applyFont="1" applyFill="1"/>
    <xf numFmtId="190" fontId="10" fillId="20" borderId="0" xfId="59" applyNumberFormat="1" applyFont="1" applyFill="1"/>
    <xf numFmtId="0" fontId="10" fillId="0" borderId="27" xfId="59" applyFont="1" applyBorder="1"/>
    <xf numFmtId="181" fontId="10" fillId="0" borderId="0" xfId="59" applyNumberFormat="1" applyFont="1" applyAlignment="1">
      <alignment horizontal="center"/>
    </xf>
    <xf numFmtId="190" fontId="10" fillId="0" borderId="0" xfId="59" applyNumberFormat="1" applyFont="1"/>
    <xf numFmtId="173" fontId="10" fillId="0" borderId="7" xfId="59" applyNumberFormat="1" applyFont="1" applyBorder="1" applyAlignment="1">
      <alignment horizontal="center"/>
    </xf>
    <xf numFmtId="173" fontId="10" fillId="0" borderId="0" xfId="59" applyNumberFormat="1" applyFont="1"/>
    <xf numFmtId="3" fontId="10" fillId="0" borderId="0" xfId="59" applyNumberFormat="1" applyFont="1"/>
    <xf numFmtId="0" fontId="13" fillId="0" borderId="27" xfId="59" applyFont="1" applyBorder="1"/>
    <xf numFmtId="188" fontId="10" fillId="0" borderId="0" xfId="59" applyNumberFormat="1" applyFont="1"/>
    <xf numFmtId="173" fontId="72" fillId="15" borderId="30" xfId="59" applyNumberFormat="1" applyFont="1" applyFill="1" applyBorder="1" applyAlignment="1">
      <alignment horizontal="center"/>
    </xf>
    <xf numFmtId="0" fontId="73" fillId="0" borderId="28" xfId="59" applyFont="1" applyBorder="1"/>
    <xf numFmtId="181" fontId="73" fillId="0" borderId="0" xfId="59" applyNumberFormat="1" applyFont="1" applyAlignment="1">
      <alignment horizontal="center"/>
    </xf>
    <xf numFmtId="188" fontId="73" fillId="0" borderId="29" xfId="59" applyNumberFormat="1" applyFont="1" applyBorder="1" applyAlignment="1">
      <alignment horizontal="center"/>
    </xf>
    <xf numFmtId="3" fontId="13" fillId="0" borderId="0" xfId="59" applyNumberFormat="1" applyFont="1"/>
    <xf numFmtId="0" fontId="10" fillId="0" borderId="7" xfId="59" applyFont="1" applyBorder="1" applyAlignment="1">
      <alignment horizontal="center"/>
    </xf>
    <xf numFmtId="189" fontId="10" fillId="0" borderId="0" xfId="59" applyNumberFormat="1" applyFont="1"/>
    <xf numFmtId="0" fontId="11" fillId="0" borderId="28" xfId="59" applyFont="1" applyBorder="1"/>
    <xf numFmtId="181" fontId="11" fillId="0" borderId="0" xfId="59" applyNumberFormat="1" applyFont="1" applyAlignment="1">
      <alignment horizontal="center"/>
    </xf>
    <xf numFmtId="188" fontId="11" fillId="0" borderId="29" xfId="59" applyNumberFormat="1" applyFont="1" applyBorder="1" applyAlignment="1">
      <alignment horizontal="center"/>
    </xf>
    <xf numFmtId="170" fontId="71" fillId="0" borderId="0" xfId="66" applyNumberFormat="1" applyFont="1" applyFill="1" applyBorder="1"/>
    <xf numFmtId="170" fontId="32" fillId="15" borderId="0" xfId="66" applyNumberFormat="1" applyFont="1" applyFill="1" applyBorder="1"/>
    <xf numFmtId="170" fontId="32" fillId="20" borderId="0" xfId="66" applyNumberFormat="1" applyFont="1" applyFill="1" applyBorder="1"/>
    <xf numFmtId="170" fontId="32" fillId="21" borderId="0" xfId="66" applyNumberFormat="1" applyFont="1" applyFill="1" applyBorder="1"/>
    <xf numFmtId="170" fontId="32" fillId="0" borderId="0" xfId="66" applyNumberFormat="1" applyFont="1" applyFill="1" applyBorder="1"/>
    <xf numFmtId="172" fontId="10" fillId="0" borderId="0" xfId="59" applyNumberFormat="1" applyFont="1"/>
    <xf numFmtId="0" fontId="11" fillId="0" borderId="31" xfId="59" applyFont="1" applyBorder="1"/>
    <xf numFmtId="181" fontId="13" fillId="0" borderId="32" xfId="59" applyNumberFormat="1" applyFont="1" applyBorder="1" applyAlignment="1">
      <alignment horizontal="center"/>
    </xf>
    <xf numFmtId="188" fontId="11" fillId="0" borderId="33" xfId="59" applyNumberFormat="1" applyFont="1" applyBorder="1" applyAlignment="1">
      <alignment horizontal="center"/>
    </xf>
    <xf numFmtId="2" fontId="10" fillId="0" borderId="0" xfId="59" applyNumberFormat="1" applyFont="1"/>
    <xf numFmtId="0" fontId="13" fillId="0" borderId="34" xfId="59" applyFont="1" applyBorder="1" applyAlignment="1">
      <alignment horizontal="left"/>
    </xf>
    <xf numFmtId="187" fontId="13" fillId="0" borderId="35" xfId="59" applyNumberFormat="1" applyFont="1" applyBorder="1" applyAlignment="1">
      <alignment horizontal="center"/>
    </xf>
    <xf numFmtId="188" fontId="13" fillId="0" borderId="36" xfId="59" applyNumberFormat="1" applyFont="1" applyBorder="1" applyAlignment="1">
      <alignment horizontal="center"/>
    </xf>
    <xf numFmtId="170" fontId="71" fillId="0" borderId="0" xfId="66" applyNumberFormat="1" applyFont="1" applyFill="1" applyBorder="1" applyAlignment="1">
      <alignment horizontal="right"/>
    </xf>
    <xf numFmtId="206" fontId="14" fillId="0" borderId="0" xfId="59" applyNumberFormat="1" applyFont="1" applyAlignment="1">
      <alignment horizontal="center"/>
    </xf>
    <xf numFmtId="190" fontId="13" fillId="0" borderId="0" xfId="1" applyNumberFormat="1" applyFont="1" applyAlignment="1">
      <alignment horizontal="right"/>
    </xf>
    <xf numFmtId="3" fontId="13" fillId="0" borderId="0" xfId="1" applyNumberFormat="1" applyFont="1" applyAlignment="1">
      <alignment horizontal="right"/>
    </xf>
    <xf numFmtId="0" fontId="11" fillId="16" borderId="37" xfId="59" applyFont="1" applyFill="1" applyBorder="1" applyAlignment="1">
      <alignment horizontal="left"/>
    </xf>
    <xf numFmtId="0" fontId="11" fillId="16" borderId="19" xfId="59" applyFont="1" applyFill="1" applyBorder="1" applyAlignment="1">
      <alignment horizontal="center"/>
    </xf>
    <xf numFmtId="0" fontId="11" fillId="16" borderId="38" xfId="59" applyFont="1" applyFill="1" applyBorder="1" applyAlignment="1">
      <alignment horizontal="center"/>
    </xf>
    <xf numFmtId="0" fontId="11" fillId="0" borderId="0" xfId="59" applyFont="1" applyAlignment="1">
      <alignment horizontal="right"/>
    </xf>
    <xf numFmtId="0" fontId="10" fillId="0" borderId="39" xfId="59" applyFont="1" applyBorder="1" applyAlignment="1">
      <alignment horizontal="left"/>
    </xf>
    <xf numFmtId="188" fontId="10" fillId="0" borderId="40" xfId="59" applyNumberFormat="1" applyFont="1" applyBorder="1" applyAlignment="1">
      <alignment horizontal="center"/>
    </xf>
    <xf numFmtId="170" fontId="10" fillId="0" borderId="0" xfId="59" applyNumberFormat="1" applyFont="1"/>
    <xf numFmtId="170" fontId="10" fillId="15" borderId="0" xfId="59" applyNumberFormat="1" applyFont="1" applyFill="1"/>
    <xf numFmtId="170" fontId="14" fillId="0" borderId="0" xfId="59" applyNumberFormat="1" applyFont="1"/>
    <xf numFmtId="170" fontId="44" fillId="0" borderId="0" xfId="66" applyNumberFormat="1" applyFont="1" applyFill="1" applyBorder="1" applyAlignment="1">
      <alignment horizontal="center"/>
    </xf>
    <xf numFmtId="0" fontId="10" fillId="0" borderId="40" xfId="59" applyFont="1" applyBorder="1" applyAlignment="1">
      <alignment horizontal="center"/>
    </xf>
    <xf numFmtId="186" fontId="10" fillId="0" borderId="0" xfId="59" applyNumberFormat="1" applyFont="1" applyAlignment="1">
      <alignment horizontal="center"/>
    </xf>
    <xf numFmtId="0" fontId="12" fillId="0" borderId="0" xfId="59" applyFont="1"/>
    <xf numFmtId="0" fontId="10" fillId="0" borderId="15" xfId="59" applyFont="1" applyBorder="1"/>
    <xf numFmtId="0" fontId="14" fillId="0" borderId="0" xfId="59" applyFont="1"/>
    <xf numFmtId="0" fontId="6" fillId="0" borderId="15" xfId="59" applyFont="1" applyBorder="1" applyAlignment="1">
      <alignment horizontal="left"/>
    </xf>
    <xf numFmtId="0" fontId="11" fillId="0" borderId="41" xfId="59" applyFont="1" applyBorder="1" applyAlignment="1">
      <alignment horizontal="left"/>
    </xf>
    <xf numFmtId="181" fontId="11" fillId="0" borderId="42" xfId="59" applyNumberFormat="1" applyFont="1" applyBorder="1" applyAlignment="1">
      <alignment horizontal="center"/>
    </xf>
    <xf numFmtId="188" fontId="11" fillId="0" borderId="43" xfId="59" applyNumberFormat="1" applyFont="1" applyBorder="1" applyAlignment="1">
      <alignment horizontal="center"/>
    </xf>
    <xf numFmtId="188" fontId="11" fillId="0" borderId="0" xfId="59" applyNumberFormat="1" applyFont="1"/>
    <xf numFmtId="188" fontId="10" fillId="0" borderId="7" xfId="59" applyNumberFormat="1" applyFont="1" applyBorder="1" applyAlignment="1">
      <alignment horizontal="center"/>
    </xf>
    <xf numFmtId="187" fontId="10" fillId="0" borderId="0" xfId="59" applyNumberFormat="1" applyFont="1" applyAlignment="1">
      <alignment horizontal="center"/>
    </xf>
    <xf numFmtId="188" fontId="13" fillId="0" borderId="40" xfId="59" applyNumberFormat="1" applyFont="1" applyBorder="1" applyAlignment="1">
      <alignment horizontal="center"/>
    </xf>
    <xf numFmtId="0" fontId="8" fillId="0" borderId="15" xfId="59" applyFont="1" applyBorder="1" applyAlignment="1">
      <alignment horizontal="left"/>
    </xf>
    <xf numFmtId="188" fontId="11" fillId="0" borderId="7" xfId="59" applyNumberFormat="1" applyFont="1" applyBorder="1" applyAlignment="1">
      <alignment horizontal="center"/>
    </xf>
    <xf numFmtId="0" fontId="10" fillId="0" borderId="44" xfId="59" applyFont="1" applyBorder="1" applyAlignment="1">
      <alignment horizontal="left"/>
    </xf>
    <xf numFmtId="187" fontId="10" fillId="0" borderId="18" xfId="59" applyNumberFormat="1" applyFont="1" applyBorder="1" applyAlignment="1">
      <alignment horizontal="center"/>
    </xf>
    <xf numFmtId="189" fontId="10" fillId="0" borderId="45" xfId="66" applyNumberFormat="1" applyFont="1" applyFill="1" applyBorder="1" applyAlignment="1">
      <alignment horizontal="center"/>
    </xf>
    <xf numFmtId="189" fontId="10" fillId="0" borderId="0" xfId="66" applyNumberFormat="1" applyFont="1" applyFill="1" applyBorder="1"/>
    <xf numFmtId="3" fontId="11" fillId="0" borderId="0" xfId="1" applyNumberFormat="1" applyFont="1" applyAlignment="1">
      <alignment horizontal="right"/>
    </xf>
    <xf numFmtId="10" fontId="13" fillId="0" borderId="0" xfId="66" applyNumberFormat="1" applyFont="1" applyFill="1" applyBorder="1" applyAlignment="1">
      <alignment horizontal="right"/>
    </xf>
    <xf numFmtId="193" fontId="10" fillId="0" borderId="7" xfId="59" applyNumberFormat="1" applyFont="1" applyBorder="1" applyAlignment="1">
      <alignment horizontal="center"/>
    </xf>
    <xf numFmtId="0" fontId="11" fillId="16" borderId="37" xfId="59" applyFont="1" applyFill="1" applyBorder="1"/>
    <xf numFmtId="190" fontId="12" fillId="0" borderId="0" xfId="1" applyNumberFormat="1" applyFont="1" applyAlignment="1">
      <alignment horizontal="right"/>
    </xf>
    <xf numFmtId="3" fontId="12" fillId="0" borderId="0" xfId="1" applyNumberFormat="1" applyFont="1" applyAlignment="1">
      <alignment horizontal="right"/>
    </xf>
    <xf numFmtId="0" fontId="10" fillId="0" borderId="39" xfId="59" applyFont="1" applyBorder="1"/>
    <xf numFmtId="170" fontId="10" fillId="0" borderId="7" xfId="66" applyNumberFormat="1" applyFont="1" applyFill="1" applyBorder="1" applyAlignment="1">
      <alignment horizontal="center"/>
    </xf>
    <xf numFmtId="0" fontId="8" fillId="0" borderId="15" xfId="59" applyFont="1" applyBorder="1"/>
    <xf numFmtId="193" fontId="11" fillId="0" borderId="7" xfId="59" applyNumberFormat="1" applyFont="1" applyBorder="1" applyAlignment="1">
      <alignment horizontal="center"/>
    </xf>
    <xf numFmtId="0" fontId="11" fillId="0" borderId="39" xfId="59" applyFont="1" applyBorder="1" applyAlignment="1">
      <alignment horizontal="left"/>
    </xf>
    <xf numFmtId="188" fontId="11" fillId="0" borderId="40" xfId="59" applyNumberFormat="1" applyFont="1" applyBorder="1" applyAlignment="1">
      <alignment horizontal="center"/>
    </xf>
    <xf numFmtId="0" fontId="10" fillId="0" borderId="27" xfId="1" applyFont="1" applyBorder="1"/>
    <xf numFmtId="10" fontId="10" fillId="0" borderId="7" xfId="66" applyNumberFormat="1" applyFont="1" applyFill="1" applyBorder="1" applyAlignment="1">
      <alignment horizontal="center"/>
    </xf>
    <xf numFmtId="3" fontId="12" fillId="15" borderId="0" xfId="1" applyNumberFormat="1" applyFont="1" applyFill="1" applyAlignment="1">
      <alignment horizontal="right"/>
    </xf>
    <xf numFmtId="0" fontId="13" fillId="0" borderId="27" xfId="1" applyFont="1" applyBorder="1"/>
    <xf numFmtId="170" fontId="13" fillId="0" borderId="7" xfId="66" applyNumberFormat="1" applyFont="1" applyFill="1" applyBorder="1" applyAlignment="1">
      <alignment horizontal="center"/>
    </xf>
    <xf numFmtId="170" fontId="2" fillId="0" borderId="0" xfId="1" applyNumberFormat="1" applyFont="1"/>
    <xf numFmtId="3" fontId="15" fillId="15" borderId="0" xfId="1" applyNumberFormat="1" applyFont="1" applyFill="1" applyAlignment="1">
      <alignment horizontal="right"/>
    </xf>
    <xf numFmtId="3" fontId="15" fillId="20" borderId="0" xfId="1" applyNumberFormat="1" applyFont="1" applyFill="1" applyAlignment="1">
      <alignment horizontal="right"/>
    </xf>
    <xf numFmtId="3" fontId="15" fillId="21" borderId="0" xfId="1" applyNumberFormat="1" applyFont="1" applyFill="1" applyAlignment="1">
      <alignment horizontal="right"/>
    </xf>
    <xf numFmtId="3" fontId="15" fillId="0" borderId="0" xfId="1" applyNumberFormat="1" applyFont="1" applyAlignment="1">
      <alignment horizontal="right"/>
    </xf>
    <xf numFmtId="170" fontId="47" fillId="0" borderId="0" xfId="59" applyNumberFormat="1" applyFont="1"/>
    <xf numFmtId="10" fontId="12" fillId="0" borderId="0" xfId="66" applyNumberFormat="1" applyFont="1" applyFill="1" applyBorder="1" applyAlignment="1">
      <alignment horizontal="right"/>
    </xf>
    <xf numFmtId="10" fontId="15" fillId="15" borderId="0" xfId="66" applyNumberFormat="1" applyFont="1" applyFill="1" applyBorder="1" applyAlignment="1">
      <alignment horizontal="right"/>
    </xf>
    <xf numFmtId="170" fontId="8" fillId="0" borderId="0" xfId="66" applyNumberFormat="1" applyFont="1" applyFill="1" applyBorder="1"/>
    <xf numFmtId="188" fontId="11" fillId="0" borderId="0" xfId="59" applyNumberFormat="1" applyFont="1" applyAlignment="1">
      <alignment horizontal="center"/>
    </xf>
    <xf numFmtId="170" fontId="11" fillId="0" borderId="0" xfId="66" applyNumberFormat="1" applyFont="1" applyFill="1" applyBorder="1" applyAlignment="1">
      <alignment horizontal="right"/>
    </xf>
    <xf numFmtId="170" fontId="11" fillId="20" borderId="0" xfId="66" applyNumberFormat="1" applyFont="1" applyFill="1" applyBorder="1" applyAlignment="1">
      <alignment horizontal="right"/>
    </xf>
    <xf numFmtId="170" fontId="11" fillId="21" borderId="0" xfId="66" applyNumberFormat="1" applyFont="1" applyFill="1" applyBorder="1" applyAlignment="1">
      <alignment horizontal="right"/>
    </xf>
    <xf numFmtId="170" fontId="12" fillId="0" borderId="0" xfId="66" applyNumberFormat="1" applyFont="1" applyFill="1" applyBorder="1" applyAlignment="1">
      <alignment horizontal="right"/>
    </xf>
    <xf numFmtId="0" fontId="11" fillId="0" borderId="0" xfId="59" applyFont="1" applyAlignment="1">
      <alignment horizontal="left"/>
    </xf>
    <xf numFmtId="170" fontId="15" fillId="15" borderId="0" xfId="66" applyNumberFormat="1" applyFont="1" applyFill="1" applyBorder="1" applyAlignment="1">
      <alignment horizontal="right"/>
    </xf>
    <xf numFmtId="0" fontId="10" fillId="0" borderId="0" xfId="59" applyFont="1" applyAlignment="1">
      <alignment horizontal="left"/>
    </xf>
    <xf numFmtId="188" fontId="10" fillId="0" borderId="0" xfId="59" applyNumberFormat="1" applyFont="1" applyAlignment="1">
      <alignment horizontal="center"/>
    </xf>
    <xf numFmtId="190" fontId="73" fillId="0" borderId="0" xfId="1" applyNumberFormat="1" applyFont="1" applyAlignment="1">
      <alignment horizontal="right"/>
    </xf>
    <xf numFmtId="0" fontId="10" fillId="0" borderId="46" xfId="59" applyFont="1" applyBorder="1"/>
    <xf numFmtId="37" fontId="14" fillId="0" borderId="17" xfId="59" applyNumberFormat="1" applyFont="1" applyBorder="1" applyAlignment="1">
      <alignment horizontal="center"/>
    </xf>
    <xf numFmtId="37" fontId="10" fillId="0" borderId="0" xfId="59" applyNumberFormat="1" applyFont="1" applyAlignment="1">
      <alignment horizontal="center"/>
    </xf>
    <xf numFmtId="0" fontId="51" fillId="0" borderId="0" xfId="59" applyFont="1" applyAlignment="1">
      <alignment horizontal="center"/>
    </xf>
    <xf numFmtId="0" fontId="51" fillId="0" borderId="0" xfId="59" applyFont="1" applyAlignment="1">
      <alignment horizontal="left"/>
    </xf>
    <xf numFmtId="188" fontId="51" fillId="0" borderId="0" xfId="59" applyNumberFormat="1" applyFont="1" applyAlignment="1">
      <alignment horizontal="center"/>
    </xf>
    <xf numFmtId="188" fontId="51" fillId="0" borderId="0" xfId="59" applyNumberFormat="1" applyFont="1"/>
    <xf numFmtId="9" fontId="74" fillId="0" borderId="0" xfId="1" applyNumberFormat="1" applyFont="1" applyAlignment="1">
      <alignment horizontal="center"/>
    </xf>
    <xf numFmtId="0" fontId="51" fillId="0" borderId="0" xfId="1" applyFont="1"/>
    <xf numFmtId="3" fontId="71" fillId="0" borderId="0" xfId="1" applyNumberFormat="1" applyFont="1" applyAlignment="1">
      <alignment horizontal="right"/>
    </xf>
    <xf numFmtId="0" fontId="73" fillId="0" borderId="0" xfId="59" applyFont="1"/>
    <xf numFmtId="170" fontId="73" fillId="0" borderId="0" xfId="66" applyNumberFormat="1" applyFont="1" applyFill="1" applyBorder="1" applyAlignment="1">
      <alignment horizontal="right"/>
    </xf>
    <xf numFmtId="170" fontId="75" fillId="0" borderId="0" xfId="66" applyNumberFormat="1" applyFont="1" applyFill="1" applyBorder="1" applyAlignment="1">
      <alignment horizontal="right"/>
    </xf>
    <xf numFmtId="190" fontId="71" fillId="0" borderId="0" xfId="1" applyNumberFormat="1" applyFont="1" applyAlignment="1">
      <alignment horizontal="right"/>
    </xf>
    <xf numFmtId="170" fontId="32" fillId="15" borderId="0" xfId="66" applyNumberFormat="1" applyFont="1" applyFill="1" applyBorder="1" applyAlignment="1">
      <alignment horizontal="right"/>
    </xf>
    <xf numFmtId="170" fontId="32" fillId="20" borderId="0" xfId="66" applyNumberFormat="1" applyFont="1" applyFill="1" applyBorder="1" applyAlignment="1">
      <alignment horizontal="right"/>
    </xf>
    <xf numFmtId="170" fontId="32" fillId="0" borderId="0" xfId="66" applyNumberFormat="1" applyFont="1" applyFill="1" applyBorder="1" applyAlignment="1">
      <alignment horizontal="right"/>
    </xf>
    <xf numFmtId="10" fontId="12" fillId="15" borderId="0" xfId="66" applyNumberFormat="1" applyFont="1" applyFill="1" applyBorder="1" applyAlignment="1">
      <alignment horizontal="right"/>
    </xf>
    <xf numFmtId="10" fontId="12" fillId="20" borderId="0" xfId="66" applyNumberFormat="1" applyFont="1" applyFill="1" applyBorder="1" applyAlignment="1">
      <alignment horizontal="right"/>
    </xf>
    <xf numFmtId="9" fontId="49" fillId="0" borderId="0" xfId="1" applyNumberFormat="1" applyFont="1" applyAlignment="1">
      <alignment horizontal="center"/>
    </xf>
    <xf numFmtId="10" fontId="10" fillId="0" borderId="0" xfId="66" applyNumberFormat="1" applyFont="1" applyFill="1" applyBorder="1"/>
    <xf numFmtId="0" fontId="50" fillId="0" borderId="0" xfId="59" applyFont="1" applyAlignment="1">
      <alignment horizontal="left"/>
    </xf>
    <xf numFmtId="188" fontId="50" fillId="0" borderId="0" xfId="59" applyNumberFormat="1" applyFont="1" applyAlignment="1">
      <alignment horizontal="center"/>
    </xf>
    <xf numFmtId="188" fontId="50" fillId="0" borderId="0" xfId="59" applyNumberFormat="1" applyFont="1"/>
    <xf numFmtId="3" fontId="12" fillId="0" borderId="0" xfId="66" applyNumberFormat="1" applyFont="1" applyFill="1" applyBorder="1" applyAlignment="1">
      <alignment horizontal="right"/>
    </xf>
    <xf numFmtId="193" fontId="49" fillId="0" borderId="0" xfId="1" applyNumberFormat="1" applyFont="1" applyAlignment="1">
      <alignment horizontal="center"/>
    </xf>
    <xf numFmtId="0" fontId="50" fillId="0" borderId="0" xfId="1" applyFont="1"/>
    <xf numFmtId="189" fontId="10" fillId="0" borderId="0" xfId="66" applyNumberFormat="1" applyFont="1" applyFill="1" applyBorder="1" applyAlignment="1">
      <alignment horizontal="center"/>
    </xf>
    <xf numFmtId="190" fontId="50" fillId="0" borderId="0" xfId="1" applyNumberFormat="1" applyFont="1" applyAlignment="1">
      <alignment horizontal="right"/>
    </xf>
    <xf numFmtId="170" fontId="71" fillId="0" borderId="0" xfId="59" applyNumberFormat="1" applyFont="1"/>
    <xf numFmtId="181" fontId="10" fillId="0" borderId="0" xfId="59" applyNumberFormat="1" applyFont="1"/>
    <xf numFmtId="0" fontId="13" fillId="16" borderId="0" xfId="59" applyFont="1" applyFill="1"/>
    <xf numFmtId="190" fontId="13" fillId="16" borderId="0" xfId="1" applyNumberFormat="1" applyFont="1" applyFill="1" applyAlignment="1">
      <alignment horizontal="right"/>
    </xf>
    <xf numFmtId="3" fontId="13" fillId="16" borderId="0" xfId="1" applyNumberFormat="1" applyFont="1" applyFill="1" applyAlignment="1">
      <alignment horizontal="right"/>
    </xf>
    <xf numFmtId="187" fontId="10" fillId="0" borderId="0" xfId="59" applyNumberFormat="1" applyFont="1"/>
    <xf numFmtId="178" fontId="10" fillId="0" borderId="0" xfId="59" applyNumberFormat="1" applyFont="1"/>
    <xf numFmtId="9" fontId="10" fillId="0" borderId="0" xfId="59" applyNumberFormat="1" applyFont="1"/>
    <xf numFmtId="181" fontId="11" fillId="0" borderId="0" xfId="59" applyNumberFormat="1" applyFont="1"/>
    <xf numFmtId="181" fontId="13" fillId="16" borderId="0" xfId="59" applyNumberFormat="1" applyFont="1" applyFill="1"/>
    <xf numFmtId="0" fontId="73" fillId="0" borderId="0" xfId="59" applyFont="1" applyAlignment="1">
      <alignment horizontal="center"/>
    </xf>
    <xf numFmtId="181" fontId="13" fillId="0" borderId="0" xfId="59" applyNumberFormat="1" applyFont="1"/>
    <xf numFmtId="0" fontId="71" fillId="0" borderId="0" xfId="59" applyFont="1" applyAlignment="1">
      <alignment horizontal="center"/>
    </xf>
    <xf numFmtId="190" fontId="11" fillId="0" borderId="0" xfId="59" applyNumberFormat="1" applyFont="1" applyAlignment="1">
      <alignment horizontal="center"/>
    </xf>
    <xf numFmtId="173" fontId="10" fillId="0" borderId="0" xfId="43" applyNumberFormat="1" applyFont="1" applyFill="1" applyBorder="1"/>
    <xf numFmtId="3" fontId="11" fillId="0" borderId="0" xfId="59" applyNumberFormat="1" applyFont="1"/>
    <xf numFmtId="170" fontId="71" fillId="0" borderId="0" xfId="1" applyNumberFormat="1" applyFont="1" applyAlignment="1">
      <alignment horizontal="right"/>
    </xf>
    <xf numFmtId="170" fontId="76" fillId="0" borderId="0" xfId="1" applyNumberFormat="1" applyFont="1" applyAlignment="1">
      <alignment horizontal="right"/>
    </xf>
    <xf numFmtId="170" fontId="14" fillId="22" borderId="47" xfId="59" applyNumberFormat="1" applyFont="1" applyFill="1" applyBorder="1"/>
    <xf numFmtId="9" fontId="14" fillId="0" borderId="0" xfId="59" applyNumberFormat="1" applyFont="1"/>
    <xf numFmtId="9" fontId="14" fillId="22" borderId="47" xfId="66" applyFont="1" applyFill="1" applyBorder="1"/>
    <xf numFmtId="0" fontId="11" fillId="15" borderId="37" xfId="59" applyFont="1" applyFill="1" applyBorder="1" applyAlignment="1">
      <alignment horizontal="left"/>
    </xf>
    <xf numFmtId="0" fontId="11" fillId="15" borderId="19" xfId="59" applyFont="1" applyFill="1" applyBorder="1" applyAlignment="1">
      <alignment horizontal="center"/>
    </xf>
    <xf numFmtId="0" fontId="11" fillId="15" borderId="38" xfId="59" applyFont="1" applyFill="1" applyBorder="1" applyAlignment="1">
      <alignment horizontal="center"/>
    </xf>
    <xf numFmtId="0" fontId="13" fillId="0" borderId="39" xfId="59" applyFont="1" applyBorder="1" applyAlignment="1">
      <alignment horizontal="left"/>
    </xf>
    <xf numFmtId="0" fontId="11" fillId="20" borderId="48" xfId="59" applyFont="1" applyFill="1" applyBorder="1"/>
    <xf numFmtId="170" fontId="10" fillId="0" borderId="47" xfId="66" applyNumberFormat="1" applyFont="1" applyFill="1" applyBorder="1" applyAlignment="1">
      <alignment horizontal="center"/>
    </xf>
    <xf numFmtId="191" fontId="14" fillId="0" borderId="0" xfId="59" applyNumberFormat="1" applyFont="1" applyAlignment="1">
      <alignment horizontal="center"/>
    </xf>
    <xf numFmtId="190" fontId="11" fillId="0" borderId="0" xfId="1" applyNumberFormat="1" applyFont="1" applyAlignment="1">
      <alignment horizontal="center"/>
    </xf>
    <xf numFmtId="0" fontId="13" fillId="0" borderId="0" xfId="59" applyFont="1" applyAlignment="1">
      <alignment horizontal="center"/>
    </xf>
    <xf numFmtId="190" fontId="13" fillId="0" borderId="0" xfId="1" applyNumberFormat="1" applyFont="1" applyAlignment="1">
      <alignment horizontal="center"/>
    </xf>
    <xf numFmtId="190" fontId="71" fillId="0" borderId="0" xfId="1" applyNumberFormat="1" applyFont="1" applyAlignment="1">
      <alignment horizontal="center"/>
    </xf>
    <xf numFmtId="190" fontId="12" fillId="0" borderId="0" xfId="1" applyNumberFormat="1" applyFont="1" applyAlignment="1">
      <alignment horizontal="center"/>
    </xf>
    <xf numFmtId="190" fontId="73" fillId="0" borderId="0" xfId="1" applyNumberFormat="1" applyFont="1" applyAlignment="1">
      <alignment horizontal="center"/>
    </xf>
    <xf numFmtId="190" fontId="50" fillId="0" borderId="0" xfId="1" applyNumberFormat="1" applyFont="1" applyAlignment="1">
      <alignment horizontal="center"/>
    </xf>
    <xf numFmtId="188" fontId="11" fillId="16" borderId="48" xfId="59" applyNumberFormat="1" applyFont="1" applyFill="1" applyBorder="1" applyAlignment="1">
      <alignment horizontal="center"/>
    </xf>
    <xf numFmtId="178" fontId="10" fillId="0" borderId="0" xfId="59" applyNumberFormat="1" applyFont="1" applyAlignment="1">
      <alignment horizontal="center"/>
    </xf>
    <xf numFmtId="9" fontId="10" fillId="0" borderId="0" xfId="59" applyNumberFormat="1" applyFont="1" applyAlignment="1">
      <alignment horizontal="center"/>
    </xf>
    <xf numFmtId="181" fontId="13" fillId="16" borderId="0" xfId="59" applyNumberFormat="1" applyFont="1" applyFill="1" applyAlignment="1">
      <alignment horizontal="center"/>
    </xf>
    <xf numFmtId="181" fontId="13" fillId="0" borderId="48" xfId="59" applyNumberFormat="1" applyFont="1" applyBorder="1" applyAlignment="1">
      <alignment horizontal="center"/>
    </xf>
    <xf numFmtId="181" fontId="13" fillId="0" borderId="0" xfId="59" applyNumberFormat="1" applyFont="1" applyAlignment="1">
      <alignment horizontal="center"/>
    </xf>
    <xf numFmtId="170" fontId="11" fillId="0" borderId="48" xfId="66" applyNumberFormat="1" applyFont="1" applyFill="1" applyBorder="1" applyAlignment="1">
      <alignment horizontal="center"/>
    </xf>
    <xf numFmtId="10" fontId="11" fillId="0" borderId="49" xfId="66" applyNumberFormat="1" applyFont="1" applyFill="1" applyBorder="1" applyAlignment="1">
      <alignment horizontal="center"/>
    </xf>
    <xf numFmtId="0" fontId="10" fillId="0" borderId="18" xfId="59" applyFont="1" applyBorder="1" applyAlignment="1">
      <alignment horizontal="center"/>
    </xf>
    <xf numFmtId="170" fontId="10" fillId="0" borderId="40" xfId="59" applyNumberFormat="1" applyFont="1" applyBorder="1" applyAlignment="1">
      <alignment horizontal="center"/>
    </xf>
    <xf numFmtId="170" fontId="10" fillId="0" borderId="45" xfId="59" applyNumberFormat="1" applyFont="1" applyBorder="1" applyAlignment="1">
      <alignment horizontal="center"/>
    </xf>
    <xf numFmtId="170" fontId="10" fillId="0" borderId="40" xfId="66" applyNumberFormat="1" applyFont="1" applyFill="1" applyBorder="1" applyAlignment="1">
      <alignment horizontal="center"/>
    </xf>
    <xf numFmtId="15" fontId="25" fillId="0" borderId="0" xfId="1" applyNumberFormat="1" applyFont="1" applyAlignment="1">
      <alignment horizontal="center"/>
    </xf>
    <xf numFmtId="174" fontId="30" fillId="16" borderId="19" xfId="1" applyNumberFormat="1" applyFont="1" applyFill="1" applyBorder="1" applyAlignment="1" applyProtection="1">
      <alignment horizontal="center"/>
      <protection locked="0"/>
    </xf>
    <xf numFmtId="172" fontId="29" fillId="16" borderId="19" xfId="1" applyNumberFormat="1" applyFont="1" applyFill="1" applyBorder="1" applyAlignment="1" applyProtection="1">
      <alignment horizontal="center"/>
      <protection locked="0"/>
    </xf>
    <xf numFmtId="172" fontId="29" fillId="16" borderId="0" xfId="1" applyNumberFormat="1" applyFont="1" applyFill="1" applyAlignment="1">
      <alignment horizontal="center"/>
    </xf>
    <xf numFmtId="172" fontId="28" fillId="16" borderId="18" xfId="1" applyNumberFormat="1" applyFont="1" applyFill="1" applyBorder="1" applyAlignment="1">
      <alignment horizontal="center"/>
    </xf>
    <xf numFmtId="0" fontId="27" fillId="19" borderId="20" xfId="1" applyFont="1" applyFill="1" applyBorder="1"/>
    <xf numFmtId="0" fontId="38" fillId="19" borderId="20" xfId="1" applyFont="1" applyFill="1" applyBorder="1" applyAlignment="1">
      <alignment horizontal="center"/>
    </xf>
    <xf numFmtId="0" fontId="38" fillId="19" borderId="20" xfId="1" applyFont="1" applyFill="1" applyBorder="1"/>
    <xf numFmtId="3" fontId="38" fillId="19" borderId="20" xfId="1" applyNumberFormat="1" applyFont="1" applyFill="1" applyBorder="1" applyAlignment="1">
      <alignment horizontal="center"/>
    </xf>
    <xf numFmtId="179" fontId="26" fillId="16" borderId="0" xfId="61" applyNumberFormat="1" applyFont="1" applyFill="1" applyBorder="1"/>
    <xf numFmtId="3" fontId="26" fillId="16" borderId="0" xfId="1" applyNumberFormat="1" applyFont="1" applyFill="1" applyAlignment="1">
      <alignment horizontal="center"/>
    </xf>
    <xf numFmtId="170" fontId="39" fillId="16" borderId="0" xfId="66" applyNumberFormat="1" applyFont="1" applyFill="1" applyAlignment="1">
      <alignment horizontal="center"/>
    </xf>
    <xf numFmtId="179" fontId="25" fillId="15" borderId="0" xfId="61" applyNumberFormat="1" applyFont="1" applyFill="1" applyBorder="1"/>
    <xf numFmtId="0" fontId="25" fillId="15" borderId="0" xfId="1" applyFont="1" applyFill="1" applyAlignment="1">
      <alignment horizontal="center"/>
    </xf>
    <xf numFmtId="0" fontId="25" fillId="15" borderId="0" xfId="1" applyFont="1" applyFill="1"/>
    <xf numFmtId="3" fontId="25" fillId="15" borderId="0" xfId="1" applyNumberFormat="1" applyFont="1" applyFill="1" applyAlignment="1">
      <alignment horizontal="center"/>
    </xf>
    <xf numFmtId="3" fontId="24" fillId="15" borderId="0" xfId="1" applyNumberFormat="1" applyFont="1" applyFill="1" applyAlignment="1">
      <alignment horizontal="center"/>
    </xf>
    <xf numFmtId="3" fontId="35" fillId="15" borderId="0" xfId="1" applyNumberFormat="1" applyFont="1" applyFill="1" applyAlignment="1">
      <alignment horizontal="center"/>
    </xf>
    <xf numFmtId="180" fontId="31" fillId="0" borderId="0" xfId="41" applyNumberFormat="1" applyFont="1" applyFill="1" applyBorder="1"/>
    <xf numFmtId="0" fontId="31" fillId="0" borderId="0" xfId="58" applyFont="1"/>
    <xf numFmtId="0" fontId="39" fillId="0" borderId="0" xfId="58" applyFont="1"/>
    <xf numFmtId="179" fontId="31" fillId="0" borderId="0" xfId="61" applyNumberFormat="1" applyFont="1" applyBorder="1"/>
    <xf numFmtId="179" fontId="39" fillId="16" borderId="0" xfId="61" applyNumberFormat="1" applyFont="1" applyFill="1" applyBorder="1"/>
    <xf numFmtId="180" fontId="25" fillId="0" borderId="0" xfId="1" applyNumberFormat="1" applyFont="1"/>
    <xf numFmtId="0" fontId="31" fillId="15" borderId="0" xfId="1" applyFont="1" applyFill="1"/>
    <xf numFmtId="0" fontId="31" fillId="15" borderId="0" xfId="1" applyFont="1" applyFill="1" applyAlignment="1">
      <alignment horizontal="center"/>
    </xf>
    <xf numFmtId="212" fontId="36" fillId="15" borderId="0" xfId="1" applyNumberFormat="1" applyFont="1" applyFill="1" applyAlignment="1">
      <alignment horizontal="center"/>
    </xf>
    <xf numFmtId="212" fontId="31" fillId="15" borderId="0" xfId="1" applyNumberFormat="1" applyFont="1" applyFill="1" applyAlignment="1">
      <alignment horizontal="center"/>
    </xf>
    <xf numFmtId="185" fontId="36" fillId="15" borderId="0" xfId="1" applyNumberFormat="1" applyFont="1" applyFill="1" applyAlignment="1">
      <alignment horizontal="center"/>
    </xf>
    <xf numFmtId="212" fontId="31" fillId="0" borderId="0" xfId="1" applyNumberFormat="1" applyFont="1" applyAlignment="1">
      <alignment horizontal="center"/>
    </xf>
    <xf numFmtId="212" fontId="36" fillId="0" borderId="0" xfId="1" applyNumberFormat="1" applyFont="1" applyAlignment="1">
      <alignment horizontal="center"/>
    </xf>
    <xf numFmtId="185" fontId="36" fillId="0" borderId="0" xfId="1" applyNumberFormat="1" applyFont="1" applyAlignment="1">
      <alignment horizontal="center"/>
    </xf>
    <xf numFmtId="0" fontId="26" fillId="23" borderId="20" xfId="1" applyFont="1" applyFill="1" applyBorder="1"/>
    <xf numFmtId="0" fontId="26" fillId="23" borderId="20" xfId="1" applyFont="1" applyFill="1" applyBorder="1" applyAlignment="1">
      <alignment horizontal="center"/>
    </xf>
    <xf numFmtId="170" fontId="31" fillId="15" borderId="0" xfId="66" applyNumberFormat="1" applyFont="1" applyFill="1" applyAlignment="1">
      <alignment horizontal="center"/>
    </xf>
    <xf numFmtId="170" fontId="46" fillId="15" borderId="0" xfId="66" applyNumberFormat="1" applyFont="1" applyFill="1" applyAlignment="1">
      <alignment horizontal="center"/>
    </xf>
    <xf numFmtId="0" fontId="33" fillId="0" borderId="0" xfId="1" applyFont="1"/>
    <xf numFmtId="10" fontId="25" fillId="15" borderId="0" xfId="66" applyNumberFormat="1" applyFont="1" applyFill="1" applyAlignment="1">
      <alignment horizontal="center"/>
    </xf>
    <xf numFmtId="10" fontId="35" fillId="15" borderId="0" xfId="66" applyNumberFormat="1" applyFont="1" applyFill="1" applyAlignment="1">
      <alignment horizontal="center"/>
    </xf>
    <xf numFmtId="10" fontId="39" fillId="0" borderId="0" xfId="66" applyNumberFormat="1" applyFont="1" applyAlignment="1">
      <alignment horizontal="center"/>
    </xf>
    <xf numFmtId="10" fontId="31" fillId="15" borderId="0" xfId="66" applyNumberFormat="1" applyFont="1" applyFill="1" applyAlignment="1">
      <alignment horizontal="center"/>
    </xf>
    <xf numFmtId="10" fontId="39" fillId="15" borderId="0" xfId="66" applyNumberFormat="1" applyFont="1" applyFill="1" applyAlignment="1">
      <alignment horizontal="center"/>
    </xf>
    <xf numFmtId="10" fontId="46" fillId="15" borderId="0" xfId="66" applyNumberFormat="1" applyFont="1" applyFill="1" applyAlignment="1">
      <alignment horizontal="center"/>
    </xf>
    <xf numFmtId="10" fontId="46" fillId="15" borderId="0" xfId="1" applyNumberFormat="1" applyFont="1" applyFill="1" applyAlignment="1">
      <alignment horizontal="center"/>
    </xf>
    <xf numFmtId="170" fontId="25" fillId="15" borderId="0" xfId="66" applyNumberFormat="1" applyFont="1" applyFill="1" applyAlignment="1">
      <alignment horizontal="center"/>
    </xf>
    <xf numFmtId="170" fontId="46" fillId="15" borderId="0" xfId="1" applyNumberFormat="1" applyFont="1" applyFill="1" applyAlignment="1">
      <alignment horizontal="center"/>
    </xf>
    <xf numFmtId="0" fontId="24" fillId="15" borderId="0" xfId="1" applyFont="1" applyFill="1" applyAlignment="1">
      <alignment horizontal="center"/>
    </xf>
    <xf numFmtId="170" fontId="36" fillId="15" borderId="0" xfId="66" applyNumberFormat="1" applyFont="1" applyFill="1" applyAlignment="1">
      <alignment horizontal="center"/>
    </xf>
    <xf numFmtId="0" fontId="26" fillId="20" borderId="20" xfId="1" applyFont="1" applyFill="1" applyBorder="1"/>
    <xf numFmtId="0" fontId="26" fillId="20" borderId="20" xfId="1" applyFont="1" applyFill="1" applyBorder="1" applyAlignment="1">
      <alignment horizontal="center"/>
    </xf>
    <xf numFmtId="10" fontId="26" fillId="0" borderId="0" xfId="1" applyNumberFormat="1" applyFont="1" applyAlignment="1">
      <alignment horizontal="center"/>
    </xf>
    <xf numFmtId="0" fontId="39" fillId="15" borderId="0" xfId="1" applyFont="1" applyFill="1"/>
    <xf numFmtId="0" fontId="39" fillId="15" borderId="0" xfId="1" applyFont="1" applyFill="1" applyAlignment="1">
      <alignment horizontal="center"/>
    </xf>
    <xf numFmtId="10" fontId="48" fillId="15" borderId="0" xfId="1" applyNumberFormat="1" applyFont="1" applyFill="1" applyAlignment="1">
      <alignment horizontal="center"/>
    </xf>
    <xf numFmtId="10" fontId="24" fillId="15" borderId="0" xfId="1" applyNumberFormat="1" applyFont="1" applyFill="1" applyAlignment="1">
      <alignment horizontal="center"/>
    </xf>
    <xf numFmtId="10" fontId="25" fillId="15" borderId="0" xfId="1" applyNumberFormat="1" applyFont="1" applyFill="1" applyAlignment="1">
      <alignment horizontal="center"/>
    </xf>
    <xf numFmtId="10" fontId="24" fillId="0" borderId="0" xfId="66" applyNumberFormat="1" applyFont="1" applyFill="1" applyAlignment="1">
      <alignment horizontal="center"/>
    </xf>
    <xf numFmtId="10" fontId="24" fillId="15" borderId="0" xfId="66" applyNumberFormat="1" applyFont="1" applyFill="1" applyAlignment="1">
      <alignment horizontal="center"/>
    </xf>
    <xf numFmtId="10" fontId="31" fillId="15" borderId="0" xfId="1" applyNumberFormat="1" applyFont="1" applyFill="1" applyAlignment="1">
      <alignment horizontal="center"/>
    </xf>
    <xf numFmtId="10" fontId="36" fillId="15" borderId="0" xfId="1" applyNumberFormat="1" applyFont="1" applyFill="1" applyAlignment="1">
      <alignment horizontal="center"/>
    </xf>
    <xf numFmtId="170" fontId="25" fillId="15" borderId="0" xfId="1" applyNumberFormat="1" applyFont="1" applyFill="1" applyAlignment="1">
      <alignment horizontal="center"/>
    </xf>
    <xf numFmtId="170" fontId="36" fillId="15" borderId="0" xfId="1" applyNumberFormat="1" applyFont="1" applyFill="1" applyAlignment="1">
      <alignment horizontal="center"/>
    </xf>
    <xf numFmtId="171" fontId="24" fillId="0" borderId="0" xfId="1" applyNumberFormat="1" applyFont="1" applyAlignment="1">
      <alignment horizontal="center"/>
    </xf>
    <xf numFmtId="171" fontId="34" fillId="0" borderId="0" xfId="1" applyNumberFormat="1" applyFont="1" applyAlignment="1">
      <alignment horizontal="center"/>
    </xf>
    <xf numFmtId="3" fontId="36" fillId="0" borderId="0" xfId="1" applyNumberFormat="1" applyFont="1" applyAlignment="1">
      <alignment horizontal="center"/>
    </xf>
    <xf numFmtId="170" fontId="25" fillId="0" borderId="0" xfId="1" applyNumberFormat="1" applyFont="1" applyAlignment="1">
      <alignment horizontal="center"/>
    </xf>
    <xf numFmtId="170" fontId="36" fillId="0" borderId="0" xfId="1" applyNumberFormat="1" applyFont="1" applyAlignment="1">
      <alignment horizontal="center"/>
    </xf>
    <xf numFmtId="3" fontId="26" fillId="15" borderId="0" xfId="1" applyNumberFormat="1" applyFont="1" applyFill="1" applyAlignment="1">
      <alignment horizontal="center"/>
    </xf>
    <xf numFmtId="170" fontId="77" fillId="15" borderId="0" xfId="66" applyNumberFormat="1" applyFont="1" applyFill="1" applyAlignment="1">
      <alignment horizontal="center"/>
    </xf>
    <xf numFmtId="3" fontId="31" fillId="15" borderId="0" xfId="1" applyNumberFormat="1" applyFont="1" applyFill="1" applyAlignment="1">
      <alignment horizontal="center"/>
    </xf>
    <xf numFmtId="170" fontId="77" fillId="0" borderId="0" xfId="66" applyNumberFormat="1" applyFont="1" applyFill="1" applyAlignment="1">
      <alignment horizontal="center"/>
    </xf>
    <xf numFmtId="170" fontId="78" fillId="0" borderId="0" xfId="66" applyNumberFormat="1" applyFont="1" applyFill="1" applyAlignment="1">
      <alignment horizontal="center"/>
    </xf>
    <xf numFmtId="3" fontId="39" fillId="0" borderId="0" xfId="1" applyNumberFormat="1" applyFont="1" applyAlignment="1">
      <alignment horizontal="center"/>
    </xf>
    <xf numFmtId="10" fontId="26" fillId="15" borderId="0" xfId="66" applyNumberFormat="1" applyFont="1" applyFill="1" applyAlignment="1">
      <alignment horizontal="center"/>
    </xf>
    <xf numFmtId="10" fontId="26" fillId="15" borderId="0" xfId="1" applyNumberFormat="1" applyFont="1" applyFill="1" applyAlignment="1">
      <alignment horizontal="center"/>
    </xf>
    <xf numFmtId="170" fontId="33" fillId="15" borderId="0" xfId="66" applyNumberFormat="1" applyFont="1" applyFill="1" applyAlignment="1">
      <alignment horizontal="center"/>
    </xf>
    <xf numFmtId="1" fontId="25" fillId="0" borderId="0" xfId="1" applyNumberFormat="1" applyFont="1" applyAlignment="1">
      <alignment horizontal="center"/>
    </xf>
    <xf numFmtId="212" fontId="34" fillId="0" borderId="0" xfId="1" applyNumberFormat="1" applyFont="1" applyAlignment="1">
      <alignment horizontal="center"/>
    </xf>
    <xf numFmtId="212" fontId="26" fillId="0" borderId="0" xfId="1" applyNumberFormat="1" applyFont="1" applyAlignment="1">
      <alignment horizontal="center"/>
    </xf>
    <xf numFmtId="10" fontId="35" fillId="15" borderId="0" xfId="1" applyNumberFormat="1" applyFont="1" applyFill="1" applyAlignment="1">
      <alignment horizontal="center"/>
    </xf>
    <xf numFmtId="4" fontId="26" fillId="0" borderId="0" xfId="1" applyNumberFormat="1" applyFont="1" applyAlignment="1">
      <alignment horizontal="center"/>
    </xf>
    <xf numFmtId="2" fontId="26" fillId="0" borderId="0" xfId="1" applyNumberFormat="1" applyFont="1" applyAlignment="1">
      <alignment horizontal="center"/>
    </xf>
    <xf numFmtId="170" fontId="35" fillId="15" borderId="0" xfId="66" applyNumberFormat="1" applyFont="1" applyFill="1" applyAlignment="1">
      <alignment horizontal="center"/>
    </xf>
    <xf numFmtId="9" fontId="24" fillId="15" borderId="0" xfId="66" applyFont="1" applyFill="1" applyAlignment="1">
      <alignment horizontal="center"/>
    </xf>
    <xf numFmtId="9" fontId="25" fillId="15" borderId="0" xfId="66" applyFont="1" applyFill="1" applyAlignment="1">
      <alignment horizontal="center"/>
    </xf>
    <xf numFmtId="170" fontId="24" fillId="15" borderId="0" xfId="1" applyNumberFormat="1" applyFont="1" applyFill="1" applyAlignment="1">
      <alignment horizontal="center"/>
    </xf>
    <xf numFmtId="170" fontId="35" fillId="15" borderId="0" xfId="1" applyNumberFormat="1" applyFont="1" applyFill="1" applyAlignment="1">
      <alignment horizontal="center"/>
    </xf>
    <xf numFmtId="2" fontId="25" fillId="15" borderId="0" xfId="1" applyNumberFormat="1" applyFont="1" applyFill="1" applyAlignment="1">
      <alignment horizontal="center"/>
    </xf>
    <xf numFmtId="213" fontId="24" fillId="15" borderId="0" xfId="1" applyNumberFormat="1" applyFont="1" applyFill="1" applyAlignment="1">
      <alignment horizontal="center"/>
    </xf>
    <xf numFmtId="213" fontId="35" fillId="15" borderId="0" xfId="1" applyNumberFormat="1" applyFont="1" applyFill="1" applyAlignment="1">
      <alignment horizontal="center"/>
    </xf>
    <xf numFmtId="9" fontId="35" fillId="15" borderId="0" xfId="66" applyFont="1" applyFill="1" applyAlignment="1">
      <alignment horizontal="center"/>
    </xf>
    <xf numFmtId="4" fontId="25" fillId="0" borderId="0" xfId="1" applyNumberFormat="1" applyFont="1" applyAlignment="1">
      <alignment horizontal="center"/>
    </xf>
    <xf numFmtId="213" fontId="25" fillId="15" borderId="0" xfId="1" applyNumberFormat="1" applyFont="1" applyFill="1" applyAlignment="1">
      <alignment horizontal="center"/>
    </xf>
    <xf numFmtId="171" fontId="25" fillId="15" borderId="0" xfId="1" applyNumberFormat="1" applyFont="1" applyFill="1" applyAlignment="1">
      <alignment horizontal="center"/>
    </xf>
    <xf numFmtId="172" fontId="25" fillId="15" borderId="0" xfId="1" applyNumberFormat="1" applyFont="1" applyFill="1" applyAlignment="1">
      <alignment horizontal="center"/>
    </xf>
    <xf numFmtId="171" fontId="31" fillId="0" borderId="0" xfId="1" applyNumberFormat="1" applyFont="1" applyAlignment="1">
      <alignment horizontal="center"/>
    </xf>
    <xf numFmtId="171" fontId="26" fillId="0" borderId="0" xfId="1" applyNumberFormat="1" applyFont="1"/>
    <xf numFmtId="0" fontId="36" fillId="0" borderId="0" xfId="1" applyFont="1"/>
    <xf numFmtId="0" fontId="36" fillId="0" borderId="0" xfId="1" applyFont="1" applyAlignment="1">
      <alignment horizontal="center"/>
    </xf>
    <xf numFmtId="3" fontId="37" fillId="15" borderId="0" xfId="1" applyNumberFormat="1" applyFont="1" applyFill="1" applyAlignment="1">
      <alignment horizontal="center"/>
    </xf>
    <xf numFmtId="170" fontId="24" fillId="15" borderId="0" xfId="66" applyNumberFormat="1" applyFont="1" applyFill="1" applyAlignment="1">
      <alignment horizontal="center"/>
    </xf>
    <xf numFmtId="9" fontId="24" fillId="0" borderId="0" xfId="1" applyNumberFormat="1" applyFont="1" applyAlignment="1">
      <alignment horizontal="center"/>
    </xf>
    <xf numFmtId="170" fontId="39" fillId="15" borderId="0" xfId="66" applyNumberFormat="1" applyFont="1" applyFill="1" applyAlignment="1">
      <alignment horizontal="center"/>
    </xf>
    <xf numFmtId="170" fontId="48" fillId="15" borderId="0" xfId="66" applyNumberFormat="1" applyFont="1" applyFill="1" applyAlignment="1">
      <alignment horizontal="center"/>
    </xf>
    <xf numFmtId="202" fontId="25" fillId="0" borderId="0" xfId="1" applyNumberFormat="1" applyFont="1" applyAlignment="1">
      <alignment horizontal="center"/>
    </xf>
    <xf numFmtId="170" fontId="26" fillId="0" borderId="0" xfId="1" applyNumberFormat="1" applyFont="1" applyAlignment="1">
      <alignment horizontal="center"/>
    </xf>
    <xf numFmtId="10" fontId="26" fillId="0" borderId="0" xfId="1" applyNumberFormat="1" applyFont="1"/>
    <xf numFmtId="0" fontId="26" fillId="0" borderId="20" xfId="1" applyFont="1" applyBorder="1"/>
    <xf numFmtId="0" fontId="38" fillId="0" borderId="20" xfId="1" applyFont="1" applyBorder="1"/>
    <xf numFmtId="0" fontId="25" fillId="0" borderId="0" xfId="1" applyFont="1" applyAlignment="1">
      <alignment horizontal="left"/>
    </xf>
    <xf numFmtId="15" fontId="34" fillId="15" borderId="0" xfId="1" applyNumberFormat="1" applyFont="1" applyFill="1" applyAlignment="1">
      <alignment horizontal="center"/>
    </xf>
    <xf numFmtId="0" fontId="35" fillId="0" borderId="0" xfId="1" applyFont="1" applyAlignment="1">
      <alignment horizontal="center"/>
    </xf>
    <xf numFmtId="172" fontId="46" fillId="0" borderId="0" xfId="1" applyNumberFormat="1" applyFont="1" applyAlignment="1">
      <alignment horizontal="center"/>
    </xf>
    <xf numFmtId="170" fontId="79" fillId="15" borderId="0" xfId="66" applyNumberFormat="1" applyFont="1" applyFill="1" applyAlignment="1">
      <alignment horizontal="center"/>
    </xf>
    <xf numFmtId="3" fontId="83" fillId="0" borderId="0" xfId="1" applyNumberFormat="1" applyFont="1" applyAlignment="1">
      <alignment horizontal="center"/>
    </xf>
    <xf numFmtId="0" fontId="83" fillId="0" borderId="0" xfId="1" applyFont="1"/>
    <xf numFmtId="2" fontId="46" fillId="0" borderId="0" xfId="1" applyNumberFormat="1" applyFont="1" applyAlignment="1">
      <alignment horizontal="center"/>
    </xf>
    <xf numFmtId="0" fontId="26" fillId="20" borderId="20" xfId="1" applyFont="1" applyFill="1" applyBorder="1" applyAlignment="1">
      <alignment horizontal="left"/>
    </xf>
    <xf numFmtId="3" fontId="84" fillId="15" borderId="0" xfId="1" applyNumberFormat="1" applyFont="1" applyFill="1" applyAlignment="1">
      <alignment horizontal="center"/>
    </xf>
    <xf numFmtId="0" fontId="25" fillId="15" borderId="0" xfId="1" applyFont="1" applyFill="1" applyAlignment="1">
      <alignment horizontal="left"/>
    </xf>
    <xf numFmtId="0" fontId="87" fillId="0" borderId="0" xfId="1" applyFont="1"/>
    <xf numFmtId="173" fontId="82" fillId="15" borderId="30" xfId="59" applyNumberFormat="1" applyFont="1" applyFill="1" applyBorder="1" applyAlignment="1">
      <alignment horizontal="center"/>
    </xf>
    <xf numFmtId="37" fontId="88" fillId="15" borderId="30" xfId="59" applyNumberFormat="1" applyFont="1" applyFill="1" applyBorder="1" applyAlignment="1">
      <alignment horizontal="center"/>
    </xf>
    <xf numFmtId="10" fontId="34" fillId="15" borderId="47" xfId="66" applyNumberFormat="1" applyFont="1" applyFill="1" applyBorder="1" applyAlignment="1">
      <alignment horizontal="center"/>
    </xf>
    <xf numFmtId="185" fontId="31" fillId="15" borderId="0" xfId="1" applyNumberFormat="1" applyFont="1" applyFill="1" applyAlignment="1">
      <alignment horizontal="center"/>
    </xf>
    <xf numFmtId="9" fontId="31" fillId="0" borderId="0" xfId="66" applyFont="1" applyAlignment="1">
      <alignment horizontal="center"/>
    </xf>
    <xf numFmtId="10" fontId="15" fillId="21" borderId="50" xfId="66" applyNumberFormat="1" applyFont="1" applyFill="1" applyBorder="1" applyAlignment="1">
      <alignment horizontal="right"/>
    </xf>
    <xf numFmtId="3" fontId="25" fillId="15" borderId="0" xfId="1" applyNumberFormat="1" applyFont="1" applyFill="1"/>
    <xf numFmtId="3" fontId="90" fillId="0" borderId="0" xfId="1" applyNumberFormat="1" applyFont="1" applyAlignment="1">
      <alignment horizontal="center"/>
    </xf>
    <xf numFmtId="3" fontId="91" fillId="0" borderId="0" xfId="1" applyNumberFormat="1" applyFont="1" applyAlignment="1">
      <alignment horizontal="center"/>
    </xf>
    <xf numFmtId="9" fontId="25" fillId="0" borderId="0" xfId="66" applyFont="1" applyFill="1" applyAlignment="1">
      <alignment horizontal="center"/>
    </xf>
    <xf numFmtId="3" fontId="25" fillId="0" borderId="0" xfId="2" applyNumberFormat="1" applyFont="1"/>
    <xf numFmtId="0" fontId="110" fillId="0" borderId="0" xfId="1" applyFont="1"/>
    <xf numFmtId="0" fontId="107" fillId="0" borderId="0" xfId="0" applyFont="1"/>
    <xf numFmtId="0" fontId="107" fillId="0" borderId="0" xfId="1" applyFont="1"/>
    <xf numFmtId="0" fontId="111" fillId="0" borderId="0" xfId="1" applyFont="1"/>
    <xf numFmtId="2" fontId="112" fillId="0" borderId="25" xfId="61" applyFont="1" applyBorder="1"/>
    <xf numFmtId="0" fontId="107" fillId="0" borderId="25" xfId="1" applyFont="1" applyBorder="1"/>
    <xf numFmtId="2" fontId="113" fillId="0" borderId="25" xfId="61" applyFont="1" applyBorder="1" applyAlignment="1">
      <alignment horizontal="right"/>
    </xf>
    <xf numFmtId="2" fontId="114" fillId="0" borderId="25" xfId="61" applyFont="1" applyBorder="1" applyAlignment="1">
      <alignment horizontal="right"/>
    </xf>
    <xf numFmtId="2" fontId="114" fillId="0" borderId="0" xfId="61" applyFont="1" applyBorder="1" applyAlignment="1">
      <alignment horizontal="right"/>
    </xf>
    <xf numFmtId="2" fontId="115" fillId="0" borderId="0" xfId="1" applyNumberFormat="1" applyFont="1"/>
    <xf numFmtId="2" fontId="112" fillId="0" borderId="0" xfId="61" applyFont="1" applyBorder="1"/>
    <xf numFmtId="2" fontId="107" fillId="0" borderId="0" xfId="61" applyFont="1" applyBorder="1"/>
    <xf numFmtId="180" fontId="107" fillId="0" borderId="0" xfId="58" applyNumberFormat="1" applyFont="1"/>
    <xf numFmtId="2" fontId="114" fillId="0" borderId="0" xfId="61" applyFont="1" applyBorder="1"/>
    <xf numFmtId="0" fontId="116" fillId="0" borderId="0" xfId="50" applyFont="1" applyBorder="1" applyAlignment="1" applyProtection="1">
      <alignment horizontal="right"/>
    </xf>
    <xf numFmtId="0" fontId="117" fillId="0" borderId="0" xfId="50" applyFont="1" applyBorder="1" applyAlignment="1" applyProtection="1">
      <alignment horizontal="right"/>
    </xf>
    <xf numFmtId="0" fontId="111" fillId="0" borderId="0" xfId="0" applyFont="1"/>
    <xf numFmtId="180" fontId="122" fillId="0" borderId="0" xfId="58" applyNumberFormat="1" applyFont="1" applyAlignment="1">
      <alignment horizontal="left"/>
    </xf>
    <xf numFmtId="3" fontId="122" fillId="0" borderId="0" xfId="58" applyNumberFormat="1" applyFont="1" applyAlignment="1">
      <alignment horizontal="right"/>
    </xf>
    <xf numFmtId="171" fontId="106" fillId="0" borderId="0" xfId="40" applyNumberFormat="1" applyFont="1" applyFill="1" applyBorder="1" applyAlignment="1">
      <alignment horizontal="right" vertical="center"/>
    </xf>
    <xf numFmtId="0" fontId="106" fillId="0" borderId="0" xfId="1" applyFont="1"/>
    <xf numFmtId="171" fontId="107" fillId="0" borderId="0" xfId="40" applyNumberFormat="1" applyFont="1" applyFill="1" applyBorder="1" applyAlignment="1">
      <alignment horizontal="right" vertical="center"/>
    </xf>
    <xf numFmtId="180" fontId="123" fillId="0" borderId="0" xfId="58" applyNumberFormat="1" applyFont="1" applyAlignment="1">
      <alignment horizontal="left"/>
    </xf>
    <xf numFmtId="3" fontId="123" fillId="0" borderId="0" xfId="58" applyNumberFormat="1" applyFont="1" applyAlignment="1">
      <alignment horizontal="right"/>
    </xf>
    <xf numFmtId="4" fontId="107" fillId="0" borderId="0" xfId="40" applyNumberFormat="1" applyFont="1" applyFill="1" applyBorder="1" applyAlignment="1">
      <alignment horizontal="right" vertical="center"/>
    </xf>
    <xf numFmtId="2" fontId="106" fillId="0" borderId="0" xfId="61" applyFont="1" applyBorder="1"/>
    <xf numFmtId="3" fontId="107" fillId="0" borderId="0" xfId="40" applyFont="1" applyFill="1" applyBorder="1" applyAlignment="1">
      <alignment horizontal="right"/>
    </xf>
    <xf numFmtId="180" fontId="124" fillId="0" borderId="0" xfId="58" applyNumberFormat="1" applyFont="1" applyAlignment="1">
      <alignment horizontal="left"/>
    </xf>
    <xf numFmtId="171" fontId="123" fillId="0" borderId="0" xfId="40" applyNumberFormat="1" applyFont="1" applyFill="1" applyBorder="1" applyAlignment="1">
      <alignment horizontal="right" vertical="center"/>
    </xf>
    <xf numFmtId="0" fontId="106" fillId="0" borderId="0" xfId="58" applyFont="1"/>
    <xf numFmtId="0" fontId="126" fillId="0" borderId="0" xfId="0" applyFont="1"/>
    <xf numFmtId="179" fontId="107" fillId="0" borderId="0" xfId="61" applyNumberFormat="1" applyFont="1" applyBorder="1"/>
    <xf numFmtId="180" fontId="107" fillId="0" borderId="0" xfId="41" applyNumberFormat="1" applyFont="1" applyFill="1" applyBorder="1"/>
    <xf numFmtId="180" fontId="106" fillId="16" borderId="0" xfId="41" applyNumberFormat="1" applyFont="1" applyFill="1" applyBorder="1"/>
    <xf numFmtId="0" fontId="126" fillId="0" borderId="0" xfId="1" applyFont="1"/>
    <xf numFmtId="2" fontId="106" fillId="0" borderId="0" xfId="1" applyNumberFormat="1" applyFont="1"/>
    <xf numFmtId="192" fontId="106" fillId="0" borderId="0" xfId="1" applyNumberFormat="1" applyFont="1"/>
    <xf numFmtId="0" fontId="109" fillId="0" borderId="0" xfId="1" applyFont="1"/>
    <xf numFmtId="170" fontId="109" fillId="0" borderId="0" xfId="66" applyNumberFormat="1" applyFont="1"/>
    <xf numFmtId="180" fontId="106" fillId="0" borderId="0" xfId="41" applyNumberFormat="1" applyFont="1" applyFill="1" applyBorder="1"/>
    <xf numFmtId="3" fontId="107" fillId="0" borderId="0" xfId="1" applyNumberFormat="1" applyFont="1"/>
    <xf numFmtId="3" fontId="107" fillId="0" borderId="0" xfId="1" applyNumberFormat="1" applyFont="1" applyAlignment="1">
      <alignment horizontal="right"/>
    </xf>
    <xf numFmtId="170" fontId="107" fillId="0" borderId="0" xfId="66" applyNumberFormat="1" applyFont="1"/>
    <xf numFmtId="180" fontId="107" fillId="0" borderId="0" xfId="62" applyNumberFormat="1" applyFont="1" applyAlignment="1">
      <alignment horizontal="left"/>
    </xf>
    <xf numFmtId="180" fontId="111" fillId="0" borderId="0" xfId="62" applyNumberFormat="1" applyFont="1" applyAlignment="1">
      <alignment horizontal="left"/>
    </xf>
    <xf numFmtId="0" fontId="118" fillId="0" borderId="0" xfId="58" applyFont="1" applyAlignment="1">
      <alignment horizontal="left"/>
    </xf>
    <xf numFmtId="176" fontId="107" fillId="0" borderId="0" xfId="40" applyNumberFormat="1" applyFont="1" applyFill="1" applyBorder="1" applyAlignment="1"/>
    <xf numFmtId="168" fontId="107" fillId="0" borderId="0" xfId="40" applyNumberFormat="1" applyFont="1" applyFill="1" applyBorder="1" applyAlignment="1" applyProtection="1">
      <alignment horizontal="right"/>
    </xf>
    <xf numFmtId="3" fontId="107" fillId="0" borderId="0" xfId="40" applyFont="1" applyFill="1" applyBorder="1"/>
    <xf numFmtId="3" fontId="106" fillId="0" borderId="0" xfId="40" applyFont="1" applyFill="1" applyBorder="1"/>
    <xf numFmtId="200" fontId="107" fillId="0" borderId="0" xfId="40" applyNumberFormat="1" applyFont="1" applyFill="1" applyBorder="1" applyAlignment="1" applyProtection="1">
      <alignment horizontal="right"/>
    </xf>
    <xf numFmtId="171" fontId="106" fillId="0" borderId="0" xfId="40" applyNumberFormat="1" applyFont="1" applyFill="1" applyBorder="1"/>
    <xf numFmtId="37" fontId="128" fillId="0" borderId="0" xfId="61" applyNumberFormat="1" applyFont="1" applyBorder="1"/>
    <xf numFmtId="3" fontId="106" fillId="0" borderId="0" xfId="40" applyFont="1" applyBorder="1"/>
    <xf numFmtId="3" fontId="115" fillId="0" borderId="0" xfId="40" applyFont="1" applyBorder="1"/>
    <xf numFmtId="3" fontId="107" fillId="0" borderId="0" xfId="40" applyFont="1" applyBorder="1"/>
    <xf numFmtId="10" fontId="107" fillId="0" borderId="0" xfId="66" applyNumberFormat="1" applyFont="1" applyBorder="1"/>
    <xf numFmtId="180" fontId="129" fillId="0" borderId="0" xfId="41" applyNumberFormat="1" applyFont="1" applyFill="1" applyBorder="1" applyAlignment="1">
      <alignment horizontal="left"/>
    </xf>
    <xf numFmtId="180" fontId="130" fillId="0" borderId="0" xfId="41" applyNumberFormat="1" applyFont="1" applyFill="1" applyBorder="1"/>
    <xf numFmtId="3" fontId="130" fillId="0" borderId="0" xfId="40" applyFont="1" applyBorder="1"/>
    <xf numFmtId="3" fontId="107" fillId="0" borderId="0" xfId="40" applyFont="1" applyBorder="1" applyAlignment="1">
      <alignment horizontal="right"/>
    </xf>
    <xf numFmtId="3" fontId="106" fillId="0" borderId="0" xfId="40" applyFont="1" applyBorder="1" applyAlignment="1">
      <alignment horizontal="right"/>
    </xf>
    <xf numFmtId="1" fontId="107" fillId="0" borderId="0" xfId="1" applyNumberFormat="1" applyFont="1"/>
    <xf numFmtId="10" fontId="107" fillId="0" borderId="0" xfId="66" applyNumberFormat="1" applyFont="1" applyBorder="1" applyAlignment="1">
      <alignment horizontal="right"/>
    </xf>
    <xf numFmtId="3" fontId="106" fillId="0" borderId="0" xfId="1" applyNumberFormat="1" applyFont="1"/>
    <xf numFmtId="0" fontId="131" fillId="0" borderId="0" xfId="1" applyFont="1"/>
    <xf numFmtId="0" fontId="105" fillId="24" borderId="0" xfId="1" applyFont="1" applyFill="1"/>
    <xf numFmtId="0" fontId="105" fillId="24" borderId="0" xfId="1" applyFont="1" applyFill="1" applyAlignment="1">
      <alignment horizontal="center"/>
    </xf>
    <xf numFmtId="0" fontId="107" fillId="0" borderId="0" xfId="1" applyFont="1" applyAlignment="1">
      <alignment horizontal="center"/>
    </xf>
    <xf numFmtId="0" fontId="106" fillId="0" borderId="19" xfId="1" applyFont="1" applyBorder="1"/>
    <xf numFmtId="0" fontId="107" fillId="0" borderId="19" xfId="1" applyFont="1" applyBorder="1"/>
    <xf numFmtId="164" fontId="106" fillId="0" borderId="0" xfId="1" applyNumberFormat="1" applyFont="1" applyAlignment="1">
      <alignment horizontal="center"/>
    </xf>
    <xf numFmtId="193" fontId="107" fillId="0" borderId="0" xfId="1" applyNumberFormat="1" applyFont="1" applyAlignment="1">
      <alignment horizontal="center"/>
    </xf>
    <xf numFmtId="0" fontId="107" fillId="0" borderId="18" xfId="1" applyFont="1" applyBorder="1"/>
    <xf numFmtId="170" fontId="107" fillId="0" borderId="0" xfId="66" applyNumberFormat="1" applyFont="1" applyFill="1" applyAlignment="1">
      <alignment horizontal="center"/>
    </xf>
    <xf numFmtId="192" fontId="106" fillId="0" borderId="0" xfId="1" applyNumberFormat="1" applyFont="1" applyAlignment="1">
      <alignment horizontal="center"/>
    </xf>
    <xf numFmtId="164" fontId="107" fillId="0" borderId="0" xfId="1" applyNumberFormat="1" applyFont="1" applyAlignment="1">
      <alignment horizontal="center"/>
    </xf>
    <xf numFmtId="0" fontId="106" fillId="0" borderId="18" xfId="1" applyFont="1" applyBorder="1"/>
    <xf numFmtId="164" fontId="106" fillId="0" borderId="18" xfId="1" applyNumberFormat="1" applyFont="1" applyBorder="1" applyAlignment="1">
      <alignment horizontal="center"/>
    </xf>
    <xf numFmtId="192" fontId="107" fillId="0" borderId="0" xfId="1" applyNumberFormat="1" applyFont="1" applyAlignment="1">
      <alignment horizontal="center"/>
    </xf>
    <xf numFmtId="9" fontId="107" fillId="0" borderId="0" xfId="66" applyFont="1" applyAlignment="1">
      <alignment horizontal="center"/>
    </xf>
    <xf numFmtId="9" fontId="107" fillId="0" borderId="0" xfId="1" applyNumberFormat="1" applyFont="1" applyAlignment="1">
      <alignment horizontal="center"/>
    </xf>
    <xf numFmtId="0" fontId="106" fillId="23" borderId="51" xfId="1" applyFont="1" applyFill="1" applyBorder="1"/>
    <xf numFmtId="0" fontId="106" fillId="23" borderId="52" xfId="1" applyFont="1" applyFill="1" applyBorder="1"/>
    <xf numFmtId="164" fontId="106" fillId="23" borderId="53" xfId="1" applyNumberFormat="1" applyFont="1" applyFill="1" applyBorder="1" applyAlignment="1">
      <alignment horizontal="center"/>
    </xf>
    <xf numFmtId="0" fontId="106" fillId="15" borderId="51" xfId="1" applyFont="1" applyFill="1" applyBorder="1"/>
    <xf numFmtId="0" fontId="106" fillId="15" borderId="52" xfId="1" applyFont="1" applyFill="1" applyBorder="1"/>
    <xf numFmtId="203" fontId="106" fillId="15" borderId="53" xfId="66" applyNumberFormat="1" applyFont="1" applyFill="1" applyBorder="1" applyAlignment="1">
      <alignment horizontal="center"/>
    </xf>
    <xf numFmtId="189" fontId="106" fillId="15" borderId="53" xfId="66" applyNumberFormat="1" applyFont="1" applyFill="1" applyBorder="1" applyAlignment="1">
      <alignment horizontal="center"/>
    </xf>
    <xf numFmtId="0" fontId="109" fillId="0" borderId="0" xfId="1" applyFont="1" applyAlignment="1">
      <alignment horizontal="center"/>
    </xf>
    <xf numFmtId="0" fontId="25" fillId="26" borderId="0" xfId="1" applyFont="1" applyFill="1"/>
    <xf numFmtId="175" fontId="107" fillId="0" borderId="0" xfId="40" applyNumberFormat="1" applyFont="1" applyFill="1" applyBorder="1" applyAlignment="1" applyProtection="1">
      <alignment horizontal="right"/>
    </xf>
    <xf numFmtId="170" fontId="107" fillId="0" borderId="0" xfId="66" applyNumberFormat="1" applyFont="1" applyFill="1" applyBorder="1"/>
    <xf numFmtId="0" fontId="11" fillId="0" borderId="10" xfId="59" applyFont="1" applyBorder="1"/>
    <xf numFmtId="164" fontId="11" fillId="0" borderId="0" xfId="59" applyNumberFormat="1" applyFont="1" applyAlignment="1">
      <alignment horizontal="center"/>
    </xf>
    <xf numFmtId="170" fontId="50" fillId="0" borderId="0" xfId="66" applyNumberFormat="1" applyFont="1" applyFill="1" applyBorder="1" applyAlignment="1">
      <alignment horizontal="center"/>
    </xf>
    <xf numFmtId="9" fontId="107" fillId="0" borderId="0" xfId="1" applyNumberFormat="1" applyFont="1"/>
    <xf numFmtId="0" fontId="25" fillId="0" borderId="0" xfId="2" applyFont="1"/>
    <xf numFmtId="0" fontId="25" fillId="26" borderId="0" xfId="2" applyFont="1" applyFill="1"/>
    <xf numFmtId="0" fontId="26" fillId="0" borderId="0" xfId="2" applyFont="1"/>
    <xf numFmtId="10" fontId="25" fillId="0" borderId="0" xfId="67" applyNumberFormat="1" applyFont="1" applyAlignment="1">
      <alignment horizontal="center"/>
    </xf>
    <xf numFmtId="10" fontId="104" fillId="26" borderId="0" xfId="67" applyNumberFormat="1" applyFont="1" applyFill="1" applyAlignment="1">
      <alignment horizontal="center"/>
    </xf>
    <xf numFmtId="10" fontId="133" fillId="0" borderId="0" xfId="67" applyNumberFormat="1" applyFont="1" applyFill="1" applyAlignment="1">
      <alignment horizontal="center"/>
    </xf>
    <xf numFmtId="10" fontId="26" fillId="0" borderId="0" xfId="67" applyNumberFormat="1" applyFont="1" applyAlignment="1">
      <alignment horizontal="center"/>
    </xf>
    <xf numFmtId="0" fontId="25" fillId="26" borderId="0" xfId="1" applyFont="1" applyFill="1" applyAlignment="1">
      <alignment horizontal="center"/>
    </xf>
    <xf numFmtId="10" fontId="26" fillId="26" borderId="0" xfId="66" applyNumberFormat="1" applyFont="1" applyFill="1" applyAlignment="1">
      <alignment horizontal="center"/>
    </xf>
    <xf numFmtId="10" fontId="25" fillId="26" borderId="0" xfId="66" applyNumberFormat="1" applyFont="1" applyFill="1" applyAlignment="1">
      <alignment horizontal="center"/>
    </xf>
    <xf numFmtId="10" fontId="25" fillId="26" borderId="0" xfId="1" applyNumberFormat="1" applyFont="1" applyFill="1"/>
    <xf numFmtId="0" fontId="26" fillId="0" borderId="0" xfId="2" applyFont="1" applyAlignment="1">
      <alignment horizontal="center"/>
    </xf>
    <xf numFmtId="10" fontId="104" fillId="0" borderId="0" xfId="2" applyNumberFormat="1" applyFont="1" applyAlignment="1">
      <alignment horizontal="center"/>
    </xf>
    <xf numFmtId="10" fontId="25" fillId="0" borderId="0" xfId="2" applyNumberFormat="1" applyFont="1" applyAlignment="1">
      <alignment horizontal="center"/>
    </xf>
    <xf numFmtId="171" fontId="134" fillId="0" borderId="0" xfId="1" applyNumberFormat="1" applyFont="1" applyAlignment="1">
      <alignment horizontal="center"/>
    </xf>
    <xf numFmtId="188" fontId="26" fillId="15" borderId="0" xfId="1" applyNumberFormat="1" applyFont="1" applyFill="1" applyAlignment="1">
      <alignment horizontal="center"/>
    </xf>
    <xf numFmtId="188" fontId="26" fillId="0" borderId="0" xfId="1" applyNumberFormat="1" applyFont="1" applyAlignment="1">
      <alignment horizontal="center"/>
    </xf>
    <xf numFmtId="213" fontId="104" fillId="26" borderId="0" xfId="1" applyNumberFormat="1" applyFont="1" applyFill="1" applyAlignment="1">
      <alignment horizontal="center"/>
    </xf>
    <xf numFmtId="10" fontId="15" fillId="15" borderId="47" xfId="66" applyNumberFormat="1" applyFont="1" applyFill="1" applyBorder="1" applyAlignment="1">
      <alignment horizontal="right"/>
    </xf>
    <xf numFmtId="171" fontId="106" fillId="27" borderId="0" xfId="40" applyNumberFormat="1" applyFont="1" applyFill="1" applyBorder="1" applyAlignment="1">
      <alignment horizontal="right" vertical="center"/>
    </xf>
    <xf numFmtId="0" fontId="135" fillId="0" borderId="0" xfId="1" applyFont="1"/>
    <xf numFmtId="3" fontId="136" fillId="0" borderId="0" xfId="1" applyNumberFormat="1" applyFont="1" applyAlignment="1">
      <alignment horizontal="center"/>
    </xf>
    <xf numFmtId="171" fontId="31" fillId="0" borderId="0" xfId="66" applyNumberFormat="1" applyFont="1" applyAlignment="1">
      <alignment horizontal="center"/>
    </xf>
    <xf numFmtId="0" fontId="16" fillId="0" borderId="0" xfId="0" applyFont="1"/>
    <xf numFmtId="0" fontId="0" fillId="0" borderId="18" xfId="0" applyBorder="1"/>
    <xf numFmtId="0" fontId="4" fillId="0" borderId="0" xfId="0" applyFont="1"/>
    <xf numFmtId="0" fontId="25" fillId="27" borderId="0" xfId="1" applyFont="1" applyFill="1"/>
    <xf numFmtId="9" fontId="26" fillId="0" borderId="0" xfId="66" applyFont="1"/>
    <xf numFmtId="174" fontId="29" fillId="27" borderId="19" xfId="1" applyNumberFormat="1" applyFont="1" applyFill="1" applyBorder="1" applyAlignment="1">
      <alignment horizontal="center"/>
    </xf>
    <xf numFmtId="174" fontId="29" fillId="27" borderId="0" xfId="1" applyNumberFormat="1" applyFont="1" applyFill="1" applyAlignment="1">
      <alignment horizontal="center"/>
    </xf>
    <xf numFmtId="174" fontId="29" fillId="27" borderId="18" xfId="1" applyNumberFormat="1" applyFont="1" applyFill="1" applyBorder="1" applyAlignment="1">
      <alignment horizontal="center"/>
    </xf>
    <xf numFmtId="212" fontId="25" fillId="0" borderId="0" xfId="1" applyNumberFormat="1" applyFont="1"/>
    <xf numFmtId="9" fontId="107" fillId="0" borderId="0" xfId="66" applyFont="1"/>
    <xf numFmtId="3" fontId="104" fillId="0" borderId="0" xfId="1" applyNumberFormat="1" applyFont="1" applyAlignment="1">
      <alignment horizontal="center"/>
    </xf>
    <xf numFmtId="0" fontId="31" fillId="26" borderId="0" xfId="1" applyFont="1" applyFill="1"/>
    <xf numFmtId="0" fontId="31" fillId="26" borderId="0" xfId="1" applyFont="1" applyFill="1" applyAlignment="1">
      <alignment horizontal="center"/>
    </xf>
    <xf numFmtId="3" fontId="31" fillId="26" borderId="0" xfId="1" applyNumberFormat="1" applyFont="1" applyFill="1" applyAlignment="1">
      <alignment horizontal="center"/>
    </xf>
    <xf numFmtId="170" fontId="31" fillId="26" borderId="0" xfId="66" applyNumberFormat="1" applyFont="1" applyFill="1" applyAlignment="1">
      <alignment horizontal="center"/>
    </xf>
    <xf numFmtId="0" fontId="39" fillId="26" borderId="0" xfId="1" applyFont="1" applyFill="1"/>
    <xf numFmtId="3" fontId="104" fillId="26" borderId="0" xfId="1" applyNumberFormat="1" applyFont="1" applyFill="1" applyAlignment="1">
      <alignment horizontal="center"/>
    </xf>
    <xf numFmtId="3" fontId="26" fillId="26" borderId="0" xfId="1" applyNumberFormat="1" applyFont="1" applyFill="1" applyAlignment="1">
      <alignment horizontal="center"/>
    </xf>
    <xf numFmtId="180" fontId="26" fillId="0" borderId="0" xfId="1" applyNumberFormat="1" applyFont="1"/>
    <xf numFmtId="180" fontId="31" fillId="0" borderId="0" xfId="1" applyNumberFormat="1" applyFont="1"/>
    <xf numFmtId="3" fontId="25" fillId="26" borderId="0" xfId="1" applyNumberFormat="1" applyFont="1" applyFill="1" applyAlignment="1">
      <alignment horizontal="center"/>
    </xf>
    <xf numFmtId="0" fontId="106" fillId="0" borderId="0" xfId="0" applyFont="1"/>
    <xf numFmtId="0" fontId="109" fillId="0" borderId="0" xfId="0" applyFont="1"/>
    <xf numFmtId="1" fontId="109" fillId="0" borderId="0" xfId="1" applyNumberFormat="1" applyFont="1"/>
    <xf numFmtId="4" fontId="123" fillId="0" borderId="0" xfId="58" applyNumberFormat="1" applyFont="1" applyAlignment="1">
      <alignment horizontal="right"/>
    </xf>
    <xf numFmtId="0" fontId="135" fillId="0" borderId="0" xfId="0" applyFont="1"/>
    <xf numFmtId="0" fontId="138" fillId="0" borderId="0" xfId="1" applyFont="1"/>
    <xf numFmtId="0" fontId="138" fillId="0" borderId="0" xfId="0" applyFont="1"/>
    <xf numFmtId="170" fontId="138" fillId="0" borderId="0" xfId="66" applyNumberFormat="1" applyFont="1"/>
    <xf numFmtId="1" fontId="138" fillId="0" borderId="0" xfId="1" applyNumberFormat="1" applyFont="1"/>
    <xf numFmtId="0" fontId="137" fillId="0" borderId="0" xfId="0" applyFont="1"/>
    <xf numFmtId="172" fontId="26" fillId="0" borderId="0" xfId="1" applyNumberFormat="1" applyFont="1" applyAlignment="1">
      <alignment horizontal="center"/>
    </xf>
    <xf numFmtId="0" fontId="107" fillId="0" borderId="18" xfId="0" applyFont="1" applyBorder="1"/>
    <xf numFmtId="3" fontId="31" fillId="26" borderId="0" xfId="1" applyNumberFormat="1" applyFont="1" applyFill="1"/>
    <xf numFmtId="10" fontId="109" fillId="0" borderId="0" xfId="66" applyNumberFormat="1" applyFont="1"/>
    <xf numFmtId="10" fontId="139" fillId="26" borderId="0" xfId="67" applyNumberFormat="1" applyFont="1" applyFill="1" applyAlignment="1">
      <alignment horizontal="center"/>
    </xf>
    <xf numFmtId="3" fontId="24" fillId="26" borderId="0" xfId="1" applyNumberFormat="1" applyFont="1" applyFill="1" applyAlignment="1">
      <alignment horizontal="center"/>
    </xf>
    <xf numFmtId="3" fontId="140" fillId="0" borderId="0" xfId="1" applyNumberFormat="1" applyFont="1" applyAlignment="1">
      <alignment horizontal="center"/>
    </xf>
    <xf numFmtId="170" fontId="141" fillId="0" borderId="0" xfId="66" applyNumberFormat="1" applyFont="1" applyAlignment="1">
      <alignment horizontal="center"/>
    </xf>
    <xf numFmtId="0" fontId="48" fillId="0" borderId="0" xfId="1" applyFont="1"/>
    <xf numFmtId="0" fontId="104" fillId="0" borderId="0" xfId="1" applyFont="1" applyAlignment="1">
      <alignment horizontal="center"/>
    </xf>
    <xf numFmtId="3" fontId="142" fillId="0" borderId="0" xfId="1" applyNumberFormat="1" applyFont="1" applyAlignment="1">
      <alignment horizontal="center"/>
    </xf>
    <xf numFmtId="170" fontId="31" fillId="0" borderId="0" xfId="1" applyNumberFormat="1" applyFont="1" applyAlignment="1">
      <alignment horizontal="center"/>
    </xf>
    <xf numFmtId="1" fontId="26" fillId="0" borderId="0" xfId="1" applyNumberFormat="1" applyFont="1" applyAlignment="1">
      <alignment horizontal="center"/>
    </xf>
    <xf numFmtId="3" fontId="134" fillId="0" borderId="0" xfId="1" applyNumberFormat="1" applyFont="1" applyAlignment="1">
      <alignment horizontal="center"/>
    </xf>
    <xf numFmtId="3" fontId="139" fillId="0" borderId="0" xfId="1" applyNumberFormat="1" applyFont="1" applyAlignment="1">
      <alignment horizontal="center"/>
    </xf>
    <xf numFmtId="0" fontId="26" fillId="26" borderId="0" xfId="1" applyFont="1" applyFill="1"/>
    <xf numFmtId="0" fontId="26" fillId="26" borderId="0" xfId="1" applyFont="1" applyFill="1" applyAlignment="1">
      <alignment horizontal="center"/>
    </xf>
    <xf numFmtId="170" fontId="26" fillId="26" borderId="0" xfId="66" applyNumberFormat="1" applyFont="1" applyFill="1" applyAlignment="1">
      <alignment horizontal="center"/>
    </xf>
    <xf numFmtId="170" fontId="39" fillId="26" borderId="0" xfId="66" applyNumberFormat="1" applyFont="1" applyFill="1" applyAlignment="1">
      <alignment horizontal="center"/>
    </xf>
    <xf numFmtId="170" fontId="143" fillId="26" borderId="0" xfId="66" applyNumberFormat="1" applyFont="1" applyFill="1" applyAlignment="1">
      <alignment horizontal="center"/>
    </xf>
    <xf numFmtId="0" fontId="143" fillId="26" borderId="0" xfId="1" applyFont="1" applyFill="1"/>
    <xf numFmtId="9" fontId="25" fillId="15" borderId="0" xfId="1" applyNumberFormat="1" applyFont="1" applyFill="1" applyAlignment="1">
      <alignment horizontal="center" vertical="center" wrapText="1"/>
    </xf>
    <xf numFmtId="170" fontId="144" fillId="26" borderId="0" xfId="66" applyNumberFormat="1" applyFont="1" applyFill="1" applyAlignment="1">
      <alignment horizontal="center"/>
    </xf>
    <xf numFmtId="211" fontId="107" fillId="0" borderId="0" xfId="1" applyNumberFormat="1" applyFont="1" applyAlignment="1">
      <alignment horizontal="center"/>
    </xf>
    <xf numFmtId="0" fontId="6" fillId="0" borderId="0" xfId="0" applyFont="1"/>
    <xf numFmtId="3" fontId="0" fillId="0" borderId="0" xfId="0" applyNumberFormat="1"/>
    <xf numFmtId="10" fontId="25" fillId="26" borderId="0" xfId="1" applyNumberFormat="1" applyFont="1" applyFill="1" applyAlignment="1">
      <alignment horizontal="center"/>
    </xf>
    <xf numFmtId="202" fontId="10" fillId="0" borderId="0" xfId="66" applyNumberFormat="1" applyFont="1" applyFill="1" applyBorder="1" applyAlignment="1">
      <alignment horizontal="right"/>
    </xf>
    <xf numFmtId="0" fontId="25" fillId="0" borderId="0" xfId="0" applyFont="1"/>
    <xf numFmtId="3" fontId="25" fillId="0" borderId="0" xfId="0" applyNumberFormat="1" applyFont="1" applyAlignment="1">
      <alignment horizontal="center"/>
    </xf>
    <xf numFmtId="0" fontId="107" fillId="0" borderId="20" xfId="0" applyFont="1" applyBorder="1"/>
    <xf numFmtId="0" fontId="106" fillId="0" borderId="20" xfId="0" applyFont="1" applyBorder="1" applyAlignment="1">
      <alignment horizontal="center"/>
    </xf>
    <xf numFmtId="0" fontId="145" fillId="32" borderId="0" xfId="0" applyFont="1" applyFill="1"/>
    <xf numFmtId="0" fontId="145" fillId="32" borderId="0" xfId="0" applyFont="1" applyFill="1" applyAlignment="1">
      <alignment horizontal="center"/>
    </xf>
    <xf numFmtId="0" fontId="146" fillId="32" borderId="0" xfId="0" applyFont="1" applyFill="1"/>
    <xf numFmtId="172" fontId="147" fillId="0" borderId="0" xfId="0" applyNumberFormat="1" applyFont="1" applyAlignment="1">
      <alignment horizontal="center"/>
    </xf>
    <xf numFmtId="0" fontId="147" fillId="0" borderId="0" xfId="0" applyFont="1"/>
    <xf numFmtId="0" fontId="109" fillId="26" borderId="0" xfId="0" applyFont="1" applyFill="1"/>
    <xf numFmtId="170" fontId="148" fillId="26" borderId="0" xfId="67" applyNumberFormat="1" applyFont="1" applyFill="1" applyAlignment="1">
      <alignment horizontal="center"/>
    </xf>
    <xf numFmtId="0" fontId="148" fillId="26" borderId="0" xfId="0" applyFont="1" applyFill="1"/>
    <xf numFmtId="0" fontId="149" fillId="0" borderId="0" xfId="0" applyFont="1"/>
    <xf numFmtId="10" fontId="147" fillId="0" borderId="0" xfId="0" applyNumberFormat="1" applyFont="1" applyAlignment="1">
      <alignment horizontal="center"/>
    </xf>
    <xf numFmtId="10" fontId="148" fillId="26" borderId="0" xfId="67" applyNumberFormat="1" applyFont="1" applyFill="1" applyAlignment="1">
      <alignment horizontal="center"/>
    </xf>
    <xf numFmtId="0" fontId="147" fillId="26" borderId="0" xfId="0" applyFont="1" applyFill="1"/>
    <xf numFmtId="3" fontId="147" fillId="0" borderId="0" xfId="0" applyNumberFormat="1" applyFont="1" applyAlignment="1">
      <alignment horizontal="center"/>
    </xf>
    <xf numFmtId="3" fontId="107" fillId="0" borderId="0" xfId="0" applyNumberFormat="1" applyFont="1" applyAlignment="1">
      <alignment horizontal="center"/>
    </xf>
    <xf numFmtId="10" fontId="109" fillId="26" borderId="0" xfId="67" applyNumberFormat="1" applyFont="1" applyFill="1" applyAlignment="1">
      <alignment horizontal="center"/>
    </xf>
    <xf numFmtId="0" fontId="107" fillId="0" borderId="0" xfId="0" quotePrefix="1" applyFont="1"/>
    <xf numFmtId="0" fontId="147" fillId="0" borderId="0" xfId="0" quotePrefix="1" applyFont="1"/>
    <xf numFmtId="0" fontId="109" fillId="0" borderId="0" xfId="0" quotePrefix="1" applyFont="1"/>
    <xf numFmtId="9" fontId="109" fillId="0" borderId="0" xfId="67" applyFont="1" applyAlignment="1">
      <alignment horizontal="center"/>
    </xf>
    <xf numFmtId="0" fontId="109" fillId="28" borderId="0" xfId="0" applyFont="1" applyFill="1"/>
    <xf numFmtId="170" fontId="148" fillId="28" borderId="0" xfId="67" applyNumberFormat="1" applyFont="1" applyFill="1" applyAlignment="1">
      <alignment horizontal="center"/>
    </xf>
    <xf numFmtId="0" fontId="148" fillId="28" borderId="0" xfId="0" applyFont="1" applyFill="1"/>
    <xf numFmtId="3" fontId="106" fillId="0" borderId="0" xfId="0" applyNumberFormat="1" applyFont="1" applyAlignment="1">
      <alignment horizontal="center"/>
    </xf>
    <xf numFmtId="3" fontId="147" fillId="0" borderId="0" xfId="0" applyNumberFormat="1" applyFont="1"/>
    <xf numFmtId="172" fontId="106" fillId="0" borderId="0" xfId="0" applyNumberFormat="1" applyFont="1" applyAlignment="1">
      <alignment horizontal="center"/>
    </xf>
    <xf numFmtId="0" fontId="109" fillId="28" borderId="18" xfId="0" applyFont="1" applyFill="1" applyBorder="1"/>
    <xf numFmtId="170" fontId="109" fillId="28" borderId="18" xfId="67" applyNumberFormat="1" applyFont="1" applyFill="1" applyBorder="1" applyAlignment="1">
      <alignment horizontal="center"/>
    </xf>
    <xf numFmtId="172" fontId="148" fillId="0" borderId="0" xfId="0" applyNumberFormat="1" applyFont="1" applyAlignment="1">
      <alignment horizontal="center"/>
    </xf>
    <xf numFmtId="0" fontId="145" fillId="33" borderId="0" xfId="0" applyFont="1" applyFill="1"/>
    <xf numFmtId="0" fontId="145" fillId="33" borderId="0" xfId="0" applyFont="1" applyFill="1" applyAlignment="1">
      <alignment horizontal="center"/>
    </xf>
    <xf numFmtId="0" fontId="146" fillId="33" borderId="0" xfId="0" applyFont="1" applyFill="1"/>
    <xf numFmtId="172" fontId="107" fillId="0" borderId="0" xfId="0" applyNumberFormat="1" applyFont="1" applyAlignment="1">
      <alignment horizontal="center"/>
    </xf>
    <xf numFmtId="170" fontId="109" fillId="26" borderId="0" xfId="67" applyNumberFormat="1" applyFont="1" applyFill="1" applyAlignment="1">
      <alignment horizontal="center"/>
    </xf>
    <xf numFmtId="170" fontId="150" fillId="26" borderId="0" xfId="67" applyNumberFormat="1" applyFont="1" applyFill="1" applyAlignment="1">
      <alignment horizontal="center"/>
    </xf>
    <xf numFmtId="0" fontId="150" fillId="26" borderId="0" xfId="0" applyFont="1" applyFill="1"/>
    <xf numFmtId="10" fontId="107" fillId="0" borderId="0" xfId="0" applyNumberFormat="1" applyFont="1" applyAlignment="1">
      <alignment horizontal="center"/>
    </xf>
    <xf numFmtId="0" fontId="107" fillId="26" borderId="0" xfId="0" applyFont="1" applyFill="1"/>
    <xf numFmtId="10" fontId="150" fillId="26" borderId="0" xfId="67" applyNumberFormat="1" applyFont="1" applyFill="1" applyAlignment="1">
      <alignment horizontal="center"/>
    </xf>
    <xf numFmtId="170" fontId="109" fillId="28" borderId="0" xfId="67" applyNumberFormat="1" applyFont="1" applyFill="1" applyAlignment="1">
      <alignment horizontal="center"/>
    </xf>
    <xf numFmtId="3" fontId="107" fillId="26" borderId="0" xfId="0" applyNumberFormat="1" applyFont="1" applyFill="1" applyAlignment="1">
      <alignment horizontal="center"/>
    </xf>
    <xf numFmtId="3" fontId="107" fillId="26" borderId="0" xfId="0" applyNumberFormat="1" applyFont="1" applyFill="1"/>
    <xf numFmtId="3" fontId="151" fillId="26" borderId="0" xfId="0" applyNumberFormat="1" applyFont="1" applyFill="1" applyAlignment="1">
      <alignment horizontal="center"/>
    </xf>
    <xf numFmtId="3" fontId="151" fillId="26" borderId="0" xfId="0" applyNumberFormat="1" applyFont="1" applyFill="1"/>
    <xf numFmtId="0" fontId="152" fillId="32" borderId="0" xfId="0" applyFont="1" applyFill="1"/>
    <xf numFmtId="0" fontId="152" fillId="32" borderId="0" xfId="0" applyFont="1" applyFill="1" applyAlignment="1">
      <alignment horizontal="center"/>
    </xf>
    <xf numFmtId="170" fontId="109" fillId="0" borderId="0" xfId="67" applyNumberFormat="1" applyFont="1" applyAlignment="1">
      <alignment horizontal="center"/>
    </xf>
    <xf numFmtId="216" fontId="109" fillId="0" borderId="0" xfId="0" applyNumberFormat="1" applyFont="1" applyAlignment="1">
      <alignment horizontal="center"/>
    </xf>
    <xf numFmtId="0" fontId="108" fillId="0" borderId="0" xfId="0" applyFont="1"/>
    <xf numFmtId="170" fontId="108" fillId="0" borderId="0" xfId="67" applyNumberFormat="1" applyFont="1" applyBorder="1" applyAlignment="1">
      <alignment horizontal="center"/>
    </xf>
    <xf numFmtId="0" fontId="108" fillId="0" borderId="18" xfId="0" applyFont="1" applyBorder="1"/>
    <xf numFmtId="170" fontId="108" fillId="0" borderId="18" xfId="67" applyNumberFormat="1" applyFont="1" applyBorder="1" applyAlignment="1">
      <alignment horizontal="center"/>
    </xf>
    <xf numFmtId="0" fontId="145" fillId="34" borderId="0" xfId="0" applyFont="1" applyFill="1"/>
    <xf numFmtId="0" fontId="145" fillId="34" borderId="0" xfId="0" applyFont="1" applyFill="1" applyAlignment="1">
      <alignment horizontal="center"/>
    </xf>
    <xf numFmtId="0" fontId="146" fillId="34" borderId="0" xfId="0" applyFont="1" applyFill="1"/>
    <xf numFmtId="0" fontId="107" fillId="0" borderId="0" xfId="0" applyFont="1" applyAlignment="1">
      <alignment horizontal="center"/>
    </xf>
    <xf numFmtId="0" fontId="107" fillId="28" borderId="0" xfId="0" applyFont="1" applyFill="1"/>
    <xf numFmtId="170" fontId="107" fillId="0" borderId="0" xfId="67" applyNumberFormat="1" applyFont="1" applyAlignment="1">
      <alignment horizontal="center"/>
    </xf>
    <xf numFmtId="4" fontId="107" fillId="0" borderId="0" xfId="0" applyNumberFormat="1" applyFont="1" applyAlignment="1">
      <alignment horizontal="center"/>
    </xf>
    <xf numFmtId="170" fontId="109" fillId="28" borderId="0" xfId="67" applyNumberFormat="1" applyFont="1" applyFill="1" applyBorder="1" applyAlignment="1">
      <alignment horizontal="center"/>
    </xf>
    <xf numFmtId="0" fontId="132" fillId="0" borderId="0" xfId="0" applyFont="1" applyAlignment="1">
      <alignment horizontal="center"/>
    </xf>
    <xf numFmtId="0" fontId="106" fillId="0" borderId="0" xfId="0" applyFont="1" applyAlignment="1">
      <alignment horizontal="center"/>
    </xf>
    <xf numFmtId="15" fontId="92" fillId="17" borderId="49" xfId="66" applyNumberFormat="1" applyFont="1" applyFill="1" applyBorder="1" applyAlignment="1">
      <alignment horizontal="center"/>
    </xf>
    <xf numFmtId="168" fontId="44" fillId="15" borderId="30" xfId="39" applyFont="1" applyFill="1" applyBorder="1" applyAlignment="1">
      <alignment horizontal="center" vertical="center" wrapText="1"/>
    </xf>
    <xf numFmtId="168" fontId="14" fillId="15" borderId="30" xfId="59" applyNumberFormat="1" applyFont="1" applyFill="1" applyBorder="1" applyAlignment="1">
      <alignment horizontal="center" vertical="center" wrapText="1"/>
    </xf>
    <xf numFmtId="168" fontId="10" fillId="0" borderId="7" xfId="59" applyNumberFormat="1" applyFont="1" applyBorder="1" applyAlignment="1">
      <alignment horizontal="center" vertical="center" wrapText="1"/>
    </xf>
    <xf numFmtId="9" fontId="10" fillId="0" borderId="7" xfId="59" applyNumberFormat="1" applyFont="1" applyBorder="1" applyAlignment="1">
      <alignment horizontal="center" vertical="center" wrapText="1"/>
    </xf>
    <xf numFmtId="0" fontId="120" fillId="0" borderId="0" xfId="0" applyFont="1"/>
    <xf numFmtId="0" fontId="92" fillId="18" borderId="0" xfId="59" applyFont="1" applyFill="1"/>
    <xf numFmtId="0" fontId="92" fillId="0" borderId="0" xfId="59" applyFont="1"/>
    <xf numFmtId="0" fontId="92" fillId="20" borderId="0" xfId="59" applyFont="1" applyFill="1"/>
    <xf numFmtId="10" fontId="93" fillId="20" borderId="47" xfId="66" applyNumberFormat="1" applyFont="1" applyFill="1" applyBorder="1" applyAlignment="1">
      <alignment horizontal="right"/>
    </xf>
    <xf numFmtId="10" fontId="94" fillId="0" borderId="7" xfId="66" applyNumberFormat="1" applyFont="1" applyFill="1" applyBorder="1" applyAlignment="1">
      <alignment horizontal="center"/>
    </xf>
    <xf numFmtId="170" fontId="94" fillId="0" borderId="7" xfId="66" applyNumberFormat="1" applyFont="1" applyFill="1" applyBorder="1" applyAlignment="1">
      <alignment horizontal="center"/>
    </xf>
    <xf numFmtId="170" fontId="95" fillId="0" borderId="7" xfId="66" applyNumberFormat="1" applyFont="1" applyFill="1" applyBorder="1" applyAlignment="1">
      <alignment horizontal="center"/>
    </xf>
    <xf numFmtId="37" fontId="92" fillId="0" borderId="7" xfId="59" applyNumberFormat="1" applyFont="1" applyBorder="1" applyAlignment="1">
      <alignment horizontal="center"/>
    </xf>
    <xf numFmtId="0" fontId="104" fillId="26" borderId="0" xfId="1" applyFont="1" applyFill="1" applyAlignment="1">
      <alignment horizontal="center"/>
    </xf>
    <xf numFmtId="2" fontId="154" fillId="29" borderId="48" xfId="1" applyNumberFormat="1" applyFont="1" applyFill="1" applyBorder="1" applyAlignment="1">
      <alignment horizontal="center"/>
    </xf>
    <xf numFmtId="170" fontId="143" fillId="0" borderId="0" xfId="1" applyNumberFormat="1" applyFont="1" applyAlignment="1">
      <alignment horizontal="center"/>
    </xf>
    <xf numFmtId="9" fontId="26" fillId="0" borderId="0" xfId="66" applyFont="1" applyFill="1" applyAlignment="1">
      <alignment horizontal="center"/>
    </xf>
    <xf numFmtId="9" fontId="25" fillId="26" borderId="0" xfId="66" applyFont="1" applyFill="1" applyAlignment="1">
      <alignment horizontal="center"/>
    </xf>
    <xf numFmtId="3" fontId="104" fillId="26" borderId="0" xfId="66" applyNumberFormat="1" applyFont="1" applyFill="1" applyAlignment="1">
      <alignment horizontal="center"/>
    </xf>
    <xf numFmtId="3" fontId="25" fillId="26" borderId="0" xfId="66" applyNumberFormat="1" applyFont="1" applyFill="1" applyAlignment="1">
      <alignment horizontal="center"/>
    </xf>
    <xf numFmtId="9" fontId="26" fillId="0" borderId="0" xfId="66" applyFont="1" applyAlignment="1">
      <alignment horizontal="center"/>
    </xf>
    <xf numFmtId="9" fontId="31" fillId="26" borderId="0" xfId="66" applyFont="1" applyFill="1" applyAlignment="1">
      <alignment horizontal="center"/>
    </xf>
    <xf numFmtId="9" fontId="39" fillId="0" borderId="0" xfId="66" applyFont="1" applyFill="1" applyAlignment="1">
      <alignment horizontal="center"/>
    </xf>
    <xf numFmtId="9" fontId="24" fillId="26" borderId="0" xfId="66" applyFont="1" applyFill="1" applyAlignment="1">
      <alignment horizontal="center"/>
    </xf>
    <xf numFmtId="213" fontId="24" fillId="26" borderId="0" xfId="1" applyNumberFormat="1" applyFont="1" applyFill="1" applyAlignment="1">
      <alignment horizontal="center"/>
    </xf>
    <xf numFmtId="0" fontId="31" fillId="0" borderId="0" xfId="0" applyFont="1"/>
    <xf numFmtId="170" fontId="26" fillId="0" borderId="0" xfId="66" applyNumberFormat="1" applyFont="1" applyFill="1" applyAlignment="1">
      <alignment horizontal="center"/>
    </xf>
    <xf numFmtId="0" fontId="25" fillId="0" borderId="0" xfId="2" applyFont="1" applyAlignment="1">
      <alignment horizontal="center"/>
    </xf>
    <xf numFmtId="3" fontId="25" fillId="0" borderId="0" xfId="2" applyNumberFormat="1" applyFont="1" applyAlignment="1">
      <alignment horizontal="center"/>
    </xf>
    <xf numFmtId="0" fontId="31" fillId="0" borderId="0" xfId="2" applyFont="1"/>
    <xf numFmtId="0" fontId="25" fillId="26" borderId="0" xfId="2" applyFont="1" applyFill="1" applyAlignment="1">
      <alignment horizontal="center"/>
    </xf>
    <xf numFmtId="3" fontId="25" fillId="26" borderId="0" xfId="2" applyNumberFormat="1" applyFont="1" applyFill="1"/>
    <xf numFmtId="3" fontId="25" fillId="26" borderId="0" xfId="2" applyNumberFormat="1" applyFont="1" applyFill="1" applyAlignment="1">
      <alignment horizontal="center"/>
    </xf>
    <xf numFmtId="3" fontId="24" fillId="0" borderId="0" xfId="2" applyNumberFormat="1" applyFont="1" applyAlignment="1">
      <alignment horizontal="center"/>
    </xf>
    <xf numFmtId="170" fontId="31" fillId="0" borderId="0" xfId="67" applyNumberFormat="1" applyFont="1" applyAlignment="1">
      <alignment horizontal="center"/>
    </xf>
    <xf numFmtId="3" fontId="106" fillId="0" borderId="0" xfId="40" applyFont="1" applyFill="1" applyBorder="1" applyAlignment="1">
      <alignment horizontal="right"/>
    </xf>
    <xf numFmtId="0" fontId="39" fillId="15" borderId="0" xfId="2" applyFont="1" applyFill="1"/>
    <xf numFmtId="0" fontId="39" fillId="15" borderId="0" xfId="2" applyFont="1" applyFill="1" applyAlignment="1">
      <alignment horizontal="center"/>
    </xf>
    <xf numFmtId="10" fontId="39" fillId="15" borderId="0" xfId="67" applyNumberFormat="1" applyFont="1" applyFill="1" applyAlignment="1">
      <alignment horizontal="center"/>
    </xf>
    <xf numFmtId="10" fontId="39" fillId="15" borderId="0" xfId="2" applyNumberFormat="1" applyFont="1" applyFill="1" applyAlignment="1">
      <alignment horizontal="center"/>
    </xf>
    <xf numFmtId="0" fontId="33" fillId="0" borderId="0" xfId="2" applyFont="1"/>
    <xf numFmtId="3" fontId="26" fillId="0" borderId="0" xfId="2" applyNumberFormat="1" applyFont="1" applyAlignment="1">
      <alignment horizontal="center"/>
    </xf>
    <xf numFmtId="10" fontId="25" fillId="26" borderId="0" xfId="67" applyNumberFormat="1" applyFont="1" applyFill="1" applyAlignment="1">
      <alignment horizontal="center"/>
    </xf>
    <xf numFmtId="215" fontId="104" fillId="26" borderId="0" xfId="2" applyNumberFormat="1" applyFont="1" applyFill="1" applyAlignment="1">
      <alignment horizontal="center"/>
    </xf>
    <xf numFmtId="170" fontId="26" fillId="0" borderId="0" xfId="66" applyNumberFormat="1" applyFont="1"/>
    <xf numFmtId="0" fontId="139" fillId="0" borderId="0" xfId="1" applyFont="1"/>
    <xf numFmtId="3" fontId="109" fillId="0" borderId="0" xfId="0" applyNumberFormat="1" applyFont="1" applyAlignment="1">
      <alignment horizontal="center"/>
    </xf>
    <xf numFmtId="10" fontId="109" fillId="0" borderId="0" xfId="67" applyNumberFormat="1" applyFont="1" applyFill="1" applyAlignment="1">
      <alignment horizontal="center"/>
    </xf>
    <xf numFmtId="0" fontId="150" fillId="0" borderId="0" xfId="0" applyFont="1"/>
    <xf numFmtId="170" fontId="148" fillId="0" borderId="0" xfId="67" applyNumberFormat="1" applyFont="1" applyFill="1" applyAlignment="1">
      <alignment horizontal="center"/>
    </xf>
    <xf numFmtId="0" fontId="148" fillId="0" borderId="0" xfId="0" applyFont="1"/>
    <xf numFmtId="170" fontId="109" fillId="0" borderId="0" xfId="67" applyNumberFormat="1" applyFont="1" applyFill="1" applyAlignment="1">
      <alignment horizontal="center"/>
    </xf>
    <xf numFmtId="174" fontId="29" fillId="0" borderId="0" xfId="1" applyNumberFormat="1" applyFont="1" applyAlignment="1" applyProtection="1">
      <alignment horizontal="center"/>
      <protection locked="0"/>
    </xf>
    <xf numFmtId="174" fontId="28" fillId="0" borderId="0" xfId="1" applyNumberFormat="1" applyFont="1" applyAlignment="1">
      <alignment horizontal="center"/>
    </xf>
    <xf numFmtId="0" fontId="38" fillId="19" borderId="0" xfId="1" applyFont="1" applyFill="1"/>
    <xf numFmtId="0" fontId="26" fillId="23" borderId="0" xfId="1" applyFont="1" applyFill="1"/>
    <xf numFmtId="0" fontId="26" fillId="20" borderId="0" xfId="1" applyFont="1" applyFill="1"/>
    <xf numFmtId="0" fontId="16" fillId="0" borderId="55" xfId="59" applyFont="1" applyBorder="1"/>
    <xf numFmtId="187" fontId="16" fillId="0" borderId="32" xfId="59" applyNumberFormat="1" applyFont="1" applyBorder="1" applyAlignment="1">
      <alignment horizontal="center"/>
    </xf>
    <xf numFmtId="189" fontId="16" fillId="0" borderId="56" xfId="66" applyNumberFormat="1" applyFont="1" applyFill="1" applyBorder="1" applyAlignment="1">
      <alignment horizontal="center"/>
    </xf>
    <xf numFmtId="10" fontId="107" fillId="0" borderId="0" xfId="0" applyNumberFormat="1" applyFont="1"/>
    <xf numFmtId="171" fontId="107" fillId="0" borderId="0" xfId="0" applyNumberFormat="1" applyFont="1"/>
    <xf numFmtId="1" fontId="155" fillId="0" borderId="0" xfId="1" applyNumberFormat="1" applyFont="1"/>
    <xf numFmtId="3" fontId="132" fillId="0" borderId="0" xfId="58" applyNumberFormat="1" applyFont="1" applyAlignment="1">
      <alignment horizontal="right"/>
    </xf>
    <xf numFmtId="3" fontId="151" fillId="0" borderId="0" xfId="58" applyNumberFormat="1" applyFont="1" applyAlignment="1">
      <alignment horizontal="right"/>
    </xf>
    <xf numFmtId="3" fontId="106" fillId="0" borderId="0" xfId="0" applyNumberFormat="1" applyFont="1"/>
    <xf numFmtId="1" fontId="106" fillId="0" borderId="0" xfId="1" applyNumberFormat="1" applyFont="1"/>
    <xf numFmtId="0" fontId="107" fillId="0" borderId="19" xfId="0" applyFont="1" applyBorder="1"/>
    <xf numFmtId="170" fontId="109" fillId="28" borderId="44" xfId="67" applyNumberFormat="1" applyFont="1" applyFill="1" applyBorder="1" applyAlignment="1">
      <alignment horizontal="center"/>
    </xf>
    <xf numFmtId="0" fontId="0" fillId="0" borderId="0" xfId="0" applyAlignment="1">
      <alignment horizontal="center"/>
    </xf>
    <xf numFmtId="3" fontId="107" fillId="0" borderId="0" xfId="0" applyNumberFormat="1" applyFont="1"/>
    <xf numFmtId="2" fontId="114" fillId="0" borderId="19" xfId="61" applyFont="1" applyBorder="1" applyAlignment="1">
      <alignment horizontal="right"/>
    </xf>
    <xf numFmtId="0" fontId="0" fillId="0" borderId="19" xfId="0" applyBorder="1"/>
    <xf numFmtId="0" fontId="12" fillId="0" borderId="27" xfId="1" applyFont="1" applyBorder="1"/>
    <xf numFmtId="170" fontId="12" fillId="0" borderId="7" xfId="66" applyNumberFormat="1" applyFont="1" applyFill="1" applyBorder="1" applyAlignment="1">
      <alignment horizontal="center"/>
    </xf>
    <xf numFmtId="3" fontId="96" fillId="0" borderId="0" xfId="59" applyNumberFormat="1" applyFont="1"/>
    <xf numFmtId="3" fontId="72" fillId="0" borderId="0" xfId="59" applyNumberFormat="1" applyFont="1"/>
    <xf numFmtId="3" fontId="72" fillId="0" borderId="0" xfId="1" applyNumberFormat="1" applyFont="1" applyAlignment="1">
      <alignment horizontal="right"/>
    </xf>
    <xf numFmtId="3" fontId="96" fillId="0" borderId="0" xfId="1" applyNumberFormat="1" applyFont="1" applyAlignment="1">
      <alignment horizontal="right"/>
    </xf>
    <xf numFmtId="0" fontId="34" fillId="0" borderId="0" xfId="1" applyFont="1" applyAlignment="1">
      <alignment horizontal="center"/>
    </xf>
    <xf numFmtId="171" fontId="39" fillId="0" borderId="0" xfId="1" applyNumberFormat="1" applyFont="1" applyAlignment="1">
      <alignment horizontal="center"/>
    </xf>
    <xf numFmtId="0" fontId="97" fillId="0" borderId="0" xfId="1" applyFont="1"/>
    <xf numFmtId="3" fontId="24" fillId="0" borderId="0" xfId="1" applyNumberFormat="1" applyFont="1" applyAlignment="1">
      <alignment horizontal="center" vertical="center"/>
    </xf>
    <xf numFmtId="3" fontId="36" fillId="0" borderId="0" xfId="1" applyNumberFormat="1" applyFont="1" applyAlignment="1">
      <alignment horizontal="center" vertical="center"/>
    </xf>
    <xf numFmtId="3" fontId="157" fillId="0" borderId="0" xfId="1" applyNumberFormat="1" applyFont="1" applyAlignment="1">
      <alignment horizontal="center"/>
    </xf>
    <xf numFmtId="0" fontId="24" fillId="26" borderId="0" xfId="1" applyFont="1" applyFill="1" applyAlignment="1">
      <alignment horizontal="center"/>
    </xf>
    <xf numFmtId="10" fontId="24" fillId="26" borderId="0" xfId="1" applyNumberFormat="1" applyFont="1" applyFill="1" applyAlignment="1">
      <alignment horizontal="center"/>
    </xf>
    <xf numFmtId="3" fontId="25" fillId="0" borderId="0" xfId="1" applyNumberFormat="1" applyFont="1" applyAlignment="1">
      <alignment horizontal="center" vertical="center"/>
    </xf>
    <xf numFmtId="170" fontId="109" fillId="0" borderId="0" xfId="67" applyNumberFormat="1" applyFont="1" applyFill="1" applyBorder="1" applyAlignment="1">
      <alignment horizontal="center"/>
    </xf>
    <xf numFmtId="170" fontId="108" fillId="0" borderId="0" xfId="67" applyNumberFormat="1" applyFont="1" applyFill="1" applyBorder="1" applyAlignment="1">
      <alignment horizontal="center"/>
    </xf>
    <xf numFmtId="171" fontId="115" fillId="0" borderId="0" xfId="40" applyNumberFormat="1" applyFont="1" applyFill="1" applyBorder="1" applyAlignment="1">
      <alignment horizontal="right" vertical="center"/>
    </xf>
    <xf numFmtId="0" fontId="158" fillId="0" borderId="0" xfId="0" applyFont="1"/>
    <xf numFmtId="168" fontId="69" fillId="30" borderId="30" xfId="59" applyNumberFormat="1" applyFont="1" applyFill="1" applyBorder="1" applyAlignment="1">
      <alignment horizontal="center" vertical="center" wrapText="1"/>
    </xf>
    <xf numFmtId="3" fontId="35" fillId="0" borderId="0" xfId="1" applyNumberFormat="1" applyFont="1" applyAlignment="1">
      <alignment horizontal="center"/>
    </xf>
    <xf numFmtId="179" fontId="133" fillId="16" borderId="0" xfId="61" applyNumberFormat="1" applyFont="1" applyFill="1" applyBorder="1"/>
    <xf numFmtId="170" fontId="144" fillId="26" borderId="0" xfId="67" applyNumberFormat="1" applyFont="1" applyFill="1" applyAlignment="1">
      <alignment horizontal="center"/>
    </xf>
    <xf numFmtId="10" fontId="36" fillId="15" borderId="0" xfId="2" applyNumberFormat="1" applyFont="1" applyFill="1" applyAlignment="1">
      <alignment horizontal="center"/>
    </xf>
    <xf numFmtId="0" fontId="48" fillId="0" borderId="0" xfId="1" applyFont="1" applyAlignment="1">
      <alignment horizontal="right"/>
    </xf>
    <xf numFmtId="0" fontId="43" fillId="0" borderId="0" xfId="1" applyFont="1" applyAlignment="1">
      <alignment horizontal="right"/>
    </xf>
    <xf numFmtId="3" fontId="34" fillId="0" borderId="0" xfId="2" applyNumberFormat="1" applyFont="1" applyAlignment="1">
      <alignment horizontal="center"/>
    </xf>
    <xf numFmtId="170" fontId="36" fillId="0" borderId="0" xfId="67" applyNumberFormat="1" applyFont="1" applyAlignment="1">
      <alignment horizontal="center"/>
    </xf>
    <xf numFmtId="0" fontId="78" fillId="0" borderId="0" xfId="1" applyFont="1" applyAlignment="1">
      <alignment horizontal="right"/>
    </xf>
    <xf numFmtId="3" fontId="45" fillId="0" borderId="0" xfId="2" applyNumberFormat="1" applyFont="1" applyAlignment="1">
      <alignment horizontal="center"/>
    </xf>
    <xf numFmtId="0" fontId="140" fillId="0" borderId="0" xfId="1" applyFont="1" applyAlignment="1">
      <alignment horizontal="center"/>
    </xf>
    <xf numFmtId="9" fontId="159" fillId="0" borderId="0" xfId="66" applyFont="1" applyFill="1" applyAlignment="1">
      <alignment horizontal="center"/>
    </xf>
    <xf numFmtId="171" fontId="98" fillId="0" borderId="0" xfId="1" applyNumberFormat="1" applyFont="1" applyAlignment="1">
      <alignment horizontal="center"/>
    </xf>
    <xf numFmtId="3" fontId="99" fillId="0" borderId="0" xfId="1" applyNumberFormat="1" applyFont="1" applyAlignment="1">
      <alignment horizontal="center"/>
    </xf>
    <xf numFmtId="170" fontId="144" fillId="15" borderId="0" xfId="66" applyNumberFormat="1" applyFont="1" applyFill="1" applyAlignment="1">
      <alignment horizontal="center"/>
    </xf>
    <xf numFmtId="0" fontId="139" fillId="15" borderId="0" xfId="1" applyFont="1" applyFill="1" applyAlignment="1">
      <alignment horizontal="center"/>
    </xf>
    <xf numFmtId="0" fontId="139" fillId="15" borderId="0" xfId="1" applyFont="1" applyFill="1"/>
    <xf numFmtId="0" fontId="140" fillId="26" borderId="0" xfId="1" applyFont="1" applyFill="1" applyAlignment="1">
      <alignment horizontal="center"/>
    </xf>
    <xf numFmtId="3" fontId="26" fillId="20" borderId="20" xfId="1" applyNumberFormat="1" applyFont="1" applyFill="1" applyBorder="1"/>
    <xf numFmtId="207" fontId="107" fillId="0" borderId="0" xfId="1" applyNumberFormat="1" applyFont="1" applyAlignment="1">
      <alignment horizontal="center"/>
    </xf>
    <xf numFmtId="0" fontId="119" fillId="0" borderId="0" xfId="0" applyFont="1"/>
    <xf numFmtId="15" fontId="120" fillId="29" borderId="0" xfId="1" applyNumberFormat="1" applyFont="1" applyFill="1" applyAlignment="1">
      <alignment horizontal="center" vertical="center" wrapText="1"/>
    </xf>
    <xf numFmtId="9" fontId="0" fillId="0" borderId="0" xfId="66" applyFont="1"/>
    <xf numFmtId="9" fontId="107" fillId="0" borderId="25" xfId="66" applyFont="1" applyBorder="1"/>
    <xf numFmtId="3" fontId="161" fillId="0" borderId="0" xfId="1" applyNumberFormat="1" applyFont="1" applyAlignment="1">
      <alignment horizontal="center"/>
    </xf>
    <xf numFmtId="3" fontId="162" fillId="0" borderId="0" xfId="1" applyNumberFormat="1" applyFont="1" applyAlignment="1">
      <alignment horizontal="center"/>
    </xf>
    <xf numFmtId="3" fontId="163" fillId="0" borderId="0" xfId="1" applyNumberFormat="1" applyFont="1" applyAlignment="1">
      <alignment horizontal="center"/>
    </xf>
    <xf numFmtId="0" fontId="106" fillId="28" borderId="0" xfId="0" applyFont="1" applyFill="1"/>
    <xf numFmtId="180" fontId="153" fillId="0" borderId="0" xfId="58" applyNumberFormat="1" applyFont="1" applyAlignment="1">
      <alignment horizontal="left"/>
    </xf>
    <xf numFmtId="170" fontId="109" fillId="0" borderId="40" xfId="66" applyNumberFormat="1" applyFont="1" applyBorder="1"/>
    <xf numFmtId="0" fontId="109" fillId="0" borderId="0" xfId="58" applyFont="1"/>
    <xf numFmtId="0" fontId="132" fillId="0" borderId="0" xfId="0" applyFont="1"/>
    <xf numFmtId="1" fontId="107" fillId="0" borderId="0" xfId="0" applyNumberFormat="1" applyFont="1"/>
    <xf numFmtId="180" fontId="106" fillId="16" borderId="18" xfId="41" applyNumberFormat="1" applyFont="1" applyFill="1" applyBorder="1"/>
    <xf numFmtId="3" fontId="106" fillId="27" borderId="18" xfId="0" applyNumberFormat="1" applyFont="1" applyFill="1" applyBorder="1"/>
    <xf numFmtId="170" fontId="109" fillId="0" borderId="0" xfId="66" applyNumberFormat="1" applyFont="1" applyBorder="1"/>
    <xf numFmtId="3" fontId="132" fillId="0" borderId="0" xfId="0" applyNumberFormat="1" applyFont="1"/>
    <xf numFmtId="170" fontId="109" fillId="28" borderId="0" xfId="66" applyNumberFormat="1" applyFont="1" applyFill="1"/>
    <xf numFmtId="1" fontId="109" fillId="28" borderId="0" xfId="1" applyNumberFormat="1" applyFont="1" applyFill="1"/>
    <xf numFmtId="1" fontId="155" fillId="28" borderId="0" xfId="1" applyNumberFormat="1" applyFont="1" applyFill="1"/>
    <xf numFmtId="170" fontId="109" fillId="28" borderId="40" xfId="66" applyNumberFormat="1" applyFont="1" applyFill="1" applyBorder="1"/>
    <xf numFmtId="170" fontId="109" fillId="28" borderId="0" xfId="66" applyNumberFormat="1" applyFont="1" applyFill="1" applyBorder="1"/>
    <xf numFmtId="10" fontId="104" fillId="0" borderId="0" xfId="66" applyNumberFormat="1" applyFont="1" applyAlignment="1">
      <alignment horizontal="center"/>
    </xf>
    <xf numFmtId="1" fontId="132" fillId="0" borderId="0" xfId="0" applyNumberFormat="1" applyFont="1"/>
    <xf numFmtId="3" fontId="150" fillId="0" borderId="0" xfId="0" applyNumberFormat="1" applyFont="1"/>
    <xf numFmtId="0" fontId="106" fillId="0" borderId="20" xfId="58" applyFont="1" applyBorder="1"/>
    <xf numFmtId="3" fontId="106" fillId="0" borderId="20" xfId="40" applyFont="1" applyBorder="1" applyAlignment="1">
      <alignment horizontal="right"/>
    </xf>
    <xf numFmtId="3" fontId="106" fillId="0" borderId="20" xfId="40" applyFont="1" applyFill="1" applyBorder="1" applyAlignment="1">
      <alignment horizontal="right"/>
    </xf>
    <xf numFmtId="0" fontId="39" fillId="0" borderId="0" xfId="2" applyFont="1"/>
    <xf numFmtId="0" fontId="39" fillId="0" borderId="0" xfId="2" applyFont="1" applyAlignment="1">
      <alignment horizontal="center"/>
    </xf>
    <xf numFmtId="10" fontId="39" fillId="0" borderId="0" xfId="67" applyNumberFormat="1" applyFont="1" applyFill="1" applyAlignment="1">
      <alignment horizontal="center"/>
    </xf>
    <xf numFmtId="10" fontId="39" fillId="0" borderId="0" xfId="2" applyNumberFormat="1" applyFont="1" applyAlignment="1">
      <alignment horizontal="center"/>
    </xf>
    <xf numFmtId="10" fontId="26" fillId="0" borderId="0" xfId="2" applyNumberFormat="1" applyFont="1" applyAlignment="1">
      <alignment horizontal="center"/>
    </xf>
    <xf numFmtId="0" fontId="26" fillId="26" borderId="0" xfId="2" applyFont="1" applyFill="1"/>
    <xf numFmtId="10" fontId="39" fillId="0" borderId="0" xfId="66" applyNumberFormat="1" applyFont="1" applyFill="1" applyAlignment="1">
      <alignment horizontal="center"/>
    </xf>
    <xf numFmtId="3" fontId="45" fillId="26" borderId="0" xfId="1" applyNumberFormat="1" applyFont="1" applyFill="1" applyAlignment="1">
      <alignment horizontal="center"/>
    </xf>
    <xf numFmtId="3" fontId="33" fillId="0" borderId="0" xfId="1" applyNumberFormat="1" applyFont="1" applyAlignment="1">
      <alignment horizontal="center"/>
    </xf>
    <xf numFmtId="203" fontId="107" fillId="0" borderId="18" xfId="1" applyNumberFormat="1" applyFont="1" applyBorder="1" applyAlignment="1">
      <alignment horizontal="center"/>
    </xf>
    <xf numFmtId="3" fontId="132" fillId="34" borderId="0" xfId="0" applyNumberFormat="1" applyFont="1" applyFill="1"/>
    <xf numFmtId="10" fontId="104" fillId="20" borderId="20" xfId="1" applyNumberFormat="1" applyFont="1" applyFill="1" applyBorder="1" applyAlignment="1">
      <alignment horizontal="center"/>
    </xf>
    <xf numFmtId="3" fontId="106" fillId="35" borderId="0" xfId="40" applyFont="1" applyFill="1" applyBorder="1" applyAlignment="1">
      <alignment horizontal="right"/>
    </xf>
    <xf numFmtId="3" fontId="107" fillId="35" borderId="0" xfId="0" applyNumberFormat="1" applyFont="1" applyFill="1"/>
    <xf numFmtId="3" fontId="115" fillId="0" borderId="0" xfId="0" applyNumberFormat="1" applyFont="1"/>
    <xf numFmtId="3" fontId="164" fillId="0" borderId="0" xfId="0" applyNumberFormat="1" applyFont="1"/>
    <xf numFmtId="0" fontId="165" fillId="0" borderId="0" xfId="0" applyFont="1"/>
    <xf numFmtId="3" fontId="165" fillId="0" borderId="0" xfId="0" applyNumberFormat="1" applyFont="1"/>
    <xf numFmtId="0" fontId="166" fillId="0" borderId="0" xfId="0" applyFont="1"/>
    <xf numFmtId="3" fontId="166" fillId="0" borderId="0" xfId="0" applyNumberFormat="1" applyFont="1"/>
    <xf numFmtId="3" fontId="150" fillId="0" borderId="0" xfId="40" applyFont="1" applyBorder="1" applyAlignment="1">
      <alignment horizontal="right"/>
    </xf>
    <xf numFmtId="3" fontId="109" fillId="0" borderId="0" xfId="40" applyFont="1" applyBorder="1" applyAlignment="1">
      <alignment horizontal="right"/>
    </xf>
    <xf numFmtId="170" fontId="107" fillId="0" borderId="0" xfId="66" applyNumberFormat="1" applyFont="1" applyBorder="1" applyAlignment="1">
      <alignment horizontal="right"/>
    </xf>
    <xf numFmtId="170" fontId="109" fillId="0" borderId="0" xfId="66" applyNumberFormat="1" applyFont="1" applyBorder="1" applyAlignment="1">
      <alignment horizontal="right"/>
    </xf>
    <xf numFmtId="2" fontId="106" fillId="28" borderId="0" xfId="61" applyFont="1" applyFill="1" applyBorder="1"/>
    <xf numFmtId="3" fontId="107" fillId="28" borderId="0" xfId="40" applyFont="1" applyFill="1" applyBorder="1" applyAlignment="1">
      <alignment horizontal="right"/>
    </xf>
    <xf numFmtId="2" fontId="145" fillId="32" borderId="0" xfId="61" applyFont="1" applyFill="1" applyBorder="1"/>
    <xf numFmtId="2" fontId="146" fillId="32" borderId="0" xfId="61" applyFont="1" applyFill="1" applyBorder="1"/>
    <xf numFmtId="3" fontId="146" fillId="32" borderId="0" xfId="40" applyFont="1" applyFill="1" applyBorder="1" applyAlignment="1">
      <alignment horizontal="right"/>
    </xf>
    <xf numFmtId="3" fontId="106" fillId="28" borderId="0" xfId="40" applyFont="1" applyFill="1" applyBorder="1" applyAlignment="1">
      <alignment horizontal="right"/>
    </xf>
    <xf numFmtId="170" fontId="109" fillId="28" borderId="0" xfId="66" applyNumberFormat="1" applyFont="1" applyFill="1" applyBorder="1" applyAlignment="1">
      <alignment horizontal="right"/>
    </xf>
    <xf numFmtId="1" fontId="109" fillId="34" borderId="0" xfId="1" applyNumberFormat="1" applyFont="1" applyFill="1"/>
    <xf numFmtId="170" fontId="106" fillId="0" borderId="0" xfId="66" applyNumberFormat="1" applyFont="1" applyBorder="1" applyAlignment="1">
      <alignment horizontal="right"/>
    </xf>
    <xf numFmtId="170" fontId="108" fillId="0" borderId="0" xfId="66" applyNumberFormat="1" applyFont="1" applyBorder="1"/>
    <xf numFmtId="170" fontId="107" fillId="0" borderId="0" xfId="66" applyNumberFormat="1" applyFont="1" applyBorder="1"/>
    <xf numFmtId="0" fontId="156" fillId="0" borderId="0" xfId="0" applyFont="1"/>
    <xf numFmtId="3" fontId="156" fillId="0" borderId="0" xfId="0" applyNumberFormat="1" applyFont="1"/>
    <xf numFmtId="9" fontId="107" fillId="0" borderId="0" xfId="0" applyNumberFormat="1" applyFont="1"/>
    <xf numFmtId="1" fontId="156" fillId="0" borderId="0" xfId="0" applyNumberFormat="1" applyFont="1"/>
    <xf numFmtId="9" fontId="107" fillId="0" borderId="0" xfId="66" applyFont="1" applyBorder="1"/>
    <xf numFmtId="3" fontId="107" fillId="0" borderId="0" xfId="66" applyNumberFormat="1" applyFont="1" applyBorder="1" applyAlignment="1">
      <alignment horizontal="center" vertical="center"/>
    </xf>
    <xf numFmtId="3" fontId="107" fillId="0" borderId="0" xfId="0" applyNumberFormat="1" applyFont="1" applyAlignment="1">
      <alignment horizontal="center" vertical="center"/>
    </xf>
    <xf numFmtId="3" fontId="122" fillId="0" borderId="0" xfId="0" applyNumberFormat="1" applyFont="1"/>
    <xf numFmtId="9" fontId="132" fillId="0" borderId="0" xfId="66" applyFont="1" applyBorder="1"/>
    <xf numFmtId="9" fontId="106" fillId="0" borderId="0" xfId="66" applyFont="1" applyBorder="1"/>
    <xf numFmtId="3" fontId="107" fillId="0" borderId="0" xfId="66" applyNumberFormat="1" applyFont="1" applyBorder="1"/>
    <xf numFmtId="1" fontId="132" fillId="29" borderId="0" xfId="0" applyNumberFormat="1" applyFont="1" applyFill="1"/>
    <xf numFmtId="3" fontId="106" fillId="0" borderId="0" xfId="66" applyNumberFormat="1" applyFont="1" applyBorder="1"/>
    <xf numFmtId="1" fontId="106" fillId="0" borderId="0" xfId="66" applyNumberFormat="1" applyFont="1" applyBorder="1"/>
    <xf numFmtId="1" fontId="106" fillId="0" borderId="0" xfId="0" applyNumberFormat="1" applyFont="1"/>
    <xf numFmtId="9" fontId="109" fillId="0" borderId="0" xfId="66" applyFont="1" applyBorder="1"/>
    <xf numFmtId="3" fontId="109" fillId="0" borderId="0" xfId="0" applyNumberFormat="1" applyFont="1"/>
    <xf numFmtId="170" fontId="107" fillId="0" borderId="0" xfId="66" applyNumberFormat="1" applyFont="1" applyBorder="1" applyAlignment="1">
      <alignment horizontal="center" vertical="center"/>
    </xf>
    <xf numFmtId="3" fontId="106" fillId="27" borderId="0" xfId="0" applyNumberFormat="1" applyFont="1" applyFill="1"/>
    <xf numFmtId="3" fontId="109" fillId="0" borderId="0" xfId="1" applyNumberFormat="1" applyFont="1"/>
    <xf numFmtId="170" fontId="16" fillId="0" borderId="0" xfId="66" applyNumberFormat="1" applyFont="1" applyBorder="1"/>
    <xf numFmtId="9" fontId="0" fillId="0" borderId="0" xfId="66" applyFont="1" applyBorder="1"/>
    <xf numFmtId="171" fontId="0" fillId="0" borderId="0" xfId="0" applyNumberFormat="1" applyAlignment="1">
      <alignment horizontal="right"/>
    </xf>
    <xf numFmtId="10" fontId="0" fillId="0" borderId="0" xfId="66" applyNumberFormat="1" applyFont="1" applyBorder="1" applyAlignment="1">
      <alignment horizontal="right" vertical="center"/>
    </xf>
    <xf numFmtId="0" fontId="0" fillId="0" borderId="0" xfId="0" applyAlignment="1">
      <alignment horizontal="right"/>
    </xf>
    <xf numFmtId="10" fontId="0" fillId="0" borderId="0" xfId="0" applyNumberFormat="1" applyAlignment="1">
      <alignment horizontal="right"/>
    </xf>
    <xf numFmtId="9" fontId="106" fillId="0" borderId="0" xfId="66" applyFont="1" applyBorder="1" applyAlignment="1">
      <alignment horizontal="center"/>
    </xf>
    <xf numFmtId="0" fontId="106" fillId="28" borderId="18" xfId="0" applyFont="1" applyFill="1" applyBorder="1"/>
    <xf numFmtId="0" fontId="135" fillId="28" borderId="18" xfId="0" applyFont="1" applyFill="1" applyBorder="1"/>
    <xf numFmtId="3" fontId="106" fillId="28" borderId="18" xfId="0" applyNumberFormat="1" applyFont="1" applyFill="1" applyBorder="1"/>
    <xf numFmtId="1" fontId="106" fillId="28" borderId="18" xfId="0" applyNumberFormat="1" applyFont="1" applyFill="1" applyBorder="1"/>
    <xf numFmtId="3" fontId="106" fillId="0" borderId="19" xfId="0" applyNumberFormat="1" applyFont="1" applyBorder="1" applyAlignment="1">
      <alignment horizontal="center" vertical="center"/>
    </xf>
    <xf numFmtId="0" fontId="106" fillId="0" borderId="19" xfId="0" applyFont="1" applyBorder="1" applyAlignment="1">
      <alignment horizontal="center" vertical="center"/>
    </xf>
    <xf numFmtId="9" fontId="146" fillId="32" borderId="0" xfId="66" applyFont="1" applyFill="1" applyBorder="1"/>
    <xf numFmtId="2" fontId="109" fillId="0" borderId="0" xfId="61" applyFont="1" applyBorder="1"/>
    <xf numFmtId="3" fontId="109" fillId="0" borderId="0" xfId="40" applyFont="1" applyFill="1" applyBorder="1" applyAlignment="1">
      <alignment horizontal="right"/>
    </xf>
    <xf numFmtId="3" fontId="39" fillId="0" borderId="0" xfId="1" applyNumberFormat="1" applyFont="1" applyAlignment="1">
      <alignment horizontal="center" vertical="center" wrapText="1"/>
    </xf>
    <xf numFmtId="3" fontId="46" fillId="0" borderId="0" xfId="1" applyNumberFormat="1" applyFont="1" applyAlignment="1">
      <alignment horizontal="center"/>
    </xf>
    <xf numFmtId="170" fontId="33" fillId="26" borderId="0" xfId="1" applyNumberFormat="1" applyFont="1" applyFill="1" applyAlignment="1">
      <alignment horizontal="center"/>
    </xf>
    <xf numFmtId="213" fontId="35" fillId="26" borderId="0" xfId="1" applyNumberFormat="1" applyFont="1" applyFill="1" applyAlignment="1">
      <alignment horizontal="center"/>
    </xf>
    <xf numFmtId="213" fontId="34" fillId="26" borderId="0" xfId="1" applyNumberFormat="1" applyFont="1" applyFill="1" applyAlignment="1">
      <alignment horizontal="center"/>
    </xf>
    <xf numFmtId="174" fontId="29" fillId="27" borderId="19" xfId="1" applyNumberFormat="1" applyFont="1" applyFill="1" applyBorder="1" applyAlignment="1" applyProtection="1">
      <alignment horizontal="center"/>
      <protection locked="0"/>
    </xf>
    <xf numFmtId="174" fontId="28" fillId="27" borderId="18" xfId="1" applyNumberFormat="1" applyFont="1" applyFill="1" applyBorder="1" applyAlignment="1">
      <alignment horizontal="center"/>
    </xf>
    <xf numFmtId="212" fontId="144" fillId="15" borderId="47" xfId="1" applyNumberFormat="1" applyFont="1" applyFill="1" applyBorder="1" applyAlignment="1">
      <alignment horizontal="center"/>
    </xf>
    <xf numFmtId="3" fontId="144" fillId="0" borderId="0" xfId="1" applyNumberFormat="1" applyFont="1" applyAlignment="1">
      <alignment horizontal="center"/>
    </xf>
    <xf numFmtId="0" fontId="115" fillId="0" borderId="0" xfId="0" applyFont="1"/>
    <xf numFmtId="3" fontId="144" fillId="0" borderId="0" xfId="1" applyNumberFormat="1" applyFont="1"/>
    <xf numFmtId="0" fontId="104" fillId="26" borderId="0" xfId="1" applyFont="1" applyFill="1"/>
    <xf numFmtId="170" fontId="45" fillId="0" borderId="0" xfId="66" applyNumberFormat="1" applyFont="1" applyFill="1" applyAlignment="1">
      <alignment horizontal="center"/>
    </xf>
    <xf numFmtId="10" fontId="167" fillId="0" borderId="0" xfId="1" applyNumberFormat="1" applyFont="1" applyAlignment="1">
      <alignment horizontal="center"/>
    </xf>
    <xf numFmtId="0" fontId="167" fillId="26" borderId="0" xfId="1" applyFont="1" applyFill="1" applyAlignment="1">
      <alignment horizontal="center"/>
    </xf>
    <xf numFmtId="3" fontId="144" fillId="0" borderId="0" xfId="1" applyNumberFormat="1" applyFont="1" applyAlignment="1">
      <alignment horizontal="left"/>
    </xf>
    <xf numFmtId="3" fontId="102" fillId="0" borderId="0" xfId="1" applyNumberFormat="1" applyFont="1" applyAlignment="1">
      <alignment horizontal="center"/>
    </xf>
    <xf numFmtId="0" fontId="26" fillId="26" borderId="0" xfId="2" applyFont="1" applyFill="1" applyAlignment="1">
      <alignment horizontal="center"/>
    </xf>
    <xf numFmtId="10" fontId="46" fillId="26" borderId="0" xfId="1" applyNumberFormat="1" applyFont="1" applyFill="1" applyAlignment="1">
      <alignment horizontal="center"/>
    </xf>
    <xf numFmtId="10" fontId="31" fillId="0" borderId="0" xfId="66" applyNumberFormat="1" applyFont="1" applyFill="1" applyAlignment="1">
      <alignment horizontal="center"/>
    </xf>
    <xf numFmtId="10" fontId="31" fillId="26" borderId="0" xfId="66" applyNumberFormat="1" applyFont="1" applyFill="1" applyAlignment="1">
      <alignment horizontal="center"/>
    </xf>
    <xf numFmtId="0" fontId="31" fillId="26" borderId="0" xfId="2" applyFont="1" applyFill="1"/>
    <xf numFmtId="170" fontId="25" fillId="26" borderId="0" xfId="66" applyNumberFormat="1" applyFont="1" applyFill="1" applyAlignment="1">
      <alignment horizontal="center"/>
    </xf>
    <xf numFmtId="0" fontId="39" fillId="26" borderId="0" xfId="1" applyFont="1" applyFill="1" applyAlignment="1">
      <alignment horizontal="center"/>
    </xf>
    <xf numFmtId="0" fontId="23" fillId="0" borderId="0" xfId="59" applyFont="1"/>
    <xf numFmtId="170" fontId="168" fillId="0" borderId="0" xfId="66" applyNumberFormat="1" applyFont="1" applyFill="1" applyBorder="1" applyAlignment="1">
      <alignment horizontal="right"/>
    </xf>
    <xf numFmtId="3" fontId="26" fillId="0" borderId="0" xfId="2" applyNumberFormat="1" applyFont="1"/>
    <xf numFmtId="10" fontId="26" fillId="0" borderId="0" xfId="66" applyNumberFormat="1" applyFont="1" applyFill="1"/>
    <xf numFmtId="10" fontId="25" fillId="0" borderId="0" xfId="2" applyNumberFormat="1" applyFont="1"/>
    <xf numFmtId="170" fontId="169" fillId="15" borderId="0" xfId="66" applyNumberFormat="1" applyFont="1" applyFill="1" applyBorder="1"/>
    <xf numFmtId="170" fontId="169" fillId="20" borderId="0" xfId="66" applyNumberFormat="1" applyFont="1" applyFill="1" applyBorder="1"/>
    <xf numFmtId="170" fontId="169" fillId="21" borderId="0" xfId="66" applyNumberFormat="1" applyFont="1" applyFill="1" applyBorder="1"/>
    <xf numFmtId="170" fontId="170" fillId="20" borderId="0" xfId="59" applyNumberFormat="1" applyFont="1" applyFill="1"/>
    <xf numFmtId="170" fontId="170" fillId="21" borderId="0" xfId="59" applyNumberFormat="1" applyFont="1" applyFill="1"/>
    <xf numFmtId="170" fontId="169" fillId="0" borderId="0" xfId="66" applyNumberFormat="1" applyFont="1" applyFill="1" applyBorder="1" applyAlignment="1">
      <alignment horizontal="right"/>
    </xf>
    <xf numFmtId="170" fontId="26" fillId="0" borderId="0" xfId="2" applyNumberFormat="1" applyFont="1"/>
    <xf numFmtId="170" fontId="46" fillId="26" borderId="0" xfId="67" applyNumberFormat="1" applyFont="1" applyFill="1" applyAlignment="1">
      <alignment horizontal="center"/>
    </xf>
    <xf numFmtId="170" fontId="50" fillId="20" borderId="0" xfId="66" applyNumberFormat="1" applyFont="1" applyFill="1" applyBorder="1" applyAlignment="1">
      <alignment horizontal="right"/>
    </xf>
    <xf numFmtId="170" fontId="50" fillId="21" borderId="0" xfId="66" applyNumberFormat="1" applyFont="1" applyFill="1" applyBorder="1" applyAlignment="1">
      <alignment horizontal="right"/>
    </xf>
    <xf numFmtId="10" fontId="46" fillId="15" borderId="0" xfId="67" applyNumberFormat="1" applyFont="1" applyFill="1" applyAlignment="1">
      <alignment horizontal="center"/>
    </xf>
    <xf numFmtId="170" fontId="48" fillId="0" borderId="0" xfId="66" applyNumberFormat="1" applyFont="1" applyFill="1" applyBorder="1" applyAlignment="1">
      <alignment horizontal="center"/>
    </xf>
    <xf numFmtId="0" fontId="26" fillId="28" borderId="0" xfId="1" applyFont="1" applyFill="1"/>
    <xf numFmtId="0" fontId="26" fillId="28" borderId="0" xfId="1" applyFont="1" applyFill="1" applyAlignment="1">
      <alignment horizontal="center"/>
    </xf>
    <xf numFmtId="3" fontId="26" fillId="28" borderId="0" xfId="1" applyNumberFormat="1" applyFont="1" applyFill="1" applyAlignment="1">
      <alignment horizontal="center"/>
    </xf>
    <xf numFmtId="170" fontId="26" fillId="28" borderId="0" xfId="66" applyNumberFormat="1" applyFont="1" applyFill="1" applyAlignment="1">
      <alignment horizontal="center"/>
    </xf>
    <xf numFmtId="3" fontId="139" fillId="26" borderId="0" xfId="1" applyNumberFormat="1" applyFont="1" applyFill="1" applyAlignment="1">
      <alignment horizontal="center"/>
    </xf>
    <xf numFmtId="0" fontId="171" fillId="0" borderId="0" xfId="0" applyFont="1" applyAlignment="1">
      <alignment vertical="center"/>
    </xf>
    <xf numFmtId="3" fontId="109" fillId="26" borderId="0" xfId="0" applyNumberFormat="1" applyFont="1" applyFill="1" applyAlignment="1">
      <alignment horizontal="center"/>
    </xf>
    <xf numFmtId="0" fontId="0" fillId="26" borderId="0" xfId="0" applyFill="1"/>
    <xf numFmtId="3" fontId="109" fillId="30" borderId="0" xfId="0" applyNumberFormat="1" applyFont="1" applyFill="1" applyAlignment="1">
      <alignment horizontal="center"/>
    </xf>
    <xf numFmtId="0" fontId="109" fillId="30" borderId="0" xfId="0" applyFont="1" applyFill="1"/>
    <xf numFmtId="170" fontId="109" fillId="30" borderId="0" xfId="67" applyNumberFormat="1" applyFont="1" applyFill="1" applyAlignment="1">
      <alignment horizontal="center"/>
    </xf>
    <xf numFmtId="0" fontId="104" fillId="29" borderId="0" xfId="1" applyFont="1" applyFill="1" applyAlignment="1">
      <alignment horizontal="center"/>
    </xf>
    <xf numFmtId="170" fontId="35" fillId="26" borderId="0" xfId="1" applyNumberFormat="1" applyFont="1" applyFill="1" applyAlignment="1">
      <alignment horizontal="center"/>
    </xf>
    <xf numFmtId="1" fontId="29" fillId="27" borderId="19" xfId="1" applyNumberFormat="1" applyFont="1" applyFill="1" applyBorder="1" applyAlignment="1" applyProtection="1">
      <alignment horizontal="center"/>
      <protection locked="0"/>
    </xf>
    <xf numFmtId="218" fontId="11" fillId="0" borderId="28" xfId="59" applyNumberFormat="1" applyFont="1" applyBorder="1" applyAlignment="1">
      <alignment horizontal="center"/>
    </xf>
    <xf numFmtId="3" fontId="167" fillId="0" borderId="0" xfId="1" applyNumberFormat="1" applyFont="1" applyAlignment="1">
      <alignment horizontal="center"/>
    </xf>
    <xf numFmtId="171" fontId="144" fillId="0" borderId="0" xfId="1" applyNumberFormat="1" applyFont="1" applyAlignment="1">
      <alignment horizontal="center"/>
    </xf>
    <xf numFmtId="170" fontId="172" fillId="15" borderId="0" xfId="66" applyNumberFormat="1" applyFont="1" applyFill="1" applyAlignment="1">
      <alignment horizontal="center"/>
    </xf>
    <xf numFmtId="10" fontId="26" fillId="0" borderId="0" xfId="66" applyNumberFormat="1" applyFont="1" applyFill="1" applyAlignment="1">
      <alignment horizontal="center"/>
    </xf>
    <xf numFmtId="0" fontId="144" fillId="0" borderId="0" xfId="1" applyFont="1"/>
    <xf numFmtId="170" fontId="144" fillId="26" borderId="0" xfId="1" applyNumberFormat="1" applyFont="1" applyFill="1" applyAlignment="1">
      <alignment horizontal="center"/>
    </xf>
    <xf numFmtId="170" fontId="107" fillId="0" borderId="0" xfId="67" applyNumberFormat="1" applyFont="1" applyBorder="1" applyAlignment="1">
      <alignment horizontal="center"/>
    </xf>
    <xf numFmtId="3" fontId="173" fillId="0" borderId="0" xfId="1" applyNumberFormat="1" applyFont="1" applyAlignment="1">
      <alignment horizontal="right"/>
    </xf>
    <xf numFmtId="170" fontId="11" fillId="0" borderId="16" xfId="66" applyNumberFormat="1" applyFont="1" applyFill="1" applyBorder="1" applyAlignment="1">
      <alignment horizontal="center"/>
    </xf>
    <xf numFmtId="10" fontId="11" fillId="0" borderId="16" xfId="66" applyNumberFormat="1" applyFont="1" applyFill="1" applyBorder="1" applyAlignment="1">
      <alignment horizontal="center"/>
    </xf>
    <xf numFmtId="37" fontId="106" fillId="0" borderId="0" xfId="0" applyNumberFormat="1" applyFont="1" applyAlignment="1">
      <alignment horizontal="center"/>
    </xf>
    <xf numFmtId="37" fontId="107" fillId="0" borderId="0" xfId="0" applyNumberFormat="1" applyFont="1" applyAlignment="1">
      <alignment horizontal="center"/>
    </xf>
    <xf numFmtId="3" fontId="141" fillId="0" borderId="0" xfId="1" applyNumberFormat="1" applyFont="1" applyAlignment="1">
      <alignment horizontal="center"/>
    </xf>
    <xf numFmtId="9" fontId="39" fillId="0" borderId="0" xfId="66" applyFont="1" applyAlignment="1">
      <alignment horizontal="center"/>
    </xf>
    <xf numFmtId="0" fontId="2" fillId="0" borderId="0" xfId="0" applyFont="1"/>
    <xf numFmtId="178" fontId="107" fillId="0" borderId="0" xfId="61" applyNumberFormat="1" applyFont="1" applyBorder="1"/>
    <xf numFmtId="10" fontId="39" fillId="37" borderId="0" xfId="1" applyNumberFormat="1" applyFont="1" applyFill="1" applyAlignment="1">
      <alignment horizontal="center"/>
    </xf>
    <xf numFmtId="0" fontId="39" fillId="37" borderId="0" xfId="1" applyFont="1" applyFill="1" applyAlignment="1">
      <alignment horizontal="center"/>
    </xf>
    <xf numFmtId="0" fontId="39" fillId="37" borderId="0" xfId="1" applyFont="1" applyFill="1"/>
    <xf numFmtId="10" fontId="39" fillId="37" borderId="0" xfId="66" applyNumberFormat="1" applyFont="1" applyFill="1" applyAlignment="1">
      <alignment horizontal="center"/>
    </xf>
    <xf numFmtId="10" fontId="104" fillId="0" borderId="0" xfId="1" applyNumberFormat="1" applyFont="1" applyAlignment="1">
      <alignment horizontal="center"/>
    </xf>
    <xf numFmtId="0" fontId="142" fillId="0" borderId="0" xfId="1" applyFont="1" applyAlignment="1">
      <alignment horizontal="center"/>
    </xf>
    <xf numFmtId="3" fontId="34" fillId="26" borderId="0" xfId="1" applyNumberFormat="1" applyFont="1" applyFill="1" applyAlignment="1">
      <alignment horizontal="center"/>
    </xf>
    <xf numFmtId="3" fontId="140" fillId="26" borderId="0" xfId="1" applyNumberFormat="1" applyFont="1" applyFill="1" applyAlignment="1">
      <alignment horizontal="center"/>
    </xf>
    <xf numFmtId="3" fontId="39" fillId="26" borderId="0" xfId="1" applyNumberFormat="1" applyFont="1" applyFill="1" applyAlignment="1">
      <alignment horizontal="center"/>
    </xf>
    <xf numFmtId="9" fontId="144" fillId="26" borderId="0" xfId="66" applyFont="1" applyFill="1" applyAlignment="1">
      <alignment horizontal="center"/>
    </xf>
    <xf numFmtId="9" fontId="31" fillId="0" borderId="0" xfId="66" applyFont="1" applyFill="1" applyAlignment="1">
      <alignment horizontal="center"/>
    </xf>
    <xf numFmtId="3" fontId="133" fillId="26" borderId="0" xfId="1" applyNumberFormat="1" applyFont="1" applyFill="1" applyAlignment="1">
      <alignment horizontal="center"/>
    </xf>
    <xf numFmtId="9" fontId="143" fillId="26" borderId="0" xfId="66" applyFont="1" applyFill="1" applyAlignment="1">
      <alignment horizontal="center"/>
    </xf>
    <xf numFmtId="3" fontId="174" fillId="0" borderId="0" xfId="1" applyNumberFormat="1" applyFont="1" applyAlignment="1">
      <alignment horizontal="center"/>
    </xf>
    <xf numFmtId="3" fontId="141" fillId="26" borderId="0" xfId="1" applyNumberFormat="1" applyFont="1" applyFill="1" applyAlignment="1">
      <alignment horizontal="center"/>
    </xf>
    <xf numFmtId="170" fontId="141" fillId="26" borderId="0" xfId="66" applyNumberFormat="1" applyFont="1" applyFill="1" applyAlignment="1">
      <alignment horizontal="center"/>
    </xf>
    <xf numFmtId="0" fontId="25" fillId="26" borderId="0" xfId="58" applyFont="1" applyFill="1"/>
    <xf numFmtId="170" fontId="144" fillId="0" borderId="0" xfId="66" applyNumberFormat="1" applyFont="1" applyAlignment="1">
      <alignment horizontal="center"/>
    </xf>
    <xf numFmtId="0" fontId="144" fillId="0" borderId="0" xfId="1" applyFont="1" applyAlignment="1">
      <alignment horizontal="right"/>
    </xf>
    <xf numFmtId="0" fontId="39" fillId="0" borderId="0" xfId="1" applyFont="1" applyAlignment="1">
      <alignment horizontal="right"/>
    </xf>
    <xf numFmtId="0" fontId="144" fillId="0" borderId="0" xfId="58" applyFont="1"/>
    <xf numFmtId="0" fontId="144" fillId="0" borderId="0" xfId="1" applyFont="1" applyAlignment="1">
      <alignment horizontal="center"/>
    </xf>
    <xf numFmtId="3" fontId="144" fillId="0" borderId="0" xfId="2" applyNumberFormat="1" applyFont="1" applyAlignment="1">
      <alignment horizontal="center"/>
    </xf>
    <xf numFmtId="0" fontId="139" fillId="26" borderId="0" xfId="1" applyFont="1" applyFill="1" applyAlignment="1">
      <alignment horizontal="center"/>
    </xf>
    <xf numFmtId="0" fontId="140" fillId="0" borderId="0" xfId="1" applyFont="1"/>
    <xf numFmtId="0" fontId="139" fillId="0" borderId="0" xfId="1" applyFont="1" applyAlignment="1">
      <alignment horizontal="center"/>
    </xf>
    <xf numFmtId="0" fontId="141" fillId="0" borderId="0" xfId="1" applyFont="1" applyAlignment="1">
      <alignment horizontal="right"/>
    </xf>
    <xf numFmtId="3" fontId="140" fillId="0" borderId="0" xfId="2" applyNumberFormat="1" applyFont="1" applyAlignment="1">
      <alignment horizontal="center"/>
    </xf>
    <xf numFmtId="3" fontId="37" fillId="0" borderId="0" xfId="2" applyNumberFormat="1" applyFont="1" applyAlignment="1">
      <alignment horizontal="center"/>
    </xf>
    <xf numFmtId="0" fontId="134" fillId="0" borderId="0" xfId="1" applyFont="1" applyAlignment="1">
      <alignment horizontal="center"/>
    </xf>
    <xf numFmtId="170" fontId="144" fillId="0" borderId="0" xfId="66" applyNumberFormat="1" applyFont="1" applyFill="1" applyAlignment="1">
      <alignment horizontal="center"/>
    </xf>
    <xf numFmtId="0" fontId="167" fillId="0" borderId="0" xfId="1" applyFont="1"/>
    <xf numFmtId="3" fontId="136" fillId="26" borderId="0" xfId="1" applyNumberFormat="1" applyFont="1" applyFill="1" applyAlignment="1">
      <alignment horizontal="center"/>
    </xf>
    <xf numFmtId="0" fontId="78" fillId="26" borderId="0" xfId="1" applyFont="1" applyFill="1" applyAlignment="1">
      <alignment horizontal="right"/>
    </xf>
    <xf numFmtId="3" fontId="45" fillId="26" borderId="0" xfId="2" applyNumberFormat="1" applyFont="1" applyFill="1" applyAlignment="1">
      <alignment horizontal="center"/>
    </xf>
    <xf numFmtId="3" fontId="136" fillId="28" borderId="0" xfId="1" applyNumberFormat="1" applyFont="1" applyFill="1" applyAlignment="1">
      <alignment horizontal="center"/>
    </xf>
    <xf numFmtId="0" fontId="26" fillId="28" borderId="60" xfId="1" applyFont="1" applyFill="1" applyBorder="1"/>
    <xf numFmtId="0" fontId="25" fillId="28" borderId="60" xfId="1" applyFont="1" applyFill="1" applyBorder="1" applyAlignment="1">
      <alignment horizontal="center"/>
    </xf>
    <xf numFmtId="0" fontId="25" fillId="28" borderId="60" xfId="1" applyFont="1" applyFill="1" applyBorder="1"/>
    <xf numFmtId="3" fontId="136" fillId="28" borderId="60" xfId="1" applyNumberFormat="1" applyFont="1" applyFill="1" applyBorder="1" applyAlignment="1">
      <alignment horizontal="center"/>
    </xf>
    <xf numFmtId="170" fontId="31" fillId="28" borderId="60" xfId="66" applyNumberFormat="1" applyFont="1" applyFill="1" applyBorder="1" applyAlignment="1">
      <alignment horizontal="center"/>
    </xf>
    <xf numFmtId="0" fontId="78" fillId="28" borderId="60" xfId="1" applyFont="1" applyFill="1" applyBorder="1" applyAlignment="1">
      <alignment horizontal="right"/>
    </xf>
    <xf numFmtId="3" fontId="45" fillId="28" borderId="60" xfId="2" applyNumberFormat="1" applyFont="1" applyFill="1" applyBorder="1" applyAlignment="1">
      <alignment horizontal="center"/>
    </xf>
    <xf numFmtId="170" fontId="39" fillId="28" borderId="0" xfId="66" applyNumberFormat="1" applyFont="1" applyFill="1" applyAlignment="1">
      <alignment horizontal="center"/>
    </xf>
    <xf numFmtId="3" fontId="85" fillId="0" borderId="0" xfId="1" applyNumberFormat="1" applyFont="1" applyAlignment="1">
      <alignment horizontal="center"/>
    </xf>
    <xf numFmtId="3" fontId="86" fillId="0" borderId="0" xfId="1" applyNumberFormat="1" applyFont="1" applyAlignment="1">
      <alignment horizontal="center"/>
    </xf>
    <xf numFmtId="3" fontId="104" fillId="0" borderId="0" xfId="2" applyNumberFormat="1" applyFont="1" applyAlignment="1">
      <alignment horizontal="center"/>
    </xf>
    <xf numFmtId="170" fontId="106" fillId="0" borderId="0" xfId="67" applyNumberFormat="1" applyFont="1" applyBorder="1" applyAlignment="1">
      <alignment horizontal="center"/>
    </xf>
    <xf numFmtId="213" fontId="139" fillId="15" borderId="0" xfId="1" applyNumberFormat="1" applyFont="1" applyFill="1" applyAlignment="1">
      <alignment horizontal="center"/>
    </xf>
    <xf numFmtId="213" fontId="134" fillId="15" borderId="0" xfId="1" applyNumberFormat="1" applyFont="1" applyFill="1" applyAlignment="1">
      <alignment horizontal="center"/>
    </xf>
    <xf numFmtId="0" fontId="25" fillId="27" borderId="0" xfId="1" applyFont="1" applyFill="1" applyAlignment="1">
      <alignment horizontal="center"/>
    </xf>
    <xf numFmtId="3" fontId="26" fillId="27" borderId="0" xfId="1" applyNumberFormat="1" applyFont="1" applyFill="1" applyAlignment="1">
      <alignment horizontal="center"/>
    </xf>
    <xf numFmtId="0" fontId="176" fillId="0" borderId="0" xfId="0" applyFont="1"/>
    <xf numFmtId="0" fontId="106" fillId="0" borderId="64" xfId="0" applyFont="1" applyBorder="1" applyAlignment="1">
      <alignment horizontal="center"/>
    </xf>
    <xf numFmtId="3" fontId="45" fillId="28" borderId="0" xfId="2" applyNumberFormat="1" applyFont="1" applyFill="1" applyAlignment="1">
      <alignment horizontal="center"/>
    </xf>
    <xf numFmtId="181" fontId="10" fillId="30" borderId="0" xfId="59" applyNumberFormat="1" applyFont="1" applyFill="1" applyAlignment="1">
      <alignment horizontal="center"/>
    </xf>
    <xf numFmtId="0" fontId="106" fillId="0" borderId="65" xfId="0" applyFont="1" applyBorder="1" applyAlignment="1">
      <alignment horizontal="center"/>
    </xf>
    <xf numFmtId="172" fontId="147" fillId="0" borderId="66" xfId="0" applyNumberFormat="1" applyFont="1" applyBorder="1" applyAlignment="1">
      <alignment horizontal="center"/>
    </xf>
    <xf numFmtId="170" fontId="148" fillId="26" borderId="0" xfId="67" applyNumberFormat="1" applyFont="1" applyFill="1" applyBorder="1" applyAlignment="1">
      <alignment horizontal="center"/>
    </xf>
    <xf numFmtId="170" fontId="148" fillId="26" borderId="66" xfId="67" applyNumberFormat="1" applyFont="1" applyFill="1" applyBorder="1" applyAlignment="1">
      <alignment horizontal="center"/>
    </xf>
    <xf numFmtId="172" fontId="107" fillId="0" borderId="66" xfId="0" applyNumberFormat="1" applyFont="1" applyBorder="1" applyAlignment="1">
      <alignment horizontal="center"/>
    </xf>
    <xf numFmtId="170" fontId="109" fillId="26" borderId="0" xfId="67" applyNumberFormat="1" applyFont="1" applyFill="1" applyBorder="1" applyAlignment="1">
      <alignment horizontal="center"/>
    </xf>
    <xf numFmtId="170" fontId="109" fillId="26" borderId="66" xfId="67" applyNumberFormat="1" applyFont="1" applyFill="1" applyBorder="1" applyAlignment="1">
      <alignment horizontal="center"/>
    </xf>
    <xf numFmtId="10" fontId="147" fillId="0" borderId="66" xfId="0" applyNumberFormat="1" applyFont="1" applyBorder="1" applyAlignment="1">
      <alignment horizontal="center"/>
    </xf>
    <xf numFmtId="10" fontId="148" fillId="26" borderId="0" xfId="67" applyNumberFormat="1" applyFont="1" applyFill="1" applyBorder="1" applyAlignment="1">
      <alignment horizontal="center"/>
    </xf>
    <xf numFmtId="10" fontId="148" fillId="26" borderId="66" xfId="67" applyNumberFormat="1" applyFont="1" applyFill="1" applyBorder="1" applyAlignment="1">
      <alignment horizontal="center"/>
    </xf>
    <xf numFmtId="3" fontId="147" fillId="0" borderId="66" xfId="0" applyNumberFormat="1" applyFont="1" applyBorder="1" applyAlignment="1">
      <alignment horizontal="center"/>
    </xf>
    <xf numFmtId="3" fontId="107" fillId="0" borderId="66" xfId="0" applyNumberFormat="1" applyFont="1" applyBorder="1" applyAlignment="1">
      <alignment horizontal="center"/>
    </xf>
    <xf numFmtId="170" fontId="109" fillId="0" borderId="0" xfId="67" applyNumberFormat="1" applyFont="1" applyBorder="1" applyAlignment="1">
      <alignment horizontal="center"/>
    </xf>
    <xf numFmtId="170" fontId="109" fillId="0" borderId="66" xfId="67" applyNumberFormat="1" applyFont="1" applyBorder="1" applyAlignment="1">
      <alignment horizontal="center"/>
    </xf>
    <xf numFmtId="170" fontId="109" fillId="0" borderId="66" xfId="67" applyNumberFormat="1" applyFont="1" applyFill="1" applyBorder="1" applyAlignment="1">
      <alignment horizontal="center"/>
    </xf>
    <xf numFmtId="10" fontId="109" fillId="26" borderId="0" xfId="67" applyNumberFormat="1" applyFont="1" applyFill="1" applyBorder="1" applyAlignment="1">
      <alignment horizontal="center"/>
    </xf>
    <xf numFmtId="10" fontId="109" fillId="26" borderId="66" xfId="67" applyNumberFormat="1" applyFont="1" applyFill="1" applyBorder="1" applyAlignment="1">
      <alignment horizontal="center"/>
    </xf>
    <xf numFmtId="10" fontId="109" fillId="0" borderId="0" xfId="67" applyNumberFormat="1" applyFont="1" applyFill="1" applyBorder="1" applyAlignment="1">
      <alignment horizontal="center"/>
    </xf>
    <xf numFmtId="10" fontId="109" fillId="0" borderId="66" xfId="67" applyNumberFormat="1" applyFont="1" applyFill="1" applyBorder="1" applyAlignment="1">
      <alignment horizontal="center"/>
    </xf>
    <xf numFmtId="9" fontId="109" fillId="0" borderId="0" xfId="67" applyFont="1" applyBorder="1" applyAlignment="1">
      <alignment horizontal="center"/>
    </xf>
    <xf numFmtId="9" fontId="109" fillId="0" borderId="66" xfId="67" applyFont="1" applyBorder="1" applyAlignment="1">
      <alignment horizontal="center"/>
    </xf>
    <xf numFmtId="170" fontId="148" fillId="28" borderId="0" xfId="67" applyNumberFormat="1" applyFont="1" applyFill="1" applyBorder="1" applyAlignment="1">
      <alignment horizontal="center"/>
    </xf>
    <xf numFmtId="170" fontId="148" fillId="28" borderId="66" xfId="67" applyNumberFormat="1" applyFont="1" applyFill="1" applyBorder="1" applyAlignment="1">
      <alignment horizontal="center"/>
    </xf>
    <xf numFmtId="3" fontId="106" fillId="0" borderId="66" xfId="0" applyNumberFormat="1" applyFont="1" applyBorder="1" applyAlignment="1">
      <alignment horizontal="center"/>
    </xf>
    <xf numFmtId="172" fontId="106" fillId="0" borderId="66" xfId="0" applyNumberFormat="1" applyFont="1" applyBorder="1" applyAlignment="1">
      <alignment horizontal="center"/>
    </xf>
    <xf numFmtId="170" fontId="109" fillId="28" borderId="62" xfId="67" applyNumberFormat="1" applyFont="1" applyFill="1" applyBorder="1" applyAlignment="1">
      <alignment horizontal="center"/>
    </xf>
    <xf numFmtId="170" fontId="109" fillId="28" borderId="63" xfId="67" applyNumberFormat="1" applyFont="1" applyFill="1" applyBorder="1" applyAlignment="1">
      <alignment horizontal="center"/>
    </xf>
    <xf numFmtId="172" fontId="148" fillId="0" borderId="66" xfId="0" applyNumberFormat="1" applyFont="1" applyBorder="1" applyAlignment="1">
      <alignment horizontal="center"/>
    </xf>
    <xf numFmtId="170" fontId="150" fillId="26" borderId="0" xfId="67" applyNumberFormat="1" applyFont="1" applyFill="1" applyBorder="1" applyAlignment="1">
      <alignment horizontal="center"/>
    </xf>
    <xf numFmtId="10" fontId="107" fillId="0" borderId="66" xfId="0" applyNumberFormat="1" applyFont="1" applyBorder="1" applyAlignment="1">
      <alignment horizontal="center"/>
    </xf>
    <xf numFmtId="10" fontId="150" fillId="26" borderId="0" xfId="67" applyNumberFormat="1" applyFont="1" applyFill="1" applyBorder="1" applyAlignment="1">
      <alignment horizontal="center"/>
    </xf>
    <xf numFmtId="170" fontId="109" fillId="28" borderId="66" xfId="67" applyNumberFormat="1" applyFont="1" applyFill="1" applyBorder="1" applyAlignment="1">
      <alignment horizontal="center"/>
    </xf>
    <xf numFmtId="3" fontId="107" fillId="26" borderId="66" xfId="0" applyNumberFormat="1" applyFont="1" applyFill="1" applyBorder="1" applyAlignment="1">
      <alignment horizontal="center"/>
    </xf>
    <xf numFmtId="0" fontId="152" fillId="32" borderId="66" xfId="0" applyFont="1" applyFill="1" applyBorder="1" applyAlignment="1">
      <alignment horizontal="center"/>
    </xf>
    <xf numFmtId="216" fontId="109" fillId="0" borderId="66" xfId="0" applyNumberFormat="1" applyFont="1" applyBorder="1" applyAlignment="1">
      <alignment horizontal="center"/>
    </xf>
    <xf numFmtId="0" fontId="145" fillId="34" borderId="66" xfId="0" applyFont="1" applyFill="1" applyBorder="1" applyAlignment="1">
      <alignment horizontal="center"/>
    </xf>
    <xf numFmtId="170" fontId="46" fillId="0" borderId="0" xfId="66" applyNumberFormat="1" applyFont="1" applyFill="1" applyAlignment="1">
      <alignment horizontal="center"/>
    </xf>
    <xf numFmtId="0" fontId="39" fillId="28" borderId="0" xfId="1" applyFont="1" applyFill="1"/>
    <xf numFmtId="0" fontId="39" fillId="28" borderId="0" xfId="1" applyFont="1" applyFill="1" applyAlignment="1">
      <alignment horizontal="center"/>
    </xf>
    <xf numFmtId="10" fontId="39" fillId="28" borderId="0" xfId="66" applyNumberFormat="1" applyFont="1" applyFill="1" applyAlignment="1">
      <alignment horizontal="center"/>
    </xf>
    <xf numFmtId="10" fontId="39" fillId="28" borderId="0" xfId="1" applyNumberFormat="1" applyFont="1" applyFill="1" applyAlignment="1">
      <alignment horizontal="center"/>
    </xf>
    <xf numFmtId="0" fontId="25" fillId="28" borderId="0" xfId="1" applyFont="1" applyFill="1" applyAlignment="1">
      <alignment horizontal="center"/>
    </xf>
    <xf numFmtId="0" fontId="25" fillId="28" borderId="0" xfId="1" applyFont="1" applyFill="1"/>
    <xf numFmtId="10" fontId="139" fillId="0" borderId="0" xfId="66" applyNumberFormat="1" applyFont="1" applyAlignment="1">
      <alignment horizontal="center"/>
    </xf>
    <xf numFmtId="180" fontId="107" fillId="0" borderId="61" xfId="58" applyNumberFormat="1" applyFont="1" applyBorder="1" applyAlignment="1">
      <alignment horizontal="left" vertical="center"/>
    </xf>
    <xf numFmtId="9" fontId="107" fillId="0" borderId="0" xfId="66" applyFont="1" applyFill="1" applyBorder="1" applyAlignment="1">
      <alignment horizontal="right"/>
    </xf>
    <xf numFmtId="170" fontId="107" fillId="0" borderId="0" xfId="66" applyNumberFormat="1" applyFont="1" applyFill="1" applyBorder="1" applyAlignment="1">
      <alignment horizontal="right"/>
    </xf>
    <xf numFmtId="3" fontId="104" fillId="0" borderId="50" xfId="1" applyNumberFormat="1" applyFont="1" applyBorder="1" applyAlignment="1">
      <alignment horizontal="center"/>
    </xf>
    <xf numFmtId="9" fontId="0" fillId="0" borderId="0" xfId="0" applyNumberFormat="1"/>
    <xf numFmtId="170" fontId="120" fillId="0" borderId="0" xfId="66" applyNumberFormat="1" applyFont="1"/>
    <xf numFmtId="9" fontId="115" fillId="0" borderId="0" xfId="66" applyFont="1" applyFill="1" applyBorder="1" applyAlignment="1">
      <alignment horizontal="right" vertical="center"/>
    </xf>
    <xf numFmtId="3" fontId="134" fillId="26" borderId="0" xfId="1" applyNumberFormat="1" applyFont="1" applyFill="1" applyAlignment="1">
      <alignment horizontal="center"/>
    </xf>
    <xf numFmtId="170" fontId="35" fillId="26" borderId="0" xfId="2" applyNumberFormat="1" applyFont="1" applyFill="1" applyAlignment="1">
      <alignment horizontal="center"/>
    </xf>
    <xf numFmtId="170" fontId="25" fillId="26" borderId="0" xfId="2" applyNumberFormat="1" applyFont="1" applyFill="1"/>
    <xf numFmtId="3" fontId="143" fillId="0" borderId="0" xfId="1" applyNumberFormat="1" applyFont="1" applyAlignment="1">
      <alignment horizontal="center"/>
    </xf>
    <xf numFmtId="180" fontId="122" fillId="0" borderId="12" xfId="58" applyNumberFormat="1" applyFont="1" applyBorder="1" applyAlignment="1">
      <alignment horizontal="center" vertical="center"/>
    </xf>
    <xf numFmtId="180" fontId="105" fillId="25" borderId="0" xfId="41" applyNumberFormat="1" applyFont="1" applyFill="1" applyBorder="1" applyAlignment="1">
      <alignment vertical="center"/>
    </xf>
    <xf numFmtId="180" fontId="119" fillId="25" borderId="0" xfId="41" applyNumberFormat="1" applyFont="1" applyFill="1" applyBorder="1" applyAlignment="1">
      <alignment vertical="center"/>
    </xf>
    <xf numFmtId="180" fontId="105" fillId="25" borderId="61" xfId="58" applyNumberFormat="1" applyFont="1" applyFill="1" applyBorder="1" applyAlignment="1">
      <alignment horizontal="center" vertical="center"/>
    </xf>
    <xf numFmtId="3" fontId="122" fillId="0" borderId="0" xfId="58" applyNumberFormat="1" applyFont="1" applyAlignment="1">
      <alignment horizontal="right" vertical="center"/>
    </xf>
    <xf numFmtId="3" fontId="122" fillId="0" borderId="61" xfId="58" applyNumberFormat="1" applyFont="1" applyBorder="1" applyAlignment="1">
      <alignment horizontal="right" vertical="center"/>
    </xf>
    <xf numFmtId="10" fontId="125" fillId="27" borderId="0" xfId="66" applyNumberFormat="1" applyFont="1" applyFill="1" applyBorder="1" applyAlignment="1">
      <alignment horizontal="right" vertical="center"/>
    </xf>
    <xf numFmtId="10" fontId="124" fillId="27" borderId="0" xfId="66" applyNumberFormat="1" applyFont="1" applyFill="1" applyBorder="1" applyAlignment="1">
      <alignment horizontal="right" vertical="center"/>
    </xf>
    <xf numFmtId="10" fontId="124" fillId="27" borderId="61" xfId="66" applyNumberFormat="1" applyFont="1" applyFill="1" applyBorder="1" applyAlignment="1">
      <alignment horizontal="right" vertical="center"/>
    </xf>
    <xf numFmtId="10" fontId="111" fillId="0" borderId="0" xfId="66" applyNumberFormat="1" applyFont="1" applyFill="1" applyBorder="1" applyAlignment="1">
      <alignment horizontal="right" vertical="center"/>
    </xf>
    <xf numFmtId="3" fontId="123" fillId="0" borderId="0" xfId="66" applyNumberFormat="1" applyFont="1" applyFill="1" applyBorder="1" applyAlignment="1">
      <alignment horizontal="right" vertical="center"/>
    </xf>
    <xf numFmtId="3" fontId="123" fillId="0" borderId="61" xfId="66" applyNumberFormat="1" applyFont="1" applyFill="1" applyBorder="1" applyAlignment="1">
      <alignment horizontal="right" vertical="center"/>
    </xf>
    <xf numFmtId="3" fontId="123" fillId="0" borderId="61" xfId="58" applyNumberFormat="1" applyFont="1" applyBorder="1" applyAlignment="1">
      <alignment horizontal="right" vertical="center"/>
    </xf>
    <xf numFmtId="4" fontId="106" fillId="0" borderId="0" xfId="40" applyNumberFormat="1" applyFont="1" applyFill="1" applyBorder="1" applyAlignment="1">
      <alignment horizontal="right" vertical="center"/>
    </xf>
    <xf numFmtId="2" fontId="106" fillId="27" borderId="0" xfId="61" applyFont="1" applyFill="1" applyBorder="1" applyAlignment="1">
      <alignment vertical="center"/>
    </xf>
    <xf numFmtId="4" fontId="106" fillId="27" borderId="0" xfId="40" applyNumberFormat="1" applyFont="1" applyFill="1" applyBorder="1" applyAlignment="1">
      <alignment horizontal="right" vertical="center"/>
    </xf>
    <xf numFmtId="3" fontId="122" fillId="27" borderId="61" xfId="58" applyNumberFormat="1" applyFont="1" applyFill="1" applyBorder="1" applyAlignment="1">
      <alignment horizontal="right" vertical="center"/>
    </xf>
    <xf numFmtId="3" fontId="107" fillId="0" borderId="0" xfId="40" applyFont="1" applyFill="1" applyBorder="1" applyAlignment="1">
      <alignment horizontal="right" vertical="center"/>
    </xf>
    <xf numFmtId="171" fontId="119" fillId="27" borderId="0" xfId="40" applyNumberFormat="1" applyFont="1" applyFill="1" applyBorder="1" applyAlignment="1">
      <alignment horizontal="right" vertical="center"/>
    </xf>
    <xf numFmtId="182" fontId="123" fillId="0" borderId="0" xfId="60" applyNumberFormat="1" applyFont="1" applyBorder="1" applyAlignment="1">
      <alignment horizontal="left" vertical="center"/>
    </xf>
    <xf numFmtId="179" fontId="107" fillId="0" borderId="0" xfId="61" applyNumberFormat="1" applyFont="1" applyBorder="1" applyAlignment="1">
      <alignment vertical="center"/>
    </xf>
    <xf numFmtId="179" fontId="111" fillId="0" borderId="0" xfId="61" applyNumberFormat="1" applyFont="1" applyBorder="1" applyAlignment="1">
      <alignment vertical="center"/>
    </xf>
    <xf numFmtId="2" fontId="123" fillId="0" borderId="0" xfId="60" applyFont="1" applyBorder="1" applyAlignment="1">
      <alignment horizontal="left" vertical="center"/>
    </xf>
    <xf numFmtId="180" fontId="107" fillId="0" borderId="0" xfId="41" applyNumberFormat="1" applyFont="1" applyFill="1" applyBorder="1" applyAlignment="1">
      <alignment vertical="center"/>
    </xf>
    <xf numFmtId="180" fontId="111" fillId="0" borderId="0" xfId="41" applyNumberFormat="1" applyFont="1" applyFill="1" applyBorder="1" applyAlignment="1">
      <alignment vertical="center"/>
    </xf>
    <xf numFmtId="180" fontId="106" fillId="16" borderId="0" xfId="41" applyNumberFormat="1" applyFont="1" applyFill="1" applyBorder="1" applyAlignment="1">
      <alignment vertical="center"/>
    </xf>
    <xf numFmtId="180" fontId="119" fillId="16" borderId="0" xfId="41" applyNumberFormat="1" applyFont="1" applyFill="1" applyBorder="1" applyAlignment="1">
      <alignment vertical="center"/>
    </xf>
    <xf numFmtId="180" fontId="118" fillId="25" borderId="61" xfId="58" applyNumberFormat="1" applyFont="1" applyFill="1" applyBorder="1" applyAlignment="1">
      <alignment horizontal="left" vertical="center"/>
    </xf>
    <xf numFmtId="175" fontId="127" fillId="25" borderId="0" xfId="40" applyNumberFormat="1" applyFont="1" applyFill="1" applyBorder="1" applyAlignment="1">
      <alignment vertical="center"/>
    </xf>
    <xf numFmtId="180" fontId="119" fillId="0" borderId="0" xfId="41" applyNumberFormat="1" applyFont="1" applyFill="1" applyBorder="1" applyAlignment="1">
      <alignment vertical="center"/>
    </xf>
    <xf numFmtId="0" fontId="107" fillId="0" borderId="61" xfId="58" applyFont="1" applyBorder="1" applyAlignment="1">
      <alignment vertical="center"/>
    </xf>
    <xf numFmtId="171" fontId="107" fillId="0" borderId="0" xfId="40" applyNumberFormat="1" applyFont="1" applyBorder="1" applyAlignment="1">
      <alignment vertical="center"/>
    </xf>
    <xf numFmtId="3" fontId="122" fillId="16" borderId="61" xfId="58" applyNumberFormat="1" applyFont="1" applyFill="1" applyBorder="1" applyAlignment="1">
      <alignment horizontal="right" vertical="center"/>
    </xf>
    <xf numFmtId="180" fontId="107" fillId="0" borderId="61" xfId="41" applyNumberFormat="1" applyFont="1" applyFill="1" applyBorder="1" applyAlignment="1">
      <alignment horizontal="left" vertical="center"/>
    </xf>
    <xf numFmtId="3" fontId="107" fillId="0" borderId="0" xfId="40" applyFont="1" applyBorder="1" applyAlignment="1" applyProtection="1">
      <alignment horizontal="left" vertical="center"/>
    </xf>
    <xf numFmtId="3" fontId="111" fillId="0" borderId="0" xfId="40" applyFont="1" applyBorder="1" applyAlignment="1" applyProtection="1">
      <alignment horizontal="left" vertical="center"/>
    </xf>
    <xf numFmtId="3" fontId="107" fillId="0" borderId="61" xfId="1" applyNumberFormat="1" applyFont="1" applyBorder="1" applyAlignment="1">
      <alignment horizontal="right" vertical="center"/>
    </xf>
    <xf numFmtId="180" fontId="107" fillId="0" borderId="61" xfId="68" applyNumberFormat="1" applyFont="1" applyBorder="1" applyAlignment="1">
      <alignment horizontal="left" vertical="center"/>
    </xf>
    <xf numFmtId="180" fontId="106" fillId="0" borderId="0" xfId="41" applyNumberFormat="1" applyFont="1" applyFill="1" applyBorder="1" applyAlignment="1">
      <alignment vertical="center"/>
    </xf>
    <xf numFmtId="2" fontId="106" fillId="16" borderId="61" xfId="61" applyFont="1" applyFill="1" applyBorder="1" applyAlignment="1">
      <alignment vertical="center"/>
    </xf>
    <xf numFmtId="4" fontId="106" fillId="16" borderId="0" xfId="40" applyNumberFormat="1" applyFont="1" applyFill="1" applyBorder="1" applyAlignment="1">
      <alignment horizontal="right" vertical="center"/>
    </xf>
    <xf numFmtId="0" fontId="107" fillId="0" borderId="61" xfId="1" applyFont="1" applyBorder="1" applyAlignment="1">
      <alignment vertical="center"/>
    </xf>
    <xf numFmtId="0" fontId="106" fillId="16" borderId="61" xfId="58" applyFont="1" applyFill="1" applyBorder="1" applyAlignment="1">
      <alignment vertical="center"/>
    </xf>
    <xf numFmtId="171" fontId="106" fillId="16" borderId="0" xfId="40" applyNumberFormat="1" applyFont="1" applyFill="1" applyBorder="1" applyAlignment="1">
      <alignment horizontal="right" vertical="center"/>
    </xf>
    <xf numFmtId="171" fontId="107" fillId="0" borderId="0" xfId="40" applyNumberFormat="1" applyFont="1" applyBorder="1" applyAlignment="1">
      <alignment horizontal="right" vertical="center"/>
    </xf>
    <xf numFmtId="168" fontId="107" fillId="0" borderId="0" xfId="40" applyNumberFormat="1" applyFont="1" applyBorder="1" applyAlignment="1">
      <alignment horizontal="right" vertical="center"/>
    </xf>
    <xf numFmtId="215" fontId="107" fillId="0" borderId="0" xfId="66" applyNumberFormat="1" applyFont="1" applyBorder="1" applyAlignment="1">
      <alignment horizontal="right" vertical="center"/>
    </xf>
    <xf numFmtId="171" fontId="107" fillId="0" borderId="0" xfId="40" applyNumberFormat="1" applyFont="1" applyFill="1" applyBorder="1" applyAlignment="1" applyProtection="1">
      <alignment horizontal="right" vertical="center"/>
    </xf>
    <xf numFmtId="2" fontId="122" fillId="27" borderId="0" xfId="61" applyFont="1" applyFill="1" applyBorder="1" applyAlignment="1">
      <alignment horizontal="left" vertical="center"/>
    </xf>
    <xf numFmtId="171" fontId="119" fillId="16" borderId="0" xfId="40" applyNumberFormat="1" applyFont="1" applyFill="1" applyBorder="1" applyAlignment="1">
      <alignment horizontal="right" vertical="center"/>
    </xf>
    <xf numFmtId="2" fontId="119" fillId="16" borderId="0" xfId="61" applyFont="1" applyFill="1" applyBorder="1" applyAlignment="1">
      <alignment horizontal="left" vertical="center"/>
    </xf>
    <xf numFmtId="171" fontId="106" fillId="16" borderId="61" xfId="40" applyNumberFormat="1" applyFont="1" applyFill="1" applyBorder="1" applyAlignment="1">
      <alignment horizontal="right" vertical="center"/>
    </xf>
    <xf numFmtId="2" fontId="122" fillId="0" borderId="0" xfId="61" applyFont="1" applyBorder="1" applyAlignment="1">
      <alignment horizontal="left" vertical="center"/>
    </xf>
    <xf numFmtId="171" fontId="119" fillId="0" borderId="0" xfId="40" applyNumberFormat="1" applyFont="1" applyBorder="1" applyAlignment="1">
      <alignment horizontal="right" vertical="center"/>
    </xf>
    <xf numFmtId="2" fontId="119" fillId="0" borderId="0" xfId="61" applyFont="1" applyBorder="1" applyAlignment="1">
      <alignment horizontal="left" vertical="center"/>
    </xf>
    <xf numFmtId="171" fontId="106" fillId="0" borderId="0" xfId="40" applyNumberFormat="1" applyFont="1" applyBorder="1" applyAlignment="1">
      <alignment horizontal="right" vertical="center"/>
    </xf>
    <xf numFmtId="171" fontId="106" fillId="0" borderId="61" xfId="40" applyNumberFormat="1" applyFont="1" applyBorder="1" applyAlignment="1">
      <alignment horizontal="right" vertical="center"/>
    </xf>
    <xf numFmtId="171" fontId="111" fillId="0" borderId="0" xfId="40" applyNumberFormat="1" applyFont="1" applyBorder="1" applyAlignment="1">
      <alignment horizontal="right" vertical="center"/>
    </xf>
    <xf numFmtId="2" fontId="111" fillId="0" borderId="0" xfId="61" applyFont="1" applyBorder="1" applyAlignment="1">
      <alignment horizontal="left" vertical="center"/>
    </xf>
    <xf numFmtId="171" fontId="107" fillId="0" borderId="61" xfId="40" applyNumberFormat="1" applyFont="1" applyBorder="1" applyAlignment="1">
      <alignment horizontal="right" vertical="center"/>
    </xf>
    <xf numFmtId="168" fontId="106" fillId="16" borderId="0" xfId="40" applyNumberFormat="1" applyFont="1" applyFill="1" applyBorder="1" applyAlignment="1">
      <alignment horizontal="right" vertical="center"/>
    </xf>
    <xf numFmtId="176" fontId="111" fillId="25" borderId="0" xfId="40" applyNumberFormat="1" applyFont="1" applyFill="1" applyBorder="1" applyAlignment="1">
      <alignment horizontal="right" vertical="center"/>
    </xf>
    <xf numFmtId="176" fontId="107" fillId="25" borderId="0" xfId="40" applyNumberFormat="1" applyFont="1" applyFill="1" applyBorder="1" applyAlignment="1">
      <alignment horizontal="right" vertical="center"/>
    </xf>
    <xf numFmtId="176" fontId="107" fillId="25" borderId="61" xfId="40" applyNumberFormat="1" applyFont="1" applyFill="1" applyBorder="1" applyAlignment="1">
      <alignment horizontal="right" vertical="center"/>
    </xf>
    <xf numFmtId="180" fontId="107" fillId="0" borderId="0" xfId="41" applyNumberFormat="1" applyFont="1" applyBorder="1" applyAlignment="1" applyProtection="1">
      <alignment horizontal="left" vertical="center"/>
    </xf>
    <xf numFmtId="3" fontId="111" fillId="0" borderId="0" xfId="40" applyFont="1" applyBorder="1" applyAlignment="1">
      <alignment vertical="center"/>
    </xf>
    <xf numFmtId="180" fontId="111" fillId="0" borderId="0" xfId="41" applyNumberFormat="1" applyFont="1" applyBorder="1" applyAlignment="1" applyProtection="1">
      <alignment horizontal="left" vertical="center"/>
    </xf>
    <xf numFmtId="3" fontId="107" fillId="0" borderId="0" xfId="40" applyFont="1" applyBorder="1" applyAlignment="1">
      <alignment vertical="center"/>
    </xf>
    <xf numFmtId="171" fontId="107" fillId="0" borderId="61" xfId="40" applyNumberFormat="1" applyFont="1" applyBorder="1" applyAlignment="1">
      <alignment vertical="center"/>
    </xf>
    <xf numFmtId="176" fontId="107" fillId="0" borderId="0" xfId="40" applyNumberFormat="1" applyFont="1" applyFill="1" applyBorder="1" applyAlignment="1">
      <alignment horizontal="right" vertical="center"/>
    </xf>
    <xf numFmtId="176" fontId="106" fillId="0" borderId="0" xfId="40" applyNumberFormat="1" applyFont="1" applyFill="1" applyBorder="1" applyAlignment="1">
      <alignment horizontal="right" vertical="center"/>
    </xf>
    <xf numFmtId="3" fontId="111" fillId="0" borderId="0" xfId="40" applyFont="1" applyFill="1" applyBorder="1" applyAlignment="1" applyProtection="1">
      <alignment horizontal="right" vertical="center"/>
    </xf>
    <xf numFmtId="3" fontId="107" fillId="0" borderId="0" xfId="40" applyFont="1" applyFill="1" applyBorder="1" applyAlignment="1" applyProtection="1">
      <alignment horizontal="right" vertical="center"/>
    </xf>
    <xf numFmtId="171" fontId="107" fillId="0" borderId="61" xfId="40" applyNumberFormat="1" applyFont="1" applyFill="1" applyBorder="1" applyAlignment="1" applyProtection="1">
      <alignment horizontal="right" vertical="center"/>
    </xf>
    <xf numFmtId="176" fontId="107" fillId="25" borderId="0" xfId="40" applyNumberFormat="1" applyFont="1" applyFill="1" applyBorder="1" applyAlignment="1">
      <alignment vertical="center"/>
    </xf>
    <xf numFmtId="176" fontId="128" fillId="0" borderId="0" xfId="40" applyNumberFormat="1" applyFont="1" applyFill="1" applyBorder="1" applyAlignment="1">
      <alignment horizontal="right" vertical="center"/>
    </xf>
    <xf numFmtId="175" fontId="111" fillId="25" borderId="0" xfId="40" applyNumberFormat="1" applyFont="1" applyFill="1" applyBorder="1" applyAlignment="1">
      <alignment vertical="center"/>
    </xf>
    <xf numFmtId="175" fontId="127" fillId="25" borderId="61" xfId="40" applyNumberFormat="1" applyFont="1" applyFill="1" applyBorder="1" applyAlignment="1">
      <alignment vertical="center"/>
    </xf>
    <xf numFmtId="200" fontId="106" fillId="0" borderId="0" xfId="40" quotePrefix="1" applyNumberFormat="1" applyFont="1" applyBorder="1" applyAlignment="1" applyProtection="1">
      <alignment horizontal="right" vertical="center"/>
      <protection locked="0"/>
    </xf>
    <xf numFmtId="200" fontId="106" fillId="0" borderId="61" xfId="40" quotePrefix="1" applyNumberFormat="1" applyFont="1" applyBorder="1" applyAlignment="1" applyProtection="1">
      <alignment horizontal="right" vertical="center"/>
      <protection locked="0"/>
    </xf>
    <xf numFmtId="2" fontId="107" fillId="0" borderId="0" xfId="61" applyFont="1" applyBorder="1" applyAlignment="1">
      <alignment vertical="center"/>
    </xf>
    <xf numFmtId="176" fontId="107" fillId="0" borderId="0" xfId="40" applyNumberFormat="1" applyFont="1" applyBorder="1" applyAlignment="1">
      <alignment vertical="center"/>
    </xf>
    <xf numFmtId="206" fontId="107" fillId="0" borderId="0" xfId="40" applyNumberFormat="1" applyFont="1" applyBorder="1" applyAlignment="1">
      <alignment vertical="center"/>
    </xf>
    <xf numFmtId="200" fontId="106" fillId="27" borderId="0" xfId="40" quotePrefix="1" applyNumberFormat="1" applyFont="1" applyFill="1" applyBorder="1" applyAlignment="1" applyProtection="1">
      <alignment horizontal="right" vertical="center"/>
      <protection locked="0"/>
    </xf>
    <xf numFmtId="200" fontId="106" fillId="27" borderId="61" xfId="40" quotePrefix="1" applyNumberFormat="1" applyFont="1" applyFill="1" applyBorder="1" applyAlignment="1" applyProtection="1">
      <alignment horizontal="right" vertical="center"/>
      <protection locked="0"/>
    </xf>
    <xf numFmtId="3" fontId="107" fillId="0" borderId="0" xfId="40" quotePrefix="1" applyFont="1" applyBorder="1" applyAlignment="1">
      <alignment horizontal="right" vertical="center"/>
    </xf>
    <xf numFmtId="200" fontId="106" fillId="16" borderId="0" xfId="40" quotePrefix="1" applyNumberFormat="1" applyFont="1" applyFill="1" applyBorder="1" applyAlignment="1" applyProtection="1">
      <alignment horizontal="right" vertical="center"/>
      <protection locked="0"/>
    </xf>
    <xf numFmtId="200" fontId="106" fillId="16" borderId="61" xfId="40" quotePrefix="1" applyNumberFormat="1" applyFont="1" applyFill="1" applyBorder="1" applyAlignment="1" applyProtection="1">
      <alignment horizontal="right" vertical="center"/>
      <protection locked="0"/>
    </xf>
    <xf numFmtId="4" fontId="107" fillId="0" borderId="0" xfId="40" quotePrefix="1" applyNumberFormat="1" applyFont="1" applyFill="1" applyBorder="1" applyAlignment="1">
      <alignment horizontal="right" vertical="center"/>
    </xf>
    <xf numFmtId="200" fontId="107" fillId="0" borderId="0" xfId="40" applyNumberFormat="1" applyFont="1" applyFill="1" applyBorder="1" applyAlignment="1" applyProtection="1">
      <alignment horizontal="right" vertical="center"/>
    </xf>
    <xf numFmtId="200" fontId="107" fillId="0" borderId="61" xfId="40" applyNumberFormat="1" applyFont="1" applyFill="1" applyBorder="1" applyAlignment="1" applyProtection="1">
      <alignment horizontal="right" vertical="center"/>
    </xf>
    <xf numFmtId="3" fontId="106" fillId="0" borderId="0" xfId="40" quotePrefix="1" applyFont="1" applyBorder="1" applyAlignment="1">
      <alignment horizontal="right" vertical="center"/>
    </xf>
    <xf numFmtId="4" fontId="107" fillId="0" borderId="0" xfId="40" applyNumberFormat="1" applyFont="1" applyBorder="1" applyAlignment="1">
      <alignment vertical="center"/>
    </xf>
    <xf numFmtId="200" fontId="106" fillId="0" borderId="0" xfId="40" applyNumberFormat="1" applyFont="1" applyFill="1" applyBorder="1" applyAlignment="1" applyProtection="1">
      <alignment horizontal="right" vertical="center"/>
    </xf>
    <xf numFmtId="200" fontId="106" fillId="0" borderId="61" xfId="40" applyNumberFormat="1" applyFont="1" applyFill="1" applyBorder="1" applyAlignment="1" applyProtection="1">
      <alignment horizontal="right" vertical="center"/>
    </xf>
    <xf numFmtId="3" fontId="107" fillId="0" borderId="0" xfId="40" applyFont="1" applyFill="1" applyBorder="1" applyAlignment="1">
      <alignment vertical="center"/>
    </xf>
    <xf numFmtId="3" fontId="106" fillId="0" borderId="0" xfId="40" applyFont="1" applyBorder="1" applyAlignment="1">
      <alignment vertical="center"/>
    </xf>
    <xf numFmtId="200" fontId="106" fillId="16" borderId="0" xfId="40" applyNumberFormat="1" applyFont="1" applyFill="1" applyBorder="1" applyAlignment="1" applyProtection="1">
      <alignment horizontal="right" vertical="center"/>
    </xf>
    <xf numFmtId="200" fontId="106" fillId="16" borderId="61" xfId="40" applyNumberFormat="1" applyFont="1" applyFill="1" applyBorder="1" applyAlignment="1" applyProtection="1">
      <alignment horizontal="right" vertical="center"/>
    </xf>
    <xf numFmtId="176" fontId="106" fillId="27" borderId="0" xfId="40" applyNumberFormat="1" applyFont="1" applyFill="1" applyBorder="1" applyAlignment="1" applyProtection="1">
      <alignment horizontal="right" vertical="center"/>
    </xf>
    <xf numFmtId="176" fontId="106" fillId="27" borderId="61" xfId="40" applyNumberFormat="1" applyFont="1" applyFill="1" applyBorder="1" applyAlignment="1" applyProtection="1">
      <alignment horizontal="right" vertical="center"/>
    </xf>
    <xf numFmtId="171" fontId="106" fillId="0" borderId="0" xfId="40" applyNumberFormat="1" applyFont="1" applyFill="1" applyBorder="1" applyAlignment="1">
      <alignment vertical="center"/>
    </xf>
    <xf numFmtId="176" fontId="106" fillId="16" borderId="0" xfId="40" applyNumberFormat="1" applyFont="1" applyFill="1" applyBorder="1" applyAlignment="1" applyProtection="1">
      <alignment horizontal="right" vertical="center"/>
    </xf>
    <xf numFmtId="176" fontId="106" fillId="16" borderId="61" xfId="40" applyNumberFormat="1" applyFont="1" applyFill="1" applyBorder="1" applyAlignment="1" applyProtection="1">
      <alignment horizontal="right" vertical="center"/>
    </xf>
    <xf numFmtId="4" fontId="107" fillId="0" borderId="0" xfId="40" applyNumberFormat="1" applyFont="1" applyFill="1" applyBorder="1" applyAlignment="1">
      <alignment vertical="center"/>
    </xf>
    <xf numFmtId="0" fontId="107" fillId="0" borderId="61" xfId="0" applyFont="1" applyBorder="1" applyAlignment="1">
      <alignment vertical="center"/>
    </xf>
    <xf numFmtId="176" fontId="111" fillId="0" borderId="0" xfId="40" applyNumberFormat="1" applyFont="1" applyBorder="1" applyAlignment="1" applyProtection="1">
      <alignment horizontal="right" vertical="center"/>
    </xf>
    <xf numFmtId="176" fontId="107" fillId="0" borderId="0" xfId="40" applyNumberFormat="1" applyFont="1" applyBorder="1" applyAlignment="1" applyProtection="1">
      <alignment horizontal="right" vertical="center"/>
    </xf>
    <xf numFmtId="176" fontId="107" fillId="0" borderId="61" xfId="40" applyNumberFormat="1" applyFont="1" applyBorder="1" applyAlignment="1" applyProtection="1">
      <alignment horizontal="right" vertical="center"/>
    </xf>
    <xf numFmtId="180" fontId="107" fillId="0" borderId="0" xfId="41" applyNumberFormat="1" applyFont="1" applyFill="1" applyBorder="1" applyAlignment="1">
      <alignment horizontal="left" vertical="center"/>
    </xf>
    <xf numFmtId="37" fontId="107" fillId="0" borderId="0" xfId="61" applyNumberFormat="1" applyFont="1" applyBorder="1" applyAlignment="1">
      <alignment vertical="center"/>
    </xf>
    <xf numFmtId="0" fontId="25" fillId="0" borderId="0" xfId="78" applyFont="1"/>
    <xf numFmtId="10" fontId="139" fillId="15" borderId="0" xfId="66" applyNumberFormat="1" applyFont="1" applyFill="1" applyAlignment="1">
      <alignment horizontal="center"/>
    </xf>
    <xf numFmtId="0" fontId="26" fillId="28" borderId="0" xfId="78" applyFont="1" applyFill="1"/>
    <xf numFmtId="0" fontId="26" fillId="0" borderId="0" xfId="78" applyFont="1"/>
    <xf numFmtId="10" fontId="139" fillId="15" borderId="70" xfId="66" applyNumberFormat="1" applyFont="1" applyFill="1" applyBorder="1" applyAlignment="1">
      <alignment horizontal="center"/>
    </xf>
    <xf numFmtId="213" fontId="104" fillId="15" borderId="0" xfId="1" applyNumberFormat="1" applyFont="1" applyFill="1" applyAlignment="1">
      <alignment horizontal="center"/>
    </xf>
    <xf numFmtId="10" fontId="34" fillId="26" borderId="47" xfId="66" applyNumberFormat="1" applyFont="1" applyFill="1" applyBorder="1" applyAlignment="1">
      <alignment horizontal="center"/>
    </xf>
    <xf numFmtId="178" fontId="139" fillId="26" borderId="0" xfId="79" applyNumberFormat="1" applyFont="1" applyFill="1" applyAlignment="1">
      <alignment horizontal="center"/>
    </xf>
    <xf numFmtId="0" fontId="25" fillId="26" borderId="0" xfId="79" applyFont="1" applyFill="1"/>
    <xf numFmtId="0" fontId="25" fillId="26" borderId="0" xfId="79" applyFont="1" applyFill="1" applyAlignment="1">
      <alignment horizontal="center"/>
    </xf>
    <xf numFmtId="0" fontId="178" fillId="26" borderId="0" xfId="79" applyFont="1" applyFill="1"/>
    <xf numFmtId="178" fontId="25" fillId="26" borderId="0" xfId="79" applyNumberFormat="1" applyFont="1" applyFill="1" applyAlignment="1">
      <alignment horizontal="center"/>
    </xf>
    <xf numFmtId="0" fontId="107" fillId="0" borderId="0" xfId="79" applyFont="1"/>
    <xf numFmtId="0" fontId="106" fillId="0" borderId="0" xfId="79" applyFont="1"/>
    <xf numFmtId="170" fontId="147" fillId="0" borderId="0" xfId="67" applyNumberFormat="1" applyFont="1" applyAlignment="1">
      <alignment horizontal="center"/>
    </xf>
    <xf numFmtId="170" fontId="147" fillId="0" borderId="0" xfId="67" applyNumberFormat="1" applyFont="1" applyBorder="1" applyAlignment="1">
      <alignment horizontal="center"/>
    </xf>
    <xf numFmtId="171" fontId="25" fillId="0" borderId="50" xfId="1" applyNumberFormat="1" applyFont="1" applyBorder="1" applyAlignment="1">
      <alignment horizontal="center"/>
    </xf>
    <xf numFmtId="1" fontId="139" fillId="0" borderId="0" xfId="1" applyNumberFormat="1" applyFont="1" applyAlignment="1">
      <alignment horizontal="center"/>
    </xf>
    <xf numFmtId="3" fontId="25" fillId="0" borderId="50" xfId="1" applyNumberFormat="1" applyFont="1" applyBorder="1" applyAlignment="1">
      <alignment horizontal="center"/>
    </xf>
    <xf numFmtId="170" fontId="11" fillId="0" borderId="54" xfId="66" applyNumberFormat="1" applyFont="1" applyFill="1" applyBorder="1" applyAlignment="1">
      <alignment horizontal="right"/>
    </xf>
    <xf numFmtId="3" fontId="151" fillId="26" borderId="54" xfId="0" applyNumberFormat="1" applyFont="1" applyFill="1" applyBorder="1" applyAlignment="1">
      <alignment horizontal="center"/>
    </xf>
    <xf numFmtId="170" fontId="109" fillId="28" borderId="72" xfId="67" applyNumberFormat="1" applyFont="1" applyFill="1" applyBorder="1" applyAlignment="1">
      <alignment horizontal="center"/>
    </xf>
    <xf numFmtId="0" fontId="25" fillId="36" borderId="0" xfId="1" applyFont="1" applyFill="1"/>
    <xf numFmtId="0" fontId="31" fillId="36" borderId="0" xfId="1" applyFont="1" applyFill="1" applyAlignment="1">
      <alignment horizontal="center"/>
    </xf>
    <xf numFmtId="10" fontId="24" fillId="36" borderId="0" xfId="1" applyNumberFormat="1" applyFont="1" applyFill="1" applyAlignment="1">
      <alignment horizontal="center"/>
    </xf>
    <xf numFmtId="10" fontId="25" fillId="36" borderId="0" xfId="1" applyNumberFormat="1" applyFont="1" applyFill="1" applyAlignment="1">
      <alignment horizontal="center"/>
    </xf>
    <xf numFmtId="0" fontId="25" fillId="36" borderId="0" xfId="1" applyFont="1" applyFill="1" applyAlignment="1">
      <alignment horizontal="center"/>
    </xf>
    <xf numFmtId="10" fontId="35" fillId="36" borderId="47" xfId="1" applyNumberFormat="1" applyFont="1" applyFill="1" applyBorder="1" applyAlignment="1">
      <alignment horizontal="center"/>
    </xf>
    <xf numFmtId="10" fontId="25" fillId="36" borderId="0" xfId="66" applyNumberFormat="1" applyFont="1" applyFill="1" applyAlignment="1">
      <alignment horizontal="center"/>
    </xf>
    <xf numFmtId="0" fontId="31" fillId="36" borderId="0" xfId="1" applyFont="1" applyFill="1"/>
    <xf numFmtId="10" fontId="31" fillId="36" borderId="0" xfId="66" applyNumberFormat="1" applyFont="1" applyFill="1" applyAlignment="1">
      <alignment horizontal="center"/>
    </xf>
    <xf numFmtId="10" fontId="31" fillId="36" borderId="0" xfId="1" applyNumberFormat="1" applyFont="1" applyFill="1" applyAlignment="1">
      <alignment horizontal="center"/>
    </xf>
    <xf numFmtId="10" fontId="46" fillId="36" borderId="0" xfId="1" applyNumberFormat="1" applyFont="1" applyFill="1" applyAlignment="1">
      <alignment horizontal="center"/>
    </xf>
    <xf numFmtId="10" fontId="106" fillId="0" borderId="0" xfId="66" applyNumberFormat="1" applyFont="1"/>
    <xf numFmtId="10" fontId="26" fillId="26" borderId="47" xfId="66" applyNumberFormat="1" applyFont="1" applyFill="1" applyBorder="1" applyAlignment="1">
      <alignment horizontal="center"/>
    </xf>
    <xf numFmtId="3" fontId="139" fillId="26" borderId="0" xfId="66" applyNumberFormat="1" applyFont="1" applyFill="1" applyAlignment="1">
      <alignment horizontal="center"/>
    </xf>
    <xf numFmtId="170" fontId="143" fillId="0" borderId="0" xfId="66" applyNumberFormat="1" applyFont="1" applyFill="1" applyAlignment="1">
      <alignment horizontal="center"/>
    </xf>
    <xf numFmtId="170" fontId="31" fillId="0" borderId="0" xfId="66" applyNumberFormat="1" applyFont="1" applyFill="1" applyBorder="1" applyAlignment="1">
      <alignment horizontal="center"/>
    </xf>
    <xf numFmtId="3" fontId="141" fillId="0" borderId="0" xfId="0" applyNumberFormat="1" applyFont="1" applyAlignment="1">
      <alignment horizontal="center"/>
    </xf>
    <xf numFmtId="170" fontId="139" fillId="0" borderId="0" xfId="1" applyNumberFormat="1" applyFont="1" applyAlignment="1">
      <alignment horizontal="center"/>
    </xf>
    <xf numFmtId="0" fontId="26" fillId="37" borderId="0" xfId="1" applyFont="1" applyFill="1" applyAlignment="1">
      <alignment horizontal="center"/>
    </xf>
    <xf numFmtId="0" fontId="26" fillId="37" borderId="0" xfId="1" applyFont="1" applyFill="1"/>
    <xf numFmtId="9" fontId="108" fillId="0" borderId="0" xfId="67" applyFont="1" applyBorder="1" applyAlignment="1">
      <alignment horizontal="center"/>
    </xf>
    <xf numFmtId="9" fontId="108" fillId="0" borderId="66" xfId="67" applyFont="1" applyBorder="1" applyAlignment="1">
      <alignment horizontal="center"/>
    </xf>
    <xf numFmtId="9" fontId="108" fillId="0" borderId="18" xfId="67" applyFont="1" applyBorder="1" applyAlignment="1">
      <alignment horizontal="center"/>
    </xf>
    <xf numFmtId="9" fontId="108" fillId="0" borderId="62" xfId="67" applyFont="1" applyBorder="1" applyAlignment="1">
      <alignment horizontal="center"/>
    </xf>
    <xf numFmtId="9" fontId="108" fillId="0" borderId="63" xfId="67" applyFont="1" applyBorder="1" applyAlignment="1">
      <alignment horizontal="center"/>
    </xf>
    <xf numFmtId="170" fontId="31" fillId="26" borderId="0" xfId="66" applyNumberFormat="1" applyFont="1" applyFill="1" applyBorder="1" applyAlignment="1">
      <alignment horizontal="center"/>
    </xf>
    <xf numFmtId="170" fontId="39" fillId="0" borderId="0" xfId="66" applyNumberFormat="1" applyFont="1" applyFill="1" applyBorder="1" applyAlignment="1">
      <alignment horizontal="center"/>
    </xf>
    <xf numFmtId="170" fontId="46" fillId="26" borderId="0" xfId="66" applyNumberFormat="1" applyFont="1" applyFill="1" applyBorder="1" applyAlignment="1">
      <alignment horizontal="center"/>
    </xf>
    <xf numFmtId="188" fontId="180" fillId="0" borderId="73" xfId="59" applyNumberFormat="1" applyFont="1" applyBorder="1" applyAlignment="1">
      <alignment horizontal="center"/>
    </xf>
    <xf numFmtId="188" fontId="181" fillId="0" borderId="73" xfId="59" applyNumberFormat="1" applyFont="1" applyBorder="1" applyAlignment="1">
      <alignment horizontal="center"/>
    </xf>
    <xf numFmtId="188" fontId="173" fillId="0" borderId="73" xfId="59" applyNumberFormat="1" applyFont="1" applyBorder="1" applyAlignment="1">
      <alignment horizontal="center"/>
    </xf>
    <xf numFmtId="10" fontId="39" fillId="0" borderId="0" xfId="1" applyNumberFormat="1" applyFont="1" applyAlignment="1">
      <alignment horizontal="center"/>
    </xf>
    <xf numFmtId="10" fontId="31" fillId="0" borderId="0" xfId="1" applyNumberFormat="1" applyFont="1" applyAlignment="1">
      <alignment horizontal="center"/>
    </xf>
    <xf numFmtId="9" fontId="108" fillId="0" borderId="72" xfId="67" applyFont="1" applyBorder="1" applyAlignment="1">
      <alignment horizontal="center"/>
    </xf>
    <xf numFmtId="3" fontId="119" fillId="16" borderId="0" xfId="40" applyFont="1" applyFill="1" applyBorder="1" applyAlignment="1">
      <alignment horizontal="right" vertical="center"/>
    </xf>
    <xf numFmtId="3" fontId="106" fillId="16" borderId="0" xfId="40" applyFont="1" applyFill="1" applyBorder="1" applyAlignment="1">
      <alignment horizontal="right" vertical="center"/>
    </xf>
    <xf numFmtId="3" fontId="119" fillId="0" borderId="0" xfId="40" applyFont="1" applyFill="1" applyBorder="1" applyAlignment="1">
      <alignment horizontal="right" vertical="center"/>
    </xf>
    <xf numFmtId="3" fontId="106" fillId="0" borderId="0" xfId="40" applyFont="1" applyFill="1" applyBorder="1" applyAlignment="1">
      <alignment horizontal="right" vertical="center"/>
    </xf>
    <xf numFmtId="170" fontId="182" fillId="15" borderId="48" xfId="66" applyNumberFormat="1" applyFont="1" applyFill="1" applyBorder="1" applyAlignment="1">
      <alignment horizontal="center"/>
    </xf>
    <xf numFmtId="0" fontId="142" fillId="15" borderId="0" xfId="1" applyFont="1" applyFill="1"/>
    <xf numFmtId="9" fontId="35" fillId="26" borderId="54" xfId="66" applyFont="1" applyFill="1" applyBorder="1" applyAlignment="1">
      <alignment horizontal="center"/>
    </xf>
    <xf numFmtId="170" fontId="11" fillId="0" borderId="28" xfId="66" applyNumberFormat="1" applyFont="1" applyFill="1" applyBorder="1" applyAlignment="1">
      <alignment horizontal="center"/>
    </xf>
    <xf numFmtId="9" fontId="139" fillId="26" borderId="0" xfId="66" applyFont="1" applyFill="1" applyAlignment="1">
      <alignment horizontal="center"/>
    </xf>
    <xf numFmtId="10" fontId="107" fillId="0" borderId="0" xfId="66" applyNumberFormat="1" applyFont="1"/>
    <xf numFmtId="215" fontId="140" fillId="0" borderId="0" xfId="66" applyNumberFormat="1" applyFont="1" applyAlignment="1">
      <alignment horizontal="center"/>
    </xf>
    <xf numFmtId="0" fontId="140" fillId="0" borderId="0" xfId="2" applyFont="1"/>
    <xf numFmtId="170" fontId="183" fillId="0" borderId="0" xfId="66" applyNumberFormat="1" applyFont="1" applyAlignment="1">
      <alignment horizontal="center"/>
    </xf>
    <xf numFmtId="0" fontId="31" fillId="26" borderId="0" xfId="79" applyFont="1" applyFill="1"/>
    <xf numFmtId="0" fontId="31" fillId="0" borderId="0" xfId="79" applyFont="1"/>
    <xf numFmtId="0" fontId="31" fillId="26" borderId="0" xfId="79" applyFont="1" applyFill="1" applyAlignment="1">
      <alignment horizontal="center"/>
    </xf>
    <xf numFmtId="0" fontId="144" fillId="26" borderId="0" xfId="79" applyFont="1" applyFill="1" applyAlignment="1">
      <alignment horizontal="center"/>
    </xf>
    <xf numFmtId="193" fontId="31" fillId="0" borderId="0" xfId="79" applyNumberFormat="1" applyFont="1" applyAlignment="1">
      <alignment horizontal="center"/>
    </xf>
    <xf numFmtId="0" fontId="31" fillId="0" borderId="0" xfId="79" applyFont="1" applyAlignment="1">
      <alignment horizontal="center"/>
    </xf>
    <xf numFmtId="211" fontId="31" fillId="0" borderId="0" xfId="79" applyNumberFormat="1" applyFont="1" applyAlignment="1">
      <alignment horizontal="center"/>
    </xf>
    <xf numFmtId="170" fontId="31" fillId="26" borderId="47" xfId="66" applyNumberFormat="1" applyFont="1" applyFill="1" applyBorder="1" applyAlignment="1">
      <alignment horizontal="center"/>
    </xf>
    <xf numFmtId="0" fontId="184" fillId="0" borderId="0" xfId="59" applyFont="1"/>
    <xf numFmtId="170" fontId="14" fillId="15" borderId="65" xfId="67" applyNumberFormat="1" applyFont="1" applyFill="1" applyBorder="1" applyAlignment="1">
      <alignment horizontal="right"/>
    </xf>
    <xf numFmtId="170" fontId="14" fillId="15" borderId="67" xfId="67" applyNumberFormat="1" applyFont="1" applyFill="1" applyBorder="1" applyAlignment="1">
      <alignment horizontal="right"/>
    </xf>
    <xf numFmtId="0" fontId="184" fillId="0" borderId="0" xfId="59" applyFont="1" applyAlignment="1">
      <alignment horizontal="left"/>
    </xf>
    <xf numFmtId="10" fontId="185" fillId="15" borderId="47" xfId="59" applyNumberFormat="1" applyFont="1" applyFill="1" applyBorder="1" applyAlignment="1">
      <alignment horizontal="center"/>
    </xf>
    <xf numFmtId="170" fontId="10" fillId="0" borderId="0" xfId="59" applyNumberFormat="1" applyFont="1" applyAlignment="1">
      <alignment horizontal="center"/>
    </xf>
    <xf numFmtId="0" fontId="186" fillId="28" borderId="0" xfId="59" applyFont="1" applyFill="1" applyAlignment="1">
      <alignment horizontal="left"/>
    </xf>
    <xf numFmtId="188" fontId="186" fillId="28" borderId="0" xfId="59" applyNumberFormat="1" applyFont="1" applyFill="1" applyAlignment="1">
      <alignment horizontal="center"/>
    </xf>
    <xf numFmtId="170" fontId="186" fillId="28" borderId="0" xfId="66" applyNumberFormat="1" applyFont="1" applyFill="1" applyBorder="1" applyAlignment="1">
      <alignment horizontal="center"/>
    </xf>
    <xf numFmtId="0" fontId="186" fillId="0" borderId="0" xfId="59" applyFont="1" applyAlignment="1">
      <alignment horizontal="left"/>
    </xf>
    <xf numFmtId="188" fontId="186" fillId="0" borderId="0" xfId="59" applyNumberFormat="1" applyFont="1" applyAlignment="1">
      <alignment horizontal="center"/>
    </xf>
    <xf numFmtId="0" fontId="187" fillId="0" borderId="0" xfId="59" applyFont="1" applyAlignment="1">
      <alignment horizontal="left"/>
    </xf>
    <xf numFmtId="188" fontId="187" fillId="0" borderId="0" xfId="59" applyNumberFormat="1" applyFont="1" applyAlignment="1">
      <alignment horizontal="center"/>
    </xf>
    <xf numFmtId="170" fontId="187" fillId="0" borderId="0" xfId="66" applyNumberFormat="1" applyFont="1" applyFill="1" applyBorder="1" applyAlignment="1">
      <alignment horizontal="center"/>
    </xf>
    <xf numFmtId="170" fontId="23" fillId="15" borderId="0" xfId="66" applyNumberFormat="1" applyFont="1" applyFill="1" applyBorder="1"/>
    <xf numFmtId="170" fontId="15" fillId="15" borderId="47" xfId="66" applyNumberFormat="1" applyFont="1" applyFill="1" applyBorder="1" applyAlignment="1">
      <alignment horizontal="center"/>
    </xf>
    <xf numFmtId="170" fontId="10" fillId="15" borderId="47" xfId="66" applyNumberFormat="1" applyFont="1" applyFill="1" applyBorder="1" applyAlignment="1">
      <alignment horizontal="right"/>
    </xf>
    <xf numFmtId="212" fontId="0" fillId="0" borderId="0" xfId="0" applyNumberFormat="1"/>
    <xf numFmtId="171" fontId="106" fillId="0" borderId="0" xfId="1" applyNumberFormat="1" applyFont="1"/>
    <xf numFmtId="10" fontId="109" fillId="0" borderId="0" xfId="1" applyNumberFormat="1" applyFont="1"/>
    <xf numFmtId="212" fontId="106" fillId="0" borderId="0" xfId="1" applyNumberFormat="1" applyFont="1"/>
    <xf numFmtId="171" fontId="0" fillId="0" borderId="0" xfId="0" applyNumberFormat="1"/>
    <xf numFmtId="170" fontId="48" fillId="26" borderId="0" xfId="66" applyNumberFormat="1" applyFont="1" applyFill="1" applyAlignment="1">
      <alignment horizontal="center"/>
    </xf>
    <xf numFmtId="170" fontId="46" fillId="26" borderId="0" xfId="66" applyNumberFormat="1" applyFont="1" applyFill="1" applyAlignment="1">
      <alignment horizontal="center"/>
    </xf>
    <xf numFmtId="10" fontId="33" fillId="26" borderId="0" xfId="1" applyNumberFormat="1" applyFont="1" applyFill="1" applyAlignment="1">
      <alignment horizontal="center"/>
    </xf>
    <xf numFmtId="10" fontId="89" fillId="26" borderId="0" xfId="66" applyNumberFormat="1" applyFont="1" applyFill="1" applyAlignment="1">
      <alignment horizontal="center"/>
    </xf>
    <xf numFmtId="10" fontId="139" fillId="36" borderId="0" xfId="66" applyNumberFormat="1" applyFont="1" applyFill="1" applyAlignment="1">
      <alignment horizontal="center"/>
    </xf>
    <xf numFmtId="10" fontId="139" fillId="36" borderId="0" xfId="1" applyNumberFormat="1" applyFont="1" applyFill="1" applyAlignment="1">
      <alignment horizontal="center"/>
    </xf>
    <xf numFmtId="0" fontId="139" fillId="36" borderId="0" xfId="1" applyFont="1" applyFill="1"/>
    <xf numFmtId="10" fontId="93" fillId="20" borderId="53" xfId="66" applyNumberFormat="1" applyFont="1" applyFill="1" applyBorder="1" applyAlignment="1">
      <alignment horizontal="right"/>
    </xf>
    <xf numFmtId="0" fontId="188" fillId="29" borderId="77" xfId="59" applyFont="1" applyFill="1" applyBorder="1"/>
    <xf numFmtId="0" fontId="188" fillId="29" borderId="78" xfId="59" applyFont="1" applyFill="1" applyBorder="1"/>
    <xf numFmtId="0" fontId="188" fillId="29" borderId="79" xfId="59" applyFont="1" applyFill="1" applyBorder="1"/>
    <xf numFmtId="188" fontId="189" fillId="29" borderId="80" xfId="59" applyNumberFormat="1" applyFont="1" applyFill="1" applyBorder="1" applyAlignment="1">
      <alignment horizontal="center"/>
    </xf>
    <xf numFmtId="188" fontId="189" fillId="29" borderId="59" xfId="59" applyNumberFormat="1" applyFont="1" applyFill="1" applyBorder="1" applyAlignment="1">
      <alignment horizontal="center"/>
    </xf>
    <xf numFmtId="188" fontId="189" fillId="29" borderId="81" xfId="59" applyNumberFormat="1" applyFont="1" applyFill="1" applyBorder="1" applyAlignment="1">
      <alignment horizontal="center"/>
    </xf>
    <xf numFmtId="170" fontId="109" fillId="28" borderId="74" xfId="67" applyNumberFormat="1" applyFont="1" applyFill="1" applyBorder="1" applyAlignment="1">
      <alignment horizontal="center"/>
    </xf>
    <xf numFmtId="170" fontId="26" fillId="0" borderId="0" xfId="67" applyNumberFormat="1" applyFont="1" applyAlignment="1">
      <alignment horizontal="center"/>
    </xf>
    <xf numFmtId="3" fontId="134" fillId="0" borderId="47" xfId="1" applyNumberFormat="1" applyFont="1" applyBorder="1" applyAlignment="1">
      <alignment horizontal="center"/>
    </xf>
    <xf numFmtId="3" fontId="139" fillId="26" borderId="50" xfId="1" applyNumberFormat="1" applyFont="1" applyFill="1" applyBorder="1" applyAlignment="1">
      <alignment horizontal="center"/>
    </xf>
    <xf numFmtId="10" fontId="134" fillId="26" borderId="47" xfId="66" applyNumberFormat="1" applyFont="1" applyFill="1" applyBorder="1" applyAlignment="1">
      <alignment horizontal="center"/>
    </xf>
    <xf numFmtId="10" fontId="191" fillId="15" borderId="47" xfId="66" applyNumberFormat="1" applyFont="1" applyFill="1" applyBorder="1" applyAlignment="1">
      <alignment horizontal="right"/>
    </xf>
    <xf numFmtId="170" fontId="78" fillId="0" borderId="0" xfId="66" applyNumberFormat="1" applyFont="1" applyAlignment="1">
      <alignment horizontal="center"/>
    </xf>
    <xf numFmtId="10" fontId="142" fillId="26" borderId="0" xfId="66" applyNumberFormat="1" applyFont="1" applyFill="1" applyAlignment="1">
      <alignment horizontal="center"/>
    </xf>
    <xf numFmtId="10" fontId="142" fillId="26" borderId="69" xfId="66" applyNumberFormat="1" applyFont="1" applyFill="1" applyBorder="1" applyAlignment="1">
      <alignment horizontal="center"/>
    </xf>
    <xf numFmtId="10" fontId="142" fillId="15" borderId="69" xfId="66" applyNumberFormat="1" applyFont="1" applyFill="1" applyBorder="1" applyAlignment="1">
      <alignment horizontal="center"/>
    </xf>
    <xf numFmtId="10" fontId="142" fillId="15" borderId="0" xfId="66" applyNumberFormat="1" applyFont="1" applyFill="1" applyAlignment="1">
      <alignment horizontal="center"/>
    </xf>
    <xf numFmtId="219" fontId="107" fillId="0" borderId="0" xfId="61" applyNumberFormat="1" applyFont="1" applyBorder="1"/>
    <xf numFmtId="37" fontId="107" fillId="0" borderId="0" xfId="61" applyNumberFormat="1" applyFont="1" applyBorder="1"/>
    <xf numFmtId="2" fontId="128" fillId="0" borderId="0" xfId="61" applyFont="1" applyBorder="1"/>
    <xf numFmtId="180" fontId="118" fillId="25" borderId="76" xfId="58" applyNumberFormat="1" applyFont="1" applyFill="1" applyBorder="1" applyAlignment="1">
      <alignment horizontal="left" vertical="center"/>
    </xf>
    <xf numFmtId="180" fontId="106" fillId="25" borderId="76" xfId="58" applyNumberFormat="1" applyFont="1" applyFill="1" applyBorder="1" applyAlignment="1">
      <alignment horizontal="right" vertical="center"/>
    </xf>
    <xf numFmtId="180" fontId="106" fillId="25" borderId="0" xfId="58" applyNumberFormat="1" applyFont="1" applyFill="1" applyAlignment="1">
      <alignment horizontal="right" vertical="center"/>
    </xf>
    <xf numFmtId="180" fontId="106" fillId="0" borderId="0" xfId="58" applyNumberFormat="1" applyFont="1" applyAlignment="1">
      <alignment horizontal="right" vertical="center"/>
    </xf>
    <xf numFmtId="180" fontId="107" fillId="25" borderId="0" xfId="58" applyNumberFormat="1" applyFont="1" applyFill="1" applyAlignment="1">
      <alignment horizontal="right" vertical="center"/>
    </xf>
    <xf numFmtId="180" fontId="118" fillId="25" borderId="0" xfId="58" applyNumberFormat="1" applyFont="1" applyFill="1" applyAlignment="1">
      <alignment horizontal="left" vertical="center"/>
    </xf>
    <xf numFmtId="180" fontId="119" fillId="25" borderId="76" xfId="58" applyNumberFormat="1" applyFont="1" applyFill="1" applyBorder="1" applyAlignment="1">
      <alignment vertical="center"/>
    </xf>
    <xf numFmtId="180" fontId="106" fillId="25" borderId="76" xfId="58" applyNumberFormat="1" applyFont="1" applyFill="1" applyBorder="1" applyAlignment="1">
      <alignment vertical="center"/>
    </xf>
    <xf numFmtId="180" fontId="106" fillId="25" borderId="0" xfId="58" applyNumberFormat="1" applyFont="1" applyFill="1" applyAlignment="1">
      <alignment vertical="center"/>
    </xf>
    <xf numFmtId="180" fontId="122" fillId="0" borderId="76" xfId="58" applyNumberFormat="1" applyFont="1" applyBorder="1" applyAlignment="1">
      <alignment horizontal="left" vertical="center"/>
    </xf>
    <xf numFmtId="180" fontId="119" fillId="0" borderId="76" xfId="58" applyNumberFormat="1" applyFont="1" applyBorder="1" applyAlignment="1">
      <alignment horizontal="center" vertical="center"/>
    </xf>
    <xf numFmtId="180" fontId="119" fillId="0" borderId="76" xfId="58" applyNumberFormat="1" applyFont="1" applyBorder="1" applyAlignment="1">
      <alignment horizontal="left" vertical="center"/>
    </xf>
    <xf numFmtId="180" fontId="119" fillId="0" borderId="0" xfId="58" applyNumberFormat="1" applyFont="1" applyAlignment="1">
      <alignment horizontal="center" vertical="center"/>
    </xf>
    <xf numFmtId="180" fontId="122" fillId="0" borderId="0" xfId="58" applyNumberFormat="1" applyFont="1" applyAlignment="1">
      <alignment horizontal="center" vertical="center"/>
    </xf>
    <xf numFmtId="180" fontId="122" fillId="0" borderId="76" xfId="58" applyNumberFormat="1" applyFont="1" applyBorder="1" applyAlignment="1">
      <alignment horizontal="center" vertical="center"/>
    </xf>
    <xf numFmtId="180" fontId="122" fillId="0" borderId="87" xfId="58" applyNumberFormat="1" applyFont="1" applyBorder="1" applyAlignment="1">
      <alignment horizontal="center" vertical="center"/>
    </xf>
    <xf numFmtId="180" fontId="122" fillId="0" borderId="88" xfId="58" applyNumberFormat="1" applyFont="1" applyBorder="1" applyAlignment="1">
      <alignment horizontal="center" vertical="center"/>
    </xf>
    <xf numFmtId="180" fontId="122" fillId="0" borderId="89" xfId="58" applyNumberFormat="1" applyFont="1" applyBorder="1" applyAlignment="1">
      <alignment horizontal="center" vertical="center"/>
    </xf>
    <xf numFmtId="180" fontId="122" fillId="0" borderId="90" xfId="58" applyNumberFormat="1" applyFont="1" applyBorder="1" applyAlignment="1">
      <alignment horizontal="center" vertical="center"/>
    </xf>
    <xf numFmtId="180" fontId="122" fillId="0" borderId="86" xfId="58" applyNumberFormat="1" applyFont="1" applyBorder="1" applyAlignment="1">
      <alignment horizontal="center" vertical="center"/>
    </xf>
    <xf numFmtId="181" fontId="106" fillId="0" borderId="90" xfId="40" applyNumberFormat="1" applyFont="1" applyFill="1" applyBorder="1" applyAlignment="1">
      <alignment horizontal="right" vertical="center"/>
    </xf>
    <xf numFmtId="180" fontId="121" fillId="0" borderId="88" xfId="58" applyNumberFormat="1" applyFont="1" applyBorder="1" applyAlignment="1">
      <alignment horizontal="left" vertical="center"/>
    </xf>
    <xf numFmtId="0" fontId="111" fillId="0" borderId="0" xfId="0" applyFont="1" applyAlignment="1">
      <alignment vertical="center"/>
    </xf>
    <xf numFmtId="180" fontId="119" fillId="25" borderId="0" xfId="58" applyNumberFormat="1" applyFont="1" applyFill="1" applyAlignment="1">
      <alignment horizontal="center" vertical="center"/>
    </xf>
    <xf numFmtId="180" fontId="105" fillId="25" borderId="0" xfId="58" applyNumberFormat="1" applyFont="1" applyFill="1" applyAlignment="1">
      <alignment horizontal="center" vertical="center"/>
    </xf>
    <xf numFmtId="180" fontId="105" fillId="25" borderId="89" xfId="58" applyNumberFormat="1" applyFont="1" applyFill="1" applyBorder="1" applyAlignment="1">
      <alignment horizontal="center" vertical="center"/>
    </xf>
    <xf numFmtId="180" fontId="105" fillId="0" borderId="89" xfId="58" applyNumberFormat="1" applyFont="1" applyBorder="1" applyAlignment="1">
      <alignment horizontal="center" vertical="center"/>
    </xf>
    <xf numFmtId="181" fontId="106" fillId="0" borderId="89" xfId="40" applyNumberFormat="1" applyFont="1" applyFill="1" applyBorder="1" applyAlignment="1">
      <alignment horizontal="right" vertical="center"/>
    </xf>
    <xf numFmtId="180" fontId="106" fillId="0" borderId="0" xfId="58" applyNumberFormat="1" applyFont="1" applyAlignment="1">
      <alignment horizontal="left" vertical="center"/>
    </xf>
    <xf numFmtId="0" fontId="107" fillId="0" borderId="0" xfId="58" applyFont="1" applyAlignment="1">
      <alignment vertical="center"/>
    </xf>
    <xf numFmtId="0" fontId="107" fillId="0" borderId="0" xfId="0" applyFont="1" applyAlignment="1">
      <alignment vertical="center"/>
    </xf>
    <xf numFmtId="0" fontId="0" fillId="0" borderId="0" xfId="0" applyAlignment="1">
      <alignment vertical="center"/>
    </xf>
    <xf numFmtId="188" fontId="106" fillId="0" borderId="0" xfId="58" applyNumberFormat="1" applyFont="1" applyAlignment="1">
      <alignment vertical="center"/>
    </xf>
    <xf numFmtId="0" fontId="107" fillId="0" borderId="89" xfId="58" applyFont="1" applyBorder="1" applyAlignment="1">
      <alignment vertical="center"/>
    </xf>
    <xf numFmtId="0" fontId="0" fillId="0" borderId="89" xfId="0" applyBorder="1" applyAlignment="1">
      <alignment vertical="center"/>
    </xf>
    <xf numFmtId="180" fontId="122" fillId="0" borderId="0" xfId="58" applyNumberFormat="1" applyFont="1" applyAlignment="1">
      <alignment horizontal="left" vertical="center"/>
    </xf>
    <xf numFmtId="3" fontId="119" fillId="0" borderId="0" xfId="58" applyNumberFormat="1" applyFont="1" applyAlignment="1">
      <alignment horizontal="right" vertical="center"/>
    </xf>
    <xf numFmtId="180" fontId="119" fillId="0" borderId="0" xfId="58" applyNumberFormat="1" applyFont="1" applyAlignment="1">
      <alignment horizontal="left" vertical="center"/>
    </xf>
    <xf numFmtId="3" fontId="106" fillId="0" borderId="0" xfId="58" applyNumberFormat="1" applyFont="1" applyAlignment="1">
      <alignment horizontal="right" vertical="center"/>
    </xf>
    <xf numFmtId="3" fontId="122" fillId="0" borderId="89" xfId="58" applyNumberFormat="1" applyFont="1" applyBorder="1" applyAlignment="1">
      <alignment horizontal="right" vertical="center"/>
    </xf>
    <xf numFmtId="3" fontId="106" fillId="0" borderId="89" xfId="40" applyFont="1" applyFill="1" applyBorder="1" applyAlignment="1">
      <alignment horizontal="right" vertical="center"/>
    </xf>
    <xf numFmtId="171" fontId="106" fillId="0" borderId="89" xfId="40" applyNumberFormat="1" applyFont="1" applyFill="1" applyBorder="1" applyAlignment="1">
      <alignment horizontal="right" vertical="center"/>
    </xf>
    <xf numFmtId="180" fontId="124" fillId="27" borderId="0" xfId="58" applyNumberFormat="1" applyFont="1" applyFill="1" applyAlignment="1">
      <alignment horizontal="left" vertical="center"/>
    </xf>
    <xf numFmtId="180" fontId="125" fillId="27" borderId="0" xfId="58" applyNumberFormat="1" applyFont="1" applyFill="1" applyAlignment="1">
      <alignment horizontal="left" vertical="center"/>
    </xf>
    <xf numFmtId="3" fontId="125" fillId="27" borderId="0" xfId="58" applyNumberFormat="1" applyFont="1" applyFill="1" applyAlignment="1">
      <alignment horizontal="right" vertical="center"/>
    </xf>
    <xf numFmtId="3" fontId="124" fillId="27" borderId="0" xfId="58" applyNumberFormat="1" applyFont="1" applyFill="1" applyAlignment="1">
      <alignment horizontal="right" vertical="center"/>
    </xf>
    <xf numFmtId="10" fontId="124" fillId="27" borderId="89" xfId="66" applyNumberFormat="1" applyFont="1" applyFill="1" applyBorder="1" applyAlignment="1">
      <alignment horizontal="right" vertical="center"/>
    </xf>
    <xf numFmtId="10" fontId="124" fillId="0" borderId="89" xfId="66" applyNumberFormat="1" applyFont="1" applyFill="1" applyBorder="1" applyAlignment="1">
      <alignment horizontal="right" vertical="center"/>
    </xf>
    <xf numFmtId="180" fontId="107" fillId="0" borderId="0" xfId="58" applyNumberFormat="1" applyFont="1" applyAlignment="1">
      <alignment horizontal="left" vertical="center"/>
    </xf>
    <xf numFmtId="171" fontId="107" fillId="0" borderId="89" xfId="40" applyNumberFormat="1" applyFont="1" applyFill="1" applyBorder="1" applyAlignment="1">
      <alignment horizontal="right" vertical="center"/>
    </xf>
    <xf numFmtId="180" fontId="106" fillId="27" borderId="0" xfId="58" applyNumberFormat="1" applyFont="1" applyFill="1" applyAlignment="1">
      <alignment horizontal="left" vertical="center"/>
    </xf>
    <xf numFmtId="0" fontId="111" fillId="27" borderId="0" xfId="0" applyFont="1" applyFill="1" applyAlignment="1">
      <alignment vertical="center"/>
    </xf>
    <xf numFmtId="171" fontId="106" fillId="27" borderId="89" xfId="40" applyNumberFormat="1" applyFont="1" applyFill="1" applyBorder="1" applyAlignment="1">
      <alignment horizontal="right" vertical="center"/>
    </xf>
    <xf numFmtId="180" fontId="123" fillId="0" borderId="0" xfId="58" applyNumberFormat="1" applyFont="1" applyAlignment="1">
      <alignment horizontal="left" vertical="center"/>
    </xf>
    <xf numFmtId="180" fontId="111" fillId="0" borderId="0" xfId="58" applyNumberFormat="1" applyFont="1" applyAlignment="1">
      <alignment horizontal="left" vertical="center"/>
    </xf>
    <xf numFmtId="3" fontId="111" fillId="0" borderId="0" xfId="58" applyNumberFormat="1" applyFont="1" applyAlignment="1">
      <alignment horizontal="right" vertical="center"/>
    </xf>
    <xf numFmtId="3" fontId="123" fillId="0" borderId="0" xfId="58" applyNumberFormat="1" applyFont="1" applyAlignment="1">
      <alignment horizontal="right" vertical="center"/>
    </xf>
    <xf numFmtId="3" fontId="123" fillId="0" borderId="89" xfId="66" applyNumberFormat="1" applyFont="1" applyFill="1" applyBorder="1" applyAlignment="1">
      <alignment horizontal="right" vertical="center"/>
    </xf>
    <xf numFmtId="180" fontId="107" fillId="0" borderId="89" xfId="58" applyNumberFormat="1" applyFont="1" applyBorder="1" applyAlignment="1">
      <alignment horizontal="right" vertical="center"/>
    </xf>
    <xf numFmtId="4" fontId="107" fillId="0" borderId="89" xfId="40" applyNumberFormat="1" applyFont="1" applyFill="1" applyBorder="1" applyAlignment="1">
      <alignment horizontal="right" vertical="center"/>
    </xf>
    <xf numFmtId="4" fontId="106" fillId="0" borderId="89" xfId="40" applyNumberFormat="1" applyFont="1" applyFill="1" applyBorder="1" applyAlignment="1">
      <alignment horizontal="right" vertical="center"/>
    </xf>
    <xf numFmtId="4" fontId="106" fillId="27" borderId="89" xfId="40" applyNumberFormat="1" applyFont="1" applyFill="1" applyBorder="1" applyAlignment="1">
      <alignment horizontal="right" vertical="center"/>
    </xf>
    <xf numFmtId="3" fontId="107" fillId="0" borderId="0" xfId="58" applyNumberFormat="1" applyFont="1" applyAlignment="1">
      <alignment horizontal="right" vertical="center"/>
    </xf>
    <xf numFmtId="3" fontId="123" fillId="0" borderId="89" xfId="58" applyNumberFormat="1" applyFont="1" applyBorder="1" applyAlignment="1">
      <alignment horizontal="right" vertical="center"/>
    </xf>
    <xf numFmtId="0" fontId="107" fillId="0" borderId="0" xfId="58" applyFont="1" applyAlignment="1">
      <alignment horizontal="left" vertical="center"/>
    </xf>
    <xf numFmtId="3" fontId="107" fillId="0" borderId="89" xfId="40" applyFont="1" applyFill="1" applyBorder="1" applyAlignment="1">
      <alignment horizontal="right" vertical="center"/>
    </xf>
    <xf numFmtId="180" fontId="122" fillId="27" borderId="0" xfId="58" applyNumberFormat="1" applyFont="1" applyFill="1" applyAlignment="1">
      <alignment horizontal="left" vertical="center"/>
    </xf>
    <xf numFmtId="3" fontId="119" fillId="27" borderId="0" xfId="58" applyNumberFormat="1" applyFont="1" applyFill="1" applyAlignment="1">
      <alignment horizontal="right" vertical="center"/>
    </xf>
    <xf numFmtId="180" fontId="119" fillId="27" borderId="0" xfId="58" applyNumberFormat="1" applyFont="1" applyFill="1" applyAlignment="1">
      <alignment horizontal="left" vertical="center"/>
    </xf>
    <xf numFmtId="3" fontId="106" fillId="27" borderId="0" xfId="58" applyNumberFormat="1" applyFont="1" applyFill="1" applyAlignment="1">
      <alignment horizontal="right" vertical="center"/>
    </xf>
    <xf numFmtId="3" fontId="122" fillId="27" borderId="0" xfId="58" applyNumberFormat="1" applyFont="1" applyFill="1" applyAlignment="1">
      <alignment horizontal="right" vertical="center"/>
    </xf>
    <xf numFmtId="3" fontId="122" fillId="27" borderId="89" xfId="58" applyNumberFormat="1" applyFont="1" applyFill="1" applyBorder="1" applyAlignment="1">
      <alignment horizontal="right" vertical="center"/>
    </xf>
    <xf numFmtId="0" fontId="106" fillId="27" borderId="0" xfId="58" applyFont="1" applyFill="1" applyAlignment="1">
      <alignment horizontal="left" vertical="center"/>
    </xf>
    <xf numFmtId="0" fontId="119" fillId="27" borderId="0" xfId="0" applyFont="1" applyFill="1" applyAlignment="1">
      <alignment vertical="center"/>
    </xf>
    <xf numFmtId="170" fontId="124" fillId="0" borderId="89" xfId="66" applyNumberFormat="1" applyFont="1" applyFill="1" applyBorder="1" applyAlignment="1">
      <alignment horizontal="right" vertical="center"/>
    </xf>
    <xf numFmtId="180" fontId="106" fillId="0" borderId="89" xfId="58" applyNumberFormat="1" applyFont="1" applyBorder="1" applyAlignment="1">
      <alignment horizontal="right" vertical="center"/>
    </xf>
    <xf numFmtId="0" fontId="106" fillId="27" borderId="0" xfId="58" quotePrefix="1" applyFont="1" applyFill="1" applyAlignment="1" applyProtection="1">
      <alignment horizontal="left" vertical="center"/>
      <protection locked="0"/>
    </xf>
    <xf numFmtId="171" fontId="123" fillId="0" borderId="89" xfId="40" applyNumberFormat="1" applyFont="1" applyFill="1" applyBorder="1" applyAlignment="1">
      <alignment horizontal="right" vertical="center"/>
    </xf>
    <xf numFmtId="0" fontId="107" fillId="0" borderId="0" xfId="1" applyFont="1" applyAlignment="1">
      <alignment vertical="center"/>
    </xf>
    <xf numFmtId="0" fontId="111" fillId="0" borderId="0" xfId="1" applyFont="1" applyAlignment="1">
      <alignment vertical="center"/>
    </xf>
    <xf numFmtId="0" fontId="106" fillId="0" borderId="0" xfId="58" applyFont="1" applyAlignment="1">
      <alignment vertical="center"/>
    </xf>
    <xf numFmtId="0" fontId="119" fillId="0" borderId="0" xfId="58" applyFont="1" applyAlignment="1">
      <alignment vertical="center"/>
    </xf>
    <xf numFmtId="0" fontId="107" fillId="0" borderId="89" xfId="1" applyFont="1" applyBorder="1" applyAlignment="1">
      <alignment vertical="center"/>
    </xf>
    <xf numFmtId="0" fontId="107" fillId="25" borderId="0" xfId="0" applyFont="1" applyFill="1" applyAlignment="1">
      <alignment vertical="center"/>
    </xf>
    <xf numFmtId="175" fontId="127" fillId="25" borderId="89" xfId="40" applyNumberFormat="1" applyFont="1" applyFill="1" applyBorder="1" applyAlignment="1">
      <alignment vertical="center"/>
    </xf>
    <xf numFmtId="171" fontId="107" fillId="0" borderId="89" xfId="40" applyNumberFormat="1" applyFont="1" applyBorder="1" applyAlignment="1">
      <alignment vertical="center"/>
    </xf>
    <xf numFmtId="3" fontId="119" fillId="16" borderId="0" xfId="58" applyNumberFormat="1" applyFont="1" applyFill="1" applyAlignment="1">
      <alignment horizontal="right" vertical="center"/>
    </xf>
    <xf numFmtId="3" fontId="122" fillId="16" borderId="0" xfId="58" applyNumberFormat="1" applyFont="1" applyFill="1" applyAlignment="1">
      <alignment horizontal="right" vertical="center"/>
    </xf>
    <xf numFmtId="3" fontId="122" fillId="16" borderId="89" xfId="58" applyNumberFormat="1" applyFont="1" applyFill="1" applyBorder="1" applyAlignment="1">
      <alignment horizontal="right" vertical="center"/>
    </xf>
    <xf numFmtId="3" fontId="111" fillId="0" borderId="0" xfId="1" applyNumberFormat="1" applyFont="1" applyAlignment="1">
      <alignment horizontal="right" vertical="center"/>
    </xf>
    <xf numFmtId="3" fontId="107" fillId="0" borderId="0" xfId="1" applyNumberFormat="1" applyFont="1" applyAlignment="1">
      <alignment horizontal="right" vertical="center"/>
    </xf>
    <xf numFmtId="3" fontId="107" fillId="0" borderId="89" xfId="1" applyNumberFormat="1" applyFont="1" applyBorder="1" applyAlignment="1">
      <alignment horizontal="right" vertical="center"/>
    </xf>
    <xf numFmtId="4" fontId="106" fillId="16" borderId="89" xfId="40" applyNumberFormat="1" applyFont="1" applyFill="1" applyBorder="1" applyAlignment="1">
      <alignment horizontal="right" vertical="center"/>
    </xf>
    <xf numFmtId="3" fontId="107" fillId="0" borderId="89" xfId="1" applyNumberFormat="1" applyFont="1" applyBorder="1" applyAlignment="1">
      <alignment vertical="center"/>
    </xf>
    <xf numFmtId="172" fontId="107" fillId="0" borderId="0" xfId="1" applyNumberFormat="1" applyFont="1" applyAlignment="1">
      <alignment vertical="center"/>
    </xf>
    <xf numFmtId="172" fontId="107" fillId="0" borderId="89" xfId="1" applyNumberFormat="1" applyFont="1" applyBorder="1" applyAlignment="1">
      <alignment vertical="center"/>
    </xf>
    <xf numFmtId="180" fontId="106" fillId="0" borderId="76" xfId="41" applyNumberFormat="1" applyFont="1" applyFill="1" applyBorder="1" applyAlignment="1">
      <alignment vertical="center"/>
    </xf>
    <xf numFmtId="3" fontId="119" fillId="0" borderId="76" xfId="58" applyNumberFormat="1" applyFont="1" applyBorder="1" applyAlignment="1">
      <alignment horizontal="right" vertical="center"/>
    </xf>
    <xf numFmtId="180" fontId="119" fillId="0" borderId="76" xfId="41" applyNumberFormat="1" applyFont="1" applyFill="1" applyBorder="1" applyAlignment="1">
      <alignment vertical="center"/>
    </xf>
    <xf numFmtId="3" fontId="122" fillId="0" borderId="76" xfId="58" applyNumberFormat="1" applyFont="1" applyBorder="1" applyAlignment="1">
      <alignment horizontal="right" vertical="center"/>
    </xf>
    <xf numFmtId="3" fontId="122" fillId="0" borderId="75" xfId="58" applyNumberFormat="1" applyFont="1" applyBorder="1" applyAlignment="1">
      <alignment horizontal="right" vertical="center"/>
    </xf>
    <xf numFmtId="3" fontId="107" fillId="0" borderId="75" xfId="1" applyNumberFormat="1" applyFont="1" applyBorder="1" applyAlignment="1">
      <alignment vertical="center"/>
    </xf>
    <xf numFmtId="3" fontId="122" fillId="0" borderId="74" xfId="58" applyNumberFormat="1" applyFont="1" applyBorder="1" applyAlignment="1">
      <alignment horizontal="right" vertical="center"/>
    </xf>
    <xf numFmtId="171" fontId="106" fillId="16" borderId="89" xfId="40" applyNumberFormat="1" applyFont="1" applyFill="1" applyBorder="1" applyAlignment="1">
      <alignment horizontal="right" vertical="center"/>
    </xf>
    <xf numFmtId="0" fontId="119" fillId="0" borderId="0" xfId="1" applyFont="1" applyAlignment="1">
      <alignment vertical="center"/>
    </xf>
    <xf numFmtId="171" fontId="107" fillId="0" borderId="89" xfId="40" applyNumberFormat="1" applyFont="1" applyBorder="1" applyAlignment="1">
      <alignment horizontal="right" vertical="center"/>
    </xf>
    <xf numFmtId="168" fontId="107" fillId="0" borderId="89" xfId="40" applyNumberFormat="1" applyFont="1" applyBorder="1" applyAlignment="1">
      <alignment horizontal="right" vertical="center"/>
    </xf>
    <xf numFmtId="180" fontId="124" fillId="0" borderId="76" xfId="58" applyNumberFormat="1" applyFont="1" applyBorder="1" applyAlignment="1">
      <alignment horizontal="left" vertical="center"/>
    </xf>
    <xf numFmtId="170" fontId="125" fillId="0" borderId="76" xfId="66" applyNumberFormat="1" applyFont="1" applyFill="1" applyBorder="1" applyAlignment="1">
      <alignment horizontal="right" vertical="center"/>
    </xf>
    <xf numFmtId="180" fontId="125" fillId="0" borderId="76" xfId="58" applyNumberFormat="1" applyFont="1" applyBorder="1" applyAlignment="1">
      <alignment horizontal="left" vertical="center"/>
    </xf>
    <xf numFmtId="3" fontId="125" fillId="0" borderId="76" xfId="58" applyNumberFormat="1" applyFont="1" applyBorder="1" applyAlignment="1">
      <alignment horizontal="right" vertical="center"/>
    </xf>
    <xf numFmtId="170" fontId="109" fillId="0" borderId="76" xfId="66" applyNumberFormat="1" applyFont="1" applyFill="1" applyBorder="1" applyAlignment="1">
      <alignment horizontal="right" vertical="center"/>
    </xf>
    <xf numFmtId="170" fontId="124" fillId="0" borderId="76" xfId="66" applyNumberFormat="1" applyFont="1" applyFill="1" applyBorder="1" applyAlignment="1">
      <alignment horizontal="right" vertical="center"/>
    </xf>
    <xf numFmtId="3" fontId="124" fillId="0" borderId="76" xfId="58" applyNumberFormat="1" applyFont="1" applyBorder="1" applyAlignment="1">
      <alignment horizontal="right" vertical="center"/>
    </xf>
    <xf numFmtId="170" fontId="124" fillId="0" borderId="75" xfId="66" applyNumberFormat="1" applyFont="1" applyFill="1" applyBorder="1" applyAlignment="1">
      <alignment horizontal="right" vertical="center"/>
    </xf>
    <xf numFmtId="170" fontId="124" fillId="0" borderId="74" xfId="66" applyNumberFormat="1" applyFont="1" applyFill="1" applyBorder="1" applyAlignment="1">
      <alignment horizontal="right" vertical="center"/>
    </xf>
    <xf numFmtId="171" fontId="107" fillId="0" borderId="89" xfId="40" applyNumberFormat="1" applyFont="1" applyFill="1" applyBorder="1" applyAlignment="1" applyProtection="1">
      <alignment horizontal="right" vertical="center"/>
    </xf>
    <xf numFmtId="0" fontId="119" fillId="0" borderId="76" xfId="1" applyFont="1" applyBorder="1" applyAlignment="1">
      <alignment vertical="center"/>
    </xf>
    <xf numFmtId="3" fontId="106" fillId="0" borderId="76" xfId="58" applyNumberFormat="1" applyFont="1" applyBorder="1" applyAlignment="1">
      <alignment horizontal="right" vertical="center"/>
    </xf>
    <xf numFmtId="0" fontId="106" fillId="16" borderId="0" xfId="1" applyFont="1" applyFill="1" applyAlignment="1">
      <alignment vertical="center"/>
    </xf>
    <xf numFmtId="168" fontId="106" fillId="16" borderId="89" xfId="40" applyNumberFormat="1" applyFont="1" applyFill="1" applyBorder="1" applyAlignment="1">
      <alignment horizontal="right" vertical="center"/>
    </xf>
    <xf numFmtId="171" fontId="106" fillId="0" borderId="89" xfId="40" applyNumberFormat="1" applyFont="1" applyBorder="1" applyAlignment="1">
      <alignment horizontal="right" vertical="center"/>
    </xf>
    <xf numFmtId="180" fontId="107" fillId="0" borderId="89" xfId="58" applyNumberFormat="1" applyFont="1" applyBorder="1" applyAlignment="1">
      <alignment vertical="center"/>
    </xf>
    <xf numFmtId="0" fontId="106" fillId="16" borderId="0" xfId="58" applyFont="1" applyFill="1" applyAlignment="1">
      <alignment horizontal="left" vertical="center"/>
    </xf>
    <xf numFmtId="0" fontId="119" fillId="16" borderId="0" xfId="58" applyFont="1" applyFill="1" applyAlignment="1">
      <alignment horizontal="left" vertical="center"/>
    </xf>
    <xf numFmtId="3" fontId="106" fillId="16" borderId="89" xfId="40" applyFont="1" applyFill="1" applyBorder="1" applyAlignment="1">
      <alignment horizontal="right" vertical="center"/>
    </xf>
    <xf numFmtId="3" fontId="106" fillId="16" borderId="61" xfId="40" applyFont="1" applyFill="1" applyBorder="1" applyAlignment="1">
      <alignment horizontal="right" vertical="center"/>
    </xf>
    <xf numFmtId="0" fontId="106" fillId="0" borderId="0" xfId="58" applyFont="1" applyAlignment="1">
      <alignment horizontal="left" vertical="center"/>
    </xf>
    <xf numFmtId="0" fontId="119" fillId="0" borderId="0" xfId="58" applyFont="1" applyAlignment="1">
      <alignment horizontal="left" vertical="center"/>
    </xf>
    <xf numFmtId="3" fontId="106" fillId="0" borderId="61" xfId="40" applyFont="1" applyFill="1" applyBorder="1" applyAlignment="1">
      <alignment horizontal="right" vertical="center"/>
    </xf>
    <xf numFmtId="176" fontId="107" fillId="0" borderId="89" xfId="40" applyNumberFormat="1" applyFont="1" applyFill="1" applyBorder="1" applyAlignment="1">
      <alignment horizontal="right" vertical="center"/>
    </xf>
    <xf numFmtId="180" fontId="113" fillId="25" borderId="0" xfId="58" applyNumberFormat="1" applyFont="1" applyFill="1" applyAlignment="1">
      <alignment horizontal="left" vertical="center"/>
    </xf>
    <xf numFmtId="176" fontId="107" fillId="25" borderId="89" xfId="40" applyNumberFormat="1" applyFont="1" applyFill="1" applyBorder="1" applyAlignment="1">
      <alignment horizontal="right" vertical="center"/>
    </xf>
    <xf numFmtId="172" fontId="107" fillId="0" borderId="89" xfId="0" applyNumberFormat="1" applyFont="1" applyBorder="1" applyAlignment="1">
      <alignment vertical="center"/>
    </xf>
    <xf numFmtId="3" fontId="107" fillId="0" borderId="89" xfId="40" applyFont="1" applyFill="1" applyBorder="1" applyAlignment="1">
      <alignment vertical="center"/>
    </xf>
    <xf numFmtId="0" fontId="119" fillId="0" borderId="0" xfId="0" applyFont="1" applyAlignment="1">
      <alignment vertical="center"/>
    </xf>
    <xf numFmtId="176" fontId="106" fillId="0" borderId="89" xfId="40" applyNumberFormat="1" applyFont="1" applyFill="1" applyBorder="1" applyAlignment="1">
      <alignment horizontal="right" vertical="center"/>
    </xf>
    <xf numFmtId="180" fontId="107" fillId="0" borderId="0" xfId="62" applyNumberFormat="1" applyFont="1" applyAlignment="1">
      <alignment vertical="center"/>
    </xf>
    <xf numFmtId="180" fontId="111" fillId="0" borderId="0" xfId="62" applyNumberFormat="1" applyFont="1" applyAlignment="1">
      <alignment vertical="center"/>
    </xf>
    <xf numFmtId="0" fontId="118" fillId="25" borderId="0" xfId="58" applyFont="1" applyFill="1" applyAlignment="1">
      <alignment horizontal="left" vertical="center"/>
    </xf>
    <xf numFmtId="0" fontId="111" fillId="25" borderId="0" xfId="0" applyFont="1" applyFill="1" applyAlignment="1">
      <alignment vertical="center"/>
    </xf>
    <xf numFmtId="176" fontId="107" fillId="25" borderId="89" xfId="40" applyNumberFormat="1" applyFont="1" applyFill="1" applyBorder="1" applyAlignment="1">
      <alignment vertical="center"/>
    </xf>
    <xf numFmtId="0" fontId="107" fillId="0" borderId="0" xfId="58" quotePrefix="1" applyFont="1" applyAlignment="1">
      <alignment horizontal="left" vertical="center"/>
    </xf>
    <xf numFmtId="176" fontId="128" fillId="0" borderId="89" xfId="40" applyNumberFormat="1" applyFont="1" applyFill="1" applyBorder="1" applyAlignment="1">
      <alignment horizontal="right" vertical="center"/>
    </xf>
    <xf numFmtId="180" fontId="107" fillId="0" borderId="0" xfId="62" applyNumberFormat="1" applyFont="1" applyAlignment="1">
      <alignment horizontal="left" vertical="center"/>
    </xf>
    <xf numFmtId="180" fontId="111" fillId="0" borderId="0" xfId="62" applyNumberFormat="1" applyFont="1" applyAlignment="1">
      <alignment horizontal="left" vertical="center"/>
    </xf>
    <xf numFmtId="3" fontId="107" fillId="0" borderId="89" xfId="40" applyFont="1" applyFill="1" applyBorder="1" applyAlignment="1" applyProtection="1">
      <alignment horizontal="right" vertical="center"/>
    </xf>
    <xf numFmtId="180" fontId="107" fillId="0" borderId="76" xfId="62" applyNumberFormat="1" applyFont="1" applyBorder="1" applyAlignment="1">
      <alignment vertical="center"/>
    </xf>
    <xf numFmtId="3" fontId="111" fillId="0" borderId="76" xfId="40" applyFont="1" applyBorder="1" applyAlignment="1">
      <alignment vertical="center"/>
    </xf>
    <xf numFmtId="180" fontId="111" fillId="0" borderId="76" xfId="62" applyNumberFormat="1" applyFont="1" applyBorder="1" applyAlignment="1">
      <alignment vertical="center"/>
    </xf>
    <xf numFmtId="3" fontId="107" fillId="0" borderId="76" xfId="40" applyFont="1" applyBorder="1" applyAlignment="1">
      <alignment vertical="center"/>
    </xf>
    <xf numFmtId="171" fontId="107" fillId="0" borderId="76" xfId="40" applyNumberFormat="1" applyFont="1" applyFill="1" applyBorder="1" applyAlignment="1" applyProtection="1">
      <alignment horizontal="right" vertical="center"/>
    </xf>
    <xf numFmtId="171" fontId="107" fillId="0" borderId="76" xfId="40" applyNumberFormat="1" applyFont="1" applyBorder="1" applyAlignment="1">
      <alignment vertical="center"/>
    </xf>
    <xf numFmtId="171" fontId="107" fillId="0" borderId="75" xfId="40" applyNumberFormat="1" applyFont="1" applyFill="1" applyBorder="1" applyAlignment="1" applyProtection="1">
      <alignment horizontal="right" vertical="center"/>
    </xf>
    <xf numFmtId="172" fontId="107" fillId="0" borderId="75" xfId="0" applyNumberFormat="1" applyFont="1" applyBorder="1" applyAlignment="1">
      <alignment vertical="center"/>
    </xf>
    <xf numFmtId="3" fontId="107" fillId="0" borderId="75" xfId="40" applyFont="1" applyFill="1" applyBorder="1" applyAlignment="1">
      <alignment vertical="center"/>
    </xf>
    <xf numFmtId="171" fontId="107" fillId="0" borderId="74" xfId="40" applyNumberFormat="1" applyFont="1" applyBorder="1" applyAlignment="1">
      <alignment vertical="center"/>
    </xf>
    <xf numFmtId="206" fontId="107" fillId="0" borderId="89" xfId="40" applyNumberFormat="1" applyFont="1" applyBorder="1" applyAlignment="1">
      <alignment vertical="center"/>
    </xf>
    <xf numFmtId="180" fontId="119" fillId="25" borderId="0" xfId="58" applyNumberFormat="1" applyFont="1" applyFill="1" applyAlignment="1">
      <alignment horizontal="left" vertical="center"/>
    </xf>
    <xf numFmtId="175" fontId="127" fillId="0" borderId="89" xfId="40" applyNumberFormat="1" applyFont="1" applyFill="1" applyBorder="1" applyAlignment="1">
      <alignment vertical="center"/>
    </xf>
    <xf numFmtId="181" fontId="106" fillId="0" borderId="89" xfId="58" applyNumberFormat="1" applyFont="1" applyBorder="1" applyAlignment="1">
      <alignment horizontal="right" vertical="center"/>
    </xf>
    <xf numFmtId="3" fontId="107" fillId="0" borderId="89" xfId="40" quotePrefix="1" applyFont="1" applyBorder="1" applyAlignment="1">
      <alignment horizontal="right" vertical="center"/>
    </xf>
    <xf numFmtId="0" fontId="106" fillId="0" borderId="0" xfId="58" applyFont="1" applyAlignment="1" applyProtection="1">
      <alignment horizontal="left" vertical="center"/>
      <protection locked="0"/>
    </xf>
    <xf numFmtId="200" fontId="106" fillId="0" borderId="89" xfId="40" quotePrefix="1" applyNumberFormat="1" applyFont="1" applyBorder="1" applyAlignment="1" applyProtection="1">
      <alignment horizontal="right" vertical="center"/>
      <protection locked="0"/>
    </xf>
    <xf numFmtId="200" fontId="106" fillId="0" borderId="89" xfId="40" quotePrefix="1" applyNumberFormat="1" applyFont="1" applyFill="1" applyBorder="1" applyAlignment="1" applyProtection="1">
      <alignment horizontal="right" vertical="center"/>
      <protection locked="0"/>
    </xf>
    <xf numFmtId="4" fontId="107" fillId="0" borderId="89" xfId="40" quotePrefix="1" applyNumberFormat="1" applyFont="1" applyFill="1" applyBorder="1" applyAlignment="1">
      <alignment horizontal="right" vertical="center"/>
    </xf>
    <xf numFmtId="0" fontId="106" fillId="27" borderId="0" xfId="58" applyFont="1" applyFill="1" applyAlignment="1" applyProtection="1">
      <alignment horizontal="left" vertical="center"/>
      <protection locked="0"/>
    </xf>
    <xf numFmtId="0" fontId="106" fillId="27" borderId="0" xfId="0" applyFont="1" applyFill="1" applyAlignment="1">
      <alignment vertical="center"/>
    </xf>
    <xf numFmtId="200" fontId="106" fillId="27" borderId="89" xfId="40" quotePrefix="1" applyNumberFormat="1" applyFont="1" applyFill="1" applyBorder="1" applyAlignment="1" applyProtection="1">
      <alignment horizontal="right" vertical="center"/>
      <protection locked="0"/>
    </xf>
    <xf numFmtId="3" fontId="106" fillId="0" borderId="89" xfId="40" quotePrefix="1" applyFont="1" applyBorder="1" applyAlignment="1">
      <alignment horizontal="right" vertical="center"/>
    </xf>
    <xf numFmtId="0" fontId="106" fillId="16" borderId="0" xfId="58" applyFont="1" applyFill="1" applyAlignment="1" applyProtection="1">
      <alignment horizontal="left" vertical="center"/>
      <protection locked="0"/>
    </xf>
    <xf numFmtId="200" fontId="106" fillId="16" borderId="89" xfId="40" quotePrefix="1" applyNumberFormat="1" applyFont="1" applyFill="1" applyBorder="1" applyAlignment="1" applyProtection="1">
      <alignment horizontal="right" vertical="center"/>
      <protection locked="0"/>
    </xf>
    <xf numFmtId="4" fontId="107" fillId="0" borderId="89" xfId="40" applyNumberFormat="1" applyFont="1" applyBorder="1" applyAlignment="1">
      <alignment vertical="center"/>
    </xf>
    <xf numFmtId="200" fontId="107" fillId="0" borderId="89" xfId="40" applyNumberFormat="1" applyFont="1" applyFill="1" applyBorder="1" applyAlignment="1" applyProtection="1">
      <alignment horizontal="right" vertical="center"/>
    </xf>
    <xf numFmtId="3" fontId="106" fillId="0" borderId="89" xfId="40" applyFont="1" applyBorder="1" applyAlignment="1">
      <alignment vertical="center"/>
    </xf>
    <xf numFmtId="200" fontId="106" fillId="0" borderId="89" xfId="40" applyNumberFormat="1" applyFont="1" applyFill="1" applyBorder="1" applyAlignment="1" applyProtection="1">
      <alignment horizontal="right" vertical="center"/>
    </xf>
    <xf numFmtId="180" fontId="106" fillId="16" borderId="0" xfId="62" applyNumberFormat="1" applyFont="1" applyFill="1" applyAlignment="1">
      <alignment horizontal="left" vertical="center"/>
    </xf>
    <xf numFmtId="200" fontId="106" fillId="16" borderId="89" xfId="40" applyNumberFormat="1" applyFont="1" applyFill="1" applyBorder="1" applyAlignment="1" applyProtection="1">
      <alignment horizontal="right" vertical="center"/>
    </xf>
    <xf numFmtId="171" fontId="106" fillId="0" borderId="89" xfId="40" applyNumberFormat="1" applyFont="1" applyFill="1" applyBorder="1" applyAlignment="1">
      <alignment vertical="center"/>
    </xf>
    <xf numFmtId="0" fontId="107" fillId="27" borderId="0" xfId="0" applyFont="1" applyFill="1" applyAlignment="1">
      <alignment vertical="center"/>
    </xf>
    <xf numFmtId="176" fontId="106" fillId="27" borderId="89" xfId="40" applyNumberFormat="1" applyFont="1" applyFill="1" applyBorder="1" applyAlignment="1" applyProtection="1">
      <alignment horizontal="right" vertical="center"/>
    </xf>
    <xf numFmtId="4" fontId="107" fillId="0" borderId="89" xfId="40" applyNumberFormat="1" applyFont="1" applyFill="1" applyBorder="1" applyAlignment="1">
      <alignment vertical="center"/>
    </xf>
    <xf numFmtId="176" fontId="106" fillId="16" borderId="89" xfId="40" applyNumberFormat="1" applyFont="1" applyFill="1" applyBorder="1" applyAlignment="1" applyProtection="1">
      <alignment horizontal="right" vertical="center"/>
    </xf>
    <xf numFmtId="176" fontId="106" fillId="0" borderId="89" xfId="40" applyNumberFormat="1" applyFont="1" applyFill="1" applyBorder="1" applyAlignment="1" applyProtection="1">
      <alignment horizontal="right" vertical="center"/>
    </xf>
    <xf numFmtId="0" fontId="106" fillId="0" borderId="74" xfId="1" applyFont="1" applyBorder="1" applyAlignment="1">
      <alignment vertical="center"/>
    </xf>
    <xf numFmtId="0" fontId="111" fillId="0" borderId="76" xfId="0" applyFont="1" applyBorder="1" applyAlignment="1">
      <alignment vertical="center"/>
    </xf>
    <xf numFmtId="4" fontId="106" fillId="0" borderId="76" xfId="40" applyNumberFormat="1" applyFont="1" applyFill="1" applyBorder="1" applyAlignment="1">
      <alignment horizontal="right" vertical="center"/>
    </xf>
    <xf numFmtId="4" fontId="106" fillId="0" borderId="75" xfId="40" applyNumberFormat="1" applyFont="1" applyFill="1" applyBorder="1" applyAlignment="1">
      <alignment horizontal="right" vertical="center"/>
    </xf>
    <xf numFmtId="180" fontId="106" fillId="0" borderId="0" xfId="62" applyNumberFormat="1" applyFont="1" applyAlignment="1">
      <alignment horizontal="left" vertical="center"/>
    </xf>
    <xf numFmtId="0" fontId="2" fillId="0" borderId="0" xfId="0" applyFont="1" applyAlignment="1">
      <alignment vertical="center"/>
    </xf>
    <xf numFmtId="2" fontId="106" fillId="27" borderId="76" xfId="61" applyFont="1" applyFill="1" applyBorder="1" applyAlignment="1">
      <alignment vertical="center"/>
    </xf>
    <xf numFmtId="0" fontId="107" fillId="0" borderId="76" xfId="0" applyFont="1" applyBorder="1" applyAlignment="1">
      <alignment vertical="center"/>
    </xf>
    <xf numFmtId="176" fontId="106" fillId="16" borderId="76" xfId="40" applyNumberFormat="1" applyFont="1" applyFill="1" applyBorder="1" applyAlignment="1" applyProtection="1">
      <alignment horizontal="right" vertical="center"/>
    </xf>
    <xf numFmtId="176" fontId="106" fillId="16" borderId="75" xfId="40" applyNumberFormat="1" applyFont="1" applyFill="1" applyBorder="1" applyAlignment="1" applyProtection="1">
      <alignment horizontal="right" vertical="center"/>
    </xf>
    <xf numFmtId="176" fontId="106" fillId="0" borderId="75" xfId="40" applyNumberFormat="1" applyFont="1" applyFill="1" applyBorder="1" applyAlignment="1" applyProtection="1">
      <alignment horizontal="right" vertical="center"/>
    </xf>
    <xf numFmtId="176" fontId="106" fillId="16" borderId="74" xfId="40" applyNumberFormat="1" applyFont="1" applyFill="1" applyBorder="1" applyAlignment="1" applyProtection="1">
      <alignment horizontal="right" vertical="center"/>
    </xf>
    <xf numFmtId="176" fontId="107" fillId="0" borderId="89" xfId="40" applyNumberFormat="1" applyFont="1" applyBorder="1" applyAlignment="1" applyProtection="1">
      <alignment horizontal="right" vertical="center"/>
    </xf>
    <xf numFmtId="176" fontId="107" fillId="0" borderId="89" xfId="40" applyNumberFormat="1" applyFont="1" applyFill="1" applyBorder="1" applyAlignment="1" applyProtection="1">
      <alignment horizontal="right" vertical="center"/>
    </xf>
    <xf numFmtId="180" fontId="107" fillId="0" borderId="76" xfId="62" applyNumberFormat="1" applyFont="1" applyBorder="1" applyAlignment="1">
      <alignment horizontal="left" vertical="center"/>
    </xf>
    <xf numFmtId="200" fontId="107" fillId="0" borderId="76" xfId="40" applyNumberFormat="1" applyFont="1" applyBorder="1" applyAlignment="1" applyProtection="1">
      <alignment horizontal="right" vertical="center"/>
    </xf>
    <xf numFmtId="200" fontId="107" fillId="0" borderId="75" xfId="40" applyNumberFormat="1" applyFont="1" applyBorder="1" applyAlignment="1" applyProtection="1">
      <alignment horizontal="right" vertical="center"/>
    </xf>
    <xf numFmtId="200" fontId="107" fillId="0" borderId="75" xfId="40" applyNumberFormat="1" applyFont="1" applyFill="1" applyBorder="1" applyAlignment="1" applyProtection="1">
      <alignment horizontal="right" vertical="center"/>
    </xf>
    <xf numFmtId="200" fontId="107" fillId="0" borderId="74" xfId="40" applyNumberFormat="1" applyFont="1" applyBorder="1" applyAlignment="1" applyProtection="1">
      <alignment horizontal="right" vertical="center"/>
    </xf>
    <xf numFmtId="2" fontId="107" fillId="0" borderId="0" xfId="1" applyNumberFormat="1" applyFont="1" applyAlignment="1">
      <alignment vertical="center"/>
    </xf>
    <xf numFmtId="2" fontId="107" fillId="0" borderId="89" xfId="1" applyNumberFormat="1" applyFont="1" applyBorder="1" applyAlignment="1">
      <alignment vertical="center"/>
    </xf>
    <xf numFmtId="180" fontId="107" fillId="0" borderId="16" xfId="62" applyNumberFormat="1" applyFont="1" applyBorder="1" applyAlignment="1">
      <alignment horizontal="left" vertical="center"/>
    </xf>
    <xf numFmtId="0" fontId="107" fillId="0" borderId="16" xfId="0" applyFont="1" applyBorder="1" applyAlignment="1">
      <alignment vertical="center"/>
    </xf>
    <xf numFmtId="180" fontId="111" fillId="0" borderId="16" xfId="62" applyNumberFormat="1" applyFont="1" applyBorder="1" applyAlignment="1">
      <alignment horizontal="left" vertical="center"/>
    </xf>
    <xf numFmtId="37" fontId="107" fillId="0" borderId="16" xfId="61" applyNumberFormat="1" applyFont="1" applyBorder="1" applyAlignment="1">
      <alignment vertical="center"/>
    </xf>
    <xf numFmtId="200" fontId="107" fillId="0" borderId="16" xfId="40" applyNumberFormat="1" applyFont="1" applyFill="1" applyBorder="1" applyAlignment="1" applyProtection="1">
      <alignment horizontal="right" vertical="center"/>
    </xf>
    <xf numFmtId="219" fontId="107" fillId="0" borderId="16" xfId="61" applyNumberFormat="1" applyFont="1" applyBorder="1" applyAlignment="1">
      <alignment vertical="center"/>
    </xf>
    <xf numFmtId="200" fontId="107" fillId="0" borderId="91" xfId="40" applyNumberFormat="1" applyFont="1" applyFill="1" applyBorder="1" applyAlignment="1" applyProtection="1">
      <alignment horizontal="right" vertical="center"/>
    </xf>
    <xf numFmtId="0" fontId="107" fillId="0" borderId="91" xfId="1" applyFont="1" applyBorder="1" applyAlignment="1">
      <alignment vertical="center"/>
    </xf>
    <xf numFmtId="0" fontId="107" fillId="0" borderId="92" xfId="58" applyFont="1" applyBorder="1" applyAlignment="1">
      <alignment horizontal="left"/>
    </xf>
    <xf numFmtId="0" fontId="111" fillId="0" borderId="16" xfId="0" applyFont="1" applyBorder="1"/>
    <xf numFmtId="2" fontId="107" fillId="0" borderId="16" xfId="1" applyNumberFormat="1" applyFont="1" applyBorder="1"/>
    <xf numFmtId="2" fontId="107" fillId="0" borderId="91" xfId="1" applyNumberFormat="1" applyFont="1" applyBorder="1"/>
    <xf numFmtId="170" fontId="144" fillId="26" borderId="47" xfId="66" applyNumberFormat="1" applyFont="1" applyFill="1" applyBorder="1" applyAlignment="1">
      <alignment horizontal="center"/>
    </xf>
    <xf numFmtId="170" fontId="144" fillId="26" borderId="68" xfId="1" applyNumberFormat="1" applyFont="1" applyFill="1" applyBorder="1" applyAlignment="1">
      <alignment horizontal="center"/>
    </xf>
    <xf numFmtId="0" fontId="25" fillId="28" borderId="88" xfId="1" applyFont="1" applyFill="1" applyBorder="1"/>
    <xf numFmtId="218" fontId="11" fillId="0" borderId="0" xfId="59" applyNumberFormat="1" applyFont="1" applyAlignment="1">
      <alignment horizontal="center"/>
    </xf>
    <xf numFmtId="188" fontId="180" fillId="0" borderId="0" xfId="59" applyNumberFormat="1" applyFont="1" applyAlignment="1">
      <alignment horizontal="center"/>
    </xf>
    <xf numFmtId="188" fontId="181" fillId="0" borderId="0" xfId="59" applyNumberFormat="1" applyFont="1" applyAlignment="1">
      <alignment horizontal="center"/>
    </xf>
    <xf numFmtId="188" fontId="173" fillId="0" borderId="0" xfId="59" applyNumberFormat="1" applyFont="1" applyAlignment="1">
      <alignment horizontal="center"/>
    </xf>
    <xf numFmtId="170" fontId="11" fillId="0" borderId="0" xfId="66" applyNumberFormat="1" applyFont="1" applyFill="1" applyBorder="1" applyAlignment="1">
      <alignment horizontal="center"/>
    </xf>
    <xf numFmtId="2" fontId="186" fillId="0" borderId="0" xfId="59" applyNumberFormat="1" applyFont="1" applyAlignment="1">
      <alignment horizontal="center"/>
    </xf>
    <xf numFmtId="0" fontId="10" fillId="0" borderId="0" xfId="1" applyFont="1" applyAlignment="1">
      <alignment horizontal="center"/>
    </xf>
    <xf numFmtId="170" fontId="2" fillId="0" borderId="0" xfId="1" applyNumberFormat="1" applyFont="1" applyAlignment="1">
      <alignment horizontal="center"/>
    </xf>
    <xf numFmtId="10" fontId="6" fillId="0" borderId="0" xfId="66" applyNumberFormat="1" applyFont="1" applyFill="1" applyBorder="1" applyAlignment="1">
      <alignment horizontal="center"/>
    </xf>
    <xf numFmtId="170" fontId="6" fillId="0" borderId="0" xfId="59" applyNumberFormat="1" applyFont="1" applyAlignment="1">
      <alignment horizontal="center"/>
    </xf>
    <xf numFmtId="170" fontId="47" fillId="0" borderId="0" xfId="59" applyNumberFormat="1" applyFont="1" applyAlignment="1">
      <alignment horizontal="center"/>
    </xf>
    <xf numFmtId="170" fontId="8" fillId="0" borderId="0" xfId="66" applyNumberFormat="1" applyFont="1" applyFill="1" applyBorder="1" applyAlignment="1">
      <alignment horizontal="center"/>
    </xf>
    <xf numFmtId="203" fontId="10" fillId="0" borderId="0" xfId="59" applyNumberFormat="1" applyFont="1" applyAlignment="1">
      <alignment horizontal="center"/>
    </xf>
    <xf numFmtId="170" fontId="10" fillId="0" borderId="0" xfId="66" applyNumberFormat="1" applyFont="1" applyAlignment="1">
      <alignment horizontal="center"/>
    </xf>
    <xf numFmtId="170" fontId="192" fillId="0" borderId="0" xfId="66" applyNumberFormat="1" applyFont="1" applyBorder="1" applyAlignment="1">
      <alignment horizontal="center"/>
    </xf>
    <xf numFmtId="170" fontId="192" fillId="0" borderId="0" xfId="66" applyNumberFormat="1" applyFont="1" applyFill="1" applyBorder="1" applyAlignment="1">
      <alignment horizontal="center"/>
    </xf>
    <xf numFmtId="10" fontId="192" fillId="0" borderId="0" xfId="66" applyNumberFormat="1" applyFont="1" applyFill="1" applyBorder="1" applyAlignment="1">
      <alignment horizontal="center"/>
    </xf>
    <xf numFmtId="10" fontId="192" fillId="0" borderId="0" xfId="66" applyNumberFormat="1" applyFont="1" applyBorder="1" applyAlignment="1">
      <alignment horizontal="center"/>
    </xf>
    <xf numFmtId="10" fontId="184" fillId="0" borderId="0" xfId="59" applyNumberFormat="1" applyFont="1" applyAlignment="1">
      <alignment horizontal="center"/>
    </xf>
    <xf numFmtId="170" fontId="179" fillId="36" borderId="0" xfId="66" applyNumberFormat="1" applyFont="1" applyFill="1" applyBorder="1" applyAlignment="1">
      <alignment horizontal="center"/>
    </xf>
    <xf numFmtId="170" fontId="160" fillId="15" borderId="47" xfId="66" applyNumberFormat="1" applyFont="1" applyFill="1" applyBorder="1" applyAlignment="1">
      <alignment horizontal="right"/>
    </xf>
    <xf numFmtId="170" fontId="179" fillId="26" borderId="47" xfId="59" applyNumberFormat="1" applyFont="1" applyFill="1" applyBorder="1"/>
    <xf numFmtId="170" fontId="75" fillId="15" borderId="47" xfId="66" applyNumberFormat="1" applyFont="1" applyFill="1" applyBorder="1" applyAlignment="1">
      <alignment horizontal="right"/>
    </xf>
    <xf numFmtId="170" fontId="50" fillId="15" borderId="0" xfId="66" applyNumberFormat="1" applyFont="1" applyFill="1" applyBorder="1" applyAlignment="1">
      <alignment horizontal="right"/>
    </xf>
    <xf numFmtId="170" fontId="193" fillId="20" borderId="47" xfId="66" applyNumberFormat="1" applyFont="1" applyFill="1" applyBorder="1" applyAlignment="1">
      <alignment horizontal="right"/>
    </xf>
    <xf numFmtId="170" fontId="187" fillId="0" borderId="0" xfId="66" applyNumberFormat="1" applyFont="1" applyBorder="1" applyAlignment="1">
      <alignment horizontal="center"/>
    </xf>
    <xf numFmtId="170" fontId="14" fillId="15" borderId="47" xfId="67" applyNumberFormat="1" applyFont="1" applyFill="1" applyBorder="1" applyAlignment="1">
      <alignment horizontal="right"/>
    </xf>
    <xf numFmtId="3" fontId="194" fillId="0" borderId="0" xfId="59" applyNumberFormat="1" applyFont="1"/>
    <xf numFmtId="0" fontId="11" fillId="16" borderId="0" xfId="59" applyFont="1" applyFill="1"/>
    <xf numFmtId="170" fontId="106" fillId="0" borderId="0" xfId="67" applyNumberFormat="1" applyFont="1" applyAlignment="1">
      <alignment horizontal="center"/>
    </xf>
    <xf numFmtId="170" fontId="108" fillId="0" borderId="0" xfId="67" applyNumberFormat="1" applyFont="1" applyAlignment="1">
      <alignment horizontal="center"/>
    </xf>
    <xf numFmtId="170" fontId="108" fillId="0" borderId="66" xfId="67" applyNumberFormat="1" applyFont="1" applyBorder="1" applyAlignment="1">
      <alignment horizontal="center"/>
    </xf>
    <xf numFmtId="3" fontId="35" fillId="26" borderId="0" xfId="1" applyNumberFormat="1" applyFont="1" applyFill="1" applyAlignment="1">
      <alignment horizontal="center"/>
    </xf>
    <xf numFmtId="0" fontId="134" fillId="0" borderId="0" xfId="1" applyFont="1"/>
    <xf numFmtId="9" fontId="104" fillId="26" borderId="54" xfId="66" applyFont="1" applyFill="1" applyBorder="1" applyAlignment="1">
      <alignment horizontal="center"/>
    </xf>
    <xf numFmtId="170" fontId="11" fillId="0" borderId="0" xfId="66" applyNumberFormat="1" applyFont="1" applyAlignment="1">
      <alignment horizontal="right"/>
    </xf>
    <xf numFmtId="180" fontId="106" fillId="39" borderId="61" xfId="68" applyNumberFormat="1" applyFont="1" applyFill="1" applyBorder="1" applyAlignment="1">
      <alignment horizontal="left" vertical="center"/>
    </xf>
    <xf numFmtId="0" fontId="119" fillId="39" borderId="0" xfId="0" applyFont="1" applyFill="1" applyAlignment="1">
      <alignment vertical="center"/>
    </xf>
    <xf numFmtId="171" fontId="106" fillId="39" borderId="0" xfId="40" applyNumberFormat="1" applyFont="1" applyFill="1" applyBorder="1" applyAlignment="1">
      <alignment horizontal="right" vertical="center"/>
    </xf>
    <xf numFmtId="171" fontId="106" fillId="39" borderId="89" xfId="40" applyNumberFormat="1" applyFont="1" applyFill="1" applyBorder="1" applyAlignment="1">
      <alignment horizontal="right" vertical="center"/>
    </xf>
    <xf numFmtId="170" fontId="26" fillId="0" borderId="0" xfId="66" applyNumberFormat="1" applyFont="1" applyFill="1"/>
    <xf numFmtId="170" fontId="25" fillId="0" borderId="0" xfId="66" applyNumberFormat="1" applyFont="1" applyFill="1"/>
    <xf numFmtId="170" fontId="108" fillId="0" borderId="0" xfId="67" applyNumberFormat="1" applyFont="1" applyFill="1" applyAlignment="1">
      <alignment horizontal="center"/>
    </xf>
    <xf numFmtId="170" fontId="108" fillId="0" borderId="93" xfId="67" applyNumberFormat="1" applyFont="1" applyFill="1" applyBorder="1" applyAlignment="1">
      <alignment horizontal="center"/>
    </xf>
    <xf numFmtId="170" fontId="31" fillId="26" borderId="0" xfId="79" applyNumberFormat="1" applyFont="1" applyFill="1" applyAlignment="1">
      <alignment horizontal="center"/>
    </xf>
    <xf numFmtId="10" fontId="0" fillId="0" borderId="0" xfId="66" applyNumberFormat="1" applyFont="1"/>
    <xf numFmtId="9" fontId="106" fillId="0" borderId="0" xfId="66" applyFont="1"/>
    <xf numFmtId="0" fontId="0" fillId="0" borderId="94" xfId="0" applyBorder="1"/>
    <xf numFmtId="171" fontId="106" fillId="0" borderId="94" xfId="40" applyNumberFormat="1" applyFont="1" applyFill="1" applyBorder="1" applyAlignment="1">
      <alignment horizontal="right" vertical="center"/>
    </xf>
    <xf numFmtId="171" fontId="107" fillId="0" borderId="94" xfId="40" applyNumberFormat="1" applyFont="1" applyFill="1" applyBorder="1" applyAlignment="1">
      <alignment horizontal="right" vertical="center"/>
    </xf>
    <xf numFmtId="171" fontId="106" fillId="27" borderId="94" xfId="40" applyNumberFormat="1" applyFont="1" applyFill="1" applyBorder="1" applyAlignment="1">
      <alignment horizontal="right" vertical="center"/>
    </xf>
    <xf numFmtId="4" fontId="107" fillId="0" borderId="94" xfId="40" applyNumberFormat="1" applyFont="1" applyFill="1" applyBorder="1" applyAlignment="1">
      <alignment horizontal="right" vertical="center"/>
    </xf>
    <xf numFmtId="4" fontId="106" fillId="0" borderId="94" xfId="40" applyNumberFormat="1" applyFont="1" applyFill="1" applyBorder="1" applyAlignment="1">
      <alignment horizontal="right" vertical="center"/>
    </xf>
    <xf numFmtId="4" fontId="106" fillId="27" borderId="94" xfId="40" applyNumberFormat="1" applyFont="1" applyFill="1" applyBorder="1" applyAlignment="1">
      <alignment horizontal="right" vertical="center"/>
    </xf>
    <xf numFmtId="3" fontId="107" fillId="0" borderId="94" xfId="40" applyFont="1" applyFill="1" applyBorder="1" applyAlignment="1">
      <alignment horizontal="right" vertical="center"/>
    </xf>
    <xf numFmtId="171" fontId="123" fillId="0" borderId="94" xfId="40" applyNumberFormat="1" applyFont="1" applyFill="1" applyBorder="1" applyAlignment="1">
      <alignment horizontal="right" vertical="center"/>
    </xf>
    <xf numFmtId="0" fontId="107" fillId="0" borderId="94" xfId="1" applyFont="1" applyBorder="1" applyAlignment="1">
      <alignment vertical="center"/>
    </xf>
    <xf numFmtId="175" fontId="127" fillId="25" borderId="94" xfId="40" applyNumberFormat="1" applyFont="1" applyFill="1" applyBorder="1" applyAlignment="1">
      <alignment vertical="center"/>
    </xf>
    <xf numFmtId="171" fontId="107" fillId="0" borderId="94" xfId="40" applyNumberFormat="1" applyFont="1" applyBorder="1" applyAlignment="1">
      <alignment vertical="center"/>
    </xf>
    <xf numFmtId="4" fontId="106" fillId="16" borderId="94" xfId="40" applyNumberFormat="1" applyFont="1" applyFill="1" applyBorder="1" applyAlignment="1">
      <alignment horizontal="right" vertical="center"/>
    </xf>
    <xf numFmtId="172" fontId="107" fillId="0" borderId="94" xfId="1" applyNumberFormat="1" applyFont="1" applyBorder="1" applyAlignment="1">
      <alignment vertical="center"/>
    </xf>
    <xf numFmtId="171" fontId="106" fillId="16" borderId="94" xfId="40" applyNumberFormat="1" applyFont="1" applyFill="1" applyBorder="1" applyAlignment="1">
      <alignment horizontal="right" vertical="center"/>
    </xf>
    <xf numFmtId="171" fontId="106" fillId="39" borderId="94" xfId="40" applyNumberFormat="1" applyFont="1" applyFill="1" applyBorder="1" applyAlignment="1">
      <alignment horizontal="right" vertical="center"/>
    </xf>
    <xf numFmtId="171" fontId="107" fillId="0" borderId="94" xfId="40" applyNumberFormat="1" applyFont="1" applyBorder="1" applyAlignment="1">
      <alignment horizontal="right" vertical="center"/>
    </xf>
    <xf numFmtId="168" fontId="107" fillId="0" borderId="94" xfId="40" applyNumberFormat="1" applyFont="1" applyBorder="1" applyAlignment="1">
      <alignment horizontal="right" vertical="center"/>
    </xf>
    <xf numFmtId="171" fontId="107" fillId="0" borderId="94" xfId="40" applyNumberFormat="1" applyFont="1" applyFill="1" applyBorder="1" applyAlignment="1" applyProtection="1">
      <alignment horizontal="right" vertical="center"/>
    </xf>
    <xf numFmtId="168" fontId="106" fillId="16" borderId="94" xfId="40" applyNumberFormat="1" applyFont="1" applyFill="1" applyBorder="1" applyAlignment="1">
      <alignment horizontal="right" vertical="center"/>
    </xf>
    <xf numFmtId="176" fontId="107" fillId="0" borderId="94" xfId="40" applyNumberFormat="1" applyFont="1" applyFill="1" applyBorder="1" applyAlignment="1">
      <alignment horizontal="right" vertical="center"/>
    </xf>
    <xf numFmtId="176" fontId="106" fillId="0" borderId="94" xfId="40" applyNumberFormat="1" applyFont="1" applyFill="1" applyBorder="1" applyAlignment="1">
      <alignment horizontal="right" vertical="center"/>
    </xf>
    <xf numFmtId="0" fontId="0" fillId="0" borderId="94" xfId="0" applyBorder="1" applyAlignment="1">
      <alignment vertical="center"/>
    </xf>
    <xf numFmtId="176" fontId="107" fillId="25" borderId="94" xfId="40" applyNumberFormat="1" applyFont="1" applyFill="1" applyBorder="1" applyAlignment="1">
      <alignment vertical="center"/>
    </xf>
    <xf numFmtId="176" fontId="128" fillId="0" borderId="94" xfId="40" applyNumberFormat="1" applyFont="1" applyFill="1" applyBorder="1" applyAlignment="1">
      <alignment horizontal="right" vertical="center"/>
    </xf>
    <xf numFmtId="206" fontId="107" fillId="0" borderId="94" xfId="40" applyNumberFormat="1" applyFont="1" applyBorder="1" applyAlignment="1">
      <alignment vertical="center"/>
    </xf>
    <xf numFmtId="3" fontId="107" fillId="0" borderId="94" xfId="40" quotePrefix="1" applyFont="1" applyBorder="1" applyAlignment="1">
      <alignment horizontal="right" vertical="center"/>
    </xf>
    <xf numFmtId="4" fontId="107" fillId="0" borderId="94" xfId="40" quotePrefix="1" applyNumberFormat="1" applyFont="1" applyFill="1" applyBorder="1" applyAlignment="1">
      <alignment horizontal="right" vertical="center"/>
    </xf>
    <xf numFmtId="3" fontId="106" fillId="0" borderId="94" xfId="40" quotePrefix="1" applyFont="1" applyBorder="1" applyAlignment="1">
      <alignment horizontal="right" vertical="center"/>
    </xf>
    <xf numFmtId="4" fontId="107" fillId="0" borderId="94" xfId="40" applyNumberFormat="1" applyFont="1" applyBorder="1" applyAlignment="1">
      <alignment vertical="center"/>
    </xf>
    <xf numFmtId="3" fontId="107" fillId="0" borderId="94" xfId="40" applyFont="1" applyFill="1" applyBorder="1" applyAlignment="1">
      <alignment vertical="center"/>
    </xf>
    <xf numFmtId="3" fontId="106" fillId="0" borderId="94" xfId="40" applyFont="1" applyBorder="1" applyAlignment="1">
      <alignment vertical="center"/>
    </xf>
    <xf numFmtId="171" fontId="106" fillId="0" borderId="94" xfId="40" applyNumberFormat="1" applyFont="1" applyFill="1" applyBorder="1" applyAlignment="1">
      <alignment vertical="center"/>
    </xf>
    <xf numFmtId="4" fontId="107" fillId="0" borderId="94" xfId="40" applyNumberFormat="1" applyFont="1" applyFill="1" applyBorder="1" applyAlignment="1">
      <alignment vertical="center"/>
    </xf>
    <xf numFmtId="2" fontId="107" fillId="0" borderId="94" xfId="1" applyNumberFormat="1" applyFont="1" applyBorder="1" applyAlignment="1">
      <alignment vertical="center"/>
    </xf>
    <xf numFmtId="3" fontId="195" fillId="0" borderId="0" xfId="59" applyNumberFormat="1" applyFont="1"/>
    <xf numFmtId="3" fontId="196" fillId="0" borderId="0" xfId="59" applyNumberFormat="1" applyFont="1"/>
    <xf numFmtId="170" fontId="11" fillId="0" borderId="0" xfId="66" applyNumberFormat="1" applyFont="1" applyBorder="1" applyAlignment="1">
      <alignment horizontal="right"/>
    </xf>
    <xf numFmtId="0" fontId="10" fillId="0" borderId="7" xfId="59" applyFont="1" applyBorder="1"/>
    <xf numFmtId="191" fontId="10" fillId="0" borderId="7" xfId="59" applyNumberFormat="1" applyFont="1" applyBorder="1"/>
    <xf numFmtId="203" fontId="10" fillId="0" borderId="7" xfId="59" applyNumberFormat="1" applyFont="1" applyBorder="1"/>
    <xf numFmtId="0" fontId="92" fillId="0" borderId="7" xfId="59" applyFont="1" applyBorder="1"/>
    <xf numFmtId="190" fontId="11" fillId="0" borderId="7" xfId="1" applyNumberFormat="1" applyFont="1" applyBorder="1" applyAlignment="1">
      <alignment horizontal="right"/>
    </xf>
    <xf numFmtId="3" fontId="96" fillId="0" borderId="7" xfId="59" applyNumberFormat="1" applyFont="1" applyBorder="1"/>
    <xf numFmtId="3" fontId="10" fillId="0" borderId="7" xfId="59" applyNumberFormat="1" applyFont="1" applyBorder="1"/>
    <xf numFmtId="3" fontId="195" fillId="0" borderId="7" xfId="59" applyNumberFormat="1" applyFont="1" applyBorder="1"/>
    <xf numFmtId="170" fontId="71" fillId="0" borderId="7" xfId="66" applyNumberFormat="1" applyFont="1" applyFill="1" applyBorder="1"/>
    <xf numFmtId="170" fontId="71" fillId="0" borderId="7" xfId="66" applyNumberFormat="1" applyFont="1" applyFill="1" applyBorder="1" applyAlignment="1">
      <alignment horizontal="right"/>
    </xf>
    <xf numFmtId="170" fontId="168" fillId="0" borderId="7" xfId="66" applyNumberFormat="1" applyFont="1" applyFill="1" applyBorder="1" applyAlignment="1">
      <alignment horizontal="right"/>
    </xf>
    <xf numFmtId="170" fontId="10" fillId="0" borderId="7" xfId="59" applyNumberFormat="1" applyFont="1" applyBorder="1"/>
    <xf numFmtId="170" fontId="10" fillId="0" borderId="7" xfId="66" applyNumberFormat="1" applyFont="1" applyFill="1" applyBorder="1"/>
    <xf numFmtId="170" fontId="71" fillId="0" borderId="7" xfId="1" applyNumberFormat="1" applyFont="1" applyBorder="1" applyAlignment="1">
      <alignment horizontal="right"/>
    </xf>
    <xf numFmtId="10" fontId="13" fillId="0" borderId="7" xfId="66" applyNumberFormat="1" applyFont="1" applyFill="1" applyBorder="1" applyAlignment="1">
      <alignment horizontal="right"/>
    </xf>
    <xf numFmtId="3" fontId="96" fillId="0" borderId="7" xfId="1" applyNumberFormat="1" applyFont="1" applyBorder="1" applyAlignment="1">
      <alignment horizontal="right"/>
    </xf>
    <xf numFmtId="3" fontId="12" fillId="0" borderId="7" xfId="1" applyNumberFormat="1" applyFont="1" applyBorder="1" applyAlignment="1">
      <alignment horizontal="right"/>
    </xf>
    <xf numFmtId="10" fontId="12" fillId="0" borderId="7" xfId="66" applyNumberFormat="1" applyFont="1" applyFill="1" applyBorder="1" applyAlignment="1">
      <alignment horizontal="right"/>
    </xf>
    <xf numFmtId="202" fontId="10" fillId="0" borderId="7" xfId="66" applyNumberFormat="1" applyFont="1" applyFill="1" applyBorder="1" applyAlignment="1">
      <alignment horizontal="right"/>
    </xf>
    <xf numFmtId="170" fontId="11" fillId="0" borderId="7" xfId="66" applyNumberFormat="1" applyFont="1" applyFill="1" applyBorder="1" applyAlignment="1">
      <alignment horizontal="right"/>
    </xf>
    <xf numFmtId="170" fontId="12" fillId="0" borderId="7" xfId="66" applyNumberFormat="1" applyFont="1" applyFill="1" applyBorder="1" applyAlignment="1">
      <alignment horizontal="right"/>
    </xf>
    <xf numFmtId="3" fontId="196" fillId="0" borderId="7" xfId="59" applyNumberFormat="1" applyFont="1" applyBorder="1"/>
    <xf numFmtId="3" fontId="13" fillId="0" borderId="7" xfId="59" applyNumberFormat="1" applyFont="1" applyBorder="1"/>
    <xf numFmtId="3" fontId="71" fillId="0" borderId="7" xfId="1" applyNumberFormat="1" applyFont="1" applyBorder="1" applyAlignment="1">
      <alignment horizontal="right"/>
    </xf>
    <xf numFmtId="3" fontId="194" fillId="0" borderId="7" xfId="59" applyNumberFormat="1" applyFont="1" applyBorder="1"/>
    <xf numFmtId="170" fontId="11" fillId="0" borderId="7" xfId="66" applyNumberFormat="1" applyFont="1" applyBorder="1" applyAlignment="1">
      <alignment horizontal="right"/>
    </xf>
    <xf numFmtId="170" fontId="73" fillId="0" borderId="7" xfId="66" applyNumberFormat="1" applyFont="1" applyFill="1" applyBorder="1" applyAlignment="1">
      <alignment horizontal="right"/>
    </xf>
    <xf numFmtId="10" fontId="10" fillId="0" borderId="7" xfId="66" applyNumberFormat="1" applyFont="1" applyFill="1" applyBorder="1"/>
    <xf numFmtId="3" fontId="12" fillId="0" borderId="7" xfId="66" applyNumberFormat="1" applyFont="1" applyFill="1" applyBorder="1" applyAlignment="1">
      <alignment horizontal="right"/>
    </xf>
    <xf numFmtId="170" fontId="71" fillId="0" borderId="7" xfId="59" applyNumberFormat="1" applyFont="1" applyBorder="1"/>
    <xf numFmtId="181" fontId="10" fillId="0" borderId="7" xfId="59" applyNumberFormat="1" applyFont="1" applyBorder="1"/>
    <xf numFmtId="3" fontId="13" fillId="0" borderId="7" xfId="1" applyNumberFormat="1" applyFont="1" applyBorder="1" applyAlignment="1">
      <alignment horizontal="right"/>
    </xf>
    <xf numFmtId="3" fontId="13" fillId="16" borderId="7" xfId="1" applyNumberFormat="1" applyFont="1" applyFill="1" applyBorder="1" applyAlignment="1">
      <alignment horizontal="right"/>
    </xf>
    <xf numFmtId="9" fontId="10" fillId="0" borderId="7" xfId="59" applyNumberFormat="1" applyFont="1" applyBorder="1"/>
    <xf numFmtId="187" fontId="10" fillId="0" borderId="7" xfId="59" applyNumberFormat="1" applyFont="1" applyBorder="1"/>
    <xf numFmtId="181" fontId="11" fillId="0" borderId="7" xfId="59" applyNumberFormat="1" applyFont="1" applyBorder="1"/>
    <xf numFmtId="181" fontId="13" fillId="16" borderId="7" xfId="59" applyNumberFormat="1" applyFont="1" applyFill="1" applyBorder="1"/>
    <xf numFmtId="181" fontId="13" fillId="0" borderId="7" xfId="59" applyNumberFormat="1" applyFont="1" applyBorder="1"/>
    <xf numFmtId="190" fontId="11" fillId="0" borderId="7" xfId="59" applyNumberFormat="1" applyFont="1" applyBorder="1" applyAlignment="1">
      <alignment horizontal="center"/>
    </xf>
    <xf numFmtId="9" fontId="14" fillId="0" borderId="7" xfId="59" applyNumberFormat="1" applyFont="1" applyBorder="1"/>
    <xf numFmtId="0" fontId="0" fillId="0" borderId="7" xfId="0" applyBorder="1"/>
    <xf numFmtId="3" fontId="151" fillId="26" borderId="96" xfId="0" applyNumberFormat="1" applyFont="1" applyFill="1" applyBorder="1" applyAlignment="1">
      <alignment horizontal="center"/>
    </xf>
    <xf numFmtId="3" fontId="151" fillId="26" borderId="97" xfId="0" applyNumberFormat="1" applyFont="1" applyFill="1" applyBorder="1" applyAlignment="1">
      <alignment horizontal="center"/>
    </xf>
    <xf numFmtId="170" fontId="109" fillId="28" borderId="95" xfId="67" applyNumberFormat="1" applyFont="1" applyFill="1" applyBorder="1" applyAlignment="1">
      <alignment horizontal="center"/>
    </xf>
    <xf numFmtId="170" fontId="109" fillId="28" borderId="76" xfId="67" applyNumberFormat="1" applyFont="1" applyFill="1" applyBorder="1" applyAlignment="1">
      <alignment horizontal="center"/>
    </xf>
    <xf numFmtId="9" fontId="108" fillId="0" borderId="76" xfId="67" applyFont="1" applyBorder="1" applyAlignment="1">
      <alignment horizontal="center"/>
    </xf>
    <xf numFmtId="0" fontId="106" fillId="0" borderId="98" xfId="0" applyFont="1" applyBorder="1" applyAlignment="1">
      <alignment horizontal="center"/>
    </xf>
    <xf numFmtId="0" fontId="145" fillId="32" borderId="7" xfId="0" applyFont="1" applyFill="1" applyBorder="1" applyAlignment="1">
      <alignment horizontal="center"/>
    </xf>
    <xf numFmtId="172" fontId="147" fillId="0" borderId="7" xfId="0" applyNumberFormat="1" applyFont="1" applyBorder="1" applyAlignment="1">
      <alignment horizontal="center"/>
    </xf>
    <xf numFmtId="170" fontId="148" fillId="26" borderId="7" xfId="67" applyNumberFormat="1" applyFont="1" applyFill="1" applyBorder="1" applyAlignment="1">
      <alignment horizontal="center"/>
    </xf>
    <xf numFmtId="172" fontId="107" fillId="0" borderId="7" xfId="0" applyNumberFormat="1" applyFont="1" applyBorder="1" applyAlignment="1">
      <alignment horizontal="center"/>
    </xf>
    <xf numFmtId="170" fontId="109" fillId="26" borderId="7" xfId="67" applyNumberFormat="1" applyFont="1" applyFill="1" applyBorder="1" applyAlignment="1">
      <alignment horizontal="center"/>
    </xf>
    <xf numFmtId="10" fontId="147" fillId="0" borderId="7" xfId="0" applyNumberFormat="1" applyFont="1" applyBorder="1" applyAlignment="1">
      <alignment horizontal="center"/>
    </xf>
    <xf numFmtId="10" fontId="148" fillId="26" borderId="7" xfId="67" applyNumberFormat="1" applyFont="1" applyFill="1" applyBorder="1" applyAlignment="1">
      <alignment horizontal="center"/>
    </xf>
    <xf numFmtId="3" fontId="147" fillId="0" borderId="7" xfId="0" applyNumberFormat="1" applyFont="1" applyBorder="1" applyAlignment="1">
      <alignment horizontal="center"/>
    </xf>
    <xf numFmtId="3" fontId="107" fillId="0" borderId="7" xfId="0" applyNumberFormat="1" applyFont="1" applyBorder="1" applyAlignment="1">
      <alignment horizontal="center"/>
    </xf>
    <xf numFmtId="170" fontId="109" fillId="0" borderId="7" xfId="67" applyNumberFormat="1" applyFont="1" applyBorder="1" applyAlignment="1">
      <alignment horizontal="center"/>
    </xf>
    <xf numFmtId="170" fontId="109" fillId="0" borderId="7" xfId="67" applyNumberFormat="1" applyFont="1" applyFill="1" applyBorder="1" applyAlignment="1">
      <alignment horizontal="center"/>
    </xf>
    <xf numFmtId="170" fontId="108" fillId="0" borderId="7" xfId="67" applyNumberFormat="1" applyFont="1" applyFill="1" applyBorder="1" applyAlignment="1">
      <alignment horizontal="center"/>
    </xf>
    <xf numFmtId="10" fontId="109" fillId="26" borderId="7" xfId="67" applyNumberFormat="1" applyFont="1" applyFill="1" applyBorder="1" applyAlignment="1">
      <alignment horizontal="center"/>
    </xf>
    <xf numFmtId="10" fontId="109" fillId="0" borderId="7" xfId="67" applyNumberFormat="1" applyFont="1" applyFill="1" applyBorder="1" applyAlignment="1">
      <alignment horizontal="center"/>
    </xf>
    <xf numFmtId="9" fontId="109" fillId="0" borderId="7" xfId="67" applyFont="1" applyBorder="1" applyAlignment="1">
      <alignment horizontal="center"/>
    </xf>
    <xf numFmtId="170" fontId="148" fillId="28" borderId="7" xfId="67" applyNumberFormat="1" applyFont="1" applyFill="1" applyBorder="1" applyAlignment="1">
      <alignment horizontal="center"/>
    </xf>
    <xf numFmtId="3" fontId="106" fillId="0" borderId="7" xfId="0" applyNumberFormat="1" applyFont="1" applyBorder="1" applyAlignment="1">
      <alignment horizontal="center"/>
    </xf>
    <xf numFmtId="172" fontId="106" fillId="0" borderId="7" xfId="0" applyNumberFormat="1" applyFont="1" applyBorder="1" applyAlignment="1">
      <alignment horizontal="center"/>
    </xf>
    <xf numFmtId="170" fontId="109" fillId="28" borderId="99" xfId="67" applyNumberFormat="1" applyFont="1" applyFill="1" applyBorder="1" applyAlignment="1">
      <alignment horizontal="center"/>
    </xf>
    <xf numFmtId="172" fontId="148" fillId="0" borderId="7" xfId="0" applyNumberFormat="1" applyFont="1" applyBorder="1" applyAlignment="1">
      <alignment horizontal="center"/>
    </xf>
    <xf numFmtId="170" fontId="147" fillId="0" borderId="7" xfId="67" applyNumberFormat="1" applyFont="1" applyBorder="1" applyAlignment="1">
      <alignment horizontal="center"/>
    </xf>
    <xf numFmtId="0" fontId="145" fillId="33" borderId="7" xfId="0" applyFont="1" applyFill="1" applyBorder="1" applyAlignment="1">
      <alignment horizontal="center"/>
    </xf>
    <xf numFmtId="10" fontId="107" fillId="0" borderId="7" xfId="0" applyNumberFormat="1" applyFont="1" applyBorder="1" applyAlignment="1">
      <alignment horizontal="center"/>
    </xf>
    <xf numFmtId="170" fontId="109" fillId="28" borderId="7" xfId="67" applyNumberFormat="1" applyFont="1" applyFill="1" applyBorder="1" applyAlignment="1">
      <alignment horizontal="center"/>
    </xf>
    <xf numFmtId="3" fontId="107" fillId="26" borderId="7" xfId="0" applyNumberFormat="1" applyFont="1" applyFill="1" applyBorder="1" applyAlignment="1">
      <alignment horizontal="center"/>
    </xf>
    <xf numFmtId="170" fontId="109" fillId="28" borderId="58" xfId="67" applyNumberFormat="1" applyFont="1" applyFill="1" applyBorder="1" applyAlignment="1">
      <alignment horizontal="center"/>
    </xf>
    <xf numFmtId="170" fontId="106" fillId="0" borderId="7" xfId="67" applyNumberFormat="1" applyFont="1" applyBorder="1" applyAlignment="1">
      <alignment horizontal="center"/>
    </xf>
    <xf numFmtId="0" fontId="152" fillId="32" borderId="7" xfId="0" applyFont="1" applyFill="1" applyBorder="1" applyAlignment="1">
      <alignment horizontal="center"/>
    </xf>
    <xf numFmtId="216" fontId="109" fillId="0" borderId="7" xfId="0" applyNumberFormat="1" applyFont="1" applyBorder="1" applyAlignment="1">
      <alignment horizontal="center"/>
    </xf>
    <xf numFmtId="170" fontId="108" fillId="0" borderId="7" xfId="67" applyNumberFormat="1" applyFont="1" applyBorder="1" applyAlignment="1">
      <alignment horizontal="center"/>
    </xf>
    <xf numFmtId="9" fontId="108" fillId="0" borderId="7" xfId="67" applyFont="1" applyBorder="1" applyAlignment="1">
      <alignment horizontal="center"/>
    </xf>
    <xf numFmtId="9" fontId="108" fillId="0" borderId="58" xfId="67" applyFont="1" applyBorder="1" applyAlignment="1">
      <alignment horizontal="center"/>
    </xf>
    <xf numFmtId="0" fontId="145" fillId="34" borderId="7" xfId="0" applyFont="1" applyFill="1" applyBorder="1" applyAlignment="1">
      <alignment horizontal="center"/>
    </xf>
    <xf numFmtId="170" fontId="107" fillId="0" borderId="7" xfId="67" applyNumberFormat="1" applyFont="1" applyBorder="1" applyAlignment="1">
      <alignment horizontal="center"/>
    </xf>
    <xf numFmtId="0" fontId="107" fillId="0" borderId="7" xfId="0" applyFont="1" applyBorder="1" applyAlignment="1">
      <alignment horizontal="center"/>
    </xf>
    <xf numFmtId="4" fontId="107" fillId="0" borderId="7" xfId="0" applyNumberFormat="1" applyFont="1" applyBorder="1" applyAlignment="1">
      <alignment horizontal="center"/>
    </xf>
    <xf numFmtId="213" fontId="35" fillId="26" borderId="47" xfId="1" applyNumberFormat="1" applyFont="1" applyFill="1" applyBorder="1" applyAlignment="1">
      <alignment horizontal="center"/>
    </xf>
    <xf numFmtId="9" fontId="139" fillId="26" borderId="54" xfId="66" applyFont="1" applyFill="1" applyBorder="1" applyAlignment="1">
      <alignment horizontal="center"/>
    </xf>
    <xf numFmtId="180" fontId="106" fillId="0" borderId="61" xfId="68" applyNumberFormat="1" applyFont="1" applyFill="1" applyBorder="1" applyAlignment="1">
      <alignment horizontal="left" vertical="center"/>
    </xf>
    <xf numFmtId="9" fontId="109" fillId="0" borderId="0" xfId="66" applyFont="1"/>
    <xf numFmtId="170" fontId="46" fillId="31" borderId="0" xfId="66" applyNumberFormat="1" applyFont="1" applyFill="1" applyAlignment="1">
      <alignment horizontal="center"/>
    </xf>
    <xf numFmtId="170" fontId="144" fillId="31" borderId="0" xfId="66" applyNumberFormat="1" applyFont="1" applyFill="1" applyAlignment="1">
      <alignment horizontal="center"/>
    </xf>
    <xf numFmtId="10" fontId="48" fillId="31" borderId="0" xfId="1" applyNumberFormat="1" applyFont="1" applyFill="1" applyAlignment="1">
      <alignment horizontal="center"/>
    </xf>
    <xf numFmtId="10" fontId="33" fillId="31" borderId="0" xfId="1" applyNumberFormat="1" applyFont="1" applyFill="1" applyAlignment="1">
      <alignment horizontal="center"/>
    </xf>
    <xf numFmtId="0" fontId="106" fillId="28" borderId="19" xfId="1" applyFont="1" applyFill="1" applyBorder="1"/>
    <xf numFmtId="0" fontId="107" fillId="28" borderId="19" xfId="1" applyFont="1" applyFill="1" applyBorder="1"/>
    <xf numFmtId="0" fontId="106" fillId="0" borderId="0" xfId="79" applyFont="1" applyAlignment="1">
      <alignment horizontal="center"/>
    </xf>
    <xf numFmtId="170" fontId="16" fillId="0" borderId="0" xfId="66" applyNumberFormat="1" applyFont="1" applyAlignment="1">
      <alignment horizontal="center"/>
    </xf>
    <xf numFmtId="0" fontId="2" fillId="0" borderId="0" xfId="97" applyAlignment="1">
      <alignment horizontal="center"/>
    </xf>
    <xf numFmtId="170" fontId="108" fillId="16" borderId="22" xfId="66" applyNumberFormat="1" applyFont="1" applyFill="1" applyBorder="1" applyAlignment="1">
      <alignment horizontal="center"/>
    </xf>
    <xf numFmtId="192" fontId="107" fillId="0" borderId="0" xfId="79" applyNumberFormat="1" applyFont="1" applyAlignment="1">
      <alignment horizontal="center"/>
    </xf>
    <xf numFmtId="9" fontId="107" fillId="0" borderId="0" xfId="79" applyNumberFormat="1" applyFont="1" applyAlignment="1">
      <alignment horizontal="center"/>
    </xf>
    <xf numFmtId="0" fontId="106" fillId="16" borderId="21" xfId="79" applyFont="1" applyFill="1" applyBorder="1"/>
    <xf numFmtId="164" fontId="106" fillId="16" borderId="57" xfId="79" applyNumberFormat="1" applyFont="1" applyFill="1" applyBorder="1" applyAlignment="1">
      <alignment horizontal="center"/>
    </xf>
    <xf numFmtId="164" fontId="107" fillId="0" borderId="0" xfId="79" applyNumberFormat="1" applyFont="1" applyAlignment="1">
      <alignment horizontal="center"/>
    </xf>
    <xf numFmtId="164" fontId="107" fillId="0" borderId="13" xfId="79" applyNumberFormat="1" applyFont="1" applyBorder="1" applyAlignment="1">
      <alignment horizontal="center"/>
    </xf>
    <xf numFmtId="0" fontId="106" fillId="15" borderId="51" xfId="79" applyFont="1" applyFill="1" applyBorder="1"/>
    <xf numFmtId="203" fontId="106" fillId="15" borderId="53" xfId="102" applyNumberFormat="1" applyFont="1" applyFill="1" applyBorder="1" applyAlignment="1">
      <alignment horizontal="center"/>
    </xf>
    <xf numFmtId="203" fontId="106" fillId="0" borderId="0" xfId="102" applyNumberFormat="1" applyFont="1" applyFill="1" applyBorder="1" applyAlignment="1">
      <alignment horizontal="center"/>
    </xf>
    <xf numFmtId="189" fontId="106" fillId="15" borderId="53" xfId="102" applyNumberFormat="1" applyFont="1" applyFill="1" applyBorder="1" applyAlignment="1">
      <alignment horizontal="center"/>
    </xf>
    <xf numFmtId="189" fontId="106" fillId="0" borderId="0" xfId="102" applyNumberFormat="1" applyFont="1" applyFill="1" applyBorder="1" applyAlignment="1">
      <alignment horizontal="center"/>
    </xf>
    <xf numFmtId="207" fontId="107" fillId="0" borderId="0" xfId="79" applyNumberFormat="1" applyFont="1" applyAlignment="1">
      <alignment horizontal="center"/>
    </xf>
    <xf numFmtId="170" fontId="107" fillId="0" borderId="0" xfId="102" applyNumberFormat="1" applyFont="1" applyFill="1" applyBorder="1" applyAlignment="1">
      <alignment horizontal="center"/>
    </xf>
    <xf numFmtId="0" fontId="107" fillId="0" borderId="76" xfId="1" applyFont="1" applyBorder="1"/>
    <xf numFmtId="203" fontId="107" fillId="0" borderId="76" xfId="1" applyNumberFormat="1" applyFont="1" applyBorder="1" applyAlignment="1">
      <alignment horizontal="center"/>
    </xf>
    <xf numFmtId="0" fontId="0" fillId="0" borderId="76" xfId="0" applyBorder="1"/>
    <xf numFmtId="0" fontId="105" fillId="33" borderId="0" xfId="79" applyFont="1" applyFill="1"/>
    <xf numFmtId="0" fontId="105" fillId="33" borderId="0" xfId="79" applyFont="1" applyFill="1" applyAlignment="1">
      <alignment horizontal="center"/>
    </xf>
    <xf numFmtId="0" fontId="175" fillId="33" borderId="0" xfId="79" applyFont="1" applyFill="1" applyAlignment="1">
      <alignment horizontal="center"/>
    </xf>
    <xf numFmtId="10" fontId="139" fillId="40" borderId="69" xfId="66" applyNumberFormat="1" applyFont="1" applyFill="1" applyBorder="1" applyAlignment="1">
      <alignment horizontal="center"/>
    </xf>
    <xf numFmtId="49" fontId="197" fillId="0" borderId="0" xfId="0" applyNumberFormat="1" applyFont="1"/>
    <xf numFmtId="49" fontId="197" fillId="0" borderId="0" xfId="0" applyNumberFormat="1" applyFont="1" applyAlignment="1"/>
    <xf numFmtId="49" fontId="198" fillId="0" borderId="0" xfId="0" applyNumberFormat="1" applyFont="1" applyAlignment="1"/>
    <xf numFmtId="49" fontId="2" fillId="0" borderId="0" xfId="0" applyNumberFormat="1" applyFont="1" applyAlignment="1"/>
    <xf numFmtId="49" fontId="199" fillId="0" borderId="0" xfId="0" applyNumberFormat="1" applyFont="1" applyAlignment="1"/>
    <xf numFmtId="49" fontId="2" fillId="0" borderId="49" xfId="0" applyNumberFormat="1" applyFont="1" applyBorder="1" applyAlignment="1"/>
    <xf numFmtId="49" fontId="2" fillId="0" borderId="49" xfId="0" applyNumberFormat="1" applyFont="1" applyBorder="1" applyAlignment="1"/>
    <xf numFmtId="49" fontId="2" fillId="0" borderId="0" xfId="0" applyNumberFormat="1" applyFont="1" applyAlignment="1">
      <alignment horizontal="left" vertical="center"/>
    </xf>
    <xf numFmtId="2" fontId="197" fillId="0" borderId="0" xfId="0" applyNumberFormat="1" applyFont="1"/>
    <xf numFmtId="49" fontId="200" fillId="41" borderId="0" xfId="0" applyNumberFormat="1" applyFont="1" applyFill="1" applyAlignment="1">
      <alignment wrapText="1"/>
    </xf>
    <xf numFmtId="0" fontId="0" fillId="41" borderId="0" xfId="0" applyFill="1"/>
    <xf numFmtId="49" fontId="201" fillId="41" borderId="0" xfId="0" applyNumberFormat="1" applyFont="1" applyFill="1" applyAlignment="1">
      <alignment wrapText="1"/>
    </xf>
  </cellXfs>
  <cellStyles count="109">
    <cellStyle name="_x000a_bidires=100_x000d_" xfId="1" xr:uid="{00000000-0005-0000-0000-000000000000}"/>
    <cellStyle name="_x000a_bidires=100_x000d_ 2" xfId="2" xr:uid="{00000000-0005-0000-0000-000001000000}"/>
    <cellStyle name="_x000a_bidires=100_x000d_ 2 2" xfId="79" xr:uid="{20302635-AC63-4A95-AB13-9774D208BA79}"/>
    <cellStyle name="_x000a_bidires=100_x000d_ 3" xfId="78" xr:uid="{00000000-0005-0000-0000-000002000000}"/>
    <cellStyle name="_3 stage GG model" xfId="81" xr:uid="{EFA0F22F-C48D-4D7E-BEE6-9B2E371972C0}"/>
    <cellStyle name="_3 stage GG model 2" xfId="82" xr:uid="{BB94C51D-129E-427C-B865-8A922A800E40}"/>
    <cellStyle name="_MWA RR_1-pager " xfId="3" xr:uid="{00000000-0005-0000-0000-000003000000}"/>
    <cellStyle name="_RRS1_1_1-pager " xfId="4" xr:uid="{00000000-0005-0000-0000-000004000000}"/>
    <cellStyle name="_RRS1_1_1-pager  2" xfId="83" xr:uid="{4E924A96-C7B1-46B0-8B09-691E231D492B}"/>
    <cellStyle name="_RRS10_1_1-pager " xfId="5" xr:uid="{00000000-0005-0000-0000-000005000000}"/>
    <cellStyle name="_RRS10_1_1-pager  2" xfId="84" xr:uid="{66BAB4A0-DE14-49FC-A992-263B91B6805C}"/>
    <cellStyle name="_SUMMARY " xfId="6" xr:uid="{00000000-0005-0000-0000-000006000000}"/>
    <cellStyle name="_SUMMARY  2" xfId="85" xr:uid="{819C5D07-AD37-47EE-8327-91489F6F3426}"/>
    <cellStyle name="_SUMMARY _1-pager " xfId="7" xr:uid="{00000000-0005-0000-0000-000007000000}"/>
    <cellStyle name="_SUMMARY _1-pager  2" xfId="86" xr:uid="{6DDFA341-7EE1-4932-8E34-28015808A502}"/>
    <cellStyle name="0_Capex &amp; Depreciation " xfId="8" xr:uid="{00000000-0005-0000-0000-000008000000}"/>
    <cellStyle name="0_Valuing BP " xfId="9" xr:uid="{00000000-0005-0000-0000-000009000000}"/>
    <cellStyle name="20% - Accent1" xfId="10" builtinId="30" customBuiltin="1"/>
    <cellStyle name="20% - Accent2" xfId="11" builtinId="34" customBuiltin="1"/>
    <cellStyle name="20% - Accent3" xfId="12" builtinId="38" customBuiltin="1"/>
    <cellStyle name="20% - Accent4" xfId="13" builtinId="42" customBuiltin="1"/>
    <cellStyle name="20% - Accent5" xfId="14" builtinId="46" customBuiltin="1"/>
    <cellStyle name="20% - Accent6" xfId="15" builtinId="50" customBuiltin="1"/>
    <cellStyle name="40% - Accent1" xfId="16" builtinId="31" customBuiltin="1"/>
    <cellStyle name="40% - Accent2" xfId="17" builtinId="35" customBuiltin="1"/>
    <cellStyle name="40% - Accent3" xfId="18" builtinId="39" customBuiltin="1"/>
    <cellStyle name="40% - Accent4" xfId="19" builtinId="43" customBuiltin="1"/>
    <cellStyle name="40% - Accent5" xfId="20" builtinId="47" customBuiltin="1"/>
    <cellStyle name="40% - Accent6" xfId="21" builtinId="51" customBuiltin="1"/>
    <cellStyle name="60% - Accent1" xfId="22" builtinId="32" customBuiltin="1"/>
    <cellStyle name="60% - Accent2" xfId="23" builtinId="36" customBuiltin="1"/>
    <cellStyle name="60% - Accent3" xfId="24" builtinId="40" customBuiltin="1"/>
    <cellStyle name="60% - Accent4" xfId="25" builtinId="44" customBuiltin="1"/>
    <cellStyle name="60% - Accent5" xfId="26" builtinId="48" customBuiltin="1"/>
    <cellStyle name="60% - Accent6" xfId="27" builtinId="52" customBuiltin="1"/>
    <cellStyle name="Accent1" xfId="28" builtinId="29" customBuiltin="1"/>
    <cellStyle name="Accent2" xfId="29" builtinId="33" customBuiltin="1"/>
    <cellStyle name="Accent3" xfId="30" builtinId="37" customBuiltin="1"/>
    <cellStyle name="Accent4" xfId="31" builtinId="41" customBuiltin="1"/>
    <cellStyle name="Accent5" xfId="32" builtinId="45" customBuiltin="1"/>
    <cellStyle name="Accent6" xfId="33" builtinId="49" customBuiltin="1"/>
    <cellStyle name="Bad" xfId="34" builtinId="27" customBuiltin="1"/>
    <cellStyle name="c_HardInc " xfId="35" xr:uid="{00000000-0005-0000-0000-000023000000}"/>
    <cellStyle name="Calculation" xfId="36" builtinId="22" customBuiltin="1"/>
    <cellStyle name="Calculation 2" xfId="87" xr:uid="{E48A13EE-C46C-42D2-A80D-E50FAB443198}"/>
    <cellStyle name="Check Cell" xfId="37" builtinId="23" customBuiltin="1"/>
    <cellStyle name="Comma" xfId="38" builtinId="3"/>
    <cellStyle name="Comma 2" xfId="89" xr:uid="{681DAC69-12B5-49E6-AEF8-03FEC5D953CC}"/>
    <cellStyle name="Comma 3" xfId="88" xr:uid="{68CB324D-34A1-4A09-A637-4251D69EBF38}"/>
    <cellStyle name="Comma_ASX" xfId="39" xr:uid="{00000000-0005-0000-0000-000027000000}"/>
    <cellStyle name="Comma_HSB_ACE" xfId="40" xr:uid="{00000000-0005-0000-0000-000028000000}"/>
    <cellStyle name="Comma_SSEML" xfId="41" xr:uid="{00000000-0005-0000-0000-000029000000}"/>
    <cellStyle name="Currency 2" xfId="90" xr:uid="{3E87A55D-4FC3-4BE2-BDF8-D38CCB07215A}"/>
    <cellStyle name="Currency 3" xfId="91" xr:uid="{04ABB787-CA29-4485-AA19-5E8AC7EA3DC0}"/>
    <cellStyle name="Currency 4" xfId="42" xr:uid="{00000000-0005-0000-0000-00002A000000}"/>
    <cellStyle name="Currency 4 2" xfId="92" xr:uid="{3C5FCBDD-7889-4DBD-ACC3-4E03E4A2C101}"/>
    <cellStyle name="Currency_ASX" xfId="43" xr:uid="{00000000-0005-0000-0000-00002B000000}"/>
    <cellStyle name="Explanatory Text" xfId="44" builtinId="53" customBuiltin="1"/>
    <cellStyle name="Good" xfId="45" builtinId="26" customBuiltin="1"/>
    <cellStyle name="Heading 1" xfId="46" builtinId="16" customBuiltin="1"/>
    <cellStyle name="Heading 2" xfId="47" builtinId="17" customBuiltin="1"/>
    <cellStyle name="Heading 3" xfId="48" builtinId="18" customBuiltin="1"/>
    <cellStyle name="Heading 4" xfId="49" builtinId="19" customBuiltin="1"/>
    <cellStyle name="Hyperlink" xfId="50" builtinId="8"/>
    <cellStyle name="Hyperlink 2" xfId="93" xr:uid="{0DCEDCE0-812E-46AF-BEE9-B7D8A008E6B6}"/>
    <cellStyle name="Hyperlink 3" xfId="94" xr:uid="{EE6E72D5-56F7-42F2-B841-5635EAF173D9}"/>
    <cellStyle name="Input" xfId="51" builtinId="20" customBuiltin="1"/>
    <cellStyle name="Input 2" xfId="95" xr:uid="{8139231D-E860-4551-94C9-0CDAB9907BBB}"/>
    <cellStyle name="Linked Cell" xfId="52" builtinId="24" customBuiltin="1"/>
    <cellStyle name="Millares_2AV_M_M " xfId="53" xr:uid="{00000000-0005-0000-0000-000036000000}"/>
    <cellStyle name="Moneda [0]_2AV_M_M " xfId="54" xr:uid="{00000000-0005-0000-0000-000037000000}"/>
    <cellStyle name="Neutral" xfId="55" builtinId="28" customBuiltin="1"/>
    <cellStyle name="Normal" xfId="0" builtinId="0" customBuiltin="1"/>
    <cellStyle name="Normal 2" xfId="56" xr:uid="{00000000-0005-0000-0000-00003A000000}"/>
    <cellStyle name="Normal 2 2" xfId="57" xr:uid="{00000000-0005-0000-0000-00003B000000}"/>
    <cellStyle name="Normal 2 2 2" xfId="97" xr:uid="{B3B65216-7D99-42B4-A2DF-9EE3DDEFA6A3}"/>
    <cellStyle name="Normal 2 3" xfId="96" xr:uid="{CF990E19-33F3-4579-ACC3-C182D6841702}"/>
    <cellStyle name="Normal 3" xfId="98" xr:uid="{EE8FF3AA-EA73-4B6B-B0F5-15472BD7A119}"/>
    <cellStyle name="Normal 4" xfId="99" xr:uid="{17C85C56-B785-48D2-BEC3-483D88403163}"/>
    <cellStyle name="Normal 5" xfId="80" xr:uid="{CF22AFBF-3931-4EF6-A546-339016ABD7C9}"/>
    <cellStyle name="Normal_ACE-OUT" xfId="58" xr:uid="{00000000-0005-0000-0000-00003D000000}"/>
    <cellStyle name="Normal_ASX" xfId="59" xr:uid="{00000000-0005-0000-0000-00003E000000}"/>
    <cellStyle name="Normal_banking template with RtN" xfId="60" xr:uid="{00000000-0005-0000-0000-00003F000000}"/>
    <cellStyle name="Normal_HSB_ACE" xfId="61" xr:uid="{00000000-0005-0000-0000-000040000000}"/>
    <cellStyle name="Normal_SSEML" xfId="62" xr:uid="{00000000-0005-0000-0000-000042000000}"/>
    <cellStyle name="Note" xfId="63" builtinId="10" customBuiltin="1"/>
    <cellStyle name="Note 2" xfId="100" xr:uid="{E401B8F4-CAEB-4DF6-B7C4-551B510BF58E}"/>
    <cellStyle name="Output" xfId="64" builtinId="21" customBuiltin="1"/>
    <cellStyle name="Output 2" xfId="101" xr:uid="{5E50EFEF-B912-4780-8830-69CA530ED151}"/>
    <cellStyle name="p " xfId="65" xr:uid="{00000000-0005-0000-0000-000045000000}"/>
    <cellStyle name="Percent" xfId="66" builtinId="5"/>
    <cellStyle name="Percent 2" xfId="67" xr:uid="{00000000-0005-0000-0000-000047000000}"/>
    <cellStyle name="Percent 2 2" xfId="102" xr:uid="{87DF1150-E336-43B4-85C3-BBEEFFC514EE}"/>
    <cellStyle name="Percent 3" xfId="103" xr:uid="{FD1449AD-2028-4535-9B97-3AFABBFF61D0}"/>
    <cellStyle name="Percent_HSB_ACE" xfId="68" xr:uid="{00000000-0005-0000-0000-000049000000}"/>
    <cellStyle name="result input" xfId="77" xr:uid="{00000000-0005-0000-0000-00004A000000}"/>
    <cellStyle name="RRSInstruction" xfId="69" xr:uid="{00000000-0005-0000-0000-00004B000000}"/>
    <cellStyle name="RRSInstruction 2" xfId="105" xr:uid="{A70E21B0-1593-4DA6-B5AE-D03D7FC0A32A}"/>
    <cellStyle name="RRSInstruction 3" xfId="104" xr:uid="{831E8AC1-4C79-49AA-966F-5A02A550B167}"/>
    <cellStyle name="s_HardInc " xfId="70" xr:uid="{00000000-0005-0000-0000-00004C000000}"/>
    <cellStyle name="s_Valuation " xfId="71" xr:uid="{00000000-0005-0000-0000-00004D000000}"/>
    <cellStyle name="s_Valuation  2" xfId="106" xr:uid="{08F62F5E-5062-40AC-90AD-091E9AF1D415}"/>
    <cellStyle name="ssp " xfId="72" xr:uid="{00000000-0005-0000-0000-00004E000000}"/>
    <cellStyle name="ssp  2" xfId="107" xr:uid="{C7031FD8-C9C6-4379-A7B7-D07F6BEE3C57}"/>
    <cellStyle name="Title" xfId="73" builtinId="15" customBuiltin="1"/>
    <cellStyle name="Total" xfId="74" builtinId="25" customBuiltin="1"/>
    <cellStyle name="Total 2" xfId="108" xr:uid="{DA91E08F-7A19-4B24-B671-0E02568C2222}"/>
    <cellStyle name="Warning Text" xfId="75" builtinId="11" customBuiltin="1"/>
    <cellStyle name="표준_0N-HANDLING " xfId="76" xr:uid="{00000000-0005-0000-0000-000052000000}"/>
  </cellStyles>
  <dxfs count="0"/>
  <tableStyles count="1" defaultTableStyle="TableStyleMedium2" defaultPivotStyle="PivotStyleLight16">
    <tableStyle name="Invisible" pivot="0" table="0" count="0" xr9:uid="{85A48346-9BB1-4402-97F1-03DD829EA67E}"/>
  </tableStyles>
  <colors>
    <mruColors>
      <color rgb="FFFFFF99"/>
      <color rgb="FF0000FF"/>
      <color rgb="FFFFFFCC"/>
      <color rgb="FF000066"/>
      <color rgb="FF99CCFF"/>
      <color rgb="FFCCFFCC"/>
      <color rgb="FFFFCC99"/>
      <color rgb="FF003399"/>
      <color rgb="FFFF99FF"/>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0"/>
          <c:order val="0"/>
          <c:spPr>
            <a:solidFill>
              <a:srgbClr val="9999FF"/>
            </a:solidFill>
            <a:ln w="12700">
              <a:solidFill>
                <a:srgbClr val="000000"/>
              </a:solidFill>
              <a:prstDash val="solid"/>
            </a:ln>
          </c:spPr>
          <c:val>
            <c:numLit>
              <c:formatCode>General</c:formatCode>
              <c:ptCount val="1"/>
              <c:pt idx="0">
                <c:v>0</c:v>
              </c:pt>
            </c:numLit>
          </c:val>
          <c:extLst>
            <c:ext xmlns:c16="http://schemas.microsoft.com/office/drawing/2014/chart" uri="{C3380CC4-5D6E-409C-BE32-E72D297353CC}">
              <c16:uniqueId val="{00000000-BA97-4223-BE93-458A5F65F936}"/>
            </c:ext>
          </c:extLst>
        </c:ser>
        <c:dLbls>
          <c:showLegendKey val="0"/>
          <c:showVal val="0"/>
          <c:showCatName val="0"/>
          <c:showSerName val="0"/>
          <c:showPercent val="0"/>
          <c:showBubbleSize val="0"/>
        </c:dLbls>
        <c:axId val="2123748120"/>
        <c:axId val="1"/>
      </c:areaChart>
      <c:catAx>
        <c:axId val="2123748120"/>
        <c:scaling>
          <c:orientation val="minMax"/>
        </c:scaling>
        <c:delete val="0"/>
        <c:axPos val="b"/>
        <c:title>
          <c:tx>
            <c:rich>
              <a:bodyPr/>
              <a:lstStyle/>
              <a:p>
                <a:pPr>
                  <a:defRPr sz="100" b="0" i="0" u="none" strike="noStrike" baseline="0">
                    <a:solidFill>
                      <a:srgbClr val="000000"/>
                    </a:solidFill>
                    <a:latin typeface="Arial"/>
                    <a:ea typeface="Arial"/>
                    <a:cs typeface="Arial"/>
                  </a:defRPr>
                </a:pPr>
                <a:r>
                  <a:rPr lang="en-AU"/>
                  <a:t>Years</a:t>
                </a:r>
              </a:p>
            </c:rich>
          </c:tx>
          <c:overlay val="0"/>
          <c:spPr>
            <a:noFill/>
            <a:ln w="25400">
              <a:noFill/>
            </a:ln>
          </c:spPr>
        </c:title>
        <c:numFmt formatCode="General" sourceLinked="1"/>
        <c:majorTickMark val="out"/>
        <c:minorTickMark val="none"/>
        <c:tickLblPos val="low"/>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1"/>
        <c:crosses val="autoZero"/>
        <c:auto val="1"/>
        <c:lblAlgn val="ctr"/>
        <c:lblOffset val="100"/>
        <c:tickLblSkip val="4"/>
        <c:tickMarkSkip val="1"/>
        <c:noMultiLvlLbl val="0"/>
      </c:catAx>
      <c:valAx>
        <c:axId val="1"/>
        <c:scaling>
          <c:orientation val="minMax"/>
          <c:max val="3000"/>
          <c:min val="0"/>
        </c:scaling>
        <c:delete val="0"/>
        <c:axPos val="l"/>
        <c:majorGridlines>
          <c:spPr>
            <a:ln w="3175">
              <a:solidFill>
                <a:srgbClr val="00000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123748120"/>
        <c:crosses val="autoZero"/>
        <c:crossBetween val="midCat"/>
        <c:minorUnit val="50"/>
      </c:valAx>
      <c:spPr>
        <a:solidFill>
          <a:srgbClr val="FFFFFF"/>
        </a:solidFill>
        <a:ln w="25400">
          <a:noFill/>
        </a:ln>
      </c:spPr>
    </c:plotArea>
    <c:plotVisOnly val="1"/>
    <c:dispBlanksAs val="zero"/>
    <c:showDLblsOverMax val="0"/>
  </c:chart>
  <c:spPr>
    <a:solidFill>
      <a:srgbClr val="FFFFFF"/>
    </a:solidFill>
    <a:ln w="9525">
      <a:noFill/>
    </a:ln>
  </c:spPr>
  <c:txPr>
    <a:bodyPr/>
    <a:lstStyle/>
    <a:p>
      <a:pPr>
        <a:defRPr sz="1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63500</xdr:colOff>
      <xdr:row>0</xdr:row>
      <xdr:rowOff>0</xdr:rowOff>
    </xdr:from>
    <xdr:to>
      <xdr:col>2</xdr:col>
      <xdr:colOff>406618</xdr:colOff>
      <xdr:row>1</xdr:row>
      <xdr:rowOff>5756</xdr:rowOff>
    </xdr:to>
    <xdr:pic>
      <xdr:nvPicPr>
        <xdr:cNvPr id="3" name="Picture 2">
          <a:extLst>
            <a:ext uri="{FF2B5EF4-FFF2-40B4-BE49-F238E27FC236}">
              <a16:creationId xmlns:a16="http://schemas.microsoft.com/office/drawing/2014/main" id="{9E6D4005-A80B-3514-58F0-0DA0C3848DD7}"/>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500" y="0"/>
          <a:ext cx="1562318" cy="295316"/>
        </a:xfrm>
        <a:prstGeom prst="rect">
          <a:avLst/>
        </a:prstGeom>
      </xdr:spPr>
    </xdr:pic>
    <xdr:clientData/>
  </xdr:twoCellAnchor>
  <xdr:twoCellAnchor editAs="oneCell">
    <xdr:from>
      <xdr:col>0</xdr:col>
      <xdr:colOff>127000</xdr:colOff>
      <xdr:row>196</xdr:row>
      <xdr:rowOff>167639</xdr:rowOff>
    </xdr:from>
    <xdr:to>
      <xdr:col>10</xdr:col>
      <xdr:colOff>527050</xdr:colOff>
      <xdr:row>223</xdr:row>
      <xdr:rowOff>99059</xdr:rowOff>
    </xdr:to>
    <xdr:pic>
      <xdr:nvPicPr>
        <xdr:cNvPr id="5" name="Picture 4">
          <a:extLst>
            <a:ext uri="{FF2B5EF4-FFF2-40B4-BE49-F238E27FC236}">
              <a16:creationId xmlns:a16="http://schemas.microsoft.com/office/drawing/2014/main" id="{D8BD2C34-9828-74C5-1A8C-BC1B7930BD20}"/>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7000" y="33390839"/>
          <a:ext cx="6496050" cy="44577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175260</xdr:colOff>
      <xdr:row>0</xdr:row>
      <xdr:rowOff>0</xdr:rowOff>
    </xdr:from>
    <xdr:to>
      <xdr:col>2</xdr:col>
      <xdr:colOff>1920240</xdr:colOff>
      <xdr:row>0</xdr:row>
      <xdr:rowOff>0</xdr:rowOff>
    </xdr:to>
    <xdr:pic>
      <xdr:nvPicPr>
        <xdr:cNvPr id="16582054" name="Picture 1" descr="Black200">
          <a:extLst>
            <a:ext uri="{FF2B5EF4-FFF2-40B4-BE49-F238E27FC236}">
              <a16:creationId xmlns:a16="http://schemas.microsoft.com/office/drawing/2014/main" id="{00000000-0008-0000-0400-0000A605FD00}"/>
            </a:ext>
          </a:extLst>
        </xdr:cNvPr>
        <xdr:cNvPicPr>
          <a:picLocks noChangeAspect="1" noChangeArrowheads="1"/>
        </xdr:cNvPicPr>
      </xdr:nvPicPr>
      <xdr:blipFill>
        <a:blip xmlns:r="http://schemas.openxmlformats.org/officeDocument/2006/relationships" r:embed="rId1">
          <a:grayscl/>
          <a:biLevel thresh="50000"/>
          <a:extLst>
            <a:ext uri="{28A0092B-C50C-407E-A947-70E740481C1C}">
              <a14:useLocalDpi xmlns:a14="http://schemas.microsoft.com/office/drawing/2010/main" val="0"/>
            </a:ext>
          </a:extLst>
        </a:blip>
        <a:srcRect/>
        <a:stretch>
          <a:fillRect/>
        </a:stretch>
      </xdr:blipFill>
      <xdr:spPr bwMode="auto">
        <a:xfrm>
          <a:off x="388620" y="0"/>
          <a:ext cx="174498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85</xdr:col>
      <xdr:colOff>137160</xdr:colOff>
      <xdr:row>415</xdr:row>
      <xdr:rowOff>80010</xdr:rowOff>
    </xdr:from>
    <xdr:to>
      <xdr:col>88</xdr:col>
      <xdr:colOff>47625</xdr:colOff>
      <xdr:row>422</xdr:row>
      <xdr:rowOff>41910</xdr:rowOff>
    </xdr:to>
    <xdr:sp macro="" textlink="">
      <xdr:nvSpPr>
        <xdr:cNvPr id="64815781" name="Text Box 982693" hidden="1">
          <a:extLst>
            <a:ext uri="{FF2B5EF4-FFF2-40B4-BE49-F238E27FC236}">
              <a16:creationId xmlns:a16="http://schemas.microsoft.com/office/drawing/2014/main" id="{00000000-0008-0000-0500-0000A502DD03}"/>
            </a:ext>
          </a:extLst>
        </xdr:cNvPr>
        <xdr:cNvSpPr txBox="1">
          <a:spLocks noChangeArrowheads="1"/>
        </xdr:cNvSpPr>
      </xdr:nvSpPr>
      <xdr:spPr bwMode="auto">
        <a:xfrm>
          <a:off x="22593300" y="72900540"/>
          <a:ext cx="1775460" cy="118872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5</xdr:row>
      <xdr:rowOff>7620</xdr:rowOff>
    </xdr:from>
    <xdr:to>
      <xdr:col>4</xdr:col>
      <xdr:colOff>0</xdr:colOff>
      <xdr:row>20</xdr:row>
      <xdr:rowOff>129540</xdr:rowOff>
    </xdr:to>
    <xdr:graphicFrame macro="">
      <xdr:nvGraphicFramePr>
        <xdr:cNvPr id="18500167" name="Chart 1">
          <a:extLst>
            <a:ext uri="{FF2B5EF4-FFF2-40B4-BE49-F238E27FC236}">
              <a16:creationId xmlns:a16="http://schemas.microsoft.com/office/drawing/2014/main" id="{00000000-0008-0000-0D00-0000474A1A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47</xdr:row>
      <xdr:rowOff>7620</xdr:rowOff>
    </xdr:from>
    <xdr:to>
      <xdr:col>4</xdr:col>
      <xdr:colOff>0</xdr:colOff>
      <xdr:row>47</xdr:row>
      <xdr:rowOff>7620</xdr:rowOff>
    </xdr:to>
    <xdr:sp macro="" textlink="">
      <xdr:nvSpPr>
        <xdr:cNvPr id="18500169" name="Line 4">
          <a:extLst>
            <a:ext uri="{FF2B5EF4-FFF2-40B4-BE49-F238E27FC236}">
              <a16:creationId xmlns:a16="http://schemas.microsoft.com/office/drawing/2014/main" id="{00000000-0008-0000-0D00-0000494A1A01}"/>
            </a:ext>
          </a:extLst>
        </xdr:cNvPr>
        <xdr:cNvSpPr>
          <a:spLocks noChangeShapeType="1"/>
        </xdr:cNvSpPr>
      </xdr:nvSpPr>
      <xdr:spPr bwMode="auto">
        <a:xfrm>
          <a:off x="2933700" y="794766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54</xdr:row>
      <xdr:rowOff>7620</xdr:rowOff>
    </xdr:from>
    <xdr:to>
      <xdr:col>4</xdr:col>
      <xdr:colOff>0</xdr:colOff>
      <xdr:row>54</xdr:row>
      <xdr:rowOff>7620</xdr:rowOff>
    </xdr:to>
    <xdr:sp macro="" textlink="">
      <xdr:nvSpPr>
        <xdr:cNvPr id="18500170" name="Line 5">
          <a:extLst>
            <a:ext uri="{FF2B5EF4-FFF2-40B4-BE49-F238E27FC236}">
              <a16:creationId xmlns:a16="http://schemas.microsoft.com/office/drawing/2014/main" id="{00000000-0008-0000-0D00-00004A4A1A01}"/>
            </a:ext>
          </a:extLst>
        </xdr:cNvPr>
        <xdr:cNvSpPr>
          <a:spLocks noChangeShapeType="1"/>
        </xdr:cNvSpPr>
      </xdr:nvSpPr>
      <xdr:spPr bwMode="auto">
        <a:xfrm>
          <a:off x="2933700" y="912114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msad\root\ap\apbo\sy\lib\eqr\users\banks\rwiles\banks%20new\anz\analysis\ANZ%20Sensitivity%20Analysis.xlsx" TargetMode="External"/><Relationship Id="rId1" Type="http://schemas.openxmlformats.org/officeDocument/2006/relationships/externalLinkPath" Target="file:///\\msad\root\AP\APBO\SY\LIB\EQR\USERS\Banks\rwiles\Banks%20New\ANZ\analysis\ANZ%20Sensitivity%20Analysi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s>
    <sheetDataSet>
      <sheetData sheetId="0">
        <row r="33">
          <cell r="S33" t="str">
            <v>FY28 Cash Profit</v>
          </cell>
          <cell r="U33" t="str">
            <v>3-yr Revenue CAGR (%)</v>
          </cell>
        </row>
        <row r="34">
          <cell r="T34">
            <v>8.4790708518710396</v>
          </cell>
          <cell r="U34">
            <v>0.01</v>
          </cell>
          <cell r="V34">
            <v>0.02</v>
          </cell>
          <cell r="W34">
            <v>3.5635117836490871E-2</v>
          </cell>
          <cell r="X34">
            <v>0.04</v>
          </cell>
          <cell r="Y34">
            <v>0.05</v>
          </cell>
          <cell r="Z34">
            <v>0.06</v>
          </cell>
        </row>
        <row r="35">
          <cell r="S35" t="str">
            <v>3-yr Cost CAGR (%)</v>
          </cell>
          <cell r="T35">
            <v>-0.03</v>
          </cell>
          <cell r="U35">
            <v>8.4790708518710396</v>
          </cell>
          <cell r="V35">
            <v>8.4790708518710396</v>
          </cell>
          <cell r="W35">
            <v>8.4790708518710396</v>
          </cell>
          <cell r="X35">
            <v>8.4790708518710396</v>
          </cell>
          <cell r="Y35">
            <v>8.4790708518710396</v>
          </cell>
          <cell r="Z35">
            <v>8.4790708518710396</v>
          </cell>
        </row>
        <row r="36">
          <cell r="T36">
            <v>-0.02</v>
          </cell>
          <cell r="U36">
            <v>8.4790708518710396</v>
          </cell>
          <cell r="V36">
            <v>8.4790708518710396</v>
          </cell>
          <cell r="W36">
            <v>8.4790708518710396</v>
          </cell>
          <cell r="X36">
            <v>8.4790708518710396</v>
          </cell>
          <cell r="Y36">
            <v>8.4790708518710396</v>
          </cell>
          <cell r="Z36">
            <v>8.4790708518710396</v>
          </cell>
        </row>
        <row r="37">
          <cell r="T37">
            <v>-0.01</v>
          </cell>
          <cell r="U37">
            <v>8.4790708518710396</v>
          </cell>
          <cell r="V37">
            <v>8.4790708518710396</v>
          </cell>
          <cell r="W37">
            <v>8.4790708518710396</v>
          </cell>
          <cell r="X37">
            <v>8.4790708518710396</v>
          </cell>
          <cell r="Y37">
            <v>8.4790708518710396</v>
          </cell>
          <cell r="Z37">
            <v>8.4790708518710396</v>
          </cell>
        </row>
        <row r="38">
          <cell r="T38">
            <v>1.2222326842759044</v>
          </cell>
          <cell r="U38">
            <v>8.4790708518710396</v>
          </cell>
          <cell r="V38">
            <v>8.4790708518710396</v>
          </cell>
          <cell r="W38">
            <v>8.4790708518710396</v>
          </cell>
          <cell r="X38">
            <v>8.4790708518710396</v>
          </cell>
          <cell r="Y38">
            <v>8.4790708518710396</v>
          </cell>
          <cell r="Z38">
            <v>8.4790708518710396</v>
          </cell>
        </row>
        <row r="39">
          <cell r="T39">
            <v>0</v>
          </cell>
          <cell r="U39">
            <v>8.4790708518710396</v>
          </cell>
          <cell r="V39">
            <v>8.4790708518710396</v>
          </cell>
          <cell r="W39">
            <v>8.4790708518710396</v>
          </cell>
          <cell r="X39">
            <v>8.4790708518710396</v>
          </cell>
          <cell r="Y39">
            <v>8.4790708518710396</v>
          </cell>
          <cell r="Z39">
            <v>8.4790708518710396</v>
          </cell>
        </row>
        <row r="40">
          <cell r="T40">
            <v>0.01</v>
          </cell>
          <cell r="U40">
            <v>8.4790708518710396</v>
          </cell>
          <cell r="V40">
            <v>8.4790708518710396</v>
          </cell>
          <cell r="W40">
            <v>8.4790708518710396</v>
          </cell>
          <cell r="X40">
            <v>8.4790708518710396</v>
          </cell>
          <cell r="Y40">
            <v>8.4790708518710396</v>
          </cell>
          <cell r="Z40">
            <v>8.4790708518710396</v>
          </cell>
        </row>
        <row r="41">
          <cell r="T41">
            <v>0.02</v>
          </cell>
          <cell r="U41">
            <v>8.4790708518710396</v>
          </cell>
          <cell r="V41">
            <v>8.4790708518710396</v>
          </cell>
          <cell r="W41">
            <v>8.4790708518710396</v>
          </cell>
          <cell r="X41">
            <v>8.4790708518710396</v>
          </cell>
          <cell r="Y41">
            <v>8.4790708518710396</v>
          </cell>
          <cell r="Z41">
            <v>8.4790708518710396</v>
          </cell>
        </row>
      </sheetData>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ABA532-A174-4C16-9990-7FDBFCA49140}">
  <dimension ref="B2:B9"/>
  <sheetViews>
    <sheetView showGridLines="0" showRowColHeaders="0" tabSelected="1" workbookViewId="0">
      <selection activeCell="Z1" sqref="Z1"/>
    </sheetView>
  </sheetViews>
  <sheetFormatPr defaultRowHeight="13.2"/>
  <cols>
    <col min="1" max="1" width="8.88671875" style="1753"/>
    <col min="2" max="2" width="101.109375" style="1753" customWidth="1"/>
    <col min="3" max="16384" width="8.88671875" style="1753"/>
  </cols>
  <sheetData>
    <row r="2" spans="2:2" ht="52.2">
      <c r="B2" s="1752" t="s">
        <v>1710</v>
      </c>
    </row>
    <row r="3" spans="2:2" ht="17.399999999999999">
      <c r="B3" s="1752"/>
    </row>
    <row r="4" spans="2:2" ht="17.399999999999999">
      <c r="B4" s="1752"/>
    </row>
    <row r="5" spans="2:2" ht="17.399999999999999">
      <c r="B5" s="1752" t="s">
        <v>1711</v>
      </c>
    </row>
    <row r="6" spans="2:2" ht="17.399999999999999">
      <c r="B6" s="1752" t="s">
        <v>1712</v>
      </c>
    </row>
    <row r="7" spans="2:2" ht="17.399999999999999">
      <c r="B7" s="1752" t="s">
        <v>1713</v>
      </c>
    </row>
    <row r="8" spans="2:2" ht="17.399999999999999">
      <c r="B8" s="1752"/>
    </row>
    <row r="9" spans="2:2" ht="34.799999999999997">
      <c r="B9" s="1754" t="s">
        <v>1714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5A5467-652F-4D27-98A4-95B5B680CA5A}">
  <dimension ref="A1:H452"/>
  <sheetViews>
    <sheetView showGridLines="0" workbookViewId="0">
      <selection activeCell="Z1" sqref="Z1"/>
    </sheetView>
  </sheetViews>
  <sheetFormatPr defaultRowHeight="13.2"/>
  <sheetData>
    <row r="1" spans="1:8" ht="23.25" customHeight="1">
      <c r="A1" s="1750"/>
      <c r="B1" s="1746"/>
      <c r="C1" s="1746"/>
      <c r="D1" s="1746"/>
      <c r="E1" s="1746"/>
      <c r="F1" s="1746"/>
      <c r="G1" s="1746"/>
      <c r="H1" s="1746"/>
    </row>
    <row r="2" spans="1:8">
      <c r="A2" s="1744" t="s">
        <v>1282</v>
      </c>
      <c r="B2" s="1746"/>
      <c r="C2" s="1746"/>
      <c r="D2" s="1746"/>
      <c r="E2" s="1746"/>
      <c r="F2" s="1746"/>
      <c r="G2" s="1746"/>
      <c r="H2" s="1746"/>
    </row>
    <row r="3" spans="1:8">
      <c r="A3" s="1744" t="s">
        <v>1283</v>
      </c>
      <c r="B3" s="1746"/>
      <c r="C3" s="1746"/>
      <c r="D3" s="1746"/>
      <c r="E3" s="1746"/>
      <c r="F3" s="1746"/>
      <c r="G3" s="1746"/>
      <c r="H3" s="1746"/>
    </row>
    <row r="4" spans="1:8">
      <c r="A4" s="1744" t="s">
        <v>1284</v>
      </c>
      <c r="B4" s="1746"/>
      <c r="C4" s="1746"/>
      <c r="D4" s="1746"/>
      <c r="E4" s="1746"/>
      <c r="F4" s="1746"/>
      <c r="G4" s="1746"/>
      <c r="H4" s="1746"/>
    </row>
    <row r="5" spans="1:8">
      <c r="A5" s="1744" t="s">
        <v>1285</v>
      </c>
      <c r="B5" s="1746"/>
      <c r="C5" s="1746"/>
      <c r="D5" s="1746"/>
      <c r="E5" s="1746"/>
      <c r="F5" s="1746"/>
      <c r="G5" s="1746"/>
      <c r="H5" s="1746"/>
    </row>
    <row r="6" spans="1:8">
      <c r="A6" s="1744"/>
      <c r="B6" s="1746"/>
      <c r="C6" s="1746"/>
      <c r="D6" s="1746"/>
      <c r="E6" s="1746"/>
      <c r="F6" s="1746"/>
      <c r="G6" s="1746"/>
      <c r="H6" s="1746"/>
    </row>
    <row r="7" spans="1:8">
      <c r="A7" s="1744" t="s">
        <v>1286</v>
      </c>
      <c r="B7" s="1746"/>
      <c r="C7" s="1746"/>
      <c r="D7" s="1746"/>
      <c r="E7" s="1746"/>
      <c r="F7" s="1746"/>
      <c r="G7" s="1746"/>
      <c r="H7" s="1746"/>
    </row>
    <row r="8" spans="1:8">
      <c r="A8" s="1744" t="s">
        <v>1287</v>
      </c>
      <c r="B8" s="1746"/>
      <c r="C8" s="1746"/>
      <c r="D8" s="1746"/>
      <c r="E8" s="1746"/>
      <c r="F8" s="1746"/>
      <c r="G8" s="1746"/>
      <c r="H8" s="1746"/>
    </row>
    <row r="9" spans="1:8">
      <c r="A9" s="1744"/>
      <c r="B9" s="1746"/>
      <c r="C9" s="1746"/>
      <c r="D9" s="1746"/>
      <c r="E9" s="1746"/>
      <c r="F9" s="1746"/>
      <c r="G9" s="1746"/>
      <c r="H9" s="1746"/>
    </row>
    <row r="10" spans="1:8">
      <c r="A10" s="1744" t="s">
        <v>1288</v>
      </c>
      <c r="B10" s="1746"/>
      <c r="C10" s="1746"/>
      <c r="D10" s="1746"/>
      <c r="E10" s="1746"/>
      <c r="F10" s="1746"/>
      <c r="G10" s="1746"/>
      <c r="H10" s="1746"/>
    </row>
    <row r="11" spans="1:8">
      <c r="A11" s="1744" t="s">
        <v>1289</v>
      </c>
      <c r="B11" s="1746"/>
      <c r="C11" s="1746"/>
      <c r="D11" s="1746"/>
      <c r="E11" s="1746"/>
      <c r="F11" s="1746"/>
      <c r="G11" s="1746"/>
      <c r="H11" s="1746"/>
    </row>
    <row r="12" spans="1:8">
      <c r="A12" s="1744" t="s">
        <v>1290</v>
      </c>
      <c r="B12" s="1746"/>
      <c r="C12" s="1746"/>
      <c r="D12" s="1746"/>
      <c r="E12" s="1746"/>
      <c r="F12" s="1746"/>
      <c r="G12" s="1746"/>
      <c r="H12" s="1746"/>
    </row>
    <row r="13" spans="1:8">
      <c r="A13" s="1744" t="s">
        <v>1291</v>
      </c>
      <c r="B13" s="1746"/>
      <c r="C13" s="1746"/>
      <c r="D13" s="1746"/>
      <c r="E13" s="1746"/>
      <c r="F13" s="1746"/>
      <c r="G13" s="1746"/>
      <c r="H13" s="1746"/>
    </row>
    <row r="14" spans="1:8">
      <c r="A14" s="1744" t="s">
        <v>1292</v>
      </c>
      <c r="B14" s="1746"/>
      <c r="C14" s="1746"/>
      <c r="D14" s="1746"/>
      <c r="E14" s="1746"/>
      <c r="F14" s="1746"/>
      <c r="G14" s="1746"/>
      <c r="H14" s="1746"/>
    </row>
    <row r="15" spans="1:8">
      <c r="A15" s="1744" t="s">
        <v>1293</v>
      </c>
      <c r="B15" s="1746"/>
      <c r="C15" s="1746"/>
      <c r="D15" s="1746"/>
      <c r="E15" s="1746"/>
      <c r="F15" s="1746"/>
      <c r="G15" s="1746"/>
      <c r="H15" s="1746"/>
    </row>
    <row r="16" spans="1:8">
      <c r="A16" s="1744"/>
      <c r="B16" s="1746"/>
      <c r="C16" s="1746"/>
      <c r="D16" s="1746"/>
      <c r="E16" s="1746"/>
      <c r="F16" s="1746"/>
      <c r="G16" s="1746"/>
      <c r="H16" s="1746"/>
    </row>
    <row r="17" spans="1:8">
      <c r="A17" s="1744" t="s">
        <v>1294</v>
      </c>
      <c r="B17" s="1746"/>
      <c r="C17" s="1746"/>
      <c r="D17" s="1746"/>
      <c r="E17" s="1746"/>
      <c r="F17" s="1746"/>
      <c r="G17" s="1746"/>
      <c r="H17" s="1746"/>
    </row>
    <row r="18" spans="1:8">
      <c r="A18" s="1744"/>
      <c r="B18" s="1746"/>
      <c r="C18" s="1746"/>
      <c r="D18" s="1746"/>
      <c r="E18" s="1746"/>
      <c r="F18" s="1746"/>
      <c r="G18" s="1746"/>
      <c r="H18" s="1746"/>
    </row>
    <row r="19" spans="1:8">
      <c r="A19" s="1744" t="s">
        <v>1295</v>
      </c>
      <c r="B19" s="1746"/>
      <c r="C19" s="1746"/>
      <c r="D19" s="1746"/>
      <c r="E19" s="1746"/>
      <c r="F19" s="1746"/>
      <c r="G19" s="1746"/>
      <c r="H19" s="1746"/>
    </row>
    <row r="20" spans="1:8">
      <c r="A20" s="1744"/>
      <c r="B20" s="1746"/>
      <c r="C20" s="1746"/>
      <c r="D20" s="1746"/>
      <c r="E20" s="1746"/>
      <c r="F20" s="1746"/>
      <c r="G20" s="1746"/>
      <c r="H20" s="1746"/>
    </row>
    <row r="21" spans="1:8">
      <c r="A21" s="1745" t="s">
        <v>1296</v>
      </c>
      <c r="B21" s="1746"/>
      <c r="C21" s="1746"/>
      <c r="D21" s="1746"/>
      <c r="E21" s="1746"/>
      <c r="F21" s="1746"/>
      <c r="G21" s="1746"/>
      <c r="H21" s="1746"/>
    </row>
    <row r="22" spans="1:8">
      <c r="A22" s="1746"/>
      <c r="B22" s="1746"/>
      <c r="C22" s="1746"/>
      <c r="D22" s="1746"/>
      <c r="E22" s="1746"/>
      <c r="F22" s="1746"/>
      <c r="G22" s="1746"/>
      <c r="H22" s="1746"/>
    </row>
    <row r="23" spans="1:8">
      <c r="A23" s="1746" t="s">
        <v>1297</v>
      </c>
      <c r="B23" s="1746"/>
      <c r="C23" s="1746"/>
      <c r="D23" s="1746"/>
      <c r="E23" s="1746"/>
      <c r="F23" s="1746"/>
      <c r="G23" s="1746"/>
      <c r="H23" s="1746"/>
    </row>
    <row r="24" spans="1:8">
      <c r="A24" s="1746" t="s">
        <v>1298</v>
      </c>
      <c r="B24" s="1746"/>
      <c r="C24" s="1746"/>
      <c r="D24" s="1746"/>
      <c r="E24" s="1746"/>
      <c r="F24" s="1746"/>
      <c r="G24" s="1746"/>
      <c r="H24" s="1746"/>
    </row>
    <row r="25" spans="1:8">
      <c r="A25" s="1746" t="s">
        <v>1299</v>
      </c>
      <c r="B25" s="1746"/>
      <c r="C25" s="1746"/>
      <c r="D25" s="1746"/>
      <c r="E25" s="1746"/>
      <c r="F25" s="1746"/>
      <c r="G25" s="1746"/>
      <c r="H25" s="1746"/>
    </row>
    <row r="26" spans="1:8">
      <c r="A26" s="1746" t="s">
        <v>1300</v>
      </c>
      <c r="B26" s="1746"/>
      <c r="C26" s="1746"/>
      <c r="D26" s="1746"/>
      <c r="E26" s="1746"/>
      <c r="F26" s="1746"/>
      <c r="G26" s="1746"/>
      <c r="H26" s="1746"/>
    </row>
    <row r="27" spans="1:8">
      <c r="A27" s="1746"/>
      <c r="B27" s="1746"/>
      <c r="C27" s="1746"/>
      <c r="D27" s="1746"/>
      <c r="E27" s="1746"/>
      <c r="F27" s="1746"/>
      <c r="G27" s="1746"/>
      <c r="H27" s="1746"/>
    </row>
    <row r="28" spans="1:8">
      <c r="A28" s="1746" t="s">
        <v>1301</v>
      </c>
      <c r="B28" s="1746"/>
      <c r="C28" s="1746"/>
      <c r="D28" s="1746"/>
      <c r="E28" s="1746"/>
      <c r="F28" s="1746"/>
      <c r="G28" s="1746"/>
      <c r="H28" s="1746"/>
    </row>
    <row r="29" spans="1:8">
      <c r="A29" s="1746" t="s">
        <v>1302</v>
      </c>
      <c r="B29" s="1746"/>
      <c r="C29" s="1746"/>
      <c r="D29" s="1746"/>
      <c r="E29" s="1746"/>
      <c r="F29" s="1746"/>
      <c r="G29" s="1746"/>
      <c r="H29" s="1746"/>
    </row>
    <row r="30" spans="1:8">
      <c r="A30" s="1746" t="s">
        <v>1303</v>
      </c>
      <c r="B30" s="1746"/>
      <c r="C30" s="1746"/>
      <c r="D30" s="1746"/>
      <c r="E30" s="1746"/>
      <c r="F30" s="1746"/>
      <c r="G30" s="1746"/>
      <c r="H30" s="1746"/>
    </row>
    <row r="31" spans="1:8">
      <c r="A31" s="1746" t="s">
        <v>1304</v>
      </c>
      <c r="B31" s="1746"/>
      <c r="C31" s="1746"/>
      <c r="D31" s="1746"/>
      <c r="E31" s="1746"/>
      <c r="F31" s="1746"/>
      <c r="G31" s="1746"/>
      <c r="H31" s="1746"/>
    </row>
    <row r="32" spans="1:8">
      <c r="A32" s="1746" t="s">
        <v>1305</v>
      </c>
      <c r="B32" s="1746"/>
      <c r="C32" s="1746"/>
      <c r="D32" s="1746"/>
      <c r="E32" s="1746"/>
      <c r="F32" s="1746"/>
      <c r="G32" s="1746"/>
      <c r="H32" s="1746"/>
    </row>
    <row r="33" spans="1:8">
      <c r="A33" s="1746" t="s">
        <v>1306</v>
      </c>
      <c r="B33" s="1746"/>
      <c r="C33" s="1746"/>
      <c r="D33" s="1746"/>
      <c r="E33" s="1746"/>
      <c r="F33" s="1746"/>
      <c r="G33" s="1746"/>
      <c r="H33" s="1746"/>
    </row>
    <row r="34" spans="1:8">
      <c r="A34" s="1746" t="s">
        <v>1307</v>
      </c>
      <c r="B34" s="1746"/>
      <c r="C34" s="1746"/>
      <c r="D34" s="1746"/>
      <c r="E34" s="1746"/>
      <c r="F34" s="1746"/>
      <c r="G34" s="1746"/>
      <c r="H34" s="1746"/>
    </row>
    <row r="35" spans="1:8">
      <c r="A35" s="1746" t="s">
        <v>1308</v>
      </c>
      <c r="B35" s="1746"/>
      <c r="C35" s="1746"/>
      <c r="D35" s="1746"/>
      <c r="E35" s="1746"/>
      <c r="F35" s="1746"/>
      <c r="G35" s="1746"/>
      <c r="H35" s="1746"/>
    </row>
    <row r="36" spans="1:8">
      <c r="A36" s="1746" t="s">
        <v>1309</v>
      </c>
      <c r="B36" s="1746"/>
      <c r="C36" s="1746"/>
      <c r="D36" s="1746"/>
      <c r="E36" s="1746"/>
      <c r="F36" s="1746"/>
      <c r="G36" s="1746"/>
      <c r="H36" s="1746"/>
    </row>
    <row r="37" spans="1:8">
      <c r="A37" s="1746" t="s">
        <v>1310</v>
      </c>
      <c r="B37" s="1746"/>
      <c r="C37" s="1746"/>
      <c r="D37" s="1746"/>
      <c r="E37" s="1746"/>
      <c r="F37" s="1746"/>
      <c r="G37" s="1746"/>
      <c r="H37" s="1746"/>
    </row>
    <row r="38" spans="1:8">
      <c r="A38" s="1746" t="s">
        <v>1311</v>
      </c>
      <c r="B38" s="1746"/>
      <c r="C38" s="1746"/>
      <c r="D38" s="1746"/>
      <c r="E38" s="1746"/>
      <c r="F38" s="1746"/>
      <c r="G38" s="1746"/>
      <c r="H38" s="1746"/>
    </row>
    <row r="39" spans="1:8">
      <c r="A39" s="1746" t="s">
        <v>1312</v>
      </c>
      <c r="B39" s="1746"/>
      <c r="C39" s="1746"/>
      <c r="D39" s="1746"/>
      <c r="E39" s="1746"/>
      <c r="F39" s="1746"/>
      <c r="G39" s="1746"/>
      <c r="H39" s="1746"/>
    </row>
    <row r="40" spans="1:8">
      <c r="A40" s="1746" t="s">
        <v>1313</v>
      </c>
      <c r="B40" s="1746"/>
      <c r="C40" s="1746"/>
      <c r="D40" s="1746"/>
      <c r="E40" s="1746"/>
      <c r="F40" s="1746"/>
      <c r="G40" s="1746"/>
      <c r="H40" s="1746"/>
    </row>
    <row r="41" spans="1:8">
      <c r="A41" s="1746" t="s">
        <v>1314</v>
      </c>
      <c r="B41" s="1746"/>
      <c r="C41" s="1746"/>
      <c r="D41" s="1746"/>
      <c r="E41" s="1746"/>
      <c r="F41" s="1746"/>
      <c r="G41" s="1746"/>
      <c r="H41" s="1746"/>
    </row>
    <row r="42" spans="1:8">
      <c r="A42" s="1746" t="s">
        <v>1315</v>
      </c>
      <c r="B42" s="1746"/>
      <c r="C42" s="1746"/>
      <c r="D42" s="1746"/>
      <c r="E42" s="1746"/>
      <c r="F42" s="1746"/>
      <c r="G42" s="1746"/>
      <c r="H42" s="1746"/>
    </row>
    <row r="43" spans="1:8">
      <c r="A43" s="1746" t="s">
        <v>1316</v>
      </c>
      <c r="B43" s="1746"/>
      <c r="C43" s="1746"/>
      <c r="D43" s="1746"/>
      <c r="E43" s="1746"/>
      <c r="F43" s="1746"/>
      <c r="G43" s="1746"/>
      <c r="H43" s="1746"/>
    </row>
    <row r="44" spans="1:8">
      <c r="A44" s="1746" t="s">
        <v>1317</v>
      </c>
      <c r="B44" s="1746"/>
      <c r="C44" s="1746"/>
      <c r="D44" s="1746"/>
      <c r="E44" s="1746"/>
      <c r="F44" s="1746"/>
      <c r="G44" s="1746"/>
      <c r="H44" s="1746"/>
    </row>
    <row r="45" spans="1:8">
      <c r="A45" s="1746" t="s">
        <v>1318</v>
      </c>
      <c r="B45" s="1746"/>
      <c r="C45" s="1746"/>
      <c r="D45" s="1746"/>
      <c r="E45" s="1746"/>
      <c r="F45" s="1746"/>
      <c r="G45" s="1746"/>
      <c r="H45" s="1746"/>
    </row>
    <row r="46" spans="1:8">
      <c r="A46" s="1746" t="s">
        <v>1319</v>
      </c>
      <c r="B46" s="1746"/>
      <c r="C46" s="1746"/>
      <c r="D46" s="1746"/>
      <c r="E46" s="1746"/>
      <c r="F46" s="1746"/>
      <c r="G46" s="1746"/>
      <c r="H46" s="1746"/>
    </row>
    <row r="47" spans="1:8">
      <c r="A47" s="1746" t="s">
        <v>1320</v>
      </c>
      <c r="B47" s="1746"/>
      <c r="C47" s="1746"/>
      <c r="D47" s="1746"/>
      <c r="E47" s="1746"/>
      <c r="F47" s="1746"/>
      <c r="G47" s="1746"/>
      <c r="H47" s="1746"/>
    </row>
    <row r="48" spans="1:8">
      <c r="A48" s="1746" t="s">
        <v>1321</v>
      </c>
      <c r="B48" s="1746"/>
      <c r="C48" s="1746"/>
      <c r="D48" s="1746"/>
      <c r="E48" s="1746"/>
      <c r="F48" s="1746"/>
      <c r="G48" s="1746"/>
      <c r="H48" s="1746"/>
    </row>
    <row r="49" spans="1:8">
      <c r="A49" s="1746" t="s">
        <v>1322</v>
      </c>
      <c r="B49" s="1746"/>
      <c r="C49" s="1746"/>
      <c r="D49" s="1746"/>
      <c r="E49" s="1746"/>
      <c r="F49" s="1746"/>
      <c r="G49" s="1746"/>
      <c r="H49" s="1746"/>
    </row>
    <row r="50" spans="1:8">
      <c r="A50" s="1746" t="s">
        <v>1323</v>
      </c>
      <c r="B50" s="1746"/>
      <c r="C50" s="1746"/>
      <c r="D50" s="1746"/>
      <c r="E50" s="1746"/>
      <c r="F50" s="1746"/>
      <c r="G50" s="1746"/>
      <c r="H50" s="1746"/>
    </row>
    <row r="51" spans="1:8">
      <c r="A51" s="1746"/>
      <c r="B51" s="1746"/>
      <c r="C51" s="1746"/>
      <c r="D51" s="1746"/>
      <c r="E51" s="1746"/>
      <c r="F51" s="1746"/>
      <c r="G51" s="1746"/>
      <c r="H51" s="1746"/>
    </row>
    <row r="52" spans="1:8">
      <c r="A52" s="1746" t="s">
        <v>1324</v>
      </c>
      <c r="B52" s="1746"/>
      <c r="C52" s="1746"/>
      <c r="D52" s="1746"/>
      <c r="E52" s="1746"/>
      <c r="F52" s="1746"/>
      <c r="G52" s="1746"/>
      <c r="H52" s="1746"/>
    </row>
    <row r="53" spans="1:8">
      <c r="A53" s="1746" t="s">
        <v>1325</v>
      </c>
      <c r="B53" s="1746"/>
      <c r="C53" s="1746"/>
      <c r="D53" s="1746"/>
      <c r="E53" s="1746"/>
      <c r="F53" s="1746"/>
      <c r="G53" s="1746"/>
      <c r="H53" s="1746"/>
    </row>
    <row r="54" spans="1:8">
      <c r="A54" s="1746" t="s">
        <v>1326</v>
      </c>
      <c r="B54" s="1746"/>
      <c r="C54" s="1746"/>
      <c r="D54" s="1746"/>
      <c r="E54" s="1746"/>
      <c r="F54" s="1746"/>
      <c r="G54" s="1746"/>
      <c r="H54" s="1746"/>
    </row>
    <row r="55" spans="1:8">
      <c r="A55" s="1746" t="s">
        <v>1327</v>
      </c>
      <c r="B55" s="1746"/>
      <c r="C55" s="1746"/>
      <c r="D55" s="1746"/>
      <c r="E55" s="1746"/>
      <c r="F55" s="1746"/>
      <c r="G55" s="1746"/>
      <c r="H55" s="1746"/>
    </row>
    <row r="56" spans="1:8">
      <c r="A56" s="1746"/>
      <c r="B56" s="1746"/>
      <c r="C56" s="1746"/>
      <c r="D56" s="1746"/>
      <c r="E56" s="1746"/>
      <c r="F56" s="1746"/>
      <c r="G56" s="1746"/>
      <c r="H56" s="1746"/>
    </row>
    <row r="57" spans="1:8">
      <c r="A57" s="1746" t="s">
        <v>1328</v>
      </c>
      <c r="B57" s="1746"/>
      <c r="C57" s="1746"/>
      <c r="D57" s="1746"/>
      <c r="E57" s="1746"/>
      <c r="F57" s="1746"/>
      <c r="G57" s="1746"/>
      <c r="H57" s="1746"/>
    </row>
    <row r="58" spans="1:8">
      <c r="A58" s="1746" t="s">
        <v>1329</v>
      </c>
      <c r="B58" s="1746"/>
      <c r="C58" s="1746"/>
      <c r="D58" s="1746"/>
      <c r="E58" s="1746"/>
      <c r="F58" s="1746"/>
      <c r="G58" s="1746"/>
      <c r="H58" s="1746"/>
    </row>
    <row r="59" spans="1:8">
      <c r="A59" s="1746" t="s">
        <v>1330</v>
      </c>
      <c r="B59" s="1746"/>
      <c r="C59" s="1746"/>
      <c r="D59" s="1746"/>
      <c r="E59" s="1746"/>
      <c r="F59" s="1746"/>
      <c r="G59" s="1746"/>
      <c r="H59" s="1746"/>
    </row>
    <row r="60" spans="1:8">
      <c r="A60" s="1746" t="s">
        <v>1331</v>
      </c>
      <c r="B60" s="1746"/>
      <c r="C60" s="1746"/>
      <c r="D60" s="1746"/>
      <c r="E60" s="1746"/>
      <c r="F60" s="1746"/>
      <c r="G60" s="1746"/>
      <c r="H60" s="1746"/>
    </row>
    <row r="61" spans="1:8">
      <c r="A61" s="1746" t="s">
        <v>1332</v>
      </c>
      <c r="B61" s="1746"/>
      <c r="C61" s="1746"/>
      <c r="D61" s="1746"/>
      <c r="E61" s="1746"/>
      <c r="F61" s="1746"/>
      <c r="G61" s="1746"/>
      <c r="H61" s="1746"/>
    </row>
    <row r="62" spans="1:8">
      <c r="A62" s="1746" t="s">
        <v>1333</v>
      </c>
      <c r="B62" s="1746"/>
      <c r="C62" s="1746"/>
      <c r="D62" s="1746"/>
      <c r="E62" s="1746"/>
      <c r="F62" s="1746"/>
      <c r="G62" s="1746"/>
      <c r="H62" s="1746"/>
    </row>
    <row r="63" spans="1:8">
      <c r="A63" s="1746"/>
      <c r="B63" s="1746"/>
      <c r="C63" s="1746"/>
      <c r="D63" s="1746"/>
      <c r="E63" s="1746"/>
      <c r="F63" s="1746"/>
      <c r="G63" s="1746"/>
      <c r="H63" s="1746"/>
    </row>
    <row r="64" spans="1:8" ht="15.6">
      <c r="A64" s="1747" t="s">
        <v>1334</v>
      </c>
      <c r="B64" s="1746"/>
      <c r="C64" s="1746"/>
      <c r="D64" s="1746"/>
      <c r="E64" s="1746"/>
      <c r="F64" s="1746"/>
      <c r="G64" s="1746"/>
      <c r="H64" s="1746"/>
    </row>
    <row r="65" spans="1:8">
      <c r="A65" s="1746"/>
      <c r="B65" s="1746"/>
      <c r="C65" s="1746"/>
      <c r="D65" s="1746"/>
      <c r="E65" s="1746"/>
      <c r="F65" s="1746"/>
      <c r="G65" s="1746"/>
      <c r="H65" s="1746"/>
    </row>
    <row r="66" spans="1:8">
      <c r="A66" s="1746" t="s">
        <v>1335</v>
      </c>
      <c r="B66" s="1746"/>
      <c r="C66" s="1746"/>
      <c r="D66" s="1746"/>
      <c r="E66" s="1746"/>
      <c r="F66" s="1746"/>
      <c r="G66" s="1746"/>
      <c r="H66" s="1746"/>
    </row>
    <row r="67" spans="1:8">
      <c r="A67" s="1746" t="s">
        <v>1336</v>
      </c>
      <c r="B67" s="1746"/>
      <c r="C67" s="1746"/>
      <c r="D67" s="1746"/>
      <c r="E67" s="1746"/>
      <c r="F67" s="1746"/>
      <c r="G67" s="1746"/>
      <c r="H67" s="1746"/>
    </row>
    <row r="68" spans="1:8">
      <c r="A68" s="1746" t="s">
        <v>1337</v>
      </c>
      <c r="B68" s="1746"/>
      <c r="C68" s="1746"/>
      <c r="D68" s="1746"/>
      <c r="E68" s="1746"/>
      <c r="F68" s="1746"/>
      <c r="G68" s="1746"/>
      <c r="H68" s="1746"/>
    </row>
    <row r="69" spans="1:8">
      <c r="A69" s="1746" t="s">
        <v>1338</v>
      </c>
      <c r="B69" s="1746"/>
      <c r="C69" s="1746"/>
      <c r="D69" s="1746"/>
      <c r="E69" s="1746"/>
      <c r="F69" s="1746"/>
      <c r="G69" s="1746"/>
      <c r="H69" s="1746"/>
    </row>
    <row r="70" spans="1:8">
      <c r="A70" s="1746"/>
      <c r="B70" s="1746"/>
      <c r="C70" s="1746"/>
      <c r="D70" s="1746"/>
      <c r="E70" s="1746"/>
      <c r="F70" s="1746"/>
      <c r="G70" s="1746"/>
      <c r="H70" s="1746"/>
    </row>
    <row r="71" spans="1:8">
      <c r="A71" s="1746" t="s">
        <v>1339</v>
      </c>
      <c r="B71" s="1746"/>
      <c r="C71" s="1746"/>
      <c r="D71" s="1746"/>
      <c r="E71" s="1746"/>
      <c r="F71" s="1746"/>
      <c r="G71" s="1746"/>
      <c r="H71" s="1746"/>
    </row>
    <row r="72" spans="1:8">
      <c r="A72" s="1746"/>
      <c r="B72" s="1746"/>
      <c r="C72" s="1746"/>
      <c r="D72" s="1746"/>
      <c r="E72" s="1746"/>
      <c r="F72" s="1746"/>
      <c r="G72" s="1746"/>
      <c r="H72" s="1746"/>
    </row>
    <row r="73" spans="1:8" ht="15.6">
      <c r="A73" s="1747" t="s">
        <v>1340</v>
      </c>
      <c r="B73" s="1746"/>
      <c r="C73" s="1746"/>
      <c r="D73" s="1746"/>
      <c r="E73" s="1746"/>
      <c r="F73" s="1746"/>
      <c r="G73" s="1746"/>
      <c r="H73" s="1746"/>
    </row>
    <row r="74" spans="1:8">
      <c r="A74" s="1746"/>
      <c r="B74" s="1746"/>
      <c r="C74" s="1746"/>
      <c r="D74" s="1746"/>
      <c r="E74" s="1746"/>
      <c r="F74" s="1746"/>
      <c r="G74" s="1746"/>
      <c r="H74" s="1746"/>
    </row>
    <row r="75" spans="1:8">
      <c r="A75" s="1746" t="s">
        <v>1341</v>
      </c>
      <c r="B75" s="1746"/>
      <c r="C75" s="1746"/>
      <c r="D75" s="1746"/>
      <c r="E75" s="1746"/>
      <c r="F75" s="1746"/>
      <c r="G75" s="1746"/>
      <c r="H75" s="1746"/>
    </row>
    <row r="76" spans="1:8">
      <c r="A76" s="1746" t="s">
        <v>1342</v>
      </c>
      <c r="B76" s="1746"/>
      <c r="C76" s="1746"/>
      <c r="D76" s="1746"/>
      <c r="E76" s="1746"/>
      <c r="F76" s="1746"/>
      <c r="G76" s="1746"/>
      <c r="H76" s="1746"/>
    </row>
    <row r="77" spans="1:8">
      <c r="A77" s="1746" t="s">
        <v>1343</v>
      </c>
      <c r="B77" s="1746"/>
      <c r="C77" s="1746"/>
      <c r="D77" s="1746"/>
      <c r="E77" s="1746"/>
      <c r="F77" s="1746"/>
      <c r="G77" s="1746"/>
      <c r="H77" s="1746"/>
    </row>
    <row r="78" spans="1:8">
      <c r="A78" s="1746"/>
      <c r="B78" s="1746"/>
      <c r="C78" s="1746"/>
      <c r="D78" s="1746"/>
      <c r="E78" s="1746"/>
      <c r="F78" s="1746"/>
      <c r="G78" s="1746"/>
      <c r="H78" s="1746"/>
    </row>
    <row r="79" spans="1:8" ht="15.6">
      <c r="A79" s="1747" t="s">
        <v>1344</v>
      </c>
      <c r="B79" s="1746"/>
      <c r="C79" s="1746"/>
      <c r="D79" s="1746"/>
      <c r="E79" s="1746"/>
      <c r="F79" s="1746"/>
      <c r="G79" s="1746"/>
      <c r="H79" s="1746"/>
    </row>
    <row r="80" spans="1:8">
      <c r="A80" s="1746"/>
      <c r="B80" s="1746"/>
      <c r="C80" s="1746"/>
      <c r="D80" s="1746"/>
      <c r="E80" s="1746"/>
      <c r="F80" s="1746"/>
      <c r="G80" s="1746"/>
      <c r="H80" s="1746"/>
    </row>
    <row r="81" spans="1:8">
      <c r="A81" s="1746" t="s">
        <v>1345</v>
      </c>
      <c r="B81" s="1746"/>
      <c r="C81" s="1746"/>
      <c r="D81" s="1746"/>
      <c r="E81" s="1746"/>
      <c r="F81" s="1746"/>
      <c r="G81" s="1746"/>
      <c r="H81" s="1746"/>
    </row>
    <row r="82" spans="1:8">
      <c r="A82" s="1746" t="s">
        <v>1346</v>
      </c>
      <c r="B82" s="1746"/>
      <c r="C82" s="1746"/>
      <c r="D82" s="1746"/>
      <c r="E82" s="1746"/>
      <c r="F82" s="1746"/>
      <c r="G82" s="1746"/>
      <c r="H82" s="1746"/>
    </row>
    <row r="83" spans="1:8">
      <c r="A83" s="1746"/>
      <c r="B83" s="1746"/>
      <c r="C83" s="1746"/>
      <c r="D83" s="1746"/>
      <c r="E83" s="1746"/>
      <c r="F83" s="1746"/>
      <c r="G83" s="1746"/>
      <c r="H83" s="1746"/>
    </row>
    <row r="84" spans="1:8">
      <c r="A84" s="1746" t="s">
        <v>1347</v>
      </c>
      <c r="B84" s="1746"/>
      <c r="C84" s="1746"/>
      <c r="D84" s="1746"/>
      <c r="E84" s="1746"/>
      <c r="F84" s="1746"/>
      <c r="G84" s="1746"/>
      <c r="H84" s="1746"/>
    </row>
    <row r="85" spans="1:8">
      <c r="A85" s="1746" t="s">
        <v>1348</v>
      </c>
      <c r="B85" s="1746"/>
      <c r="C85" s="1746"/>
      <c r="D85" s="1746"/>
      <c r="E85" s="1746"/>
      <c r="F85" s="1746"/>
      <c r="G85" s="1746"/>
      <c r="H85" s="1746"/>
    </row>
    <row r="86" spans="1:8">
      <c r="A86" s="1746"/>
      <c r="B86" s="1746"/>
      <c r="C86" s="1746"/>
      <c r="D86" s="1746"/>
      <c r="E86" s="1746"/>
      <c r="F86" s="1746"/>
      <c r="G86" s="1746"/>
      <c r="H86" s="1746"/>
    </row>
    <row r="87" spans="1:8">
      <c r="A87" s="1746" t="s">
        <v>1349</v>
      </c>
      <c r="B87" s="1746"/>
      <c r="C87" s="1746"/>
      <c r="D87" s="1746"/>
      <c r="E87" s="1746"/>
      <c r="F87" s="1746"/>
      <c r="G87" s="1746"/>
      <c r="H87" s="1746"/>
    </row>
    <row r="88" spans="1:8">
      <c r="A88" s="1746" t="s">
        <v>1350</v>
      </c>
      <c r="B88" s="1746"/>
      <c r="C88" s="1746"/>
      <c r="D88" s="1746"/>
      <c r="E88" s="1746"/>
      <c r="F88" s="1746"/>
      <c r="G88" s="1746"/>
      <c r="H88" s="1746"/>
    </row>
    <row r="89" spans="1:8">
      <c r="A89" s="1746"/>
      <c r="B89" s="1746"/>
      <c r="C89" s="1746"/>
      <c r="D89" s="1746"/>
      <c r="E89" s="1746"/>
      <c r="F89" s="1746"/>
      <c r="G89" s="1746"/>
      <c r="H89" s="1746"/>
    </row>
    <row r="90" spans="1:8">
      <c r="A90" s="1746" t="s">
        <v>1351</v>
      </c>
      <c r="B90" s="1746"/>
      <c r="C90" s="1746"/>
      <c r="D90" s="1746"/>
      <c r="E90" s="1746"/>
      <c r="F90" s="1746"/>
      <c r="G90" s="1746"/>
      <c r="H90" s="1746"/>
    </row>
    <row r="91" spans="1:8">
      <c r="A91" s="1746" t="s">
        <v>1352</v>
      </c>
      <c r="B91" s="1746"/>
      <c r="C91" s="1746"/>
      <c r="D91" s="1746"/>
      <c r="E91" s="1746"/>
      <c r="F91" s="1746"/>
      <c r="G91" s="1746"/>
      <c r="H91" s="1746"/>
    </row>
    <row r="92" spans="1:8">
      <c r="A92" s="1746"/>
      <c r="B92" s="1746"/>
      <c r="C92" s="1746"/>
      <c r="D92" s="1746"/>
      <c r="E92" s="1746"/>
      <c r="F92" s="1746"/>
      <c r="G92" s="1746"/>
      <c r="H92" s="1746"/>
    </row>
    <row r="93" spans="1:8">
      <c r="A93" s="1746" t="s">
        <v>1353</v>
      </c>
      <c r="B93" s="1746"/>
      <c r="C93" s="1746"/>
      <c r="D93" s="1746"/>
      <c r="E93" s="1746"/>
      <c r="F93" s="1746"/>
      <c r="G93" s="1746"/>
      <c r="H93" s="1746"/>
    </row>
    <row r="94" spans="1:8">
      <c r="A94" s="1746" t="s">
        <v>1354</v>
      </c>
      <c r="B94" s="1746"/>
      <c r="C94" s="1746"/>
      <c r="D94" s="1746"/>
      <c r="E94" s="1746"/>
      <c r="F94" s="1746"/>
      <c r="G94" s="1746"/>
      <c r="H94" s="1746"/>
    </row>
    <row r="95" spans="1:8">
      <c r="A95" s="1746" t="s">
        <v>1355</v>
      </c>
      <c r="B95" s="1746"/>
      <c r="C95" s="1746"/>
      <c r="D95" s="1746"/>
      <c r="E95" s="1746"/>
      <c r="F95" s="1746"/>
      <c r="G95" s="1746"/>
      <c r="H95" s="1746"/>
    </row>
    <row r="96" spans="1:8">
      <c r="A96" s="1746"/>
      <c r="B96" s="1746"/>
      <c r="C96" s="1746"/>
      <c r="D96" s="1746"/>
      <c r="E96" s="1746"/>
      <c r="F96" s="1746"/>
      <c r="G96" s="1746"/>
      <c r="H96" s="1746"/>
    </row>
    <row r="97" spans="1:8">
      <c r="A97" s="1746" t="s">
        <v>1356</v>
      </c>
      <c r="B97" s="1746"/>
      <c r="C97" s="1746"/>
      <c r="D97" s="1746"/>
      <c r="E97" s="1746"/>
      <c r="F97" s="1746"/>
      <c r="G97" s="1746"/>
      <c r="H97" s="1746"/>
    </row>
    <row r="98" spans="1:8">
      <c r="A98" s="1746" t="s">
        <v>1357</v>
      </c>
      <c r="B98" s="1746"/>
      <c r="C98" s="1746"/>
      <c r="D98" s="1746"/>
      <c r="E98" s="1746"/>
      <c r="F98" s="1746"/>
      <c r="G98" s="1746"/>
      <c r="H98" s="1746"/>
    </row>
    <row r="99" spans="1:8">
      <c r="A99" s="1746" t="s">
        <v>1358</v>
      </c>
      <c r="B99" s="1746"/>
      <c r="C99" s="1746"/>
      <c r="D99" s="1746"/>
      <c r="E99" s="1746"/>
      <c r="F99" s="1746"/>
      <c r="G99" s="1746"/>
      <c r="H99" s="1746"/>
    </row>
    <row r="100" spans="1:8">
      <c r="A100" s="1746"/>
      <c r="B100" s="1746"/>
      <c r="C100" s="1746"/>
      <c r="D100" s="1746"/>
      <c r="E100" s="1746"/>
      <c r="F100" s="1746"/>
      <c r="G100" s="1746"/>
      <c r="H100" s="1746"/>
    </row>
    <row r="101" spans="1:8">
      <c r="A101" s="1746" t="s">
        <v>1359</v>
      </c>
      <c r="B101" s="1746"/>
      <c r="C101" s="1746"/>
      <c r="D101" s="1746"/>
      <c r="E101" s="1746"/>
      <c r="F101" s="1746"/>
      <c r="G101" s="1746"/>
      <c r="H101" s="1746"/>
    </row>
    <row r="102" spans="1:8">
      <c r="A102" s="1746" t="s">
        <v>1360</v>
      </c>
      <c r="B102" s="1746"/>
      <c r="C102" s="1746"/>
      <c r="D102" s="1746"/>
      <c r="E102" s="1746"/>
      <c r="F102" s="1746"/>
      <c r="G102" s="1746"/>
      <c r="H102" s="1746"/>
    </row>
    <row r="103" spans="1:8">
      <c r="A103" s="1746" t="s">
        <v>1361</v>
      </c>
      <c r="B103" s="1746"/>
      <c r="C103" s="1746"/>
      <c r="D103" s="1746"/>
      <c r="E103" s="1746"/>
      <c r="F103" s="1746"/>
      <c r="G103" s="1746"/>
      <c r="H103" s="1746"/>
    </row>
    <row r="104" spans="1:8">
      <c r="A104" s="1746" t="s">
        <v>1362</v>
      </c>
      <c r="B104" s="1746"/>
      <c r="C104" s="1746"/>
      <c r="D104" s="1746"/>
      <c r="E104" s="1746"/>
      <c r="F104" s="1746"/>
      <c r="G104" s="1746"/>
      <c r="H104" s="1746"/>
    </row>
    <row r="105" spans="1:8">
      <c r="A105" s="1746" t="s">
        <v>1363</v>
      </c>
      <c r="B105" s="1746"/>
      <c r="C105" s="1746"/>
      <c r="D105" s="1746"/>
      <c r="E105" s="1746"/>
      <c r="F105" s="1746"/>
      <c r="G105" s="1746"/>
      <c r="H105" s="1746"/>
    </row>
    <row r="106" spans="1:8">
      <c r="A106" s="1746" t="s">
        <v>1364</v>
      </c>
      <c r="B106" s="1746"/>
      <c r="C106" s="1746"/>
      <c r="D106" s="1746"/>
      <c r="E106" s="1746"/>
      <c r="F106" s="1746"/>
      <c r="G106" s="1746"/>
      <c r="H106" s="1746"/>
    </row>
    <row r="107" spans="1:8">
      <c r="A107" s="1746"/>
      <c r="B107" s="1746"/>
      <c r="C107" s="1746"/>
      <c r="D107" s="1746"/>
      <c r="E107" s="1746"/>
      <c r="F107" s="1746"/>
      <c r="G107" s="1746"/>
      <c r="H107" s="1746"/>
    </row>
    <row r="108" spans="1:8">
      <c r="A108" s="1746" t="s">
        <v>1365</v>
      </c>
      <c r="B108" s="1746"/>
      <c r="C108" s="1746"/>
      <c r="D108" s="1746"/>
      <c r="E108" s="1746"/>
      <c r="F108" s="1746"/>
      <c r="G108" s="1746"/>
      <c r="H108" s="1746"/>
    </row>
    <row r="109" spans="1:8">
      <c r="A109" s="1746" t="s">
        <v>1366</v>
      </c>
      <c r="B109" s="1746"/>
      <c r="C109" s="1746"/>
      <c r="D109" s="1746"/>
      <c r="E109" s="1746"/>
      <c r="F109" s="1746"/>
      <c r="G109" s="1746"/>
      <c r="H109" s="1746"/>
    </row>
    <row r="110" spans="1:8">
      <c r="A110" s="1746" t="s">
        <v>1367</v>
      </c>
      <c r="B110" s="1746"/>
      <c r="C110" s="1746"/>
      <c r="D110" s="1746"/>
      <c r="E110" s="1746"/>
      <c r="F110" s="1746"/>
      <c r="G110" s="1746"/>
      <c r="H110" s="1746"/>
    </row>
    <row r="111" spans="1:8">
      <c r="A111" s="1746" t="s">
        <v>1368</v>
      </c>
      <c r="B111" s="1746"/>
      <c r="C111" s="1746"/>
      <c r="D111" s="1746"/>
      <c r="E111" s="1746"/>
      <c r="F111" s="1746"/>
      <c r="G111" s="1746"/>
      <c r="H111" s="1746"/>
    </row>
    <row r="112" spans="1:8">
      <c r="A112" s="1746" t="s">
        <v>1369</v>
      </c>
      <c r="B112" s="1746"/>
      <c r="C112" s="1746"/>
      <c r="D112" s="1746"/>
      <c r="E112" s="1746"/>
      <c r="F112" s="1746"/>
      <c r="G112" s="1746"/>
      <c r="H112" s="1746"/>
    </row>
    <row r="113" spans="1:8">
      <c r="A113" s="1746" t="s">
        <v>1370</v>
      </c>
      <c r="B113" s="1746"/>
      <c r="C113" s="1746"/>
      <c r="D113" s="1746"/>
      <c r="E113" s="1746"/>
      <c r="F113" s="1746"/>
      <c r="G113" s="1746"/>
      <c r="H113" s="1746"/>
    </row>
    <row r="114" spans="1:8">
      <c r="A114" s="1746" t="s">
        <v>1371</v>
      </c>
      <c r="B114" s="1746"/>
      <c r="C114" s="1746"/>
      <c r="D114" s="1746"/>
      <c r="E114" s="1746"/>
      <c r="F114" s="1746"/>
      <c r="G114" s="1746"/>
      <c r="H114" s="1746"/>
    </row>
    <row r="115" spans="1:8">
      <c r="A115" s="1746"/>
      <c r="B115" s="1746"/>
      <c r="C115" s="1746"/>
      <c r="D115" s="1746"/>
      <c r="E115" s="1746"/>
      <c r="F115" s="1746"/>
      <c r="G115" s="1746"/>
      <c r="H115" s="1746"/>
    </row>
    <row r="116" spans="1:8">
      <c r="A116" s="1746" t="s">
        <v>1372</v>
      </c>
      <c r="B116" s="1746"/>
      <c r="C116" s="1746"/>
      <c r="D116" s="1746"/>
      <c r="E116" s="1746"/>
      <c r="F116" s="1746"/>
      <c r="G116" s="1746"/>
      <c r="H116" s="1746"/>
    </row>
    <row r="117" spans="1:8">
      <c r="A117" s="1746" t="s">
        <v>1373</v>
      </c>
      <c r="B117" s="1746"/>
      <c r="C117" s="1746"/>
      <c r="D117" s="1746"/>
      <c r="E117" s="1746"/>
      <c r="F117" s="1746"/>
      <c r="G117" s="1746"/>
      <c r="H117" s="1746"/>
    </row>
    <row r="118" spans="1:8">
      <c r="A118" s="1746"/>
      <c r="B118" s="1746"/>
      <c r="C118" s="1746"/>
      <c r="D118" s="1746"/>
      <c r="E118" s="1746"/>
      <c r="F118" s="1746"/>
      <c r="G118" s="1746"/>
      <c r="H118" s="1746"/>
    </row>
    <row r="119" spans="1:8" ht="15.6">
      <c r="A119" s="1747" t="s">
        <v>1374</v>
      </c>
      <c r="B119" s="1746"/>
      <c r="C119" s="1746"/>
      <c r="D119" s="1746"/>
      <c r="E119" s="1746"/>
      <c r="F119" s="1746"/>
      <c r="G119" s="1746"/>
      <c r="H119" s="1746"/>
    </row>
    <row r="120" spans="1:8">
      <c r="A120" s="1746"/>
      <c r="B120" s="1746"/>
      <c r="C120" s="1746"/>
      <c r="D120" s="1746"/>
      <c r="E120" s="1746"/>
      <c r="F120" s="1746"/>
      <c r="G120" s="1746"/>
      <c r="H120" s="1746"/>
    </row>
    <row r="121" spans="1:8">
      <c r="A121" s="1746" t="s">
        <v>1375</v>
      </c>
      <c r="B121" s="1746"/>
      <c r="C121" s="1746"/>
      <c r="D121" s="1746"/>
      <c r="E121" s="1746"/>
      <c r="F121" s="1746"/>
      <c r="G121" s="1746"/>
      <c r="H121" s="1746"/>
    </row>
    <row r="122" spans="1:8">
      <c r="A122" s="1746" t="s">
        <v>1376</v>
      </c>
      <c r="B122" s="1746"/>
      <c r="C122" s="1746"/>
      <c r="D122" s="1746"/>
      <c r="E122" s="1746"/>
      <c r="F122" s="1746"/>
      <c r="G122" s="1746"/>
      <c r="H122" s="1746"/>
    </row>
    <row r="123" spans="1:8">
      <c r="A123" s="1746" t="s">
        <v>1377</v>
      </c>
      <c r="B123" s="1746"/>
      <c r="C123" s="1746"/>
      <c r="D123" s="1746"/>
      <c r="E123" s="1746"/>
      <c r="F123" s="1746"/>
      <c r="G123" s="1746"/>
      <c r="H123" s="1746"/>
    </row>
    <row r="124" spans="1:8">
      <c r="A124" s="1746" t="s">
        <v>1378</v>
      </c>
      <c r="B124" s="1746"/>
      <c r="C124" s="1746"/>
      <c r="D124" s="1746"/>
      <c r="E124" s="1746"/>
      <c r="F124" s="1746"/>
      <c r="G124" s="1746"/>
      <c r="H124" s="1746"/>
    </row>
    <row r="125" spans="1:8">
      <c r="A125" s="1746" t="s">
        <v>1379</v>
      </c>
      <c r="B125" s="1746"/>
      <c r="C125" s="1746"/>
      <c r="D125" s="1746"/>
      <c r="E125" s="1746"/>
      <c r="F125" s="1746"/>
      <c r="G125" s="1746"/>
      <c r="H125" s="1746"/>
    </row>
    <row r="126" spans="1:8">
      <c r="A126" s="1746" t="s">
        <v>1380</v>
      </c>
      <c r="B126" s="1746"/>
      <c r="C126" s="1746"/>
      <c r="D126" s="1746"/>
      <c r="E126" s="1746"/>
      <c r="F126" s="1746"/>
      <c r="G126" s="1746"/>
      <c r="H126" s="1746"/>
    </row>
    <row r="127" spans="1:8">
      <c r="A127" s="1746" t="s">
        <v>1381</v>
      </c>
      <c r="B127" s="1746"/>
      <c r="C127" s="1746"/>
      <c r="D127" s="1746"/>
      <c r="E127" s="1746"/>
      <c r="F127" s="1746"/>
      <c r="G127" s="1746"/>
      <c r="H127" s="1746"/>
    </row>
    <row r="128" spans="1:8">
      <c r="A128" s="1746" t="s">
        <v>1382</v>
      </c>
      <c r="B128" s="1746"/>
      <c r="C128" s="1746"/>
      <c r="D128" s="1746"/>
      <c r="E128" s="1746"/>
      <c r="F128" s="1746"/>
      <c r="G128" s="1746"/>
      <c r="H128" s="1746"/>
    </row>
    <row r="129" spans="1:8">
      <c r="A129" s="1746" t="s">
        <v>1383</v>
      </c>
      <c r="B129" s="1746"/>
      <c r="C129" s="1746"/>
      <c r="D129" s="1746"/>
      <c r="E129" s="1746"/>
      <c r="F129" s="1746"/>
      <c r="G129" s="1746"/>
      <c r="H129" s="1746"/>
    </row>
    <row r="130" spans="1:8">
      <c r="A130" s="1746"/>
      <c r="B130" s="1746"/>
      <c r="C130" s="1746"/>
      <c r="D130" s="1746"/>
      <c r="E130" s="1746"/>
      <c r="F130" s="1746"/>
      <c r="G130" s="1746"/>
      <c r="H130" s="1746"/>
    </row>
    <row r="131" spans="1:8" ht="15.6">
      <c r="A131" s="1747" t="s">
        <v>1384</v>
      </c>
      <c r="B131" s="1746"/>
      <c r="C131" s="1746"/>
      <c r="D131" s="1746"/>
      <c r="E131" s="1746"/>
      <c r="F131" s="1746"/>
      <c r="G131" s="1746"/>
      <c r="H131" s="1746"/>
    </row>
    <row r="132" spans="1:8">
      <c r="A132" s="1746"/>
      <c r="B132" s="1746"/>
      <c r="C132" s="1746"/>
      <c r="D132" s="1746"/>
      <c r="E132" s="1746"/>
      <c r="F132" s="1746"/>
      <c r="G132" s="1746"/>
      <c r="H132" s="1746"/>
    </row>
    <row r="133" spans="1:8">
      <c r="A133" s="1746" t="s">
        <v>1385</v>
      </c>
      <c r="B133" s="1746"/>
      <c r="C133" s="1746"/>
      <c r="D133" s="1746"/>
      <c r="E133" s="1746"/>
      <c r="F133" s="1746"/>
      <c r="G133" s="1746"/>
      <c r="H133" s="1746"/>
    </row>
    <row r="134" spans="1:8">
      <c r="A134" s="1746"/>
      <c r="B134" s="1746"/>
      <c r="C134" s="1746"/>
      <c r="D134" s="1746"/>
      <c r="E134" s="1746"/>
      <c r="F134" s="1746"/>
      <c r="G134" s="1746"/>
      <c r="H134" s="1746"/>
    </row>
    <row r="135" spans="1:8">
      <c r="A135" s="1746" t="s">
        <v>1386</v>
      </c>
      <c r="B135" s="1746"/>
      <c r="C135" s="1746"/>
      <c r="D135" s="1746"/>
      <c r="E135" s="1746"/>
      <c r="F135" s="1746"/>
      <c r="G135" s="1746"/>
      <c r="H135" s="1746"/>
    </row>
    <row r="136" spans="1:8">
      <c r="A136" s="1746" t="s">
        <v>1387</v>
      </c>
      <c r="B136" s="1746"/>
      <c r="C136" s="1746"/>
      <c r="D136" s="1746"/>
      <c r="E136" s="1746"/>
      <c r="F136" s="1746"/>
      <c r="G136" s="1746"/>
      <c r="H136" s="1746"/>
    </row>
    <row r="137" spans="1:8">
      <c r="A137" s="1746"/>
      <c r="B137" s="1746"/>
      <c r="C137" s="1746"/>
      <c r="D137" s="1746"/>
      <c r="E137" s="1746"/>
      <c r="F137" s="1746"/>
      <c r="G137" s="1746"/>
      <c r="H137" s="1746"/>
    </row>
    <row r="138" spans="1:8">
      <c r="A138" s="1746" t="s">
        <v>1388</v>
      </c>
      <c r="B138" s="1746"/>
      <c r="C138" s="1746"/>
      <c r="D138" s="1746"/>
      <c r="E138" s="1746"/>
      <c r="F138" s="1746"/>
      <c r="G138" s="1746"/>
      <c r="H138" s="1746"/>
    </row>
    <row r="139" spans="1:8">
      <c r="A139" s="1746" t="s">
        <v>1389</v>
      </c>
      <c r="B139" s="1746"/>
      <c r="C139" s="1746"/>
      <c r="D139" s="1746"/>
      <c r="E139" s="1746"/>
      <c r="F139" s="1746"/>
      <c r="G139" s="1746"/>
      <c r="H139" s="1746"/>
    </row>
    <row r="140" spans="1:8">
      <c r="A140" s="1746" t="s">
        <v>1390</v>
      </c>
      <c r="B140" s="1746"/>
      <c r="C140" s="1746"/>
      <c r="D140" s="1746"/>
      <c r="E140" s="1746"/>
      <c r="F140" s="1746"/>
      <c r="G140" s="1746"/>
      <c r="H140" s="1746"/>
    </row>
    <row r="141" spans="1:8">
      <c r="A141" s="1746" t="s">
        <v>1391</v>
      </c>
      <c r="B141" s="1746"/>
      <c r="C141" s="1746"/>
      <c r="D141" s="1746"/>
      <c r="E141" s="1746"/>
      <c r="F141" s="1746"/>
      <c r="G141" s="1746"/>
      <c r="H141" s="1746"/>
    </row>
    <row r="142" spans="1:8">
      <c r="A142" s="1746" t="s">
        <v>1392</v>
      </c>
      <c r="B142" s="1746"/>
      <c r="C142" s="1746"/>
      <c r="D142" s="1746"/>
      <c r="E142" s="1746"/>
      <c r="F142" s="1746"/>
      <c r="G142" s="1746"/>
      <c r="H142" s="1746"/>
    </row>
    <row r="143" spans="1:8">
      <c r="A143" s="1746" t="s">
        <v>1393</v>
      </c>
      <c r="B143" s="1746"/>
      <c r="C143" s="1746"/>
      <c r="D143" s="1746"/>
      <c r="E143" s="1746"/>
      <c r="F143" s="1746"/>
      <c r="G143" s="1746"/>
      <c r="H143" s="1746"/>
    </row>
    <row r="144" spans="1:8">
      <c r="A144" s="1746" t="s">
        <v>1394</v>
      </c>
      <c r="B144" s="1746"/>
      <c r="C144" s="1746"/>
      <c r="D144" s="1746"/>
      <c r="E144" s="1746"/>
      <c r="F144" s="1746"/>
      <c r="G144" s="1746"/>
      <c r="H144" s="1746"/>
    </row>
    <row r="145" spans="1:8">
      <c r="A145" s="1746"/>
      <c r="B145" s="1746"/>
      <c r="C145" s="1746"/>
      <c r="D145" s="1746"/>
      <c r="E145" s="1746"/>
      <c r="F145" s="1746"/>
      <c r="G145" s="1746"/>
      <c r="H145" s="1746"/>
    </row>
    <row r="146" spans="1:8">
      <c r="A146" s="1748"/>
      <c r="B146" s="1749" t="s">
        <v>1395</v>
      </c>
      <c r="C146" s="1749"/>
      <c r="D146" s="1749" t="s">
        <v>1396</v>
      </c>
      <c r="E146" s="1749"/>
      <c r="F146" s="1749"/>
      <c r="G146" s="1749" t="s">
        <v>1397</v>
      </c>
      <c r="H146" s="1749"/>
    </row>
    <row r="147" spans="1:8">
      <c r="A147" s="1748" t="s">
        <v>1398</v>
      </c>
      <c r="B147" s="1748" t="s">
        <v>144</v>
      </c>
      <c r="C147" s="1748" t="s">
        <v>634</v>
      </c>
      <c r="D147" s="1748" t="s">
        <v>144</v>
      </c>
      <c r="E147" s="1748" t="s">
        <v>1399</v>
      </c>
      <c r="F147" s="1748" t="s">
        <v>1400</v>
      </c>
      <c r="G147" s="1748" t="s">
        <v>144</v>
      </c>
      <c r="H147" s="1748" t="s">
        <v>1401</v>
      </c>
    </row>
    <row r="148" spans="1:8">
      <c r="A148" s="1748" t="s">
        <v>1402</v>
      </c>
      <c r="B148" s="1748">
        <v>1520</v>
      </c>
      <c r="C148" s="1748">
        <v>0.41</v>
      </c>
      <c r="D148" s="1748">
        <v>425</v>
      </c>
      <c r="E148" s="1748">
        <v>0.48</v>
      </c>
      <c r="F148" s="1748">
        <v>0.28000000000000003</v>
      </c>
      <c r="G148" s="1748">
        <v>685</v>
      </c>
      <c r="H148" s="1748">
        <v>0.42</v>
      </c>
    </row>
    <row r="149" spans="1:8">
      <c r="A149" s="1748" t="s">
        <v>1403</v>
      </c>
      <c r="B149" s="1748">
        <v>1579</v>
      </c>
      <c r="C149" s="1748">
        <v>0.43</v>
      </c>
      <c r="D149" s="1748">
        <v>375</v>
      </c>
      <c r="E149" s="1748">
        <v>0.42</v>
      </c>
      <c r="F149" s="1748">
        <v>0.24</v>
      </c>
      <c r="G149" s="1748">
        <v>713</v>
      </c>
      <c r="H149" s="1748">
        <v>0.44</v>
      </c>
    </row>
    <row r="150" spans="1:8">
      <c r="A150" s="1748" t="s">
        <v>1404</v>
      </c>
      <c r="B150" s="1748">
        <v>4</v>
      </c>
      <c r="C150" s="1748">
        <v>0</v>
      </c>
      <c r="D150" s="1748">
        <v>1</v>
      </c>
      <c r="E150" s="1748">
        <v>0</v>
      </c>
      <c r="F150" s="1748">
        <v>0.25</v>
      </c>
      <c r="G150" s="1748">
        <v>1</v>
      </c>
      <c r="H150" s="1748">
        <v>0</v>
      </c>
    </row>
    <row r="151" spans="1:8">
      <c r="A151" s="1748" t="s">
        <v>1405</v>
      </c>
      <c r="B151" s="1748">
        <v>592</v>
      </c>
      <c r="C151" s="1748">
        <v>0.16</v>
      </c>
      <c r="D151" s="1748">
        <v>89</v>
      </c>
      <c r="E151" s="1748">
        <v>0.1</v>
      </c>
      <c r="F151" s="1748">
        <v>0.15</v>
      </c>
      <c r="G151" s="1748">
        <v>232</v>
      </c>
      <c r="H151" s="1748">
        <v>0.14000000000000001</v>
      </c>
    </row>
    <row r="152" spans="1:8">
      <c r="A152" s="1748" t="s">
        <v>529</v>
      </c>
      <c r="B152" s="1748">
        <v>3695</v>
      </c>
      <c r="C152" s="1748"/>
      <c r="D152" s="1748">
        <v>890</v>
      </c>
      <c r="E152" s="1748"/>
      <c r="F152" s="1748"/>
      <c r="G152" s="1748">
        <v>1631</v>
      </c>
      <c r="H152" s="1748"/>
    </row>
    <row r="153" spans="1:8">
      <c r="A153" s="1746"/>
      <c r="B153" s="1746"/>
      <c r="C153" s="1746"/>
      <c r="D153" s="1746"/>
      <c r="E153" s="1746"/>
      <c r="F153" s="1746"/>
      <c r="G153" s="1746"/>
      <c r="H153" s="1746"/>
    </row>
    <row r="154" spans="1:8">
      <c r="A154" s="1746" t="s">
        <v>1406</v>
      </c>
      <c r="B154" s="1746"/>
      <c r="C154" s="1746"/>
      <c r="D154" s="1746"/>
      <c r="E154" s="1746"/>
      <c r="F154" s="1746"/>
      <c r="G154" s="1746"/>
      <c r="H154" s="1746"/>
    </row>
    <row r="155" spans="1:8">
      <c r="A155" s="1746" t="s">
        <v>1407</v>
      </c>
      <c r="B155" s="1746"/>
      <c r="C155" s="1746"/>
      <c r="D155" s="1746"/>
      <c r="E155" s="1746"/>
      <c r="F155" s="1746"/>
      <c r="G155" s="1746"/>
      <c r="H155" s="1746"/>
    </row>
    <row r="156" spans="1:8">
      <c r="A156" s="1746" t="s">
        <v>1408</v>
      </c>
      <c r="B156" s="1746"/>
      <c r="C156" s="1746"/>
      <c r="D156" s="1746"/>
      <c r="E156" s="1746"/>
      <c r="F156" s="1746"/>
      <c r="G156" s="1746"/>
      <c r="H156" s="1746"/>
    </row>
    <row r="157" spans="1:8">
      <c r="A157" s="1746" t="s">
        <v>1409</v>
      </c>
      <c r="B157" s="1746"/>
      <c r="C157" s="1746"/>
      <c r="D157" s="1746"/>
      <c r="E157" s="1746"/>
      <c r="F157" s="1746"/>
      <c r="G157" s="1746"/>
      <c r="H157" s="1746"/>
    </row>
    <row r="158" spans="1:8">
      <c r="A158" s="1746"/>
      <c r="B158" s="1746"/>
      <c r="C158" s="1746"/>
      <c r="D158" s="1746"/>
      <c r="E158" s="1746"/>
      <c r="F158" s="1746"/>
      <c r="G158" s="1746"/>
      <c r="H158" s="1746"/>
    </row>
    <row r="159" spans="1:8" ht="15.6">
      <c r="A159" s="1747" t="s">
        <v>1410</v>
      </c>
      <c r="B159" s="1746"/>
      <c r="C159" s="1746"/>
      <c r="D159" s="1746"/>
      <c r="E159" s="1746"/>
      <c r="F159" s="1746"/>
      <c r="G159" s="1746"/>
      <c r="H159" s="1746"/>
    </row>
    <row r="160" spans="1:8">
      <c r="A160" s="1746"/>
      <c r="B160" s="1746"/>
      <c r="C160" s="1746"/>
      <c r="D160" s="1746"/>
      <c r="E160" s="1746"/>
      <c r="F160" s="1746"/>
      <c r="G160" s="1746"/>
      <c r="H160" s="1746"/>
    </row>
    <row r="161" spans="1:8">
      <c r="A161" s="1746" t="s">
        <v>1411</v>
      </c>
      <c r="B161" s="1746"/>
      <c r="C161" s="1746"/>
      <c r="D161" s="1746"/>
      <c r="E161" s="1746"/>
      <c r="F161" s="1746"/>
      <c r="G161" s="1746"/>
      <c r="H161" s="1746"/>
    </row>
    <row r="162" spans="1:8">
      <c r="A162" s="1746" t="s">
        <v>1412</v>
      </c>
      <c r="B162" s="1746"/>
      <c r="C162" s="1746"/>
      <c r="D162" s="1746"/>
      <c r="E162" s="1746"/>
      <c r="F162" s="1746"/>
      <c r="G162" s="1746"/>
      <c r="H162" s="1746"/>
    </row>
    <row r="163" spans="1:8">
      <c r="A163" s="1746"/>
      <c r="B163" s="1746"/>
      <c r="C163" s="1746"/>
      <c r="D163" s="1746"/>
      <c r="E163" s="1746"/>
      <c r="F163" s="1746"/>
      <c r="G163" s="1746"/>
      <c r="H163" s="1746"/>
    </row>
    <row r="164" spans="1:8">
      <c r="A164" s="1746" t="s">
        <v>1413</v>
      </c>
      <c r="B164" s="1746"/>
      <c r="C164" s="1746"/>
      <c r="D164" s="1746"/>
      <c r="E164" s="1746"/>
      <c r="F164" s="1746"/>
      <c r="G164" s="1746"/>
      <c r="H164" s="1746"/>
    </row>
    <row r="165" spans="1:8">
      <c r="A165" s="1746" t="s">
        <v>1414</v>
      </c>
      <c r="B165" s="1746"/>
      <c r="C165" s="1746"/>
      <c r="D165" s="1746"/>
      <c r="E165" s="1746"/>
      <c r="F165" s="1746"/>
      <c r="G165" s="1746"/>
      <c r="H165" s="1746"/>
    </row>
    <row r="166" spans="1:8">
      <c r="A166" s="1746" t="s">
        <v>1415</v>
      </c>
      <c r="B166" s="1746"/>
      <c r="C166" s="1746"/>
      <c r="D166" s="1746"/>
      <c r="E166" s="1746"/>
      <c r="F166" s="1746"/>
      <c r="G166" s="1746"/>
      <c r="H166" s="1746"/>
    </row>
    <row r="167" spans="1:8">
      <c r="A167" s="1746"/>
      <c r="B167" s="1746"/>
      <c r="C167" s="1746"/>
      <c r="D167" s="1746"/>
      <c r="E167" s="1746"/>
      <c r="F167" s="1746"/>
      <c r="G167" s="1746"/>
      <c r="H167" s="1746"/>
    </row>
    <row r="168" spans="1:8">
      <c r="A168" s="1746" t="s">
        <v>1416</v>
      </c>
      <c r="B168" s="1746"/>
      <c r="C168" s="1746"/>
      <c r="D168" s="1746"/>
      <c r="E168" s="1746"/>
      <c r="F168" s="1746"/>
      <c r="G168" s="1746"/>
      <c r="H168" s="1746"/>
    </row>
    <row r="169" spans="1:8">
      <c r="A169" s="1746" t="s">
        <v>1417</v>
      </c>
      <c r="B169" s="1746"/>
      <c r="C169" s="1746"/>
      <c r="D169" s="1746"/>
      <c r="E169" s="1746"/>
      <c r="F169" s="1746"/>
      <c r="G169" s="1746"/>
      <c r="H169" s="1746"/>
    </row>
    <row r="170" spans="1:8">
      <c r="A170" s="1746" t="s">
        <v>1418</v>
      </c>
      <c r="B170" s="1746"/>
      <c r="C170" s="1746"/>
      <c r="D170" s="1746"/>
      <c r="E170" s="1746"/>
      <c r="F170" s="1746"/>
      <c r="G170" s="1746"/>
      <c r="H170" s="1746"/>
    </row>
    <row r="171" spans="1:8">
      <c r="A171" s="1746"/>
      <c r="B171" s="1746"/>
      <c r="C171" s="1746"/>
      <c r="D171" s="1746"/>
      <c r="E171" s="1746"/>
      <c r="F171" s="1746"/>
      <c r="G171" s="1746"/>
      <c r="H171" s="1746"/>
    </row>
    <row r="172" spans="1:8">
      <c r="A172" s="1746" t="s">
        <v>1419</v>
      </c>
      <c r="B172" s="1746"/>
      <c r="C172" s="1746"/>
      <c r="D172" s="1746"/>
      <c r="E172" s="1746"/>
      <c r="F172" s="1746"/>
      <c r="G172" s="1746"/>
      <c r="H172" s="1746"/>
    </row>
    <row r="173" spans="1:8">
      <c r="A173" s="1746" t="s">
        <v>1420</v>
      </c>
      <c r="B173" s="1746"/>
      <c r="C173" s="1746"/>
      <c r="D173" s="1746"/>
      <c r="E173" s="1746"/>
      <c r="F173" s="1746"/>
      <c r="G173" s="1746"/>
      <c r="H173" s="1746"/>
    </row>
    <row r="174" spans="1:8">
      <c r="A174" s="1746" t="s">
        <v>1421</v>
      </c>
      <c r="B174" s="1746"/>
      <c r="C174" s="1746"/>
      <c r="D174" s="1746"/>
      <c r="E174" s="1746"/>
      <c r="F174" s="1746"/>
      <c r="G174" s="1746"/>
      <c r="H174" s="1746"/>
    </row>
    <row r="175" spans="1:8">
      <c r="A175" s="1746"/>
      <c r="B175" s="1746"/>
      <c r="C175" s="1746"/>
      <c r="D175" s="1746"/>
      <c r="E175" s="1746"/>
      <c r="F175" s="1746"/>
      <c r="G175" s="1746"/>
      <c r="H175" s="1746"/>
    </row>
    <row r="176" spans="1:8">
      <c r="A176" s="1746" t="s">
        <v>1422</v>
      </c>
      <c r="B176" s="1746"/>
      <c r="C176" s="1746"/>
      <c r="D176" s="1746"/>
      <c r="E176" s="1746"/>
      <c r="F176" s="1746"/>
      <c r="G176" s="1746"/>
      <c r="H176" s="1746"/>
    </row>
    <row r="177" spans="1:8">
      <c r="A177" s="1746" t="s">
        <v>1423</v>
      </c>
      <c r="B177" s="1746"/>
      <c r="C177" s="1746"/>
      <c r="D177" s="1746"/>
      <c r="E177" s="1746"/>
      <c r="F177" s="1746"/>
      <c r="G177" s="1746"/>
      <c r="H177" s="1746"/>
    </row>
    <row r="178" spans="1:8">
      <c r="A178" s="1746"/>
      <c r="B178" s="1746"/>
      <c r="C178" s="1746"/>
      <c r="D178" s="1746"/>
      <c r="E178" s="1746"/>
      <c r="F178" s="1746"/>
      <c r="G178" s="1746"/>
      <c r="H178" s="1746"/>
    </row>
    <row r="179" spans="1:8" ht="15.6">
      <c r="A179" s="1747" t="s">
        <v>1424</v>
      </c>
      <c r="B179" s="1746"/>
      <c r="C179" s="1746"/>
      <c r="D179" s="1746"/>
      <c r="E179" s="1746"/>
      <c r="F179" s="1746"/>
      <c r="G179" s="1746"/>
      <c r="H179" s="1746"/>
    </row>
    <row r="180" spans="1:8">
      <c r="A180" s="1746"/>
      <c r="B180" s="1746"/>
      <c r="C180" s="1746"/>
      <c r="D180" s="1746"/>
      <c r="E180" s="1746"/>
      <c r="F180" s="1746"/>
      <c r="G180" s="1746"/>
      <c r="H180" s="1746"/>
    </row>
    <row r="181" spans="1:8">
      <c r="A181" s="1746" t="s">
        <v>1425</v>
      </c>
      <c r="B181" s="1746"/>
      <c r="C181" s="1746"/>
      <c r="D181" s="1746"/>
      <c r="E181" s="1746"/>
      <c r="F181" s="1746"/>
      <c r="G181" s="1746"/>
      <c r="H181" s="1746"/>
    </row>
    <row r="182" spans="1:8">
      <c r="A182" s="1746" t="s">
        <v>1426</v>
      </c>
      <c r="B182" s="1746"/>
      <c r="C182" s="1746"/>
      <c r="D182" s="1746"/>
      <c r="E182" s="1746"/>
      <c r="F182" s="1746"/>
      <c r="G182" s="1746"/>
      <c r="H182" s="1746"/>
    </row>
    <row r="183" spans="1:8">
      <c r="A183" s="1746"/>
      <c r="B183" s="1746"/>
      <c r="C183" s="1746"/>
      <c r="D183" s="1746"/>
      <c r="E183" s="1746"/>
      <c r="F183" s="1746"/>
      <c r="G183" s="1746"/>
      <c r="H183" s="1746"/>
    </row>
    <row r="184" spans="1:8">
      <c r="A184" s="1746" t="s">
        <v>1427</v>
      </c>
      <c r="B184" s="1746"/>
      <c r="C184" s="1746"/>
      <c r="D184" s="1746"/>
      <c r="E184" s="1746"/>
      <c r="F184" s="1746"/>
      <c r="G184" s="1746"/>
      <c r="H184" s="1746"/>
    </row>
    <row r="185" spans="1:8">
      <c r="A185" s="1746" t="s">
        <v>1428</v>
      </c>
      <c r="B185" s="1746"/>
      <c r="C185" s="1746"/>
      <c r="D185" s="1746"/>
      <c r="E185" s="1746"/>
      <c r="F185" s="1746"/>
      <c r="G185" s="1746"/>
      <c r="H185" s="1746"/>
    </row>
    <row r="186" spans="1:8">
      <c r="A186" s="1746"/>
      <c r="B186" s="1746"/>
      <c r="C186" s="1746"/>
      <c r="D186" s="1746"/>
      <c r="E186" s="1746"/>
      <c r="F186" s="1746"/>
      <c r="G186" s="1746"/>
      <c r="H186" s="1746"/>
    </row>
    <row r="187" spans="1:8">
      <c r="A187" s="1746" t="s">
        <v>1429</v>
      </c>
      <c r="B187" s="1746"/>
      <c r="C187" s="1746"/>
      <c r="D187" s="1746"/>
      <c r="E187" s="1746"/>
      <c r="F187" s="1746"/>
      <c r="G187" s="1746"/>
      <c r="H187" s="1746"/>
    </row>
    <row r="188" spans="1:8">
      <c r="A188" s="1746" t="s">
        <v>1430</v>
      </c>
      <c r="B188" s="1746"/>
      <c r="C188" s="1746"/>
      <c r="D188" s="1746"/>
      <c r="E188" s="1746"/>
      <c r="F188" s="1746"/>
      <c r="G188" s="1746"/>
      <c r="H188" s="1746"/>
    </row>
    <row r="189" spans="1:8">
      <c r="A189" s="1746"/>
      <c r="B189" s="1746"/>
      <c r="C189" s="1746"/>
      <c r="D189" s="1746"/>
      <c r="E189" s="1746"/>
      <c r="F189" s="1746"/>
      <c r="G189" s="1746"/>
      <c r="H189" s="1746"/>
    </row>
    <row r="190" spans="1:8">
      <c r="A190" s="1746" t="s">
        <v>1431</v>
      </c>
      <c r="B190" s="1746"/>
      <c r="C190" s="1746"/>
      <c r="D190" s="1746"/>
      <c r="E190" s="1746"/>
      <c r="F190" s="1746"/>
      <c r="G190" s="1746"/>
      <c r="H190" s="1746"/>
    </row>
    <row r="191" spans="1:8">
      <c r="A191" s="1746" t="s">
        <v>1432</v>
      </c>
      <c r="B191" s="1746"/>
      <c r="C191" s="1746"/>
      <c r="D191" s="1746"/>
      <c r="E191" s="1746"/>
      <c r="F191" s="1746"/>
      <c r="G191" s="1746"/>
      <c r="H191" s="1746"/>
    </row>
    <row r="192" spans="1:8">
      <c r="A192" s="1746" t="s">
        <v>1433</v>
      </c>
      <c r="B192" s="1746"/>
      <c r="C192" s="1746"/>
      <c r="D192" s="1746"/>
      <c r="E192" s="1746"/>
      <c r="F192" s="1746"/>
      <c r="G192" s="1746"/>
      <c r="H192" s="1746"/>
    </row>
    <row r="193" spans="1:8">
      <c r="A193" s="1746"/>
      <c r="B193" s="1746"/>
      <c r="C193" s="1746"/>
      <c r="D193" s="1746"/>
      <c r="E193" s="1746"/>
      <c r="F193" s="1746"/>
      <c r="G193" s="1746"/>
      <c r="H193" s="1746"/>
    </row>
    <row r="194" spans="1:8">
      <c r="A194" s="1746" t="s">
        <v>1339</v>
      </c>
      <c r="B194" s="1746"/>
      <c r="C194" s="1746"/>
      <c r="D194" s="1746"/>
      <c r="E194" s="1746"/>
      <c r="F194" s="1746"/>
      <c r="G194" s="1746"/>
      <c r="H194" s="1746"/>
    </row>
    <row r="195" spans="1:8">
      <c r="A195" s="1746"/>
      <c r="B195" s="1746"/>
      <c r="C195" s="1746"/>
      <c r="D195" s="1746"/>
      <c r="E195" s="1746"/>
      <c r="F195" s="1746"/>
      <c r="G195" s="1746"/>
      <c r="H195" s="1746"/>
    </row>
    <row r="196" spans="1:8" ht="15.6">
      <c r="A196" s="1747" t="s">
        <v>1434</v>
      </c>
      <c r="B196" s="1746"/>
      <c r="C196" s="1746"/>
      <c r="D196" s="1746"/>
      <c r="E196" s="1746"/>
      <c r="F196" s="1746"/>
      <c r="G196" s="1746"/>
      <c r="H196" s="1746"/>
    </row>
    <row r="197" spans="1:8">
      <c r="A197" s="1746"/>
      <c r="B197" s="1746"/>
      <c r="C197" s="1746"/>
      <c r="D197" s="1746"/>
      <c r="E197" s="1746"/>
      <c r="F197" s="1746"/>
      <c r="G197" s="1746"/>
      <c r="H197" s="1746"/>
    </row>
    <row r="198" spans="1:8">
      <c r="A198" s="1746"/>
      <c r="B198" s="1746"/>
      <c r="C198" s="1746"/>
      <c r="D198" s="1746"/>
      <c r="E198" s="1746"/>
      <c r="F198" s="1746"/>
      <c r="G198" s="1746"/>
      <c r="H198" s="1746"/>
    </row>
    <row r="199" spans="1:8">
      <c r="A199" s="1746"/>
      <c r="B199" s="1746"/>
      <c r="C199" s="1746"/>
      <c r="D199" s="1746"/>
      <c r="E199" s="1746"/>
      <c r="F199" s="1746"/>
      <c r="G199" s="1746"/>
      <c r="H199" s="1746"/>
    </row>
    <row r="200" spans="1:8">
      <c r="A200" s="1746"/>
      <c r="B200" s="1746"/>
      <c r="C200" s="1746"/>
      <c r="D200" s="1746"/>
      <c r="E200" s="1746"/>
      <c r="F200" s="1746"/>
      <c r="G200" s="1746"/>
      <c r="H200" s="1746"/>
    </row>
    <row r="201" spans="1:8">
      <c r="A201" s="1746"/>
      <c r="B201" s="1746"/>
      <c r="C201" s="1746"/>
      <c r="D201" s="1746"/>
      <c r="E201" s="1746"/>
      <c r="F201" s="1746"/>
      <c r="G201" s="1746"/>
      <c r="H201" s="1746"/>
    </row>
    <row r="202" spans="1:8">
      <c r="A202" s="1746"/>
      <c r="B202" s="1746"/>
      <c r="C202" s="1746"/>
      <c r="D202" s="1746"/>
      <c r="E202" s="1746"/>
      <c r="F202" s="1746"/>
      <c r="G202" s="1746"/>
      <c r="H202" s="1746"/>
    </row>
    <row r="203" spans="1:8">
      <c r="A203" s="1746"/>
      <c r="B203" s="1746"/>
      <c r="C203" s="1746"/>
      <c r="D203" s="1746"/>
      <c r="E203" s="1746"/>
      <c r="F203" s="1746"/>
      <c r="G203" s="1746"/>
      <c r="H203" s="1746"/>
    </row>
    <row r="204" spans="1:8">
      <c r="A204" s="1746"/>
      <c r="B204" s="1746"/>
      <c r="C204" s="1746"/>
      <c r="D204" s="1746"/>
      <c r="E204" s="1746"/>
      <c r="F204" s="1746"/>
      <c r="G204" s="1746"/>
      <c r="H204" s="1746"/>
    </row>
    <row r="205" spans="1:8">
      <c r="A205" s="1746"/>
      <c r="B205" s="1746"/>
      <c r="C205" s="1746"/>
      <c r="D205" s="1746"/>
      <c r="E205" s="1746"/>
      <c r="F205" s="1746"/>
      <c r="G205" s="1746"/>
      <c r="H205" s="1746"/>
    </row>
    <row r="206" spans="1:8">
      <c r="A206" s="1746"/>
      <c r="B206" s="1746"/>
      <c r="C206" s="1746"/>
      <c r="D206" s="1746"/>
      <c r="E206" s="1746"/>
      <c r="F206" s="1746"/>
      <c r="G206" s="1746"/>
      <c r="H206" s="1746"/>
    </row>
    <row r="207" spans="1:8">
      <c r="A207" s="1746"/>
      <c r="B207" s="1746"/>
      <c r="C207" s="1746"/>
      <c r="D207" s="1746"/>
      <c r="E207" s="1746"/>
      <c r="F207" s="1746"/>
      <c r="G207" s="1746"/>
      <c r="H207" s="1746"/>
    </row>
    <row r="208" spans="1:8">
      <c r="A208" s="1746"/>
      <c r="B208" s="1746"/>
      <c r="C208" s="1746"/>
      <c r="D208" s="1746"/>
      <c r="E208" s="1746"/>
      <c r="F208" s="1746"/>
      <c r="G208" s="1746"/>
      <c r="H208" s="1746"/>
    </row>
    <row r="209" spans="1:8">
      <c r="A209" s="1746"/>
      <c r="B209" s="1746"/>
      <c r="C209" s="1746"/>
      <c r="D209" s="1746"/>
      <c r="E209" s="1746"/>
      <c r="F209" s="1746"/>
      <c r="G209" s="1746"/>
      <c r="H209" s="1746"/>
    </row>
    <row r="210" spans="1:8">
      <c r="A210" s="1746"/>
      <c r="B210" s="1746"/>
      <c r="C210" s="1746"/>
      <c r="D210" s="1746"/>
      <c r="E210" s="1746"/>
      <c r="F210" s="1746"/>
      <c r="G210" s="1746"/>
      <c r="H210" s="1746"/>
    </row>
    <row r="211" spans="1:8">
      <c r="A211" s="1746"/>
      <c r="B211" s="1746"/>
      <c r="C211" s="1746"/>
      <c r="D211" s="1746"/>
      <c r="E211" s="1746"/>
      <c r="F211" s="1746"/>
      <c r="G211" s="1746"/>
      <c r="H211" s="1746"/>
    </row>
    <row r="212" spans="1:8">
      <c r="A212" s="1746"/>
      <c r="B212" s="1746"/>
      <c r="C212" s="1746"/>
      <c r="D212" s="1746"/>
      <c r="E212" s="1746"/>
      <c r="F212" s="1746"/>
      <c r="G212" s="1746"/>
      <c r="H212" s="1746"/>
    </row>
    <row r="213" spans="1:8">
      <c r="A213" s="1746"/>
      <c r="B213" s="1746"/>
      <c r="C213" s="1746"/>
      <c r="D213" s="1746"/>
      <c r="E213" s="1746"/>
      <c r="F213" s="1746"/>
      <c r="G213" s="1746"/>
      <c r="H213" s="1746"/>
    </row>
    <row r="214" spans="1:8">
      <c r="A214" s="1746"/>
      <c r="B214" s="1746"/>
      <c r="C214" s="1746"/>
      <c r="D214" s="1746"/>
      <c r="E214" s="1746"/>
      <c r="F214" s="1746"/>
      <c r="G214" s="1746"/>
      <c r="H214" s="1746"/>
    </row>
    <row r="215" spans="1:8">
      <c r="A215" s="1746"/>
      <c r="B215" s="1746"/>
      <c r="C215" s="1746"/>
      <c r="D215" s="1746"/>
      <c r="E215" s="1746"/>
      <c r="F215" s="1746"/>
      <c r="G215" s="1746"/>
      <c r="H215" s="1746"/>
    </row>
    <row r="216" spans="1:8">
      <c r="A216" s="1746"/>
      <c r="B216" s="1746"/>
      <c r="C216" s="1746"/>
      <c r="D216" s="1746"/>
      <c r="E216" s="1746"/>
      <c r="F216" s="1746"/>
      <c r="G216" s="1746"/>
      <c r="H216" s="1746"/>
    </row>
    <row r="217" spans="1:8">
      <c r="A217" s="1746"/>
      <c r="B217" s="1746"/>
      <c r="C217" s="1746"/>
      <c r="D217" s="1746"/>
      <c r="E217" s="1746"/>
      <c r="F217" s="1746"/>
      <c r="G217" s="1746"/>
      <c r="H217" s="1746"/>
    </row>
    <row r="218" spans="1:8">
      <c r="A218" s="1746"/>
      <c r="B218" s="1746"/>
      <c r="C218" s="1746"/>
      <c r="D218" s="1746"/>
      <c r="E218" s="1746"/>
      <c r="F218" s="1746"/>
      <c r="G218" s="1746"/>
      <c r="H218" s="1746"/>
    </row>
    <row r="219" spans="1:8">
      <c r="A219" s="1746"/>
      <c r="B219" s="1746"/>
      <c r="C219" s="1746"/>
      <c r="D219" s="1746"/>
      <c r="E219" s="1746"/>
      <c r="F219" s="1746"/>
      <c r="G219" s="1746"/>
      <c r="H219" s="1746"/>
    </row>
    <row r="220" spans="1:8">
      <c r="A220" s="1746"/>
      <c r="B220" s="1746"/>
      <c r="C220" s="1746"/>
      <c r="D220" s="1746"/>
      <c r="E220" s="1746"/>
      <c r="F220" s="1746"/>
      <c r="G220" s="1746"/>
      <c r="H220" s="1746"/>
    </row>
    <row r="221" spans="1:8">
      <c r="A221" s="1746"/>
      <c r="B221" s="1746"/>
      <c r="C221" s="1746"/>
      <c r="D221" s="1746"/>
      <c r="E221" s="1746"/>
      <c r="F221" s="1746"/>
      <c r="G221" s="1746"/>
      <c r="H221" s="1746"/>
    </row>
    <row r="222" spans="1:8">
      <c r="A222" s="1746"/>
      <c r="B222" s="1746"/>
      <c r="C222" s="1746"/>
      <c r="D222" s="1746"/>
      <c r="E222" s="1746"/>
      <c r="F222" s="1746"/>
      <c r="G222" s="1746"/>
      <c r="H222" s="1746"/>
    </row>
    <row r="223" spans="1:8">
      <c r="A223" s="1746"/>
      <c r="B223" s="1746"/>
      <c r="C223" s="1746"/>
      <c r="D223" s="1746"/>
      <c r="E223" s="1746"/>
      <c r="F223" s="1746"/>
      <c r="G223" s="1746"/>
      <c r="H223" s="1746"/>
    </row>
    <row r="224" spans="1:8">
      <c r="A224" s="1746"/>
      <c r="B224" s="1746"/>
      <c r="C224" s="1746"/>
      <c r="D224" s="1746"/>
      <c r="E224" s="1746"/>
      <c r="F224" s="1746"/>
      <c r="G224" s="1746"/>
      <c r="H224" s="1746"/>
    </row>
    <row r="225" spans="1:8">
      <c r="A225" s="1746"/>
      <c r="B225" s="1746"/>
      <c r="C225" s="1746"/>
      <c r="D225" s="1746"/>
      <c r="E225" s="1746"/>
      <c r="F225" s="1746"/>
      <c r="G225" s="1746"/>
      <c r="H225" s="1746"/>
    </row>
    <row r="226" spans="1:8" ht="15.6">
      <c r="A226" s="1747" t="s">
        <v>1435</v>
      </c>
      <c r="B226" s="1746"/>
      <c r="C226" s="1746"/>
      <c r="D226" s="1746"/>
      <c r="E226" s="1746"/>
      <c r="F226" s="1746"/>
      <c r="G226" s="1746"/>
      <c r="H226" s="1746"/>
    </row>
    <row r="227" spans="1:8">
      <c r="A227" s="1746"/>
      <c r="B227" s="1746"/>
      <c r="C227" s="1746"/>
      <c r="D227" s="1746"/>
      <c r="E227" s="1746"/>
      <c r="F227" s="1746"/>
      <c r="G227" s="1746"/>
      <c r="H227" s="1746"/>
    </row>
    <row r="228" spans="1:8">
      <c r="A228" s="1746" t="s">
        <v>1436</v>
      </c>
      <c r="B228" s="1746"/>
      <c r="C228" s="1746"/>
      <c r="D228" s="1746"/>
      <c r="E228" s="1746"/>
      <c r="F228" s="1746"/>
      <c r="G228" s="1746"/>
      <c r="H228" s="1746"/>
    </row>
    <row r="229" spans="1:8">
      <c r="A229" s="1746" t="s">
        <v>1437</v>
      </c>
      <c r="B229" s="1746"/>
      <c r="C229" s="1746"/>
      <c r="D229" s="1746"/>
      <c r="E229" s="1746"/>
      <c r="F229" s="1746"/>
      <c r="G229" s="1746"/>
      <c r="H229" s="1746"/>
    </row>
    <row r="230" spans="1:8">
      <c r="A230" s="1746" t="s">
        <v>1438</v>
      </c>
      <c r="B230" s="1746"/>
      <c r="C230" s="1746"/>
      <c r="D230" s="1746"/>
      <c r="E230" s="1746"/>
      <c r="F230" s="1746"/>
      <c r="G230" s="1746"/>
      <c r="H230" s="1746"/>
    </row>
    <row r="231" spans="1:8">
      <c r="A231" s="1746" t="s">
        <v>1439</v>
      </c>
      <c r="B231" s="1746"/>
      <c r="C231" s="1746"/>
      <c r="D231" s="1746"/>
      <c r="E231" s="1746"/>
      <c r="F231" s="1746"/>
      <c r="G231" s="1746"/>
      <c r="H231" s="1746"/>
    </row>
    <row r="232" spans="1:8">
      <c r="A232" s="1746" t="s">
        <v>1440</v>
      </c>
      <c r="B232" s="1746"/>
      <c r="C232" s="1746"/>
      <c r="D232" s="1746"/>
      <c r="E232" s="1746"/>
      <c r="F232" s="1746"/>
      <c r="G232" s="1746"/>
      <c r="H232" s="1746"/>
    </row>
    <row r="233" spans="1:8">
      <c r="A233" s="1746"/>
      <c r="B233" s="1746"/>
      <c r="C233" s="1746"/>
      <c r="D233" s="1746"/>
      <c r="E233" s="1746"/>
      <c r="F233" s="1746"/>
      <c r="G233" s="1746"/>
      <c r="H233" s="1746"/>
    </row>
    <row r="234" spans="1:8">
      <c r="A234" s="1746" t="s">
        <v>1441</v>
      </c>
      <c r="B234" s="1746"/>
      <c r="C234" s="1746"/>
      <c r="D234" s="1746"/>
      <c r="E234" s="1746"/>
      <c r="F234" s="1746"/>
      <c r="G234" s="1746"/>
      <c r="H234" s="1746"/>
    </row>
    <row r="235" spans="1:8">
      <c r="A235" s="1746" t="s">
        <v>1442</v>
      </c>
      <c r="B235" s="1746"/>
      <c r="C235" s="1746"/>
      <c r="D235" s="1746"/>
      <c r="E235" s="1746"/>
      <c r="F235" s="1746"/>
      <c r="G235" s="1746"/>
      <c r="H235" s="1746"/>
    </row>
    <row r="236" spans="1:8">
      <c r="A236" s="1746" t="s">
        <v>1443</v>
      </c>
      <c r="B236" s="1746"/>
      <c r="C236" s="1746"/>
      <c r="D236" s="1746"/>
      <c r="E236" s="1746"/>
      <c r="F236" s="1746"/>
      <c r="G236" s="1746"/>
      <c r="H236" s="1746"/>
    </row>
    <row r="237" spans="1:8">
      <c r="A237" s="1746"/>
      <c r="B237" s="1746"/>
      <c r="C237" s="1746"/>
      <c r="D237" s="1746"/>
      <c r="E237" s="1746"/>
      <c r="F237" s="1746"/>
      <c r="G237" s="1746"/>
      <c r="H237" s="1746"/>
    </row>
    <row r="238" spans="1:8" ht="15.6">
      <c r="A238" s="1747" t="s">
        <v>1444</v>
      </c>
      <c r="B238" s="1746"/>
      <c r="C238" s="1746"/>
      <c r="D238" s="1746"/>
      <c r="E238" s="1746"/>
      <c r="F238" s="1746"/>
      <c r="G238" s="1746"/>
      <c r="H238" s="1746"/>
    </row>
    <row r="239" spans="1:8">
      <c r="A239" s="1746"/>
      <c r="B239" s="1746"/>
      <c r="C239" s="1746"/>
      <c r="D239" s="1746"/>
      <c r="E239" s="1746"/>
      <c r="F239" s="1746"/>
      <c r="G239" s="1746"/>
      <c r="H239" s="1746"/>
    </row>
    <row r="240" spans="1:8">
      <c r="A240" s="1746" t="s">
        <v>1445</v>
      </c>
      <c r="B240" s="1746"/>
      <c r="C240" s="1746"/>
      <c r="D240" s="1746"/>
      <c r="E240" s="1746"/>
      <c r="F240" s="1746"/>
      <c r="G240" s="1746"/>
      <c r="H240" s="1746"/>
    </row>
    <row r="241" spans="1:8">
      <c r="A241" s="1746" t="s">
        <v>1446</v>
      </c>
      <c r="B241" s="1746"/>
      <c r="C241" s="1746"/>
      <c r="D241" s="1746"/>
      <c r="E241" s="1746"/>
      <c r="F241" s="1746"/>
      <c r="G241" s="1746"/>
      <c r="H241" s="1746"/>
    </row>
    <row r="242" spans="1:8">
      <c r="A242" s="1746" t="s">
        <v>1447</v>
      </c>
      <c r="B242" s="1746"/>
      <c r="C242" s="1746"/>
      <c r="D242" s="1746"/>
      <c r="E242" s="1746"/>
      <c r="F242" s="1746"/>
      <c r="G242" s="1746"/>
      <c r="H242" s="1746"/>
    </row>
    <row r="243" spans="1:8">
      <c r="A243" s="1746" t="s">
        <v>1448</v>
      </c>
      <c r="B243" s="1746"/>
      <c r="C243" s="1746"/>
      <c r="D243" s="1746"/>
      <c r="E243" s="1746"/>
      <c r="F243" s="1746"/>
      <c r="G243" s="1746"/>
      <c r="H243" s="1746"/>
    </row>
    <row r="244" spans="1:8">
      <c r="A244" s="1746" t="s">
        <v>1449</v>
      </c>
      <c r="B244" s="1746"/>
      <c r="C244" s="1746"/>
      <c r="D244" s="1746"/>
      <c r="E244" s="1746"/>
      <c r="F244" s="1746"/>
      <c r="G244" s="1746"/>
      <c r="H244" s="1746"/>
    </row>
    <row r="245" spans="1:8">
      <c r="A245" s="1746" t="s">
        <v>1450</v>
      </c>
      <c r="B245" s="1746"/>
      <c r="C245" s="1746"/>
      <c r="D245" s="1746"/>
      <c r="E245" s="1746"/>
      <c r="F245" s="1746"/>
      <c r="G245" s="1746"/>
      <c r="H245" s="1746"/>
    </row>
    <row r="246" spans="1:8">
      <c r="A246" s="1746" t="s">
        <v>1451</v>
      </c>
      <c r="B246" s="1746"/>
      <c r="C246" s="1746"/>
      <c r="D246" s="1746"/>
      <c r="E246" s="1746"/>
      <c r="F246" s="1746"/>
      <c r="G246" s="1746"/>
      <c r="H246" s="1746"/>
    </row>
    <row r="247" spans="1:8">
      <c r="A247" s="1746"/>
      <c r="B247" s="1746"/>
      <c r="C247" s="1746"/>
      <c r="D247" s="1746"/>
      <c r="E247" s="1746"/>
      <c r="F247" s="1746"/>
      <c r="G247" s="1746"/>
      <c r="H247" s="1746"/>
    </row>
    <row r="248" spans="1:8">
      <c r="A248" s="1746" t="s">
        <v>1452</v>
      </c>
      <c r="B248" s="1746"/>
      <c r="C248" s="1746"/>
      <c r="D248" s="1746"/>
      <c r="E248" s="1746"/>
      <c r="F248" s="1746"/>
      <c r="G248" s="1746"/>
      <c r="H248" s="1746"/>
    </row>
    <row r="249" spans="1:8">
      <c r="A249" s="1746" t="s">
        <v>1453</v>
      </c>
      <c r="B249" s="1746"/>
      <c r="C249" s="1746"/>
      <c r="D249" s="1746"/>
      <c r="E249" s="1746"/>
      <c r="F249" s="1746"/>
      <c r="G249" s="1746"/>
      <c r="H249" s="1746"/>
    </row>
    <row r="250" spans="1:8">
      <c r="A250" s="1746" t="s">
        <v>1454</v>
      </c>
      <c r="B250" s="1746"/>
      <c r="C250" s="1746"/>
      <c r="D250" s="1746"/>
      <c r="E250" s="1746"/>
      <c r="F250" s="1746"/>
      <c r="G250" s="1746"/>
      <c r="H250" s="1746"/>
    </row>
    <row r="251" spans="1:8">
      <c r="A251" s="1746"/>
      <c r="B251" s="1746"/>
      <c r="C251" s="1746"/>
      <c r="D251" s="1746"/>
      <c r="E251" s="1746"/>
      <c r="F251" s="1746"/>
      <c r="G251" s="1746"/>
      <c r="H251" s="1746"/>
    </row>
    <row r="252" spans="1:8">
      <c r="A252" s="1746" t="s">
        <v>1455</v>
      </c>
      <c r="B252" s="1746"/>
      <c r="C252" s="1746"/>
      <c r="D252" s="1746"/>
      <c r="E252" s="1746"/>
      <c r="F252" s="1746"/>
      <c r="G252" s="1746"/>
      <c r="H252" s="1746"/>
    </row>
    <row r="253" spans="1:8">
      <c r="A253" s="1746" t="s">
        <v>1456</v>
      </c>
      <c r="B253" s="1746"/>
      <c r="C253" s="1746"/>
      <c r="D253" s="1746"/>
      <c r="E253" s="1746"/>
      <c r="F253" s="1746"/>
      <c r="G253" s="1746"/>
      <c r="H253" s="1746"/>
    </row>
    <row r="254" spans="1:8">
      <c r="A254" s="1746" t="s">
        <v>1457</v>
      </c>
      <c r="B254" s="1746"/>
      <c r="C254" s="1746"/>
      <c r="D254" s="1746"/>
      <c r="E254" s="1746"/>
      <c r="F254" s="1746"/>
      <c r="G254" s="1746"/>
      <c r="H254" s="1746"/>
    </row>
    <row r="255" spans="1:8">
      <c r="A255" s="1746" t="s">
        <v>1458</v>
      </c>
      <c r="B255" s="1746"/>
      <c r="C255" s="1746"/>
      <c r="D255" s="1746"/>
      <c r="E255" s="1746"/>
      <c r="F255" s="1746"/>
      <c r="G255" s="1746"/>
      <c r="H255" s="1746"/>
    </row>
    <row r="256" spans="1:8">
      <c r="A256" s="1746" t="s">
        <v>1459</v>
      </c>
      <c r="B256" s="1746"/>
      <c r="C256" s="1746"/>
      <c r="D256" s="1746"/>
      <c r="E256" s="1746"/>
      <c r="F256" s="1746"/>
      <c r="G256" s="1746"/>
      <c r="H256" s="1746"/>
    </row>
    <row r="257" spans="1:8">
      <c r="A257" s="1746"/>
      <c r="B257" s="1746"/>
      <c r="C257" s="1746"/>
      <c r="D257" s="1746"/>
      <c r="E257" s="1746"/>
      <c r="F257" s="1746"/>
      <c r="G257" s="1746"/>
      <c r="H257" s="1746"/>
    </row>
    <row r="258" spans="1:8">
      <c r="A258" s="1746" t="s">
        <v>1460</v>
      </c>
      <c r="B258" s="1746"/>
      <c r="C258" s="1746"/>
      <c r="D258" s="1746"/>
      <c r="E258" s="1746"/>
      <c r="F258" s="1746"/>
      <c r="G258" s="1746"/>
      <c r="H258" s="1746"/>
    </row>
    <row r="259" spans="1:8">
      <c r="A259" s="1746" t="s">
        <v>1461</v>
      </c>
      <c r="B259" s="1746"/>
      <c r="C259" s="1746"/>
      <c r="D259" s="1746"/>
      <c r="E259" s="1746"/>
      <c r="F259" s="1746"/>
      <c r="G259" s="1746"/>
      <c r="H259" s="1746"/>
    </row>
    <row r="260" spans="1:8">
      <c r="A260" s="1746" t="s">
        <v>1462</v>
      </c>
      <c r="B260" s="1746"/>
      <c r="C260" s="1746"/>
      <c r="D260" s="1746"/>
      <c r="E260" s="1746"/>
      <c r="F260" s="1746"/>
      <c r="G260" s="1746"/>
      <c r="H260" s="1746"/>
    </row>
    <row r="261" spans="1:8">
      <c r="A261" s="1746" t="s">
        <v>1463</v>
      </c>
      <c r="B261" s="1746"/>
      <c r="C261" s="1746"/>
      <c r="D261" s="1746"/>
      <c r="E261" s="1746"/>
      <c r="F261" s="1746"/>
      <c r="G261" s="1746"/>
      <c r="H261" s="1746"/>
    </row>
    <row r="262" spans="1:8">
      <c r="A262" s="1746" t="s">
        <v>1464</v>
      </c>
      <c r="B262" s="1746"/>
      <c r="C262" s="1746"/>
      <c r="D262" s="1746"/>
      <c r="E262" s="1746"/>
      <c r="F262" s="1746"/>
      <c r="G262" s="1746"/>
      <c r="H262" s="1746"/>
    </row>
    <row r="263" spans="1:8">
      <c r="A263" s="1746" t="s">
        <v>1465</v>
      </c>
      <c r="B263" s="1746"/>
      <c r="C263" s="1746"/>
      <c r="D263" s="1746"/>
      <c r="E263" s="1746"/>
      <c r="F263" s="1746"/>
      <c r="G263" s="1746"/>
      <c r="H263" s="1746"/>
    </row>
    <row r="264" spans="1:8">
      <c r="A264" s="1746"/>
      <c r="B264" s="1746"/>
      <c r="C264" s="1746"/>
      <c r="D264" s="1746"/>
      <c r="E264" s="1746"/>
      <c r="F264" s="1746"/>
      <c r="G264" s="1746"/>
      <c r="H264" s="1746"/>
    </row>
    <row r="265" spans="1:8">
      <c r="A265" s="1746" t="s">
        <v>1466</v>
      </c>
      <c r="B265" s="1746"/>
      <c r="C265" s="1746"/>
      <c r="D265" s="1746"/>
      <c r="E265" s="1746"/>
      <c r="F265" s="1746"/>
      <c r="G265" s="1746"/>
      <c r="H265" s="1746"/>
    </row>
    <row r="266" spans="1:8">
      <c r="A266" s="1746" t="s">
        <v>1467</v>
      </c>
      <c r="B266" s="1746"/>
      <c r="C266" s="1746"/>
      <c r="D266" s="1746"/>
      <c r="E266" s="1746"/>
      <c r="F266" s="1746"/>
      <c r="G266" s="1746"/>
      <c r="H266" s="1746"/>
    </row>
    <row r="267" spans="1:8">
      <c r="A267" s="1746" t="s">
        <v>1468</v>
      </c>
      <c r="B267" s="1746"/>
      <c r="C267" s="1746"/>
      <c r="D267" s="1746"/>
      <c r="E267" s="1746"/>
      <c r="F267" s="1746"/>
      <c r="G267" s="1746"/>
      <c r="H267" s="1746"/>
    </row>
    <row r="268" spans="1:8">
      <c r="A268" s="1746" t="s">
        <v>1469</v>
      </c>
      <c r="B268" s="1746"/>
      <c r="C268" s="1746"/>
      <c r="D268" s="1746"/>
      <c r="E268" s="1746"/>
      <c r="F268" s="1746"/>
      <c r="G268" s="1746"/>
      <c r="H268" s="1746"/>
    </row>
    <row r="269" spans="1:8">
      <c r="A269" s="1746" t="s">
        <v>1470</v>
      </c>
      <c r="B269" s="1746"/>
      <c r="C269" s="1746"/>
      <c r="D269" s="1746"/>
      <c r="E269" s="1746"/>
      <c r="F269" s="1746"/>
      <c r="G269" s="1746"/>
      <c r="H269" s="1746"/>
    </row>
    <row r="270" spans="1:8">
      <c r="A270" s="1746" t="s">
        <v>1471</v>
      </c>
      <c r="B270" s="1746"/>
      <c r="C270" s="1746"/>
      <c r="D270" s="1746"/>
      <c r="E270" s="1746"/>
      <c r="F270" s="1746"/>
      <c r="G270" s="1746"/>
      <c r="H270" s="1746"/>
    </row>
    <row r="271" spans="1:8">
      <c r="A271" s="1746" t="s">
        <v>1472</v>
      </c>
      <c r="B271" s="1746"/>
      <c r="C271" s="1746"/>
      <c r="D271" s="1746"/>
      <c r="E271" s="1746"/>
      <c r="F271" s="1746"/>
      <c r="G271" s="1746"/>
      <c r="H271" s="1746"/>
    </row>
    <row r="272" spans="1:8">
      <c r="A272" s="1746" t="s">
        <v>1473</v>
      </c>
      <c r="B272" s="1746"/>
      <c r="C272" s="1746"/>
      <c r="D272" s="1746"/>
      <c r="E272" s="1746"/>
      <c r="F272" s="1746"/>
      <c r="G272" s="1746"/>
      <c r="H272" s="1746"/>
    </row>
    <row r="273" spans="1:8">
      <c r="A273" s="1746" t="s">
        <v>1474</v>
      </c>
      <c r="B273" s="1746"/>
      <c r="C273" s="1746"/>
      <c r="D273" s="1746"/>
      <c r="E273" s="1746"/>
      <c r="F273" s="1746"/>
      <c r="G273" s="1746"/>
      <c r="H273" s="1746"/>
    </row>
    <row r="274" spans="1:8">
      <c r="A274" s="1746" t="s">
        <v>1475</v>
      </c>
      <c r="B274" s="1746"/>
      <c r="C274" s="1746"/>
      <c r="D274" s="1746"/>
      <c r="E274" s="1746"/>
      <c r="F274" s="1746"/>
      <c r="G274" s="1746"/>
      <c r="H274" s="1746"/>
    </row>
    <row r="275" spans="1:8">
      <c r="A275" s="1746" t="s">
        <v>1476</v>
      </c>
      <c r="B275" s="1746"/>
      <c r="C275" s="1746"/>
      <c r="D275" s="1746"/>
      <c r="E275" s="1746"/>
      <c r="F275" s="1746"/>
      <c r="G275" s="1746"/>
      <c r="H275" s="1746"/>
    </row>
    <row r="276" spans="1:8">
      <c r="A276" s="1746" t="s">
        <v>1477</v>
      </c>
      <c r="B276" s="1746"/>
      <c r="C276" s="1746"/>
      <c r="D276" s="1746"/>
      <c r="E276" s="1746"/>
      <c r="F276" s="1746"/>
      <c r="G276" s="1746"/>
      <c r="H276" s="1746"/>
    </row>
    <row r="277" spans="1:8">
      <c r="A277" s="1746" t="s">
        <v>1478</v>
      </c>
      <c r="B277" s="1746"/>
      <c r="C277" s="1746"/>
      <c r="D277" s="1746"/>
      <c r="E277" s="1746"/>
      <c r="F277" s="1746"/>
      <c r="G277" s="1746"/>
      <c r="H277" s="1746"/>
    </row>
    <row r="278" spans="1:8">
      <c r="A278" s="1746" t="s">
        <v>1479</v>
      </c>
      <c r="B278" s="1746"/>
      <c r="C278" s="1746"/>
      <c r="D278" s="1746"/>
      <c r="E278" s="1746"/>
      <c r="F278" s="1746"/>
      <c r="G278" s="1746"/>
      <c r="H278" s="1746"/>
    </row>
    <row r="279" spans="1:8">
      <c r="A279" s="1746"/>
      <c r="B279" s="1746"/>
      <c r="C279" s="1746"/>
      <c r="D279" s="1746"/>
      <c r="E279" s="1746"/>
      <c r="F279" s="1746"/>
      <c r="G279" s="1746"/>
      <c r="H279" s="1746"/>
    </row>
    <row r="280" spans="1:8">
      <c r="A280" s="1746" t="s">
        <v>1480</v>
      </c>
      <c r="B280" s="1746"/>
      <c r="C280" s="1746"/>
      <c r="D280" s="1746"/>
      <c r="E280" s="1746"/>
      <c r="F280" s="1746"/>
      <c r="G280" s="1746"/>
      <c r="H280" s="1746"/>
    </row>
    <row r="281" spans="1:8">
      <c r="A281" s="1746" t="s">
        <v>1481</v>
      </c>
      <c r="B281" s="1746"/>
      <c r="C281" s="1746"/>
      <c r="D281" s="1746"/>
      <c r="E281" s="1746"/>
      <c r="F281" s="1746"/>
      <c r="G281" s="1746"/>
      <c r="H281" s="1746"/>
    </row>
    <row r="282" spans="1:8">
      <c r="A282" s="1746"/>
      <c r="B282" s="1746"/>
      <c r="C282" s="1746"/>
      <c r="D282" s="1746"/>
      <c r="E282" s="1746"/>
      <c r="F282" s="1746"/>
      <c r="G282" s="1746"/>
      <c r="H282" s="1746"/>
    </row>
    <row r="283" spans="1:8">
      <c r="A283" s="1746" t="s">
        <v>1482</v>
      </c>
      <c r="B283" s="1746"/>
      <c r="C283" s="1746"/>
      <c r="D283" s="1746"/>
      <c r="E283" s="1746"/>
      <c r="F283" s="1746"/>
      <c r="G283" s="1746"/>
      <c r="H283" s="1746"/>
    </row>
    <row r="284" spans="1:8">
      <c r="A284" s="1746" t="s">
        <v>1483</v>
      </c>
      <c r="B284" s="1746"/>
      <c r="C284" s="1746"/>
      <c r="D284" s="1746"/>
      <c r="E284" s="1746"/>
      <c r="F284" s="1746"/>
      <c r="G284" s="1746"/>
      <c r="H284" s="1746"/>
    </row>
    <row r="285" spans="1:8">
      <c r="A285" s="1746" t="s">
        <v>1484</v>
      </c>
      <c r="B285" s="1746"/>
      <c r="C285" s="1746"/>
      <c r="D285" s="1746"/>
      <c r="E285" s="1746"/>
      <c r="F285" s="1746"/>
      <c r="G285" s="1746"/>
      <c r="H285" s="1746"/>
    </row>
    <row r="286" spans="1:8">
      <c r="A286" s="1746" t="s">
        <v>1485</v>
      </c>
      <c r="B286" s="1746"/>
      <c r="C286" s="1746"/>
      <c r="D286" s="1746"/>
      <c r="E286" s="1746"/>
      <c r="F286" s="1746"/>
      <c r="G286" s="1746"/>
      <c r="H286" s="1746"/>
    </row>
    <row r="287" spans="1:8">
      <c r="A287" s="1746" t="s">
        <v>1486</v>
      </c>
      <c r="B287" s="1746"/>
      <c r="C287" s="1746"/>
      <c r="D287" s="1746"/>
      <c r="E287" s="1746"/>
      <c r="F287" s="1746"/>
      <c r="G287" s="1746"/>
      <c r="H287" s="1746"/>
    </row>
    <row r="288" spans="1:8">
      <c r="A288" s="1746" t="s">
        <v>1487</v>
      </c>
      <c r="B288" s="1746"/>
      <c r="C288" s="1746"/>
      <c r="D288" s="1746"/>
      <c r="E288" s="1746"/>
      <c r="F288" s="1746"/>
      <c r="G288" s="1746"/>
      <c r="H288" s="1746"/>
    </row>
    <row r="289" spans="1:8">
      <c r="A289" s="1746" t="s">
        <v>1488</v>
      </c>
      <c r="B289" s="1746"/>
      <c r="C289" s="1746"/>
      <c r="D289" s="1746"/>
      <c r="E289" s="1746"/>
      <c r="F289" s="1746"/>
      <c r="G289" s="1746"/>
      <c r="H289" s="1746"/>
    </row>
    <row r="290" spans="1:8">
      <c r="A290" s="1746" t="s">
        <v>1489</v>
      </c>
      <c r="B290" s="1746"/>
      <c r="C290" s="1746"/>
      <c r="D290" s="1746"/>
      <c r="E290" s="1746"/>
      <c r="F290" s="1746"/>
      <c r="G290" s="1746"/>
      <c r="H290" s="1746"/>
    </row>
    <row r="291" spans="1:8">
      <c r="A291" s="1746" t="s">
        <v>1490</v>
      </c>
      <c r="B291" s="1746"/>
      <c r="C291" s="1746"/>
      <c r="D291" s="1746"/>
      <c r="E291" s="1746"/>
      <c r="F291" s="1746"/>
      <c r="G291" s="1746"/>
      <c r="H291" s="1746"/>
    </row>
    <row r="292" spans="1:8">
      <c r="A292" s="1746" t="s">
        <v>1491</v>
      </c>
      <c r="B292" s="1746"/>
      <c r="C292" s="1746"/>
      <c r="D292" s="1746"/>
      <c r="E292" s="1746"/>
      <c r="F292" s="1746"/>
      <c r="G292" s="1746"/>
      <c r="H292" s="1746"/>
    </row>
    <row r="293" spans="1:8">
      <c r="A293" s="1746" t="s">
        <v>1492</v>
      </c>
      <c r="B293" s="1746"/>
      <c r="C293" s="1746"/>
      <c r="D293" s="1746"/>
      <c r="E293" s="1746"/>
      <c r="F293" s="1746"/>
      <c r="G293" s="1746"/>
      <c r="H293" s="1746"/>
    </row>
    <row r="294" spans="1:8">
      <c r="A294" s="1746" t="s">
        <v>1493</v>
      </c>
      <c r="B294" s="1746"/>
      <c r="C294" s="1746"/>
      <c r="D294" s="1746"/>
      <c r="E294" s="1746"/>
      <c r="F294" s="1746"/>
      <c r="G294" s="1746"/>
      <c r="H294" s="1746"/>
    </row>
    <row r="295" spans="1:8">
      <c r="A295" s="1746" t="s">
        <v>1494</v>
      </c>
      <c r="B295" s="1746"/>
      <c r="C295" s="1746"/>
      <c r="D295" s="1746"/>
      <c r="E295" s="1746"/>
      <c r="F295" s="1746"/>
      <c r="G295" s="1746"/>
      <c r="H295" s="1746"/>
    </row>
    <row r="296" spans="1:8">
      <c r="A296" s="1746" t="s">
        <v>1495</v>
      </c>
      <c r="B296" s="1746"/>
      <c r="C296" s="1746"/>
      <c r="D296" s="1746"/>
      <c r="E296" s="1746"/>
      <c r="F296" s="1746"/>
      <c r="G296" s="1746"/>
      <c r="H296" s="1746"/>
    </row>
    <row r="297" spans="1:8">
      <c r="A297" s="1746" t="s">
        <v>1496</v>
      </c>
      <c r="B297" s="1746"/>
      <c r="C297" s="1746"/>
      <c r="D297" s="1746"/>
      <c r="E297" s="1746"/>
      <c r="F297" s="1746"/>
      <c r="G297" s="1746"/>
      <c r="H297" s="1746"/>
    </row>
    <row r="298" spans="1:8">
      <c r="A298" s="1746" t="s">
        <v>1497</v>
      </c>
      <c r="B298" s="1746"/>
      <c r="C298" s="1746"/>
      <c r="D298" s="1746"/>
      <c r="E298" s="1746"/>
      <c r="F298" s="1746"/>
      <c r="G298" s="1746"/>
      <c r="H298" s="1746"/>
    </row>
    <row r="299" spans="1:8">
      <c r="A299" s="1746"/>
      <c r="B299" s="1746"/>
      <c r="C299" s="1746"/>
      <c r="D299" s="1746"/>
      <c r="E299" s="1746"/>
      <c r="F299" s="1746"/>
      <c r="G299" s="1746"/>
      <c r="H299" s="1746"/>
    </row>
    <row r="300" spans="1:8">
      <c r="A300" s="1746" t="s">
        <v>1498</v>
      </c>
      <c r="B300" s="1746"/>
      <c r="C300" s="1746"/>
      <c r="D300" s="1746"/>
      <c r="E300" s="1746"/>
      <c r="F300" s="1746"/>
      <c r="G300" s="1746"/>
      <c r="H300" s="1746"/>
    </row>
    <row r="301" spans="1:8">
      <c r="A301" s="1746" t="s">
        <v>1499</v>
      </c>
      <c r="B301" s="1746"/>
      <c r="C301" s="1746"/>
      <c r="D301" s="1746"/>
      <c r="E301" s="1746"/>
      <c r="F301" s="1746"/>
      <c r="G301" s="1746"/>
      <c r="H301" s="1746"/>
    </row>
    <row r="302" spans="1:8">
      <c r="A302" s="1746" t="s">
        <v>1500</v>
      </c>
      <c r="B302" s="1746"/>
      <c r="C302" s="1746"/>
      <c r="D302" s="1746"/>
      <c r="E302" s="1746"/>
      <c r="F302" s="1746"/>
      <c r="G302" s="1746"/>
      <c r="H302" s="1746"/>
    </row>
    <row r="303" spans="1:8">
      <c r="A303" s="1746" t="s">
        <v>1501</v>
      </c>
      <c r="B303" s="1746"/>
      <c r="C303" s="1746"/>
      <c r="D303" s="1746"/>
      <c r="E303" s="1746"/>
      <c r="F303" s="1746"/>
      <c r="G303" s="1746"/>
      <c r="H303" s="1746"/>
    </row>
    <row r="304" spans="1:8">
      <c r="A304" s="1746" t="s">
        <v>1502</v>
      </c>
      <c r="B304" s="1746"/>
      <c r="C304" s="1746"/>
      <c r="D304" s="1746"/>
      <c r="E304" s="1746"/>
      <c r="F304" s="1746"/>
      <c r="G304" s="1746"/>
      <c r="H304" s="1746"/>
    </row>
    <row r="305" spans="1:8">
      <c r="A305" s="1746" t="s">
        <v>1503</v>
      </c>
      <c r="B305" s="1746"/>
      <c r="C305" s="1746"/>
      <c r="D305" s="1746"/>
      <c r="E305" s="1746"/>
      <c r="F305" s="1746"/>
      <c r="G305" s="1746"/>
      <c r="H305" s="1746"/>
    </row>
    <row r="306" spans="1:8">
      <c r="A306" s="1746" t="s">
        <v>1364</v>
      </c>
      <c r="B306" s="1746"/>
      <c r="C306" s="1746"/>
      <c r="D306" s="1746"/>
      <c r="E306" s="1746"/>
      <c r="F306" s="1746"/>
      <c r="G306" s="1746"/>
      <c r="H306" s="1746"/>
    </row>
    <row r="307" spans="1:8">
      <c r="A307" s="1746"/>
      <c r="B307" s="1746"/>
      <c r="C307" s="1746"/>
      <c r="D307" s="1746"/>
      <c r="E307" s="1746"/>
      <c r="F307" s="1746"/>
      <c r="G307" s="1746"/>
      <c r="H307" s="1746"/>
    </row>
    <row r="308" spans="1:8">
      <c r="A308" s="1746" t="s">
        <v>1504</v>
      </c>
      <c r="B308" s="1746"/>
      <c r="C308" s="1746"/>
      <c r="D308" s="1746"/>
      <c r="E308" s="1746"/>
      <c r="F308" s="1746"/>
      <c r="G308" s="1746"/>
      <c r="H308" s="1746"/>
    </row>
    <row r="309" spans="1:8">
      <c r="A309" s="1746" t="s">
        <v>1505</v>
      </c>
      <c r="B309" s="1746"/>
      <c r="C309" s="1746"/>
      <c r="D309" s="1746"/>
      <c r="E309" s="1746"/>
      <c r="F309" s="1746"/>
      <c r="G309" s="1746"/>
      <c r="H309" s="1746"/>
    </row>
    <row r="310" spans="1:8">
      <c r="A310" s="1746" t="s">
        <v>1506</v>
      </c>
      <c r="B310" s="1746"/>
      <c r="C310" s="1746"/>
      <c r="D310" s="1746"/>
      <c r="E310" s="1746"/>
      <c r="F310" s="1746"/>
      <c r="G310" s="1746"/>
      <c r="H310" s="1746"/>
    </row>
    <row r="311" spans="1:8">
      <c r="A311" s="1746" t="s">
        <v>1507</v>
      </c>
      <c r="B311" s="1746"/>
      <c r="C311" s="1746"/>
      <c r="D311" s="1746"/>
      <c r="E311" s="1746"/>
      <c r="F311" s="1746"/>
      <c r="G311" s="1746"/>
      <c r="H311" s="1746"/>
    </row>
    <row r="312" spans="1:8">
      <c r="A312" s="1746" t="s">
        <v>1508</v>
      </c>
      <c r="B312" s="1746"/>
      <c r="C312" s="1746"/>
      <c r="D312" s="1746"/>
      <c r="E312" s="1746"/>
      <c r="F312" s="1746"/>
      <c r="G312" s="1746"/>
      <c r="H312" s="1746"/>
    </row>
    <row r="313" spans="1:8">
      <c r="A313" s="1746" t="s">
        <v>1509</v>
      </c>
      <c r="B313" s="1746"/>
      <c r="C313" s="1746"/>
      <c r="D313" s="1746"/>
      <c r="E313" s="1746"/>
      <c r="F313" s="1746"/>
      <c r="G313" s="1746"/>
      <c r="H313" s="1746"/>
    </row>
    <row r="314" spans="1:8">
      <c r="A314" s="1746" t="s">
        <v>1510</v>
      </c>
      <c r="B314" s="1746"/>
      <c r="C314" s="1746"/>
      <c r="D314" s="1746"/>
      <c r="E314" s="1746"/>
      <c r="F314" s="1746"/>
      <c r="G314" s="1746"/>
      <c r="H314" s="1746"/>
    </row>
    <row r="315" spans="1:8">
      <c r="A315" s="1746" t="s">
        <v>1511</v>
      </c>
      <c r="B315" s="1746"/>
      <c r="C315" s="1746"/>
      <c r="D315" s="1746"/>
      <c r="E315" s="1746"/>
      <c r="F315" s="1746"/>
      <c r="G315" s="1746"/>
      <c r="H315" s="1746"/>
    </row>
    <row r="316" spans="1:8">
      <c r="A316" s="1746" t="s">
        <v>1512</v>
      </c>
      <c r="B316" s="1746"/>
      <c r="C316" s="1746"/>
      <c r="D316" s="1746"/>
      <c r="E316" s="1746"/>
      <c r="F316" s="1746"/>
      <c r="G316" s="1746"/>
      <c r="H316" s="1746"/>
    </row>
    <row r="317" spans="1:8">
      <c r="A317" s="1746"/>
      <c r="B317" s="1746"/>
      <c r="C317" s="1746"/>
      <c r="D317" s="1746"/>
      <c r="E317" s="1746"/>
      <c r="F317" s="1746"/>
      <c r="G317" s="1746"/>
      <c r="H317" s="1746"/>
    </row>
    <row r="318" spans="1:8">
      <c r="A318" s="1746" t="s">
        <v>1513</v>
      </c>
      <c r="B318" s="1746"/>
      <c r="C318" s="1746"/>
      <c r="D318" s="1746"/>
      <c r="E318" s="1746"/>
      <c r="F318" s="1746"/>
      <c r="G318" s="1746"/>
      <c r="H318" s="1746"/>
    </row>
    <row r="319" spans="1:8">
      <c r="A319" s="1746" t="s">
        <v>1514</v>
      </c>
      <c r="B319" s="1746"/>
      <c r="C319" s="1746"/>
      <c r="D319" s="1746"/>
      <c r="E319" s="1746"/>
      <c r="F319" s="1746"/>
      <c r="G319" s="1746"/>
      <c r="H319" s="1746"/>
    </row>
    <row r="320" spans="1:8">
      <c r="A320" s="1746" t="s">
        <v>1515</v>
      </c>
      <c r="B320" s="1746"/>
      <c r="C320" s="1746"/>
      <c r="D320" s="1746"/>
      <c r="E320" s="1746"/>
      <c r="F320" s="1746"/>
      <c r="G320" s="1746"/>
      <c r="H320" s="1746"/>
    </row>
    <row r="321" spans="1:8">
      <c r="A321" s="1746" t="s">
        <v>1516</v>
      </c>
      <c r="B321" s="1746"/>
      <c r="C321" s="1746"/>
      <c r="D321" s="1746"/>
      <c r="E321" s="1746"/>
      <c r="F321" s="1746"/>
      <c r="G321" s="1746"/>
      <c r="H321" s="1746"/>
    </row>
    <row r="322" spans="1:8">
      <c r="A322" s="1746" t="s">
        <v>1517</v>
      </c>
      <c r="B322" s="1746"/>
      <c r="C322" s="1746"/>
      <c r="D322" s="1746"/>
      <c r="E322" s="1746"/>
      <c r="F322" s="1746"/>
      <c r="G322" s="1746"/>
      <c r="H322" s="1746"/>
    </row>
    <row r="323" spans="1:8">
      <c r="A323" s="1746" t="s">
        <v>1518</v>
      </c>
      <c r="B323" s="1746"/>
      <c r="C323" s="1746"/>
      <c r="D323" s="1746"/>
      <c r="E323" s="1746"/>
      <c r="F323" s="1746"/>
      <c r="G323" s="1746"/>
      <c r="H323" s="1746"/>
    </row>
    <row r="324" spans="1:8">
      <c r="A324" s="1746" t="s">
        <v>1519</v>
      </c>
      <c r="B324" s="1746"/>
      <c r="C324" s="1746"/>
      <c r="D324" s="1746"/>
      <c r="E324" s="1746"/>
      <c r="F324" s="1746"/>
      <c r="G324" s="1746"/>
      <c r="H324" s="1746"/>
    </row>
    <row r="325" spans="1:8">
      <c r="A325" s="1746"/>
      <c r="B325" s="1746"/>
      <c r="C325" s="1746"/>
      <c r="D325" s="1746"/>
      <c r="E325" s="1746"/>
      <c r="F325" s="1746"/>
      <c r="G325" s="1746"/>
      <c r="H325" s="1746"/>
    </row>
    <row r="326" spans="1:8">
      <c r="A326" s="1746" t="s">
        <v>1520</v>
      </c>
      <c r="B326" s="1746"/>
      <c r="C326" s="1746"/>
      <c r="D326" s="1746"/>
      <c r="E326" s="1746"/>
      <c r="F326" s="1746"/>
      <c r="G326" s="1746"/>
      <c r="H326" s="1746"/>
    </row>
    <row r="327" spans="1:8">
      <c r="A327" s="1746" t="s">
        <v>1521</v>
      </c>
      <c r="B327" s="1746"/>
      <c r="C327" s="1746"/>
      <c r="D327" s="1746"/>
      <c r="E327" s="1746"/>
      <c r="F327" s="1746"/>
      <c r="G327" s="1746"/>
      <c r="H327" s="1746"/>
    </row>
    <row r="328" spans="1:8">
      <c r="A328" s="1746" t="s">
        <v>1522</v>
      </c>
      <c r="B328" s="1746"/>
      <c r="C328" s="1746"/>
      <c r="D328" s="1746"/>
      <c r="E328" s="1746"/>
      <c r="F328" s="1746"/>
      <c r="G328" s="1746"/>
      <c r="H328" s="1746"/>
    </row>
    <row r="329" spans="1:8">
      <c r="A329" s="1746"/>
      <c r="B329" s="1746"/>
      <c r="C329" s="1746"/>
      <c r="D329" s="1746"/>
      <c r="E329" s="1746"/>
      <c r="F329" s="1746"/>
      <c r="G329" s="1746"/>
      <c r="H329" s="1746"/>
    </row>
    <row r="330" spans="1:8">
      <c r="A330" s="1746" t="s">
        <v>1523</v>
      </c>
      <c r="B330" s="1746"/>
      <c r="C330" s="1746"/>
      <c r="D330" s="1746"/>
      <c r="E330" s="1746"/>
      <c r="F330" s="1746"/>
      <c r="G330" s="1746"/>
      <c r="H330" s="1746"/>
    </row>
    <row r="331" spans="1:8">
      <c r="A331" s="1746" t="s">
        <v>1524</v>
      </c>
      <c r="B331" s="1746"/>
      <c r="C331" s="1746"/>
      <c r="D331" s="1746"/>
      <c r="E331" s="1746"/>
      <c r="F331" s="1746"/>
      <c r="G331" s="1746"/>
      <c r="H331" s="1746"/>
    </row>
    <row r="332" spans="1:8">
      <c r="A332" s="1746"/>
      <c r="B332" s="1746"/>
      <c r="C332" s="1746"/>
      <c r="D332" s="1746"/>
      <c r="E332" s="1746"/>
      <c r="F332" s="1746"/>
      <c r="G332" s="1746"/>
      <c r="H332" s="1746"/>
    </row>
    <row r="333" spans="1:8">
      <c r="A333" s="1746" t="s">
        <v>1525</v>
      </c>
      <c r="B333" s="1746"/>
      <c r="C333" s="1746"/>
      <c r="D333" s="1746"/>
      <c r="E333" s="1746"/>
      <c r="F333" s="1746"/>
      <c r="G333" s="1746"/>
      <c r="H333" s="1746"/>
    </row>
    <row r="334" spans="1:8">
      <c r="A334" s="1746" t="s">
        <v>1526</v>
      </c>
      <c r="B334" s="1746"/>
      <c r="C334" s="1746"/>
      <c r="D334" s="1746"/>
      <c r="E334" s="1746"/>
      <c r="F334" s="1746"/>
      <c r="G334" s="1746"/>
      <c r="H334" s="1746"/>
    </row>
    <row r="335" spans="1:8">
      <c r="A335" s="1746" t="s">
        <v>1527</v>
      </c>
      <c r="B335" s="1746"/>
      <c r="C335" s="1746"/>
      <c r="D335" s="1746"/>
      <c r="E335" s="1746"/>
      <c r="F335" s="1746"/>
      <c r="G335" s="1746"/>
      <c r="H335" s="1746"/>
    </row>
    <row r="336" spans="1:8">
      <c r="A336" s="1746" t="s">
        <v>1528</v>
      </c>
      <c r="B336" s="1746"/>
      <c r="C336" s="1746"/>
      <c r="D336" s="1746"/>
      <c r="E336" s="1746"/>
      <c r="F336" s="1746"/>
      <c r="G336" s="1746"/>
      <c r="H336" s="1746"/>
    </row>
    <row r="337" spans="1:8">
      <c r="A337" s="1746" t="s">
        <v>1529</v>
      </c>
      <c r="B337" s="1746"/>
      <c r="C337" s="1746"/>
      <c r="D337" s="1746"/>
      <c r="E337" s="1746"/>
      <c r="F337" s="1746"/>
      <c r="G337" s="1746"/>
      <c r="H337" s="1746"/>
    </row>
    <row r="338" spans="1:8">
      <c r="A338" s="1746" t="s">
        <v>1530</v>
      </c>
      <c r="B338" s="1746"/>
      <c r="C338" s="1746"/>
      <c r="D338" s="1746"/>
      <c r="E338" s="1746"/>
      <c r="F338" s="1746"/>
      <c r="G338" s="1746"/>
      <c r="H338" s="1746"/>
    </row>
    <row r="339" spans="1:8">
      <c r="A339" s="1746" t="s">
        <v>1531</v>
      </c>
      <c r="B339" s="1746"/>
      <c r="C339" s="1746"/>
      <c r="D339" s="1746"/>
      <c r="E339" s="1746"/>
      <c r="F339" s="1746"/>
      <c r="G339" s="1746"/>
      <c r="H339" s="1746"/>
    </row>
    <row r="340" spans="1:8">
      <c r="A340" s="1746" t="s">
        <v>1532</v>
      </c>
      <c r="B340" s="1746"/>
      <c r="C340" s="1746"/>
      <c r="D340" s="1746"/>
      <c r="E340" s="1746"/>
      <c r="F340" s="1746"/>
      <c r="G340" s="1746"/>
      <c r="H340" s="1746"/>
    </row>
    <row r="341" spans="1:8">
      <c r="A341" s="1746" t="s">
        <v>1533</v>
      </c>
      <c r="B341" s="1746"/>
      <c r="C341" s="1746"/>
      <c r="D341" s="1746"/>
      <c r="E341" s="1746"/>
      <c r="F341" s="1746"/>
      <c r="G341" s="1746"/>
      <c r="H341" s="1746"/>
    </row>
    <row r="342" spans="1:8">
      <c r="A342" s="1746" t="s">
        <v>1534</v>
      </c>
      <c r="B342" s="1746"/>
      <c r="C342" s="1746"/>
      <c r="D342" s="1746"/>
      <c r="E342" s="1746"/>
      <c r="F342" s="1746"/>
      <c r="G342" s="1746"/>
      <c r="H342" s="1746"/>
    </row>
    <row r="343" spans="1:8">
      <c r="A343" s="1746" t="s">
        <v>1535</v>
      </c>
      <c r="B343" s="1746"/>
      <c r="C343" s="1746"/>
      <c r="D343" s="1746"/>
      <c r="E343" s="1746"/>
      <c r="F343" s="1746"/>
      <c r="G343" s="1746"/>
      <c r="H343" s="1746"/>
    </row>
    <row r="344" spans="1:8">
      <c r="A344" s="1746" t="s">
        <v>1536</v>
      </c>
      <c r="B344" s="1746"/>
      <c r="C344" s="1746"/>
      <c r="D344" s="1746"/>
      <c r="E344" s="1746"/>
      <c r="F344" s="1746"/>
      <c r="G344" s="1746"/>
      <c r="H344" s="1746"/>
    </row>
    <row r="345" spans="1:8">
      <c r="A345" s="1746" t="s">
        <v>1537</v>
      </c>
      <c r="B345" s="1746"/>
      <c r="C345" s="1746"/>
      <c r="D345" s="1746"/>
      <c r="E345" s="1746"/>
      <c r="F345" s="1746"/>
      <c r="G345" s="1746"/>
      <c r="H345" s="1746"/>
    </row>
    <row r="346" spans="1:8">
      <c r="A346" s="1746"/>
      <c r="B346" s="1746"/>
      <c r="C346" s="1746"/>
      <c r="D346" s="1746"/>
      <c r="E346" s="1746"/>
      <c r="F346" s="1746"/>
      <c r="G346" s="1746"/>
      <c r="H346" s="1746"/>
    </row>
    <row r="347" spans="1:8">
      <c r="A347" s="1746" t="s">
        <v>1538</v>
      </c>
      <c r="B347" s="1746"/>
      <c r="C347" s="1746"/>
      <c r="D347" s="1746"/>
      <c r="E347" s="1746"/>
      <c r="F347" s="1746"/>
      <c r="G347" s="1746"/>
      <c r="H347" s="1746"/>
    </row>
    <row r="348" spans="1:8">
      <c r="A348" s="1746" t="s">
        <v>1539</v>
      </c>
      <c r="B348" s="1746"/>
      <c r="C348" s="1746"/>
      <c r="D348" s="1746"/>
      <c r="E348" s="1746"/>
      <c r="F348" s="1746"/>
      <c r="G348" s="1746"/>
      <c r="H348" s="1746"/>
    </row>
    <row r="349" spans="1:8">
      <c r="A349" s="1746"/>
      <c r="B349" s="1746"/>
      <c r="C349" s="1746"/>
      <c r="D349" s="1746"/>
      <c r="E349" s="1746"/>
      <c r="F349" s="1746"/>
      <c r="G349" s="1746"/>
      <c r="H349" s="1746"/>
    </row>
    <row r="350" spans="1:8">
      <c r="A350" s="1746" t="s">
        <v>1540</v>
      </c>
      <c r="B350" s="1746"/>
      <c r="C350" s="1746"/>
      <c r="D350" s="1746"/>
      <c r="E350" s="1746"/>
      <c r="F350" s="1746"/>
      <c r="G350" s="1746"/>
      <c r="H350" s="1746"/>
    </row>
    <row r="351" spans="1:8">
      <c r="A351" s="1746" t="s">
        <v>1541</v>
      </c>
      <c r="B351" s="1746"/>
      <c r="C351" s="1746"/>
      <c r="D351" s="1746"/>
      <c r="E351" s="1746"/>
      <c r="F351" s="1746"/>
      <c r="G351" s="1746"/>
      <c r="H351" s="1746"/>
    </row>
    <row r="352" spans="1:8">
      <c r="A352" s="1746" t="s">
        <v>1542</v>
      </c>
      <c r="B352" s="1746"/>
      <c r="C352" s="1746"/>
      <c r="D352" s="1746"/>
      <c r="E352" s="1746"/>
      <c r="F352" s="1746"/>
      <c r="G352" s="1746"/>
      <c r="H352" s="1746"/>
    </row>
    <row r="353" spans="1:8">
      <c r="A353" s="1746" t="s">
        <v>1543</v>
      </c>
      <c r="B353" s="1746"/>
      <c r="C353" s="1746"/>
      <c r="D353" s="1746"/>
      <c r="E353" s="1746"/>
      <c r="F353" s="1746"/>
      <c r="G353" s="1746"/>
      <c r="H353" s="1746"/>
    </row>
    <row r="354" spans="1:8">
      <c r="A354" s="1746" t="s">
        <v>1544</v>
      </c>
      <c r="B354" s="1746"/>
      <c r="C354" s="1746"/>
      <c r="D354" s="1746"/>
      <c r="E354" s="1746"/>
      <c r="F354" s="1746"/>
      <c r="G354" s="1746"/>
      <c r="H354" s="1746"/>
    </row>
    <row r="355" spans="1:8">
      <c r="A355" s="1746" t="s">
        <v>1545</v>
      </c>
      <c r="B355" s="1746"/>
      <c r="C355" s="1746"/>
      <c r="D355" s="1746"/>
      <c r="E355" s="1746"/>
      <c r="F355" s="1746"/>
      <c r="G355" s="1746"/>
      <c r="H355" s="1746"/>
    </row>
    <row r="356" spans="1:8">
      <c r="A356" s="1746" t="s">
        <v>1546</v>
      </c>
      <c r="B356" s="1746"/>
      <c r="C356" s="1746"/>
      <c r="D356" s="1746"/>
      <c r="E356" s="1746"/>
      <c r="F356" s="1746"/>
      <c r="G356" s="1746"/>
      <c r="H356" s="1746"/>
    </row>
    <row r="357" spans="1:8">
      <c r="A357" s="1746" t="s">
        <v>1547</v>
      </c>
      <c r="B357" s="1746"/>
      <c r="C357" s="1746"/>
      <c r="D357" s="1746"/>
      <c r="E357" s="1746"/>
      <c r="F357" s="1746"/>
      <c r="G357" s="1746"/>
      <c r="H357" s="1746"/>
    </row>
    <row r="358" spans="1:8">
      <c r="A358" s="1746"/>
      <c r="B358" s="1746"/>
      <c r="C358" s="1746"/>
      <c r="D358" s="1746"/>
      <c r="E358" s="1746"/>
      <c r="F358" s="1746"/>
      <c r="G358" s="1746"/>
      <c r="H358" s="1746"/>
    </row>
    <row r="359" spans="1:8">
      <c r="A359" s="1746" t="s">
        <v>1548</v>
      </c>
      <c r="B359" s="1746"/>
      <c r="C359" s="1746"/>
      <c r="D359" s="1746"/>
      <c r="E359" s="1746"/>
      <c r="F359" s="1746"/>
      <c r="G359" s="1746"/>
      <c r="H359" s="1746"/>
    </row>
    <row r="360" spans="1:8">
      <c r="A360" s="1746" t="s">
        <v>1549</v>
      </c>
      <c r="B360" s="1746"/>
      <c r="C360" s="1746"/>
      <c r="D360" s="1746"/>
      <c r="E360" s="1746"/>
      <c r="F360" s="1746"/>
      <c r="G360" s="1746"/>
      <c r="H360" s="1746"/>
    </row>
    <row r="361" spans="1:8">
      <c r="A361" s="1746" t="s">
        <v>1550</v>
      </c>
      <c r="B361" s="1746"/>
      <c r="C361" s="1746"/>
      <c r="D361" s="1746"/>
      <c r="E361" s="1746"/>
      <c r="F361" s="1746"/>
      <c r="G361" s="1746"/>
      <c r="H361" s="1746"/>
    </row>
    <row r="362" spans="1:8">
      <c r="A362" s="1746" t="s">
        <v>1551</v>
      </c>
      <c r="B362" s="1746"/>
      <c r="C362" s="1746"/>
      <c r="D362" s="1746"/>
      <c r="E362" s="1746"/>
      <c r="F362" s="1746"/>
      <c r="G362" s="1746"/>
      <c r="H362" s="1746"/>
    </row>
    <row r="363" spans="1:8">
      <c r="A363" s="1746" t="s">
        <v>1552</v>
      </c>
      <c r="B363" s="1746"/>
      <c r="C363" s="1746"/>
      <c r="D363" s="1746"/>
      <c r="E363" s="1746"/>
      <c r="F363" s="1746"/>
      <c r="G363" s="1746"/>
      <c r="H363" s="1746"/>
    </row>
    <row r="364" spans="1:8">
      <c r="A364" s="1746" t="s">
        <v>1553</v>
      </c>
      <c r="B364" s="1746"/>
      <c r="C364" s="1746"/>
      <c r="D364" s="1746"/>
      <c r="E364" s="1746"/>
      <c r="F364" s="1746"/>
      <c r="G364" s="1746"/>
      <c r="H364" s="1746"/>
    </row>
    <row r="365" spans="1:8">
      <c r="A365" s="1746" t="s">
        <v>1554</v>
      </c>
      <c r="B365" s="1746"/>
      <c r="C365" s="1746"/>
      <c r="D365" s="1746"/>
      <c r="E365" s="1746"/>
      <c r="F365" s="1746"/>
      <c r="G365" s="1746"/>
      <c r="H365" s="1746"/>
    </row>
    <row r="366" spans="1:8">
      <c r="A366" s="1746" t="s">
        <v>1555</v>
      </c>
      <c r="B366" s="1746"/>
      <c r="C366" s="1746"/>
      <c r="D366" s="1746"/>
      <c r="E366" s="1746"/>
      <c r="F366" s="1746"/>
      <c r="G366" s="1746"/>
      <c r="H366" s="1746"/>
    </row>
    <row r="367" spans="1:8">
      <c r="A367" s="1746" t="s">
        <v>1556</v>
      </c>
      <c r="B367" s="1746"/>
      <c r="C367" s="1746"/>
      <c r="D367" s="1746"/>
      <c r="E367" s="1746"/>
      <c r="F367" s="1746"/>
      <c r="G367" s="1746"/>
      <c r="H367" s="1746"/>
    </row>
    <row r="368" spans="1:8">
      <c r="A368" s="1746" t="s">
        <v>1557</v>
      </c>
      <c r="B368" s="1746"/>
      <c r="C368" s="1746"/>
      <c r="D368" s="1746"/>
      <c r="E368" s="1746"/>
      <c r="F368" s="1746"/>
      <c r="G368" s="1746"/>
      <c r="H368" s="1746"/>
    </row>
    <row r="369" spans="1:8">
      <c r="A369" s="1746" t="s">
        <v>1558</v>
      </c>
      <c r="B369" s="1746"/>
      <c r="C369" s="1746"/>
      <c r="D369" s="1746"/>
      <c r="E369" s="1746"/>
      <c r="F369" s="1746"/>
      <c r="G369" s="1746"/>
      <c r="H369" s="1746"/>
    </row>
    <row r="370" spans="1:8">
      <c r="A370" s="1746" t="s">
        <v>1559</v>
      </c>
      <c r="B370" s="1746"/>
      <c r="C370" s="1746"/>
      <c r="D370" s="1746"/>
      <c r="E370" s="1746"/>
      <c r="F370" s="1746"/>
      <c r="G370" s="1746"/>
      <c r="H370" s="1746"/>
    </row>
    <row r="371" spans="1:8">
      <c r="A371" s="1746" t="s">
        <v>1560</v>
      </c>
      <c r="B371" s="1746"/>
      <c r="C371" s="1746"/>
      <c r="D371" s="1746"/>
      <c r="E371" s="1746"/>
      <c r="F371" s="1746"/>
      <c r="G371" s="1746"/>
      <c r="H371" s="1746"/>
    </row>
    <row r="372" spans="1:8">
      <c r="A372" s="1746" t="s">
        <v>1561</v>
      </c>
      <c r="B372" s="1746"/>
      <c r="C372" s="1746"/>
      <c r="D372" s="1746"/>
      <c r="E372" s="1746"/>
      <c r="F372" s="1746"/>
      <c r="G372" s="1746"/>
      <c r="H372" s="1746"/>
    </row>
    <row r="373" spans="1:8">
      <c r="A373" s="1746" t="s">
        <v>1562</v>
      </c>
      <c r="B373" s="1746"/>
      <c r="C373" s="1746"/>
      <c r="D373" s="1746"/>
      <c r="E373" s="1746"/>
      <c r="F373" s="1746"/>
      <c r="G373" s="1746"/>
      <c r="H373" s="1746"/>
    </row>
    <row r="374" spans="1:8">
      <c r="A374" s="1746" t="s">
        <v>1563</v>
      </c>
      <c r="B374" s="1746"/>
      <c r="C374" s="1746"/>
      <c r="D374" s="1746"/>
      <c r="E374" s="1746"/>
      <c r="F374" s="1746"/>
      <c r="G374" s="1746"/>
      <c r="H374" s="1746"/>
    </row>
    <row r="375" spans="1:8">
      <c r="A375" s="1746" t="s">
        <v>1564</v>
      </c>
      <c r="B375" s="1746"/>
      <c r="C375" s="1746"/>
      <c r="D375" s="1746"/>
      <c r="E375" s="1746"/>
      <c r="F375" s="1746"/>
      <c r="G375" s="1746"/>
      <c r="H375" s="1746"/>
    </row>
    <row r="376" spans="1:8">
      <c r="A376" s="1746" t="s">
        <v>1565</v>
      </c>
      <c r="B376" s="1746"/>
      <c r="C376" s="1746"/>
      <c r="D376" s="1746"/>
      <c r="E376" s="1746"/>
      <c r="F376" s="1746"/>
      <c r="G376" s="1746"/>
      <c r="H376" s="1746"/>
    </row>
    <row r="377" spans="1:8">
      <c r="A377" s="1746" t="s">
        <v>1566</v>
      </c>
      <c r="B377" s="1746"/>
      <c r="C377" s="1746"/>
      <c r="D377" s="1746"/>
      <c r="E377" s="1746"/>
      <c r="F377" s="1746"/>
      <c r="G377" s="1746"/>
      <c r="H377" s="1746"/>
    </row>
    <row r="378" spans="1:8">
      <c r="A378" s="1746" t="s">
        <v>1567</v>
      </c>
      <c r="B378" s="1746"/>
      <c r="C378" s="1746"/>
      <c r="D378" s="1746"/>
      <c r="E378" s="1746"/>
      <c r="F378" s="1746"/>
      <c r="G378" s="1746"/>
      <c r="H378" s="1746"/>
    </row>
    <row r="379" spans="1:8">
      <c r="A379" s="1746" t="s">
        <v>1568</v>
      </c>
      <c r="B379" s="1746"/>
      <c r="C379" s="1746"/>
      <c r="D379" s="1746"/>
      <c r="E379" s="1746"/>
      <c r="F379" s="1746"/>
      <c r="G379" s="1746"/>
      <c r="H379" s="1746"/>
    </row>
    <row r="380" spans="1:8">
      <c r="A380" s="1746" t="s">
        <v>1569</v>
      </c>
      <c r="B380" s="1746"/>
      <c r="C380" s="1746"/>
      <c r="D380" s="1746"/>
      <c r="E380" s="1746"/>
      <c r="F380" s="1746"/>
      <c r="G380" s="1746"/>
      <c r="H380" s="1746"/>
    </row>
    <row r="381" spans="1:8">
      <c r="A381" s="1746" t="s">
        <v>1570</v>
      </c>
      <c r="B381" s="1746"/>
      <c r="C381" s="1746"/>
      <c r="D381" s="1746"/>
      <c r="E381" s="1746"/>
      <c r="F381" s="1746"/>
      <c r="G381" s="1746"/>
      <c r="H381" s="1746"/>
    </row>
    <row r="382" spans="1:8">
      <c r="A382" s="1746" t="s">
        <v>1571</v>
      </c>
      <c r="B382" s="1746"/>
      <c r="C382" s="1746"/>
      <c r="D382" s="1746"/>
      <c r="E382" s="1746"/>
      <c r="F382" s="1746"/>
      <c r="G382" s="1746"/>
      <c r="H382" s="1746"/>
    </row>
    <row r="383" spans="1:8">
      <c r="A383" s="1746" t="s">
        <v>1572</v>
      </c>
      <c r="B383" s="1746"/>
      <c r="C383" s="1746"/>
      <c r="D383" s="1746"/>
      <c r="E383" s="1746"/>
      <c r="F383" s="1746"/>
      <c r="G383" s="1746"/>
      <c r="H383" s="1746"/>
    </row>
    <row r="384" spans="1:8">
      <c r="A384" s="1746" t="s">
        <v>1573</v>
      </c>
      <c r="B384" s="1746"/>
      <c r="C384" s="1746"/>
      <c r="D384" s="1746"/>
      <c r="E384" s="1746"/>
      <c r="F384" s="1746"/>
      <c r="G384" s="1746"/>
      <c r="H384" s="1746"/>
    </row>
    <row r="385" spans="1:8">
      <c r="A385" s="1746" t="s">
        <v>1574</v>
      </c>
      <c r="B385" s="1746"/>
      <c r="C385" s="1746"/>
      <c r="D385" s="1746"/>
      <c r="E385" s="1746"/>
      <c r="F385" s="1746"/>
      <c r="G385" s="1746"/>
      <c r="H385" s="1746"/>
    </row>
    <row r="386" spans="1:8">
      <c r="A386" s="1746" t="s">
        <v>1575</v>
      </c>
      <c r="B386" s="1746"/>
      <c r="C386" s="1746"/>
      <c r="D386" s="1746"/>
      <c r="E386" s="1746"/>
      <c r="F386" s="1746"/>
      <c r="G386" s="1746"/>
      <c r="H386" s="1746"/>
    </row>
    <row r="387" spans="1:8">
      <c r="A387" s="1746" t="s">
        <v>1576</v>
      </c>
      <c r="B387" s="1746"/>
      <c r="C387" s="1746"/>
      <c r="D387" s="1746"/>
      <c r="E387" s="1746"/>
      <c r="F387" s="1746"/>
      <c r="G387" s="1746"/>
      <c r="H387" s="1746"/>
    </row>
    <row r="388" spans="1:8">
      <c r="A388" s="1746" t="s">
        <v>1577</v>
      </c>
      <c r="B388" s="1746"/>
      <c r="C388" s="1746"/>
      <c r="D388" s="1746"/>
      <c r="E388" s="1746"/>
      <c r="F388" s="1746"/>
      <c r="G388" s="1746"/>
      <c r="H388" s="1746"/>
    </row>
    <row r="389" spans="1:8">
      <c r="A389" s="1746" t="s">
        <v>1578</v>
      </c>
      <c r="B389" s="1746"/>
      <c r="C389" s="1746"/>
      <c r="D389" s="1746"/>
      <c r="E389" s="1746"/>
      <c r="F389" s="1746"/>
      <c r="G389" s="1746"/>
      <c r="H389" s="1746"/>
    </row>
    <row r="390" spans="1:8">
      <c r="A390" s="1746" t="s">
        <v>1579</v>
      </c>
      <c r="B390" s="1746"/>
      <c r="C390" s="1746"/>
      <c r="D390" s="1746"/>
      <c r="E390" s="1746"/>
      <c r="F390" s="1746"/>
      <c r="G390" s="1746"/>
      <c r="H390" s="1746"/>
    </row>
    <row r="391" spans="1:8">
      <c r="A391" s="1746" t="s">
        <v>1580</v>
      </c>
      <c r="B391" s="1746"/>
      <c r="C391" s="1746"/>
      <c r="D391" s="1746"/>
      <c r="E391" s="1746"/>
      <c r="F391" s="1746"/>
      <c r="G391" s="1746"/>
      <c r="H391" s="1746"/>
    </row>
    <row r="392" spans="1:8">
      <c r="A392" s="1746" t="s">
        <v>1581</v>
      </c>
      <c r="B392" s="1746"/>
      <c r="C392" s="1746"/>
      <c r="D392" s="1746"/>
      <c r="E392" s="1746"/>
      <c r="F392" s="1746"/>
      <c r="G392" s="1746"/>
      <c r="H392" s="1746"/>
    </row>
    <row r="393" spans="1:8">
      <c r="A393" s="1746" t="s">
        <v>1582</v>
      </c>
      <c r="B393" s="1746"/>
      <c r="C393" s="1746"/>
      <c r="D393" s="1746"/>
      <c r="E393" s="1746"/>
      <c r="F393" s="1746"/>
      <c r="G393" s="1746"/>
      <c r="H393" s="1746"/>
    </row>
    <row r="394" spans="1:8">
      <c r="A394" s="1746" t="s">
        <v>1583</v>
      </c>
      <c r="B394" s="1746"/>
      <c r="C394" s="1746"/>
      <c r="D394" s="1746"/>
      <c r="E394" s="1746"/>
      <c r="F394" s="1746"/>
      <c r="G394" s="1746"/>
      <c r="H394" s="1746"/>
    </row>
    <row r="395" spans="1:8">
      <c r="A395" s="1746" t="s">
        <v>1584</v>
      </c>
      <c r="B395" s="1746"/>
      <c r="C395" s="1746"/>
      <c r="D395" s="1746"/>
      <c r="E395" s="1746"/>
      <c r="F395" s="1746"/>
      <c r="G395" s="1746"/>
      <c r="H395" s="1746"/>
    </row>
    <row r="396" spans="1:8">
      <c r="A396" s="1746" t="s">
        <v>1585</v>
      </c>
      <c r="B396" s="1746"/>
      <c r="C396" s="1746"/>
      <c r="D396" s="1746"/>
      <c r="E396" s="1746"/>
      <c r="F396" s="1746"/>
      <c r="G396" s="1746"/>
      <c r="H396" s="1746"/>
    </row>
    <row r="397" spans="1:8">
      <c r="A397" s="1746" t="s">
        <v>1586</v>
      </c>
      <c r="B397" s="1746"/>
      <c r="C397" s="1746"/>
      <c r="D397" s="1746"/>
      <c r="E397" s="1746"/>
      <c r="F397" s="1746"/>
      <c r="G397" s="1746"/>
      <c r="H397" s="1746"/>
    </row>
    <row r="398" spans="1:8">
      <c r="A398" s="1746" t="s">
        <v>1587</v>
      </c>
      <c r="B398" s="1746"/>
      <c r="C398" s="1746"/>
      <c r="D398" s="1746"/>
      <c r="E398" s="1746"/>
      <c r="F398" s="1746"/>
      <c r="G398" s="1746"/>
      <c r="H398" s="1746"/>
    </row>
    <row r="399" spans="1:8">
      <c r="A399" s="1746" t="s">
        <v>1588</v>
      </c>
      <c r="B399" s="1746"/>
      <c r="C399" s="1746"/>
      <c r="D399" s="1746"/>
      <c r="E399" s="1746"/>
      <c r="F399" s="1746"/>
      <c r="G399" s="1746"/>
      <c r="H399" s="1746"/>
    </row>
    <row r="400" spans="1:8">
      <c r="A400" s="1746" t="s">
        <v>1589</v>
      </c>
      <c r="B400" s="1746"/>
      <c r="C400" s="1746"/>
      <c r="D400" s="1746"/>
      <c r="E400" s="1746"/>
      <c r="F400" s="1746"/>
      <c r="G400" s="1746"/>
      <c r="H400" s="1746"/>
    </row>
    <row r="401" spans="1:8">
      <c r="A401" s="1746" t="s">
        <v>1590</v>
      </c>
      <c r="B401" s="1746"/>
      <c r="C401" s="1746"/>
      <c r="D401" s="1746"/>
      <c r="E401" s="1746"/>
      <c r="F401" s="1746"/>
      <c r="G401" s="1746"/>
      <c r="H401" s="1746"/>
    </row>
    <row r="402" spans="1:8">
      <c r="A402" s="1746" t="s">
        <v>1591</v>
      </c>
      <c r="B402" s="1746"/>
      <c r="C402" s="1746"/>
      <c r="D402" s="1746"/>
      <c r="E402" s="1746"/>
      <c r="F402" s="1746"/>
      <c r="G402" s="1746"/>
      <c r="H402" s="1746"/>
    </row>
    <row r="403" spans="1:8">
      <c r="A403" s="1746" t="s">
        <v>1592</v>
      </c>
      <c r="B403" s="1746"/>
      <c r="C403" s="1746"/>
      <c r="D403" s="1746"/>
      <c r="E403" s="1746"/>
      <c r="F403" s="1746"/>
      <c r="G403" s="1746"/>
      <c r="H403" s="1746"/>
    </row>
    <row r="404" spans="1:8">
      <c r="A404" s="1746" t="s">
        <v>1593</v>
      </c>
      <c r="B404" s="1746"/>
      <c r="C404" s="1746"/>
      <c r="D404" s="1746"/>
      <c r="E404" s="1746"/>
      <c r="F404" s="1746"/>
      <c r="G404" s="1746"/>
      <c r="H404" s="1746"/>
    </row>
    <row r="405" spans="1:8">
      <c r="A405" s="1746"/>
      <c r="B405" s="1746"/>
      <c r="C405" s="1746"/>
      <c r="D405" s="1746"/>
      <c r="E405" s="1746"/>
      <c r="F405" s="1746"/>
      <c r="G405" s="1746"/>
      <c r="H405" s="1746"/>
    </row>
    <row r="406" spans="1:8">
      <c r="A406" s="1746" t="s">
        <v>1594</v>
      </c>
      <c r="B406" s="1746"/>
      <c r="C406" s="1746"/>
      <c r="D406" s="1746"/>
      <c r="E406" s="1746"/>
      <c r="F406" s="1746"/>
      <c r="G406" s="1746"/>
      <c r="H406" s="1746"/>
    </row>
    <row r="407" spans="1:8">
      <c r="A407" s="1746" t="s">
        <v>1595</v>
      </c>
      <c r="B407" s="1746"/>
      <c r="C407" s="1746"/>
      <c r="D407" s="1746"/>
      <c r="E407" s="1746"/>
      <c r="F407" s="1746"/>
      <c r="G407" s="1746"/>
      <c r="H407" s="1746"/>
    </row>
    <row r="408" spans="1:8">
      <c r="A408" s="1746" t="s">
        <v>1596</v>
      </c>
      <c r="B408" s="1746"/>
      <c r="C408" s="1746"/>
      <c r="D408" s="1746"/>
      <c r="E408" s="1746"/>
      <c r="F408" s="1746"/>
      <c r="G408" s="1746"/>
      <c r="H408" s="1746"/>
    </row>
    <row r="409" spans="1:8">
      <c r="A409" s="1746" t="s">
        <v>1597</v>
      </c>
      <c r="B409" s="1746"/>
      <c r="C409" s="1746"/>
      <c r="D409" s="1746"/>
      <c r="E409" s="1746"/>
      <c r="F409" s="1746"/>
      <c r="G409" s="1746"/>
      <c r="H409" s="1746"/>
    </row>
    <row r="410" spans="1:8">
      <c r="A410" s="1746" t="s">
        <v>1598</v>
      </c>
      <c r="B410" s="1746"/>
      <c r="C410" s="1746"/>
      <c r="D410" s="1746"/>
      <c r="E410" s="1746"/>
      <c r="F410" s="1746"/>
      <c r="G410" s="1746"/>
      <c r="H410" s="1746"/>
    </row>
    <row r="411" spans="1:8">
      <c r="A411" s="1746" t="s">
        <v>1599</v>
      </c>
      <c r="B411" s="1746"/>
      <c r="C411" s="1746"/>
      <c r="D411" s="1746"/>
      <c r="E411" s="1746"/>
      <c r="F411" s="1746"/>
      <c r="G411" s="1746"/>
      <c r="H411" s="1746"/>
    </row>
    <row r="412" spans="1:8">
      <c r="A412" s="1746" t="s">
        <v>1600</v>
      </c>
      <c r="B412" s="1746"/>
      <c r="C412" s="1746"/>
      <c r="D412" s="1746"/>
      <c r="E412" s="1746"/>
      <c r="F412" s="1746"/>
      <c r="G412" s="1746"/>
      <c r="H412" s="1746"/>
    </row>
    <row r="413" spans="1:8">
      <c r="A413" s="1746" t="s">
        <v>1601</v>
      </c>
      <c r="B413" s="1746"/>
      <c r="C413" s="1746"/>
      <c r="D413" s="1746"/>
      <c r="E413" s="1746"/>
      <c r="F413" s="1746"/>
      <c r="G413" s="1746"/>
      <c r="H413" s="1746"/>
    </row>
    <row r="414" spans="1:8">
      <c r="A414" s="1746"/>
      <c r="B414" s="1746"/>
      <c r="C414" s="1746"/>
      <c r="D414" s="1746"/>
      <c r="E414" s="1746"/>
      <c r="F414" s="1746"/>
      <c r="G414" s="1746"/>
      <c r="H414" s="1746"/>
    </row>
    <row r="415" spans="1:8">
      <c r="A415" s="1746" t="s">
        <v>1594</v>
      </c>
      <c r="B415" s="1746"/>
      <c r="C415" s="1746"/>
      <c r="D415" s="1746"/>
      <c r="E415" s="1746"/>
      <c r="F415" s="1746"/>
      <c r="G415" s="1746"/>
      <c r="H415" s="1746"/>
    </row>
    <row r="416" spans="1:8">
      <c r="A416" s="1746" t="s">
        <v>1602</v>
      </c>
      <c r="B416" s="1746"/>
      <c r="C416" s="1746"/>
      <c r="D416" s="1746"/>
      <c r="E416" s="1746"/>
      <c r="F416" s="1746"/>
      <c r="G416" s="1746"/>
      <c r="H416" s="1746"/>
    </row>
    <row r="417" spans="1:8">
      <c r="A417" s="1746" t="s">
        <v>1603</v>
      </c>
      <c r="B417" s="1746"/>
      <c r="C417" s="1746"/>
      <c r="D417" s="1746"/>
      <c r="E417" s="1746"/>
      <c r="F417" s="1746"/>
      <c r="G417" s="1746"/>
      <c r="H417" s="1746"/>
    </row>
    <row r="418" spans="1:8">
      <c r="A418" s="1746" t="s">
        <v>1604</v>
      </c>
      <c r="B418" s="1746"/>
      <c r="C418" s="1746"/>
      <c r="D418" s="1746"/>
      <c r="E418" s="1746"/>
      <c r="F418" s="1746"/>
      <c r="G418" s="1746"/>
      <c r="H418" s="1746"/>
    </row>
    <row r="419" spans="1:8">
      <c r="A419" s="1746"/>
      <c r="B419" s="1746"/>
      <c r="C419" s="1746"/>
      <c r="D419" s="1746"/>
      <c r="E419" s="1746"/>
      <c r="F419" s="1746"/>
      <c r="G419" s="1746"/>
      <c r="H419" s="1746"/>
    </row>
    <row r="420" spans="1:8">
      <c r="A420" s="1746" t="s">
        <v>1605</v>
      </c>
      <c r="B420" s="1746"/>
      <c r="C420" s="1746"/>
      <c r="D420" s="1746"/>
      <c r="E420" s="1746"/>
      <c r="F420" s="1746"/>
      <c r="G420" s="1746"/>
      <c r="H420" s="1746"/>
    </row>
    <row r="421" spans="1:8">
      <c r="A421" s="1746" t="s">
        <v>1606</v>
      </c>
      <c r="B421" s="1746"/>
      <c r="C421" s="1746"/>
      <c r="D421" s="1746"/>
      <c r="E421" s="1746"/>
      <c r="F421" s="1746"/>
      <c r="G421" s="1746"/>
      <c r="H421" s="1746"/>
    </row>
    <row r="422" spans="1:8">
      <c r="A422" s="1746" t="s">
        <v>1607</v>
      </c>
      <c r="B422" s="1746"/>
      <c r="C422" s="1746"/>
      <c r="D422" s="1746"/>
      <c r="E422" s="1746"/>
      <c r="F422" s="1746"/>
      <c r="G422" s="1746"/>
      <c r="H422" s="1746"/>
    </row>
    <row r="423" spans="1:8">
      <c r="A423" s="1746" t="s">
        <v>1608</v>
      </c>
      <c r="B423" s="1746"/>
      <c r="C423" s="1746"/>
      <c r="D423" s="1746"/>
      <c r="E423" s="1746"/>
      <c r="F423" s="1746"/>
      <c r="G423" s="1746"/>
      <c r="H423" s="1746"/>
    </row>
    <row r="424" spans="1:8">
      <c r="A424" s="1746" t="s">
        <v>1609</v>
      </c>
      <c r="B424" s="1746"/>
      <c r="C424" s="1746"/>
      <c r="D424" s="1746"/>
      <c r="E424" s="1746"/>
      <c r="F424" s="1746"/>
      <c r="G424" s="1746"/>
      <c r="H424" s="1746"/>
    </row>
    <row r="425" spans="1:8">
      <c r="A425" s="1746" t="s">
        <v>1610</v>
      </c>
      <c r="B425" s="1746"/>
      <c r="C425" s="1746"/>
      <c r="D425" s="1746"/>
      <c r="E425" s="1746"/>
      <c r="F425" s="1746"/>
      <c r="G425" s="1746"/>
      <c r="H425" s="1746"/>
    </row>
    <row r="426" spans="1:8">
      <c r="A426" s="1746"/>
      <c r="B426" s="1746"/>
      <c r="C426" s="1746"/>
      <c r="D426" s="1746"/>
      <c r="E426" s="1746"/>
      <c r="F426" s="1746"/>
      <c r="G426" s="1746"/>
      <c r="H426" s="1746"/>
    </row>
    <row r="427" spans="1:8">
      <c r="A427" s="1746" t="s">
        <v>1611</v>
      </c>
      <c r="B427" s="1746"/>
      <c r="C427" s="1746"/>
      <c r="D427" s="1746"/>
      <c r="E427" s="1746"/>
      <c r="F427" s="1746"/>
      <c r="G427" s="1746"/>
      <c r="H427" s="1746"/>
    </row>
    <row r="428" spans="1:8">
      <c r="A428" s="1746" t="s">
        <v>1612</v>
      </c>
      <c r="B428" s="1746"/>
      <c r="C428" s="1746"/>
      <c r="D428" s="1746"/>
      <c r="E428" s="1746"/>
      <c r="F428" s="1746"/>
      <c r="G428" s="1746"/>
      <c r="H428" s="1746"/>
    </row>
    <row r="429" spans="1:8">
      <c r="A429" s="1746" t="s">
        <v>1613</v>
      </c>
      <c r="B429" s="1746"/>
      <c r="C429" s="1746"/>
      <c r="D429" s="1746"/>
      <c r="E429" s="1746"/>
      <c r="F429" s="1746"/>
      <c r="G429" s="1746"/>
      <c r="H429" s="1746"/>
    </row>
    <row r="430" spans="1:8">
      <c r="A430" s="1746" t="s">
        <v>1614</v>
      </c>
      <c r="B430" s="1746"/>
      <c r="C430" s="1746"/>
      <c r="D430" s="1746"/>
      <c r="E430" s="1746"/>
      <c r="F430" s="1746"/>
      <c r="G430" s="1746"/>
      <c r="H430" s="1746"/>
    </row>
    <row r="431" spans="1:8">
      <c r="A431" s="1746" t="s">
        <v>1615</v>
      </c>
      <c r="B431" s="1746"/>
      <c r="C431" s="1746"/>
      <c r="D431" s="1746"/>
      <c r="E431" s="1746"/>
      <c r="F431" s="1746"/>
      <c r="G431" s="1746"/>
      <c r="H431" s="1746"/>
    </row>
    <row r="432" spans="1:8">
      <c r="A432" s="1746"/>
      <c r="B432" s="1746"/>
      <c r="C432" s="1746"/>
      <c r="D432" s="1746"/>
      <c r="E432" s="1746"/>
      <c r="F432" s="1746"/>
      <c r="G432" s="1746"/>
      <c r="H432" s="1746"/>
    </row>
    <row r="433" spans="1:8">
      <c r="A433" s="1746" t="s">
        <v>1616</v>
      </c>
      <c r="B433" s="1746"/>
      <c r="C433" s="1746"/>
      <c r="D433" s="1746"/>
      <c r="E433" s="1746"/>
      <c r="F433" s="1746"/>
      <c r="G433" s="1746"/>
      <c r="H433" s="1746"/>
    </row>
    <row r="434" spans="1:8">
      <c r="A434" s="1746" t="s">
        <v>1617</v>
      </c>
      <c r="B434" s="1746"/>
      <c r="C434" s="1746"/>
      <c r="D434" s="1746"/>
      <c r="E434" s="1746"/>
      <c r="F434" s="1746"/>
      <c r="G434" s="1746"/>
      <c r="H434" s="1746"/>
    </row>
    <row r="435" spans="1:8">
      <c r="A435" s="1746"/>
      <c r="B435" s="1746"/>
      <c r="C435" s="1746"/>
      <c r="D435" s="1746"/>
      <c r="E435" s="1746"/>
      <c r="F435" s="1746"/>
      <c r="G435" s="1746"/>
      <c r="H435" s="1746"/>
    </row>
    <row r="436" spans="1:8">
      <c r="A436" s="1746" t="s">
        <v>1618</v>
      </c>
      <c r="B436" s="1746"/>
      <c r="C436" s="1746"/>
      <c r="D436" s="1746"/>
      <c r="E436" s="1746"/>
      <c r="F436" s="1746"/>
      <c r="G436" s="1746"/>
      <c r="H436" s="1746"/>
    </row>
    <row r="437" spans="1:8">
      <c r="A437" s="1746" t="s">
        <v>1619</v>
      </c>
      <c r="B437" s="1746"/>
      <c r="C437" s="1746"/>
      <c r="D437" s="1746"/>
      <c r="E437" s="1746"/>
      <c r="F437" s="1746"/>
      <c r="G437" s="1746"/>
      <c r="H437" s="1746"/>
    </row>
    <row r="438" spans="1:8">
      <c r="A438" s="1746"/>
      <c r="B438" s="1746"/>
      <c r="C438" s="1746"/>
      <c r="D438" s="1746"/>
      <c r="E438" s="1746"/>
      <c r="F438" s="1746"/>
      <c r="G438" s="1746"/>
      <c r="H438" s="1746"/>
    </row>
    <row r="439" spans="1:8">
      <c r="A439" s="1746" t="s">
        <v>1620</v>
      </c>
      <c r="B439" s="1746"/>
      <c r="C439" s="1746"/>
      <c r="D439" s="1746"/>
      <c r="E439" s="1746"/>
      <c r="F439" s="1746"/>
      <c r="G439" s="1746"/>
      <c r="H439" s="1746"/>
    </row>
    <row r="440" spans="1:8">
      <c r="A440" s="1746" t="s">
        <v>1621</v>
      </c>
      <c r="B440" s="1746"/>
      <c r="C440" s="1746"/>
      <c r="D440" s="1746"/>
      <c r="E440" s="1746"/>
      <c r="F440" s="1746"/>
      <c r="G440" s="1746"/>
      <c r="H440" s="1746"/>
    </row>
    <row r="441" spans="1:8">
      <c r="A441" s="1746" t="s">
        <v>1622</v>
      </c>
      <c r="B441" s="1746"/>
      <c r="C441" s="1746"/>
      <c r="D441" s="1746"/>
      <c r="E441" s="1746"/>
      <c r="F441" s="1746"/>
      <c r="G441" s="1746"/>
      <c r="H441" s="1746"/>
    </row>
    <row r="442" spans="1:8">
      <c r="A442" s="1746" t="s">
        <v>1623</v>
      </c>
      <c r="B442" s="1746"/>
      <c r="C442" s="1746"/>
      <c r="D442" s="1746"/>
      <c r="E442" s="1746"/>
      <c r="F442" s="1746"/>
      <c r="G442" s="1746"/>
      <c r="H442" s="1746"/>
    </row>
    <row r="443" spans="1:8">
      <c r="A443" s="1746"/>
      <c r="B443" s="1746"/>
      <c r="C443" s="1746"/>
      <c r="D443" s="1746"/>
      <c r="E443" s="1746"/>
      <c r="F443" s="1746"/>
      <c r="G443" s="1746"/>
      <c r="H443" s="1746"/>
    </row>
    <row r="444" spans="1:8">
      <c r="A444" s="1746" t="s">
        <v>1624</v>
      </c>
      <c r="B444" s="1746"/>
      <c r="C444" s="1746"/>
      <c r="D444" s="1746"/>
      <c r="E444" s="1746"/>
      <c r="F444" s="1746"/>
      <c r="G444" s="1746"/>
      <c r="H444" s="1746"/>
    </row>
    <row r="445" spans="1:8">
      <c r="A445" s="1746" t="s">
        <v>1625</v>
      </c>
      <c r="B445" s="1746"/>
      <c r="C445" s="1746"/>
      <c r="D445" s="1746"/>
      <c r="E445" s="1746"/>
      <c r="F445" s="1746"/>
      <c r="G445" s="1746"/>
      <c r="H445" s="1746"/>
    </row>
    <row r="446" spans="1:8">
      <c r="A446" s="1746"/>
      <c r="B446" s="1746"/>
      <c r="C446" s="1746"/>
      <c r="D446" s="1746"/>
      <c r="E446" s="1746"/>
      <c r="F446" s="1746"/>
      <c r="G446" s="1746"/>
      <c r="H446" s="1746"/>
    </row>
    <row r="447" spans="1:8">
      <c r="A447" s="1746" t="s">
        <v>1626</v>
      </c>
      <c r="B447" s="1746"/>
      <c r="C447" s="1746"/>
      <c r="D447" s="1746"/>
      <c r="E447" s="1746"/>
      <c r="F447" s="1746"/>
      <c r="G447" s="1746"/>
      <c r="H447" s="1746"/>
    </row>
    <row r="448" spans="1:8">
      <c r="A448" s="1746" t="s">
        <v>1627</v>
      </c>
      <c r="B448" s="1746"/>
      <c r="C448" s="1746"/>
      <c r="D448" s="1746"/>
      <c r="E448" s="1746"/>
      <c r="F448" s="1746"/>
      <c r="G448" s="1746"/>
      <c r="H448" s="1746"/>
    </row>
    <row r="449" spans="1:8">
      <c r="A449" s="1746" t="s">
        <v>1628</v>
      </c>
      <c r="B449" s="1746"/>
      <c r="C449" s="1746"/>
      <c r="D449" s="1746"/>
      <c r="E449" s="1746"/>
      <c r="F449" s="1746"/>
      <c r="G449" s="1746"/>
      <c r="H449" s="1746"/>
    </row>
    <row r="450" spans="1:8">
      <c r="A450" s="1746" t="s">
        <v>1629</v>
      </c>
      <c r="B450" s="1746"/>
      <c r="C450" s="1746"/>
      <c r="D450" s="1746"/>
      <c r="E450" s="1746"/>
      <c r="F450" s="1746"/>
      <c r="G450" s="1746"/>
      <c r="H450" s="1746"/>
    </row>
    <row r="452" spans="1:8">
      <c r="A452" s="970" t="s">
        <v>1630</v>
      </c>
    </row>
  </sheetData>
  <mergeCells count="3">
    <mergeCell ref="B146:C146"/>
    <mergeCell ref="D146:F146"/>
    <mergeCell ref="G146:H146"/>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6">
    <tabColor rgb="FFFF0000"/>
    <pageSetUpPr fitToPage="1"/>
  </sheetPr>
  <dimension ref="A1:GF251"/>
  <sheetViews>
    <sheetView workbookViewId="0">
      <selection activeCell="FS25" sqref="FS25"/>
    </sheetView>
  </sheetViews>
  <sheetFormatPr defaultColWidth="6.6640625" defaultRowHeight="13.2" outlineLevelCol="1"/>
  <cols>
    <col min="1" max="2" width="1.5546875" customWidth="1"/>
    <col min="3" max="3" width="31" customWidth="1"/>
    <col min="4" max="10" width="9.109375" hidden="1" customWidth="1" outlineLevel="1"/>
    <col min="11" max="11" width="7.33203125" hidden="1" customWidth="1" outlineLevel="1"/>
    <col min="12" max="14" width="9.109375" hidden="1" customWidth="1" outlineLevel="1"/>
    <col min="15" max="15" width="7.44140625" hidden="1" customWidth="1" outlineLevel="1"/>
    <col min="16" max="17" width="8.109375" hidden="1" customWidth="1" outlineLevel="1"/>
    <col min="18" max="18" width="8.109375" hidden="1" customWidth="1" outlineLevel="1" collapsed="1"/>
    <col min="19" max="19" width="6.33203125" hidden="1" customWidth="1" outlineLevel="1"/>
    <col min="20" max="21" width="9.33203125" hidden="1" customWidth="1" outlineLevel="1"/>
    <col min="22" max="22" width="8.109375" hidden="1" customWidth="1" outlineLevel="1" collapsed="1"/>
    <col min="23" max="23" width="5.33203125" hidden="1" customWidth="1" outlineLevel="1"/>
    <col min="24" max="24" width="6.44140625" hidden="1" customWidth="1" outlineLevel="1"/>
    <col min="25" max="25" width="8" hidden="1" customWidth="1" outlineLevel="1"/>
    <col min="26" max="26" width="7.5546875" hidden="1" customWidth="1" outlineLevel="1" collapsed="1"/>
    <col min="27" max="27" width="6.5546875" hidden="1" customWidth="1" outlineLevel="1"/>
    <col min="28" max="29" width="8.109375" hidden="1" customWidth="1" outlineLevel="1"/>
    <col min="30" max="30" width="8.109375" hidden="1" customWidth="1" outlineLevel="1" collapsed="1"/>
    <col min="31" max="31" width="2.33203125" hidden="1" customWidth="1" outlineLevel="1" collapsed="1"/>
    <col min="32" max="33" width="8.109375" hidden="1" customWidth="1" outlineLevel="1"/>
    <col min="34" max="34" width="8.109375" hidden="1" customWidth="1" outlineLevel="1" collapsed="1"/>
    <col min="35" max="35" width="2.33203125" hidden="1" customWidth="1" outlineLevel="1"/>
    <col min="36" max="37" width="8.109375" hidden="1" customWidth="1" outlineLevel="1"/>
    <col min="38" max="38" width="8.109375" hidden="1" customWidth="1" outlineLevel="1" collapsed="1"/>
    <col min="39" max="39" width="2.33203125" hidden="1" customWidth="1" outlineLevel="1"/>
    <col min="40" max="41" width="8.109375" hidden="1" customWidth="1" outlineLevel="1"/>
    <col min="42" max="42" width="8.109375" hidden="1" customWidth="1" outlineLevel="1" collapsed="1"/>
    <col min="43" max="47" width="8.109375" hidden="1" customWidth="1" outlineLevel="1"/>
    <col min="48" max="48" width="8.109375" hidden="1" customWidth="1" outlineLevel="1" collapsed="1"/>
    <col min="49" max="49" width="8.109375" hidden="1" customWidth="1" outlineLevel="1"/>
    <col min="50" max="50" width="8.109375" hidden="1" customWidth="1" collapsed="1"/>
    <col min="51" max="53" width="8.109375" hidden="1" customWidth="1" outlineLevel="1"/>
    <col min="54" max="54" width="8.109375" hidden="1" customWidth="1" collapsed="1"/>
    <col min="55" max="55" width="8.109375" hidden="1" customWidth="1" outlineLevel="1"/>
    <col min="56" max="56" width="8.109375" hidden="1" customWidth="1" collapsed="1"/>
    <col min="57" max="58" width="8.109375" hidden="1" customWidth="1"/>
    <col min="59" max="61" width="8.109375" hidden="1" customWidth="1" outlineLevel="1"/>
    <col min="62" max="62" width="8.109375" hidden="1" customWidth="1" collapsed="1"/>
    <col min="63" max="65" width="8.109375" hidden="1" customWidth="1" outlineLevel="1"/>
    <col min="66" max="66" width="8.109375" hidden="1" customWidth="1" collapsed="1"/>
    <col min="67" max="69" width="8.109375" hidden="1" customWidth="1" outlineLevel="1"/>
    <col min="70" max="70" width="8.109375" hidden="1" customWidth="1" collapsed="1"/>
    <col min="71" max="73" width="8.109375" hidden="1" customWidth="1" outlineLevel="1"/>
    <col min="74" max="74" width="8.109375" hidden="1" customWidth="1" collapsed="1"/>
    <col min="75" max="75" width="8.109375" hidden="1" customWidth="1" outlineLevel="1"/>
    <col min="76" max="77" width="8.109375" customWidth="1" outlineLevel="1"/>
    <col min="78" max="78" width="8.109375" customWidth="1"/>
    <col min="79" max="79" width="8.109375" hidden="1" customWidth="1" outlineLevel="1"/>
    <col min="80" max="81" width="8.109375" customWidth="1" outlineLevel="1"/>
    <col min="82" max="82" width="8.109375" customWidth="1"/>
    <col min="83" max="85" width="8.109375" hidden="1" customWidth="1" outlineLevel="1"/>
    <col min="86" max="86" width="8.109375" customWidth="1" collapsed="1"/>
    <col min="87" max="89" width="8.109375" hidden="1" customWidth="1" outlineLevel="1"/>
    <col min="90" max="90" width="8.109375" customWidth="1" collapsed="1"/>
    <col min="91" max="91" width="2.109375" customWidth="1"/>
    <col min="92" max="92" width="40" customWidth="1"/>
    <col min="93" max="94" width="8.109375" hidden="1" customWidth="1" outlineLevel="1"/>
    <col min="95" max="95" width="8.33203125" hidden="1" customWidth="1" collapsed="1"/>
    <col min="96" max="96" width="9.109375" hidden="1" customWidth="1" outlineLevel="1"/>
    <col min="97" max="98" width="8.109375" hidden="1" customWidth="1" outlineLevel="1"/>
    <col min="99" max="99" width="8.109375" hidden="1" customWidth="1" collapsed="1"/>
    <col min="100" max="100" width="8.33203125" hidden="1" customWidth="1" outlineLevel="1"/>
    <col min="101" max="102" width="8.109375" hidden="1" customWidth="1" outlineLevel="1"/>
    <col min="103" max="103" width="8.109375" hidden="1" customWidth="1" collapsed="1"/>
    <col min="104" max="104" width="8.33203125" hidden="1" customWidth="1" outlineLevel="1"/>
    <col min="105" max="106" width="8.109375" hidden="1" customWidth="1" outlineLevel="1"/>
    <col min="107" max="107" width="8.109375" hidden="1" customWidth="1" collapsed="1"/>
    <col min="108" max="108" width="8.33203125" hidden="1" customWidth="1" outlineLevel="1"/>
    <col min="109" max="110" width="8.109375" hidden="1" customWidth="1" outlineLevel="1"/>
    <col min="111" max="111" width="8.109375" hidden="1" customWidth="1" collapsed="1"/>
    <col min="112" max="112" width="8.33203125" hidden="1" customWidth="1" outlineLevel="1"/>
    <col min="113" max="114" width="8.109375" hidden="1" customWidth="1" outlineLevel="1"/>
    <col min="115" max="115" width="8.109375" hidden="1" customWidth="1" collapsed="1"/>
    <col min="116" max="116" width="8.33203125" hidden="1" customWidth="1" outlineLevel="1"/>
    <col min="117" max="118" width="8.109375" hidden="1" customWidth="1" outlineLevel="1"/>
    <col min="119" max="119" width="8.109375" hidden="1" customWidth="1" collapsed="1"/>
    <col min="120" max="122" width="8.109375" hidden="1" customWidth="1" outlineLevel="1"/>
    <col min="123" max="123" width="8.109375" hidden="1" customWidth="1" collapsed="1"/>
    <col min="124" max="126" width="8.109375" hidden="1" customWidth="1" outlineLevel="1"/>
    <col min="127" max="127" width="8.109375" hidden="1" customWidth="1" collapsed="1"/>
    <col min="128" max="130" width="8.109375" hidden="1" customWidth="1" outlineLevel="1"/>
    <col min="131" max="131" width="8.109375" hidden="1" customWidth="1" collapsed="1"/>
    <col min="132" max="134" width="8.109375" hidden="1" customWidth="1" outlineLevel="1"/>
    <col min="135" max="135" width="8.109375" hidden="1" customWidth="1" collapsed="1"/>
    <col min="136" max="138" width="8.109375" hidden="1" customWidth="1" outlineLevel="1"/>
    <col min="139" max="139" width="8.109375" hidden="1" customWidth="1" collapsed="1"/>
    <col min="140" max="142" width="8.109375" hidden="1" customWidth="1" outlineLevel="1"/>
    <col min="143" max="143" width="8.109375" hidden="1" customWidth="1" collapsed="1"/>
    <col min="144" max="146" width="8.109375" hidden="1" customWidth="1" outlineLevel="1"/>
    <col min="147" max="147" width="8.109375" hidden="1" customWidth="1" collapsed="1"/>
    <col min="148" max="150" width="8.109375" hidden="1" customWidth="1" outlineLevel="1"/>
    <col min="151" max="151" width="8.109375" hidden="1" customWidth="1" collapsed="1"/>
    <col min="152" max="154" width="8.109375" hidden="1" customWidth="1" outlineLevel="1"/>
    <col min="155" max="155" width="8.109375" customWidth="1" collapsed="1"/>
    <col min="156" max="158" width="8.109375" hidden="1" customWidth="1" outlineLevel="1"/>
    <col min="159" max="159" width="8.109375" customWidth="1" collapsed="1"/>
    <col min="160" max="162" width="8.109375" hidden="1" customWidth="1" outlineLevel="1"/>
    <col min="163" max="163" width="8.109375" customWidth="1" collapsed="1"/>
    <col min="164" max="166" width="8.109375" hidden="1" customWidth="1" outlineLevel="1"/>
    <col min="167" max="167" width="8.109375" customWidth="1" collapsed="1"/>
    <col min="169" max="169" width="21.5546875" customWidth="1"/>
    <col min="170" max="173" width="9.33203125" hidden="1" customWidth="1"/>
    <col min="174" max="174" width="2.88671875" hidden="1" customWidth="1"/>
    <col min="175" max="175" width="8.44140625" customWidth="1"/>
    <col min="176" max="178" width="9.33203125" hidden="1" customWidth="1"/>
    <col min="179" max="179" width="9.88671875" customWidth="1"/>
    <col min="180" max="182" width="9.33203125" hidden="1" customWidth="1"/>
    <col min="183" max="183" width="7.6640625" customWidth="1"/>
    <col min="184" max="186" width="0" hidden="1" customWidth="1"/>
    <col min="187" max="187" width="7.6640625" customWidth="1"/>
    <col min="188" max="188" width="13.88671875" customWidth="1"/>
  </cols>
  <sheetData>
    <row r="1" spans="1:183" ht="21.6" thickBot="1">
      <c r="A1" s="444"/>
      <c r="B1" s="444"/>
      <c r="C1" s="443"/>
      <c r="D1" s="443"/>
      <c r="E1" s="443"/>
      <c r="F1" s="443"/>
      <c r="G1" s="443"/>
      <c r="H1" s="443"/>
      <c r="I1" s="443"/>
      <c r="J1" s="443"/>
      <c r="K1" s="443"/>
      <c r="L1" s="443"/>
      <c r="M1" s="443"/>
      <c r="N1" s="443"/>
      <c r="O1" s="443"/>
      <c r="P1" s="444"/>
      <c r="Q1" s="444"/>
      <c r="R1" s="444"/>
      <c r="S1" s="444"/>
      <c r="T1" s="444"/>
      <c r="U1" s="444"/>
      <c r="V1" s="444"/>
      <c r="W1" s="444"/>
      <c r="X1" s="444"/>
      <c r="Y1" s="444"/>
      <c r="Z1" s="444"/>
      <c r="AA1" s="444"/>
      <c r="AB1" s="444"/>
      <c r="AC1" s="444"/>
      <c r="AD1" s="444"/>
      <c r="AE1" s="444"/>
      <c r="AF1" s="444"/>
      <c r="AG1" s="444"/>
      <c r="AH1" s="444"/>
      <c r="AI1" s="444"/>
      <c r="AJ1" s="444"/>
      <c r="AK1" s="444"/>
      <c r="AL1" s="444"/>
      <c r="AM1" s="444"/>
      <c r="AN1" s="444"/>
      <c r="AO1" s="444"/>
      <c r="AP1" s="444"/>
      <c r="AQ1" s="444"/>
      <c r="AR1" s="444"/>
      <c r="AS1" s="444"/>
      <c r="AT1" s="444"/>
      <c r="AU1" s="444"/>
      <c r="AV1" s="444"/>
      <c r="AW1" s="444"/>
      <c r="AX1" s="444"/>
      <c r="AY1" s="444"/>
      <c r="AZ1" s="444"/>
      <c r="BA1" s="444"/>
      <c r="BB1" s="444"/>
      <c r="BC1" s="444"/>
      <c r="BD1" s="444"/>
      <c r="BE1" s="444"/>
      <c r="BF1" s="444"/>
      <c r="BG1" s="444"/>
      <c r="BH1" s="444"/>
      <c r="BI1" s="444"/>
      <c r="BJ1" s="444"/>
      <c r="BK1" s="444"/>
      <c r="BL1" s="444"/>
      <c r="BM1" s="444"/>
      <c r="BN1" s="444"/>
      <c r="BO1" s="444"/>
      <c r="BP1" s="444"/>
      <c r="BQ1" s="444"/>
      <c r="BR1" s="444"/>
      <c r="BS1" s="444"/>
      <c r="BT1" s="444"/>
      <c r="BU1" s="444"/>
      <c r="BV1" s="444"/>
      <c r="BW1" s="444"/>
      <c r="BX1" s="444"/>
      <c r="BY1" s="444"/>
      <c r="BZ1" s="444"/>
      <c r="CA1" s="444"/>
      <c r="CB1" s="444"/>
      <c r="CC1" s="444"/>
      <c r="CD1" s="444"/>
      <c r="CE1" s="444"/>
      <c r="CF1" s="444"/>
      <c r="CG1" s="444"/>
      <c r="CH1" s="444"/>
      <c r="CI1" s="444"/>
      <c r="CJ1" s="444"/>
      <c r="CK1" s="444"/>
      <c r="CL1" s="444"/>
      <c r="CM1" s="444"/>
      <c r="CN1" s="445"/>
      <c r="CO1" s="446"/>
      <c r="CP1" s="446"/>
      <c r="CQ1" s="446"/>
      <c r="CR1" s="446"/>
      <c r="CS1" s="446"/>
      <c r="CT1" s="446"/>
      <c r="CU1" s="446"/>
      <c r="CV1" s="446"/>
      <c r="CW1" s="446"/>
      <c r="CX1" s="446"/>
      <c r="CY1" s="446"/>
      <c r="CZ1" s="446"/>
      <c r="DA1" s="445"/>
      <c r="DB1" s="445"/>
      <c r="DC1" s="445"/>
      <c r="DD1" s="445"/>
      <c r="DE1" s="445"/>
      <c r="DF1" s="445"/>
      <c r="DG1" s="445"/>
      <c r="DH1" s="445"/>
      <c r="DI1" s="445"/>
      <c r="DJ1" s="445"/>
      <c r="DK1" s="445"/>
      <c r="DL1" s="445"/>
      <c r="DM1" s="445"/>
      <c r="DN1" s="445"/>
      <c r="DO1" s="445"/>
      <c r="DP1" s="445"/>
      <c r="DQ1" s="445"/>
      <c r="DR1" s="445"/>
      <c r="DS1" s="445"/>
      <c r="DT1" s="445"/>
      <c r="DU1" s="445"/>
      <c r="DV1" s="445"/>
      <c r="DW1" s="445"/>
      <c r="DX1" s="445"/>
      <c r="DY1" s="445"/>
      <c r="DZ1" s="445"/>
      <c r="EA1" s="445"/>
      <c r="EB1" s="445"/>
      <c r="EC1" s="445"/>
      <c r="ED1" s="445"/>
      <c r="EE1" s="445"/>
      <c r="EF1" s="445"/>
      <c r="EG1" s="445"/>
      <c r="EH1" s="445"/>
      <c r="EI1" s="445"/>
      <c r="EJ1" s="445"/>
      <c r="EK1" s="445"/>
      <c r="EL1" s="445"/>
      <c r="EM1" s="445"/>
      <c r="EN1" s="445"/>
      <c r="EO1" s="445"/>
      <c r="EP1" s="445"/>
      <c r="EQ1" s="445"/>
      <c r="ER1" s="445"/>
      <c r="ES1" s="445"/>
      <c r="ET1" s="445"/>
      <c r="EU1" s="445"/>
      <c r="EV1" s="445"/>
      <c r="EW1" s="445"/>
      <c r="EX1" s="445"/>
      <c r="EY1" s="445"/>
      <c r="EZ1" s="445"/>
      <c r="FA1" s="445"/>
      <c r="FB1" s="445"/>
      <c r="FC1" s="445"/>
      <c r="FD1" s="445"/>
      <c r="FE1" s="445"/>
      <c r="FF1" s="445"/>
      <c r="FG1" s="445"/>
      <c r="FH1" s="445"/>
      <c r="FI1" s="445"/>
      <c r="FJ1" s="445"/>
      <c r="FK1" s="445"/>
      <c r="FL1" s="444"/>
      <c r="FM1" s="444"/>
      <c r="FN1" s="444"/>
      <c r="FO1" s="444"/>
      <c r="FP1" s="444"/>
      <c r="FQ1" s="444"/>
      <c r="FR1" s="444"/>
      <c r="FS1" s="444"/>
      <c r="FT1" s="444"/>
      <c r="FU1" s="444"/>
      <c r="FV1" s="444"/>
      <c r="FW1" s="444"/>
      <c r="GA1" s="779"/>
    </row>
    <row r="2" spans="1:183" ht="18.600000000000001" thickBot="1">
      <c r="A2" s="444"/>
      <c r="B2" s="444"/>
      <c r="C2" s="447" t="s">
        <v>214</v>
      </c>
      <c r="D2" s="447"/>
      <c r="E2" s="447"/>
      <c r="F2" s="447"/>
      <c r="G2" s="447"/>
      <c r="H2" s="447"/>
      <c r="I2" s="447"/>
      <c r="J2" s="447"/>
      <c r="K2" s="447"/>
      <c r="L2" s="447"/>
      <c r="M2" s="447"/>
      <c r="N2" s="447"/>
      <c r="O2" s="447"/>
      <c r="P2" s="448"/>
      <c r="Q2" s="448"/>
      <c r="R2" s="448"/>
      <c r="S2" s="448"/>
      <c r="T2" s="448"/>
      <c r="U2" s="448"/>
      <c r="V2" s="448"/>
      <c r="W2" s="448"/>
      <c r="X2" s="448"/>
      <c r="Y2" s="448"/>
      <c r="Z2" s="448"/>
      <c r="AA2" s="448"/>
      <c r="AB2" s="448"/>
      <c r="AC2" s="448"/>
      <c r="AD2" s="448"/>
      <c r="AE2" s="448"/>
      <c r="AF2" s="448"/>
      <c r="AG2" s="448"/>
      <c r="AH2" s="448"/>
      <c r="AI2" s="448"/>
      <c r="AJ2" s="448"/>
      <c r="AK2" s="448"/>
      <c r="AL2" s="448"/>
      <c r="AM2" s="448"/>
      <c r="AN2" s="448"/>
      <c r="AO2" s="448"/>
      <c r="AP2" s="448"/>
      <c r="AQ2" s="448"/>
      <c r="AR2" s="448"/>
      <c r="AS2" s="448"/>
      <c r="AT2" s="448"/>
      <c r="AU2" s="448"/>
      <c r="AV2" s="448"/>
      <c r="AW2" s="448"/>
      <c r="AX2" s="448"/>
      <c r="AY2" s="448"/>
      <c r="AZ2" s="448"/>
      <c r="BA2" s="448"/>
      <c r="BB2" s="804"/>
      <c r="BC2" s="448"/>
      <c r="BD2" s="448"/>
      <c r="BE2" s="448"/>
      <c r="BF2" s="448"/>
      <c r="BG2" s="448"/>
      <c r="BH2" s="448"/>
      <c r="BI2" s="448"/>
      <c r="BJ2" s="448"/>
      <c r="BK2" s="448"/>
      <c r="BL2" s="448"/>
      <c r="BM2" s="448"/>
      <c r="BN2" s="448"/>
      <c r="BO2" s="448"/>
      <c r="BP2" s="448"/>
      <c r="BQ2" s="448"/>
      <c r="BR2" s="448"/>
      <c r="BS2" s="448"/>
      <c r="BT2" s="448"/>
      <c r="BU2" s="448"/>
      <c r="BV2" s="448"/>
      <c r="BW2" s="448"/>
      <c r="BX2" s="448"/>
      <c r="BY2" s="448"/>
      <c r="BZ2" s="448"/>
      <c r="CA2" s="448"/>
      <c r="CB2" s="448"/>
      <c r="CC2" s="448"/>
      <c r="CD2" s="448"/>
      <c r="CE2" s="448"/>
      <c r="CF2" s="448"/>
      <c r="CG2" s="448"/>
      <c r="CH2" s="448"/>
      <c r="CI2" s="448"/>
      <c r="CJ2" s="448"/>
      <c r="CK2" s="448"/>
      <c r="CL2" s="448"/>
      <c r="CM2" s="448"/>
      <c r="CN2" s="448"/>
      <c r="CO2" s="449"/>
      <c r="CP2" s="449"/>
      <c r="CQ2" s="449"/>
      <c r="CR2" s="449"/>
      <c r="CS2" s="449"/>
      <c r="CT2" s="449"/>
      <c r="CU2" s="449"/>
      <c r="CV2" s="449"/>
      <c r="CW2" s="449"/>
      <c r="CX2" s="449"/>
      <c r="CY2" s="449"/>
      <c r="CZ2" s="449"/>
      <c r="DA2" s="450"/>
      <c r="DB2" s="450"/>
      <c r="DC2" s="450"/>
      <c r="DD2" s="450"/>
      <c r="DE2" s="450"/>
      <c r="DF2" s="450"/>
      <c r="DG2" s="450"/>
      <c r="DH2" s="450"/>
      <c r="DI2" s="450"/>
      <c r="DJ2" s="450"/>
      <c r="DK2" s="450"/>
      <c r="DL2" s="450"/>
      <c r="DM2" s="450"/>
      <c r="DN2" s="450"/>
      <c r="DO2" s="450"/>
      <c r="DP2" s="451"/>
      <c r="DQ2" s="451"/>
      <c r="DR2" s="451"/>
      <c r="DS2" s="450"/>
      <c r="DT2" s="451"/>
      <c r="DU2" s="451"/>
      <c r="DV2" s="451"/>
      <c r="DW2" s="450"/>
      <c r="DX2" s="759"/>
      <c r="DY2" s="759"/>
      <c r="DZ2" s="759"/>
      <c r="EA2" s="760"/>
      <c r="EB2" s="759"/>
      <c r="EC2" s="759"/>
      <c r="ED2" s="759"/>
      <c r="EE2" s="450"/>
      <c r="EF2" s="759"/>
      <c r="EG2" s="759"/>
      <c r="EH2" s="759"/>
      <c r="EI2" s="450"/>
      <c r="EJ2" s="759"/>
      <c r="EK2" s="759"/>
      <c r="EL2" s="759"/>
      <c r="EM2" s="450"/>
      <c r="EN2" s="759"/>
      <c r="EO2" s="759"/>
      <c r="EP2" s="759"/>
      <c r="EQ2" s="450"/>
      <c r="ER2" s="759"/>
      <c r="ES2" s="759"/>
      <c r="ET2" s="759"/>
      <c r="EU2" s="450"/>
      <c r="EV2" s="759"/>
      <c r="EW2" s="759"/>
      <c r="EX2" s="759"/>
      <c r="EY2" s="450"/>
      <c r="EZ2" s="759"/>
      <c r="FA2" s="759"/>
      <c r="FB2" s="759"/>
      <c r="FC2" s="450"/>
      <c r="FD2" s="759"/>
      <c r="FE2" s="759"/>
      <c r="FF2" s="759"/>
      <c r="FG2" s="450"/>
      <c r="FH2" s="759"/>
      <c r="FI2" s="759"/>
      <c r="FJ2" s="759"/>
      <c r="FK2" s="450" t="s">
        <v>516</v>
      </c>
      <c r="FL2" s="444"/>
      <c r="FM2" s="692" t="s">
        <v>496</v>
      </c>
      <c r="FN2" s="444"/>
      <c r="FO2" s="444"/>
      <c r="FP2" s="452"/>
      <c r="FQ2" s="452"/>
      <c r="FR2" s="452"/>
      <c r="FS2" s="702">
        <v>40.35</v>
      </c>
      <c r="FT2" s="444"/>
      <c r="FU2" s="444"/>
      <c r="FV2" s="444"/>
      <c r="FW2" s="802">
        <v>46065</v>
      </c>
      <c r="GA2" s="909"/>
    </row>
    <row r="3" spans="1:183" ht="18">
      <c r="A3" s="444"/>
      <c r="B3" s="444"/>
      <c r="C3" s="453" t="s">
        <v>1267</v>
      </c>
      <c r="D3" s="453"/>
      <c r="E3" s="453"/>
      <c r="F3" s="453"/>
      <c r="G3" s="453"/>
      <c r="H3" s="453"/>
      <c r="I3" s="453"/>
      <c r="J3" s="453"/>
      <c r="K3" s="453"/>
      <c r="L3" s="453"/>
      <c r="M3" s="453"/>
      <c r="N3" s="453"/>
      <c r="O3" s="453"/>
      <c r="P3" s="454"/>
      <c r="Q3" s="454"/>
      <c r="R3" s="454"/>
      <c r="S3" s="454"/>
      <c r="T3" s="454"/>
      <c r="U3" s="454"/>
      <c r="V3" s="454"/>
      <c r="W3" s="454"/>
      <c r="X3" s="454"/>
      <c r="Y3" s="454"/>
      <c r="Z3" s="454"/>
      <c r="AA3" s="454"/>
      <c r="AB3" s="454"/>
      <c r="AC3" s="454"/>
      <c r="AD3" s="454"/>
      <c r="AE3" s="454"/>
      <c r="AF3" s="454"/>
      <c r="AG3" s="454"/>
      <c r="AH3" s="454"/>
      <c r="AI3" s="454"/>
      <c r="AJ3" s="454"/>
      <c r="AK3" s="454"/>
      <c r="AL3" s="454"/>
      <c r="AM3" s="454"/>
      <c r="AN3" s="454"/>
      <c r="AO3" s="454"/>
      <c r="AP3" s="454"/>
      <c r="AQ3" s="454"/>
      <c r="AR3" s="454"/>
      <c r="AS3" s="454"/>
      <c r="AT3" s="454"/>
      <c r="AU3" s="454"/>
      <c r="AV3" s="454"/>
      <c r="AW3" s="454"/>
      <c r="AX3" s="454"/>
      <c r="AY3" s="454"/>
      <c r="AZ3" s="454"/>
      <c r="BA3" s="454"/>
      <c r="BB3" s="454"/>
      <c r="BC3" s="454"/>
      <c r="BD3" s="454"/>
      <c r="BE3" s="868"/>
      <c r="BF3" s="454"/>
      <c r="BG3" s="454"/>
      <c r="BH3" s="971"/>
      <c r="BI3" s="454"/>
      <c r="BJ3" s="454"/>
      <c r="BK3" s="454"/>
      <c r="BL3" s="454"/>
      <c r="BM3" s="454"/>
      <c r="BN3" s="454"/>
      <c r="BO3" s="454"/>
      <c r="BP3" s="454"/>
      <c r="BQ3" s="1087"/>
      <c r="BR3" s="454"/>
      <c r="BS3" s="454"/>
      <c r="BT3" s="454"/>
      <c r="BU3" s="454"/>
      <c r="BV3" s="454"/>
      <c r="BW3" s="454"/>
      <c r="BX3" s="454"/>
      <c r="BY3" s="454"/>
      <c r="BZ3" s="454"/>
      <c r="CA3" s="454"/>
      <c r="CB3" s="454"/>
      <c r="CC3" s="454"/>
      <c r="CD3" s="454"/>
      <c r="CE3" s="454"/>
      <c r="CF3" s="454"/>
      <c r="CG3" s="454"/>
      <c r="CH3" s="454"/>
      <c r="CI3" s="454"/>
      <c r="CJ3" s="454"/>
      <c r="CK3" s="454"/>
      <c r="CL3" s="454"/>
      <c r="CM3" s="455"/>
      <c r="CN3" s="456"/>
      <c r="CO3" s="457"/>
      <c r="CP3" s="457"/>
      <c r="CQ3" s="457"/>
      <c r="CR3" s="457"/>
      <c r="CS3" s="457"/>
      <c r="CT3" s="457"/>
      <c r="CU3" s="457"/>
      <c r="CV3" s="457"/>
      <c r="CW3" s="457"/>
      <c r="CX3" s="457"/>
      <c r="CY3" s="457"/>
      <c r="CZ3" s="457"/>
      <c r="DA3" s="458"/>
      <c r="DB3" s="458"/>
      <c r="DC3" s="458"/>
      <c r="DD3" s="458"/>
      <c r="DE3" s="458"/>
      <c r="DF3" s="458"/>
      <c r="DG3" s="458"/>
      <c r="DH3" s="458"/>
      <c r="DI3" s="458"/>
      <c r="DJ3" s="458"/>
      <c r="DK3" s="458"/>
      <c r="DL3" s="458"/>
      <c r="DM3" s="458"/>
      <c r="DN3" s="458"/>
      <c r="DO3" s="458"/>
      <c r="DP3" s="458"/>
      <c r="DQ3" s="458"/>
      <c r="DR3" s="458"/>
      <c r="DS3" s="458"/>
      <c r="DT3" s="458"/>
      <c r="DU3" s="458"/>
      <c r="DV3" s="458"/>
      <c r="DW3" s="458"/>
      <c r="DX3" s="458"/>
      <c r="DY3" s="458"/>
      <c r="DZ3" s="458"/>
      <c r="EB3" s="458"/>
      <c r="EC3" s="458"/>
      <c r="ED3" s="458"/>
      <c r="EE3" s="458"/>
      <c r="EF3" s="458"/>
      <c r="EG3" s="458"/>
      <c r="EH3" s="458"/>
      <c r="EI3" s="458"/>
      <c r="EJ3" s="458"/>
      <c r="EK3" s="458"/>
      <c r="EL3" s="458"/>
      <c r="EM3" s="458"/>
      <c r="EN3" s="458"/>
      <c r="EO3" s="458"/>
      <c r="EP3" s="458"/>
      <c r="EQ3" s="458"/>
      <c r="ER3" s="458"/>
      <c r="ES3" s="458"/>
      <c r="ET3" s="458"/>
      <c r="EU3" s="458"/>
      <c r="EV3" s="458"/>
      <c r="EW3" s="458"/>
      <c r="EX3" s="458"/>
      <c r="EY3" s="458"/>
      <c r="EZ3" s="458"/>
      <c r="FA3" s="458"/>
      <c r="FB3" s="458"/>
      <c r="FC3" s="458"/>
      <c r="FD3" s="458"/>
      <c r="FE3" s="458"/>
      <c r="FF3" s="458"/>
      <c r="FG3" s="458"/>
      <c r="FH3" s="458"/>
      <c r="FI3" s="458"/>
      <c r="FJ3" s="458"/>
      <c r="FK3" s="458" t="s">
        <v>419</v>
      </c>
      <c r="FL3" s="444"/>
      <c r="FM3" s="444"/>
      <c r="FN3" s="444"/>
      <c r="FO3" s="444"/>
      <c r="FP3" s="444"/>
      <c r="FQ3" s="444"/>
      <c r="FR3" s="444"/>
      <c r="FS3" s="946"/>
      <c r="FT3" s="444"/>
      <c r="FU3" s="444"/>
      <c r="FV3" s="444"/>
      <c r="FW3" s="444"/>
      <c r="GA3" s="909"/>
    </row>
    <row r="4" spans="1:183" ht="15.6">
      <c r="A4" s="444"/>
      <c r="B4" s="444"/>
      <c r="C4" s="1321" t="s">
        <v>311</v>
      </c>
      <c r="D4" s="1321"/>
      <c r="E4" s="1321"/>
      <c r="F4" s="1321"/>
      <c r="G4" s="1321"/>
      <c r="H4" s="1321"/>
      <c r="I4" s="1321"/>
      <c r="J4" s="1321"/>
      <c r="K4" s="1321"/>
      <c r="L4" s="1321"/>
      <c r="M4" s="1321"/>
      <c r="N4" s="1321"/>
      <c r="O4" s="1321"/>
      <c r="P4" s="1322"/>
      <c r="Q4" s="1322"/>
      <c r="R4" s="1322"/>
      <c r="S4" s="1322"/>
      <c r="T4" s="1322"/>
      <c r="U4" s="1322"/>
      <c r="V4" s="1322"/>
      <c r="W4" s="1322"/>
      <c r="X4" s="1322"/>
      <c r="Y4" s="1322"/>
      <c r="Z4" s="1322"/>
      <c r="AA4" s="1322"/>
      <c r="AB4" s="1322"/>
      <c r="AC4" s="1322"/>
      <c r="AD4" s="1322"/>
      <c r="AE4" s="1322"/>
      <c r="AF4" s="1322"/>
      <c r="AG4" s="1322"/>
      <c r="AH4" s="1322"/>
      <c r="AI4" s="1322"/>
      <c r="AJ4" s="1322"/>
      <c r="AK4" s="1323"/>
      <c r="AL4" s="1323"/>
      <c r="AM4" s="1323"/>
      <c r="AN4" s="1323"/>
      <c r="AO4" s="1323"/>
      <c r="AP4" s="1323"/>
      <c r="AQ4" s="1323"/>
      <c r="AR4" s="1323"/>
      <c r="AS4" s="1323"/>
      <c r="AT4" s="1323"/>
      <c r="AU4" s="1324"/>
      <c r="AV4" s="1323"/>
      <c r="AW4" s="1323"/>
      <c r="AX4" s="1323"/>
      <c r="AY4" s="1324"/>
      <c r="AZ4" s="1323"/>
      <c r="BA4" s="1323"/>
      <c r="BB4" s="1323"/>
      <c r="BC4" s="1323"/>
      <c r="BD4" s="1323"/>
      <c r="BE4" s="1323"/>
      <c r="BF4" s="1323"/>
      <c r="BG4" s="1323"/>
      <c r="BH4" s="1323"/>
      <c r="BI4" s="1323"/>
      <c r="BJ4" s="1323"/>
      <c r="BK4" s="1323"/>
      <c r="BL4" s="1323"/>
      <c r="BM4" s="1323"/>
      <c r="BN4" s="1323"/>
      <c r="BO4" s="1323"/>
      <c r="BP4" s="1323"/>
      <c r="BQ4" s="1323"/>
      <c r="BR4" s="1323"/>
      <c r="BS4" s="1323"/>
      <c r="BT4" s="1323"/>
      <c r="BU4" s="1323"/>
      <c r="BV4" s="1323"/>
      <c r="BW4" s="1323"/>
      <c r="BX4" s="1323"/>
      <c r="BY4" s="1323"/>
      <c r="BZ4" s="1323"/>
      <c r="CA4" s="1323"/>
      <c r="CB4" s="1323"/>
      <c r="CC4" s="1323"/>
      <c r="CD4" s="1323"/>
      <c r="CE4" s="1323"/>
      <c r="CF4" s="1323"/>
      <c r="CG4" s="1323"/>
      <c r="CH4" s="1323"/>
      <c r="CI4" s="1323"/>
      <c r="CJ4" s="1323"/>
      <c r="CK4" s="1323"/>
      <c r="CL4" s="1323"/>
      <c r="CM4" s="1325"/>
      <c r="CN4" s="1326" t="s">
        <v>522</v>
      </c>
      <c r="CO4" s="1327"/>
      <c r="CP4" s="1327"/>
      <c r="CQ4" s="1327"/>
      <c r="CR4" s="1327"/>
      <c r="CS4" s="1327"/>
      <c r="CT4" s="1327"/>
      <c r="CU4" s="1327"/>
      <c r="CV4" s="1327"/>
      <c r="CW4" s="1327"/>
      <c r="CX4" s="1327"/>
      <c r="CY4" s="1327"/>
      <c r="CZ4" s="1327"/>
      <c r="DA4" s="1328"/>
      <c r="DB4" s="1328"/>
      <c r="DC4" s="1328"/>
      <c r="DD4" s="1328"/>
      <c r="DE4" s="1328"/>
      <c r="DF4" s="1328"/>
      <c r="DG4" s="1328"/>
      <c r="DH4" s="1328"/>
      <c r="DI4" s="1328"/>
      <c r="DJ4" s="1328"/>
      <c r="DK4" s="1328"/>
      <c r="DL4" s="1328"/>
      <c r="DM4" s="1328"/>
      <c r="DN4" s="1328"/>
      <c r="DO4" s="1328"/>
      <c r="DP4" s="1328"/>
      <c r="DQ4" s="1328"/>
      <c r="DR4" s="1328"/>
      <c r="DS4" s="1328"/>
      <c r="DT4" s="1329"/>
      <c r="DU4" s="1329"/>
      <c r="DV4" s="1329"/>
      <c r="DW4" s="1328"/>
      <c r="DX4" s="1329"/>
      <c r="DY4" s="1329"/>
      <c r="DZ4" s="1329"/>
      <c r="EA4" s="1328"/>
      <c r="EB4" s="1329"/>
      <c r="EC4" s="1329"/>
      <c r="ED4" s="1329"/>
      <c r="EE4" s="1329"/>
      <c r="EF4" s="1329"/>
      <c r="EG4" s="1329"/>
      <c r="EH4" s="1329"/>
      <c r="EI4" s="1329"/>
      <c r="EJ4" s="1329"/>
      <c r="EK4" s="1329"/>
      <c r="EL4" s="1329"/>
      <c r="EM4" s="1329"/>
      <c r="EN4" s="1329"/>
      <c r="EO4" s="1329"/>
      <c r="EP4" s="1329"/>
      <c r="EQ4" s="1329"/>
      <c r="ER4" s="1329"/>
      <c r="ES4" s="1329"/>
      <c r="ET4" s="1329"/>
      <c r="EU4" s="1329"/>
      <c r="EV4" s="1329"/>
      <c r="EW4" s="1329"/>
      <c r="EX4" s="1329"/>
      <c r="EY4" s="1329"/>
      <c r="EZ4" s="1329"/>
      <c r="FA4" s="1329"/>
      <c r="FB4" s="1329"/>
      <c r="FC4" s="1329"/>
      <c r="FD4" s="1329"/>
      <c r="FE4" s="1329"/>
      <c r="FF4" s="1329"/>
      <c r="FG4" s="1329"/>
      <c r="FH4" s="1329"/>
      <c r="FI4" s="1329"/>
      <c r="FJ4" s="1329"/>
      <c r="FK4" s="1329"/>
      <c r="FL4" s="444"/>
      <c r="FT4" s="444"/>
      <c r="FU4" s="444"/>
      <c r="FV4" s="444"/>
      <c r="GA4" s="909"/>
    </row>
    <row r="5" spans="1:183" ht="13.8">
      <c r="A5" s="444"/>
      <c r="B5" s="444"/>
      <c r="C5" s="1330" t="s">
        <v>501</v>
      </c>
      <c r="D5" s="1331" t="s">
        <v>364</v>
      </c>
      <c r="E5" s="1331" t="s">
        <v>329</v>
      </c>
      <c r="F5" s="1331" t="s">
        <v>589</v>
      </c>
      <c r="G5" s="1332"/>
      <c r="H5" s="1331" t="s">
        <v>543</v>
      </c>
      <c r="I5" s="1331" t="s">
        <v>504</v>
      </c>
      <c r="J5" s="1331" t="s">
        <v>590</v>
      </c>
      <c r="K5" s="1332"/>
      <c r="L5" s="1331" t="s">
        <v>760</v>
      </c>
      <c r="M5" s="1331" t="s">
        <v>761</v>
      </c>
      <c r="N5" s="1331" t="s">
        <v>591</v>
      </c>
      <c r="O5" s="1332"/>
      <c r="P5" s="1331" t="s">
        <v>744</v>
      </c>
      <c r="Q5" s="1331" t="s">
        <v>122</v>
      </c>
      <c r="R5" s="1331" t="s">
        <v>592</v>
      </c>
      <c r="S5" s="1333"/>
      <c r="T5" s="1331" t="s">
        <v>125</v>
      </c>
      <c r="U5" s="1331" t="s">
        <v>723</v>
      </c>
      <c r="V5" s="1331" t="s">
        <v>593</v>
      </c>
      <c r="W5" s="1333"/>
      <c r="X5" s="1331" t="s">
        <v>133</v>
      </c>
      <c r="Y5" s="1331" t="s">
        <v>711</v>
      </c>
      <c r="Z5" s="1331" t="s">
        <v>594</v>
      </c>
      <c r="AA5" s="1334"/>
      <c r="AB5" s="1335" t="s">
        <v>727</v>
      </c>
      <c r="AC5" s="1335" t="s">
        <v>27</v>
      </c>
      <c r="AD5" s="1335" t="s">
        <v>595</v>
      </c>
      <c r="AE5" s="1334"/>
      <c r="AF5" s="1335" t="s">
        <v>742</v>
      </c>
      <c r="AG5" s="1335" t="s">
        <v>215</v>
      </c>
      <c r="AH5" s="1336" t="s">
        <v>547</v>
      </c>
      <c r="AI5" s="1334"/>
      <c r="AJ5" s="1335" t="s">
        <v>138</v>
      </c>
      <c r="AK5" s="1337" t="s">
        <v>773</v>
      </c>
      <c r="AL5" s="1336" t="s">
        <v>774</v>
      </c>
      <c r="AM5" s="1337"/>
      <c r="AN5" s="1337" t="str">
        <f>MODEL!BT7</f>
        <v>1H16</v>
      </c>
      <c r="AO5" s="1337" t="str">
        <f>MODEL!BU7</f>
        <v>2H16</v>
      </c>
      <c r="AP5" s="1336" t="str">
        <f>MODEL!BV7</f>
        <v>FY16</v>
      </c>
      <c r="AQ5" s="1337"/>
      <c r="AR5" s="1337" t="s">
        <v>844</v>
      </c>
      <c r="AS5" s="1337" t="s">
        <v>881</v>
      </c>
      <c r="AT5" s="1336" t="str">
        <f>MODEL!BZ7</f>
        <v>FY17</v>
      </c>
      <c r="AU5" s="1338"/>
      <c r="AV5" s="1337" t="str">
        <f>MODEL!CB7</f>
        <v>1H18</v>
      </c>
      <c r="AW5" s="1337" t="str">
        <f>MODEL!CC7</f>
        <v>2H18</v>
      </c>
      <c r="AX5" s="1337" t="str">
        <f>MODEL!CD7</f>
        <v>FY18</v>
      </c>
      <c r="AY5" s="1339"/>
      <c r="AZ5" s="1083" t="str">
        <f>MODEL!CF7</f>
        <v>1H19</v>
      </c>
      <c r="BA5" s="1337" t="str">
        <f>MODEL!CG7</f>
        <v>2H19</v>
      </c>
      <c r="BB5" s="1336" t="str">
        <f>MODEL!CH7</f>
        <v>FY19</v>
      </c>
      <c r="BC5" s="1340"/>
      <c r="BD5" s="1337" t="str">
        <f>MODEL!CJ7</f>
        <v>1H20</v>
      </c>
      <c r="BE5" s="1337" t="str">
        <f>MODEL!CK7</f>
        <v>2H20</v>
      </c>
      <c r="BF5" s="1336" t="str">
        <f>MODEL!CL7</f>
        <v>FY20</v>
      </c>
      <c r="BG5" s="1340"/>
      <c r="BH5" s="1337" t="str">
        <f>MODEL!CN7</f>
        <v>1H21</v>
      </c>
      <c r="BI5" s="1337" t="str">
        <f>MODEL!CO7</f>
        <v>2H21</v>
      </c>
      <c r="BJ5" s="1336" t="str">
        <f>MODEL!CP7</f>
        <v>FY21</v>
      </c>
      <c r="BK5" s="1340"/>
      <c r="BL5" s="1337" t="str">
        <f>MODEL!CR7</f>
        <v>1H22</v>
      </c>
      <c r="BM5" s="1337" t="str">
        <f>MODEL!CS7</f>
        <v>2H22</v>
      </c>
      <c r="BN5" s="1336" t="str">
        <f>MODEL!CT7</f>
        <v>FY22</v>
      </c>
      <c r="BO5" s="1340"/>
      <c r="BP5" s="1337" t="str">
        <f>MODEL!CV7</f>
        <v>1H23</v>
      </c>
      <c r="BQ5" s="1337" t="str">
        <f>MODEL!CW7</f>
        <v>2H23</v>
      </c>
      <c r="BR5" s="1336" t="str">
        <f>MODEL!CX7</f>
        <v>FY23</v>
      </c>
      <c r="BS5" s="1340"/>
      <c r="BT5" s="1337" t="str">
        <f>MODEL!CZ7</f>
        <v>1H24</v>
      </c>
      <c r="BU5" s="1337" t="str">
        <f>MODEL!DA7</f>
        <v>2H24</v>
      </c>
      <c r="BV5" s="1336" t="str">
        <f>MODEL!DB7</f>
        <v>FY24</v>
      </c>
      <c r="BW5" s="1340"/>
      <c r="BX5" s="1337" t="str">
        <f>MODEL!DD7</f>
        <v>1H25</v>
      </c>
      <c r="BY5" s="1337" t="str">
        <f>MODEL!DE7</f>
        <v>2H25</v>
      </c>
      <c r="BZ5" s="1336" t="str">
        <f>MODEL!DF7</f>
        <v>FY25</v>
      </c>
      <c r="CA5" s="1340"/>
      <c r="CB5" s="1337" t="str">
        <f>MODEL!DH7</f>
        <v>1H26E</v>
      </c>
      <c r="CC5" s="1337" t="str">
        <f>MODEL!DI7</f>
        <v>2H26E</v>
      </c>
      <c r="CD5" s="1336" t="str">
        <f>MODEL!DJ7</f>
        <v>FY26E</v>
      </c>
      <c r="CE5" s="1340"/>
      <c r="CF5" s="1337" t="str">
        <f>MODEL!DL7</f>
        <v>1H27E</v>
      </c>
      <c r="CG5" s="1337" t="str">
        <f>MODEL!DM7</f>
        <v>2H27E</v>
      </c>
      <c r="CH5" s="1336" t="str">
        <f>MODEL!DN7</f>
        <v>FY27E</v>
      </c>
      <c r="CI5" s="1340"/>
      <c r="CJ5" s="1337" t="str">
        <f>MODEL!DP7</f>
        <v>1H28E</v>
      </c>
      <c r="CK5" s="1337" t="str">
        <f>MODEL!DQ7</f>
        <v>2H28E</v>
      </c>
      <c r="CL5" s="1337" t="str">
        <f>MODEL!DR7</f>
        <v>FY28E</v>
      </c>
      <c r="CM5" s="1341"/>
      <c r="CN5" s="1342" t="s">
        <v>501</v>
      </c>
      <c r="CO5" s="1343" t="s">
        <v>744</v>
      </c>
      <c r="CP5" s="1343" t="s">
        <v>122</v>
      </c>
      <c r="CQ5" s="1343" t="s">
        <v>592</v>
      </c>
      <c r="CR5" s="1343"/>
      <c r="CS5" s="1343" t="s">
        <v>125</v>
      </c>
      <c r="CT5" s="1343" t="s">
        <v>723</v>
      </c>
      <c r="CU5" s="1343" t="s">
        <v>593</v>
      </c>
      <c r="CV5" s="1343"/>
      <c r="CW5" s="1343" t="s">
        <v>133</v>
      </c>
      <c r="CX5" s="1343" t="s">
        <v>711</v>
      </c>
      <c r="CY5" s="1343" t="s">
        <v>594</v>
      </c>
      <c r="CZ5" s="1343"/>
      <c r="DA5" s="1335" t="s">
        <v>727</v>
      </c>
      <c r="DB5" s="1335" t="s">
        <v>27</v>
      </c>
      <c r="DC5" s="1335" t="s">
        <v>595</v>
      </c>
      <c r="DD5" s="1334"/>
      <c r="DE5" s="1335" t="s">
        <v>742</v>
      </c>
      <c r="DF5" s="1335" t="s">
        <v>424</v>
      </c>
      <c r="DG5" s="1335" t="str">
        <f t="shared" ref="DG5:EL5" si="0">AH5</f>
        <v>FY14</v>
      </c>
      <c r="DH5" s="1335">
        <f t="shared" si="0"/>
        <v>0</v>
      </c>
      <c r="DI5" s="1335" t="str">
        <f t="shared" si="0"/>
        <v>1H15</v>
      </c>
      <c r="DJ5" s="1335" t="str">
        <f t="shared" si="0"/>
        <v>2H15</v>
      </c>
      <c r="DK5" s="1335" t="str">
        <f t="shared" si="0"/>
        <v>FY15</v>
      </c>
      <c r="DL5" s="1335">
        <f t="shared" si="0"/>
        <v>0</v>
      </c>
      <c r="DM5" s="1335" t="str">
        <f t="shared" si="0"/>
        <v>1H16</v>
      </c>
      <c r="DN5" s="1335" t="str">
        <f t="shared" si="0"/>
        <v>2H16</v>
      </c>
      <c r="DO5" s="1335" t="str">
        <f t="shared" si="0"/>
        <v>FY16</v>
      </c>
      <c r="DP5" s="1335">
        <f t="shared" si="0"/>
        <v>0</v>
      </c>
      <c r="DQ5" s="1335" t="str">
        <f t="shared" si="0"/>
        <v>1H17</v>
      </c>
      <c r="DR5" s="1335" t="str">
        <f t="shared" si="0"/>
        <v>2H17</v>
      </c>
      <c r="DS5" s="1335" t="str">
        <f t="shared" si="0"/>
        <v>FY17</v>
      </c>
      <c r="DT5" s="1335">
        <f t="shared" si="0"/>
        <v>0</v>
      </c>
      <c r="DU5" s="1335" t="str">
        <f t="shared" si="0"/>
        <v>1H18</v>
      </c>
      <c r="DV5" s="1335" t="str">
        <f t="shared" si="0"/>
        <v>2H18</v>
      </c>
      <c r="DW5" s="1335" t="str">
        <f t="shared" si="0"/>
        <v>FY18</v>
      </c>
      <c r="DX5" s="1335">
        <f t="shared" si="0"/>
        <v>0</v>
      </c>
      <c r="DY5" s="1335" t="str">
        <f t="shared" si="0"/>
        <v>1H19</v>
      </c>
      <c r="DZ5" s="1335" t="str">
        <f t="shared" si="0"/>
        <v>2H19</v>
      </c>
      <c r="EA5" s="1335" t="str">
        <f t="shared" si="0"/>
        <v>FY19</v>
      </c>
      <c r="EB5" s="1335">
        <f t="shared" si="0"/>
        <v>0</v>
      </c>
      <c r="EC5" s="1335" t="str">
        <f t="shared" si="0"/>
        <v>1H20</v>
      </c>
      <c r="ED5" s="1335" t="str">
        <f t="shared" si="0"/>
        <v>2H20</v>
      </c>
      <c r="EE5" s="1337" t="str">
        <f t="shared" si="0"/>
        <v>FY20</v>
      </c>
      <c r="EF5" s="1335">
        <f t="shared" si="0"/>
        <v>0</v>
      </c>
      <c r="EG5" s="1335" t="str">
        <f t="shared" si="0"/>
        <v>1H21</v>
      </c>
      <c r="EH5" s="1335" t="str">
        <f t="shared" si="0"/>
        <v>2H21</v>
      </c>
      <c r="EI5" s="1336" t="str">
        <f t="shared" si="0"/>
        <v>FY21</v>
      </c>
      <c r="EJ5" s="1335">
        <f t="shared" si="0"/>
        <v>0</v>
      </c>
      <c r="EK5" s="1335" t="str">
        <f t="shared" si="0"/>
        <v>1H22</v>
      </c>
      <c r="EL5" s="1335" t="str">
        <f t="shared" si="0"/>
        <v>2H22</v>
      </c>
      <c r="EM5" s="1336" t="str">
        <f t="shared" ref="EM5:FK5" si="1">BN5</f>
        <v>FY22</v>
      </c>
      <c r="EN5" s="1335">
        <f t="shared" si="1"/>
        <v>0</v>
      </c>
      <c r="EO5" s="1335" t="str">
        <f t="shared" si="1"/>
        <v>1H23</v>
      </c>
      <c r="EP5" s="1335" t="str">
        <f t="shared" si="1"/>
        <v>2H23</v>
      </c>
      <c r="EQ5" s="1336" t="str">
        <f t="shared" si="1"/>
        <v>FY23</v>
      </c>
      <c r="ER5" s="1335">
        <f t="shared" si="1"/>
        <v>0</v>
      </c>
      <c r="ES5" s="1335" t="str">
        <f t="shared" si="1"/>
        <v>1H24</v>
      </c>
      <c r="ET5" s="1335" t="str">
        <f t="shared" si="1"/>
        <v>2H24</v>
      </c>
      <c r="EU5" s="1337" t="str">
        <f t="shared" si="1"/>
        <v>FY24</v>
      </c>
      <c r="EV5" s="1335">
        <f t="shared" si="1"/>
        <v>0</v>
      </c>
      <c r="EW5" s="1335" t="str">
        <f t="shared" si="1"/>
        <v>1H25</v>
      </c>
      <c r="EX5" s="1335" t="str">
        <f t="shared" si="1"/>
        <v>2H25</v>
      </c>
      <c r="EY5" s="1336" t="str">
        <f t="shared" si="1"/>
        <v>FY25</v>
      </c>
      <c r="EZ5" s="1335">
        <f t="shared" si="1"/>
        <v>0</v>
      </c>
      <c r="FA5" s="1335" t="str">
        <f t="shared" si="1"/>
        <v>1H26E</v>
      </c>
      <c r="FB5" s="1335" t="str">
        <f t="shared" si="1"/>
        <v>2H26E</v>
      </c>
      <c r="FC5" s="1337" t="str">
        <f t="shared" si="1"/>
        <v>FY26E</v>
      </c>
      <c r="FD5" s="1335">
        <f t="shared" si="1"/>
        <v>0</v>
      </c>
      <c r="FE5" s="1335" t="str">
        <f t="shared" si="1"/>
        <v>1H27E</v>
      </c>
      <c r="FF5" s="1335" t="str">
        <f t="shared" si="1"/>
        <v>2H27E</v>
      </c>
      <c r="FG5" s="1337" t="str">
        <f t="shared" si="1"/>
        <v>FY27E</v>
      </c>
      <c r="FH5" s="1335">
        <f t="shared" si="1"/>
        <v>0</v>
      </c>
      <c r="FI5" s="1335" t="str">
        <f t="shared" si="1"/>
        <v>1H28E</v>
      </c>
      <c r="FJ5" s="1335" t="str">
        <f t="shared" si="1"/>
        <v>2H28E</v>
      </c>
      <c r="FK5" s="1337" t="str">
        <f t="shared" si="1"/>
        <v>FY28E</v>
      </c>
      <c r="FL5" s="444"/>
      <c r="FS5" s="685" t="s">
        <v>1259</v>
      </c>
      <c r="FT5" s="444"/>
      <c r="FU5" s="444"/>
      <c r="FV5" s="444"/>
      <c r="FW5" s="444"/>
      <c r="GA5" s="909"/>
    </row>
    <row r="6" spans="1:183" ht="13.8">
      <c r="A6" s="444"/>
      <c r="B6" s="444"/>
      <c r="C6" s="1084" t="s">
        <v>525</v>
      </c>
      <c r="D6" s="1344"/>
      <c r="E6" s="1344"/>
      <c r="F6" s="1344"/>
      <c r="G6" s="1085"/>
      <c r="H6" s="1344"/>
      <c r="I6" s="1344"/>
      <c r="J6" s="1344"/>
      <c r="K6" s="1085"/>
      <c r="L6" s="1344"/>
      <c r="M6" s="1344"/>
      <c r="N6" s="1344"/>
      <c r="O6" s="1085"/>
      <c r="P6" s="1344"/>
      <c r="Q6" s="1344"/>
      <c r="R6" s="1344"/>
      <c r="S6" s="1344"/>
      <c r="T6" s="1344"/>
      <c r="U6" s="1344"/>
      <c r="V6" s="1344"/>
      <c r="W6" s="1344"/>
      <c r="X6" s="1344"/>
      <c r="Y6" s="1344"/>
      <c r="Z6" s="1344"/>
      <c r="AA6" s="1345"/>
      <c r="AB6" s="1345"/>
      <c r="AC6" s="1345"/>
      <c r="AD6" s="1345"/>
      <c r="AE6" s="1345"/>
      <c r="AF6" s="1345"/>
      <c r="AG6" s="1345"/>
      <c r="AH6" s="1346"/>
      <c r="AI6" s="1345"/>
      <c r="AJ6" s="1345"/>
      <c r="AK6" s="1345"/>
      <c r="AL6" s="1346"/>
      <c r="AM6" s="1345"/>
      <c r="AN6" s="1345"/>
      <c r="AO6" s="1345"/>
      <c r="AP6" s="1346"/>
      <c r="AQ6" s="1345"/>
      <c r="AR6" s="1345"/>
      <c r="AS6" s="1345"/>
      <c r="AT6" s="1346"/>
      <c r="AU6" s="1347"/>
      <c r="AV6" s="1345"/>
      <c r="AW6" s="1345"/>
      <c r="AX6" s="1345"/>
      <c r="AY6" s="1347"/>
      <c r="AZ6" s="1086"/>
      <c r="BA6" s="1345"/>
      <c r="BB6" s="1346"/>
      <c r="BC6" s="1345"/>
      <c r="BD6" s="1345"/>
      <c r="BE6" s="1345"/>
      <c r="BF6" s="1346"/>
      <c r="BG6" s="1345"/>
      <c r="BH6" s="1345"/>
      <c r="BI6" s="1345"/>
      <c r="BJ6" s="1346"/>
      <c r="BK6" s="1345"/>
      <c r="BL6" s="1345"/>
      <c r="BM6" s="1345"/>
      <c r="BN6" s="1346"/>
      <c r="BO6" s="1345"/>
      <c r="BP6" s="1345"/>
      <c r="BQ6" s="1345"/>
      <c r="BR6" s="1346"/>
      <c r="BS6" s="1345"/>
      <c r="BT6" s="1345"/>
      <c r="BU6" s="1345"/>
      <c r="BV6" s="1346"/>
      <c r="BW6" s="1345"/>
      <c r="BX6" s="1345"/>
      <c r="BY6" s="1345"/>
      <c r="BZ6" s="1346"/>
      <c r="CA6" s="1345"/>
      <c r="CB6" s="1345"/>
      <c r="CC6" s="1345"/>
      <c r="CD6" s="1346"/>
      <c r="CE6" s="1345"/>
      <c r="CF6" s="1345"/>
      <c r="CG6" s="1345"/>
      <c r="CH6" s="1346"/>
      <c r="CI6" s="1345"/>
      <c r="CJ6" s="1345"/>
      <c r="CK6" s="1345"/>
      <c r="CL6" s="1345"/>
      <c r="CM6" s="1348"/>
      <c r="CN6" s="1349" t="s">
        <v>244</v>
      </c>
      <c r="CO6" s="1343"/>
      <c r="CP6" s="1343"/>
      <c r="CQ6" s="1343"/>
      <c r="CR6" s="1343"/>
      <c r="CS6" s="1343"/>
      <c r="CT6" s="1343"/>
      <c r="CU6" s="1343"/>
      <c r="CV6" s="1343"/>
      <c r="CW6" s="1343"/>
      <c r="CX6" s="1343"/>
      <c r="CY6" s="1343"/>
      <c r="CZ6" s="1343"/>
      <c r="DA6" s="1350"/>
      <c r="DB6" s="1350"/>
      <c r="DC6" s="1351"/>
      <c r="DD6" s="1350"/>
      <c r="DE6" s="1350"/>
      <c r="DF6" s="1350"/>
      <c r="DG6" s="1351"/>
      <c r="DH6" s="1350"/>
      <c r="DI6" s="1350"/>
      <c r="DJ6" s="1350"/>
      <c r="DK6" s="1352"/>
      <c r="DL6" s="1350"/>
      <c r="DM6" s="1350"/>
      <c r="DN6" s="1350"/>
      <c r="DO6" s="1353">
        <f>+$FS$2</f>
        <v>40.35</v>
      </c>
      <c r="DP6" s="1350"/>
      <c r="DQ6" s="1350"/>
      <c r="DR6" s="1350"/>
      <c r="DS6" s="1352"/>
      <c r="DT6" s="1350"/>
      <c r="DU6" s="1350"/>
      <c r="DV6" s="1350"/>
      <c r="DW6" s="1352"/>
      <c r="DX6" s="1350"/>
      <c r="DY6" s="1350"/>
      <c r="DZ6" s="1350"/>
      <c r="EA6" s="1352"/>
      <c r="EB6" s="1350"/>
      <c r="EC6" s="1350"/>
      <c r="ED6" s="1350"/>
      <c r="EE6" s="1352"/>
      <c r="EF6" s="1350"/>
      <c r="EG6" s="1350"/>
      <c r="EH6" s="1350"/>
      <c r="EI6" s="1354"/>
      <c r="EJ6" s="1350"/>
      <c r="EK6" s="1350"/>
      <c r="EL6" s="1350"/>
      <c r="EM6" s="1355"/>
      <c r="EN6" s="1350"/>
      <c r="EO6" s="1350"/>
      <c r="EP6" s="1350"/>
      <c r="EQ6" s="1355"/>
      <c r="ER6" s="1350"/>
      <c r="ES6" s="1350"/>
      <c r="ET6" s="1350"/>
      <c r="EV6" s="1350"/>
      <c r="EW6" s="1350"/>
      <c r="EX6" s="1350"/>
      <c r="EY6" s="1588"/>
      <c r="EZ6" s="1350"/>
      <c r="FA6" s="1350"/>
      <c r="FB6" s="1350"/>
      <c r="FD6" s="1350"/>
      <c r="FE6" s="1350"/>
      <c r="FF6" s="1350"/>
      <c r="FH6" s="1350"/>
      <c r="FI6" s="1350"/>
      <c r="FJ6" s="1350"/>
      <c r="FK6" s="1353">
        <f>+$FS$2</f>
        <v>40.35</v>
      </c>
      <c r="FL6" s="444"/>
      <c r="FM6" s="584" t="s">
        <v>300</v>
      </c>
      <c r="FN6" s="584"/>
      <c r="FO6" s="584"/>
      <c r="FP6" s="584"/>
      <c r="FQ6" s="584"/>
      <c r="FR6" s="584"/>
      <c r="FS6" s="966">
        <f>INDEX(MODEL!$1209:$1209,MATCH($FS$5,MODEL!$7:$7,0))</f>
        <v>2983.52018</v>
      </c>
      <c r="FT6" s="444"/>
      <c r="FU6" s="444"/>
      <c r="FV6" s="444"/>
      <c r="FW6" s="444"/>
    </row>
    <row r="7" spans="1:183" ht="13.8">
      <c r="A7" s="444"/>
      <c r="B7" s="444"/>
      <c r="C7" s="1356" t="s">
        <v>282</v>
      </c>
      <c r="D7" s="1357"/>
      <c r="E7" s="1357"/>
      <c r="F7" s="1357"/>
      <c r="G7" s="1358"/>
      <c r="H7" s="1357">
        <v>3780</v>
      </c>
      <c r="I7" s="1357">
        <v>4070</v>
      </c>
      <c r="J7" s="1357">
        <v>7850</v>
      </c>
      <c r="K7" s="1358"/>
      <c r="L7" s="1357">
        <v>4821</v>
      </c>
      <c r="M7" s="1357">
        <v>4989</v>
      </c>
      <c r="N7" s="1357">
        <v>9810</v>
      </c>
      <c r="O7" s="1358"/>
      <c r="P7" s="1357">
        <v>5240</v>
      </c>
      <c r="Q7" s="1357">
        <v>5632</v>
      </c>
      <c r="R7" s="1357">
        <v>10872</v>
      </c>
      <c r="S7" s="1357"/>
      <c r="T7" s="1357">
        <v>5652</v>
      </c>
      <c r="U7" s="1357">
        <v>5848</v>
      </c>
      <c r="V7" s="1357">
        <v>11500</v>
      </c>
      <c r="W7" s="1357"/>
      <c r="X7" s="1359">
        <f>MODEL!BD14</f>
        <v>5984</v>
      </c>
      <c r="Y7" s="1359">
        <f>MODEL!BE14</f>
        <v>6126</v>
      </c>
      <c r="Z7" s="1087">
        <f>MODEL!BF14</f>
        <v>12110</v>
      </c>
      <c r="AA7" s="1087"/>
      <c r="AB7" s="1359">
        <f>MODEL!BH14</f>
        <v>6236</v>
      </c>
      <c r="AC7" s="1359">
        <f>MODEL!BI14</f>
        <v>6536</v>
      </c>
      <c r="AD7" s="1087">
        <f>MODEL!BJ14</f>
        <v>12772</v>
      </c>
      <c r="AE7" s="1087">
        <f>MODEL!BK14</f>
        <v>0</v>
      </c>
      <c r="AF7" s="1087">
        <f>MODEL!BL14</f>
        <v>6764</v>
      </c>
      <c r="AG7" s="1087">
        <f>MODEL!BM14</f>
        <v>7033</v>
      </c>
      <c r="AH7" s="1360">
        <f>MODEL!BN14</f>
        <v>13797</v>
      </c>
      <c r="AI7" s="1087"/>
      <c r="AJ7" s="1087">
        <f>MODEL!BP14</f>
        <v>7138</v>
      </c>
      <c r="AK7" s="1087">
        <f>MODEL!BQ14</f>
        <v>7478</v>
      </c>
      <c r="AL7" s="1360">
        <f>MODEL!BR14</f>
        <v>14616</v>
      </c>
      <c r="AM7" s="1087"/>
      <c r="AN7" s="1087">
        <f>MODEL!BT14</f>
        <v>7568</v>
      </c>
      <c r="AO7" s="1087">
        <f>MODEL!BU14</f>
        <v>7527</v>
      </c>
      <c r="AP7" s="1360">
        <f>MODEL!BV14</f>
        <v>15095</v>
      </c>
      <c r="AQ7" s="1087"/>
      <c r="AR7" s="1087">
        <f>MODEL!BX14</f>
        <v>7419</v>
      </c>
      <c r="AS7" s="1087">
        <f>MODEL!BY14</f>
        <v>7456</v>
      </c>
      <c r="AT7" s="1360">
        <f>MODEL!BZ14</f>
        <v>14875</v>
      </c>
      <c r="AU7" s="1360"/>
      <c r="AV7" s="1087">
        <f>MODEL!CB14</f>
        <v>7350</v>
      </c>
      <c r="AW7" s="1087">
        <f>MODEL!CC14</f>
        <v>7164</v>
      </c>
      <c r="AX7" s="1087">
        <f>MODEL!CD14</f>
        <v>14514</v>
      </c>
      <c r="AY7" s="1360"/>
      <c r="AZ7" s="1088">
        <f>MODEL!CF14</f>
        <v>7299</v>
      </c>
      <c r="BA7" s="1087">
        <f>MODEL!CG14</f>
        <v>7040</v>
      </c>
      <c r="BB7" s="1360">
        <f>MODEL!CH14</f>
        <v>14339</v>
      </c>
      <c r="BC7" s="1087"/>
      <c r="BD7" s="1087">
        <f>MODEL!CJ14</f>
        <v>7222</v>
      </c>
      <c r="BE7" s="1087">
        <f>MODEL!CK14</f>
        <v>6827</v>
      </c>
      <c r="BF7" s="1360">
        <f>MODEL!CL14</f>
        <v>14049</v>
      </c>
      <c r="BG7" s="1087"/>
      <c r="BH7" s="1087">
        <f>MODEL!CN14</f>
        <v>6986</v>
      </c>
      <c r="BI7" s="1087">
        <f>MODEL!CO14</f>
        <v>7175</v>
      </c>
      <c r="BJ7" s="1360">
        <f>MODEL!CP14</f>
        <v>14161</v>
      </c>
      <c r="BK7" s="1087"/>
      <c r="BL7" s="1087">
        <f>MODEL!CR14</f>
        <v>7100</v>
      </c>
      <c r="BM7" s="1087">
        <f>MODEL!CS14</f>
        <v>7774</v>
      </c>
      <c r="BN7" s="1360">
        <f>MODEL!CT14</f>
        <v>14874</v>
      </c>
      <c r="BO7" s="1087"/>
      <c r="BP7" s="1087">
        <f>MODEL!CV14</f>
        <v>8500</v>
      </c>
      <c r="BQ7" s="1087">
        <f>MODEL!CW14</f>
        <v>8074</v>
      </c>
      <c r="BR7" s="1360">
        <f>MODEL!CX14</f>
        <v>16574</v>
      </c>
      <c r="BS7" s="1087"/>
      <c r="BT7" s="1087">
        <f>MODEL!CZ14</f>
        <v>7899</v>
      </c>
      <c r="BU7" s="1087">
        <f>MODEL!DA14</f>
        <v>8170</v>
      </c>
      <c r="BV7" s="1360">
        <f>MODEL!DB14</f>
        <v>16069</v>
      </c>
      <c r="BW7" s="1087"/>
      <c r="BX7" s="1087">
        <f>MODEL!DD14</f>
        <v>8869</v>
      </c>
      <c r="BY7" s="1087">
        <f>MODEL!DE14</f>
        <v>9092</v>
      </c>
      <c r="BZ7" s="1360">
        <f>MODEL!DF14</f>
        <v>17961</v>
      </c>
      <c r="CA7" s="1087"/>
      <c r="CB7" s="1087">
        <f ca="1">MODEL!DH14</f>
        <v>9185.0219475600024</v>
      </c>
      <c r="CC7" s="1087">
        <f ca="1">MODEL!DI14</f>
        <v>9305.8296073262482</v>
      </c>
      <c r="CD7" s="1360">
        <f ca="1">MODEL!DJ14</f>
        <v>18490.851554886249</v>
      </c>
      <c r="CE7" s="1087"/>
      <c r="CF7" s="1087">
        <f ca="1">MODEL!DL14</f>
        <v>9458.0356987137293</v>
      </c>
      <c r="CG7" s="1087">
        <f ca="1">MODEL!DM14</f>
        <v>9666.9824461304397</v>
      </c>
      <c r="CH7" s="1360">
        <f ca="1">MODEL!DN14</f>
        <v>19125.018144844169</v>
      </c>
      <c r="CI7" s="1087"/>
      <c r="CJ7" s="1087">
        <f ca="1">MODEL!DP14</f>
        <v>9855.2969016896805</v>
      </c>
      <c r="CK7" s="1087">
        <f ca="1">MODEL!DQ14</f>
        <v>10059.270877518977</v>
      </c>
      <c r="CL7" s="1087">
        <f ca="1">MODEL!DR14</f>
        <v>19914.567779208657</v>
      </c>
      <c r="CM7" s="1361"/>
      <c r="CN7" s="1349" t="s">
        <v>724</v>
      </c>
      <c r="CO7" s="1343">
        <v>18.07369266994267</v>
      </c>
      <c r="CP7" s="1343">
        <v>15.817019485038273</v>
      </c>
      <c r="CQ7" s="1343">
        <v>16.877706851366533</v>
      </c>
      <c r="CR7" s="1343"/>
      <c r="CS7" s="1343">
        <v>15.582711838534596</v>
      </c>
      <c r="CT7" s="1343">
        <v>16.34921468144044</v>
      </c>
      <c r="CU7" s="1343">
        <v>16.094058944482519</v>
      </c>
      <c r="CV7" s="1343"/>
      <c r="CW7" s="1343">
        <v>15.864963675213675</v>
      </c>
      <c r="CX7" s="1343">
        <v>15.804761018609206</v>
      </c>
      <c r="CY7" s="1343">
        <v>15.812034070434072</v>
      </c>
      <c r="CZ7" s="1343"/>
      <c r="DA7" s="462">
        <f>$DO$6/AB45*100/2</f>
        <v>17.974092101797751</v>
      </c>
      <c r="DB7" s="462">
        <f>$DO$6/AC45*100/2</f>
        <v>17.314999653807135</v>
      </c>
      <c r="DC7" s="462">
        <f>$DO$6/AD45*100</f>
        <v>17.608873853629994</v>
      </c>
      <c r="DD7" s="462"/>
      <c r="DE7" s="462">
        <f>$DO$6/AF45*100/2</f>
        <v>16.360446535346991</v>
      </c>
      <c r="DF7" s="462">
        <f>$DO$6/AG45*100/2</f>
        <v>16.07422470041508</v>
      </c>
      <c r="DG7" s="462">
        <f>$DO$6/AH45*100</f>
        <v>16.22870171225129</v>
      </c>
      <c r="DH7" s="462"/>
      <c r="DI7" s="462">
        <f>$DO$6/AJ45*100/2</f>
        <v>15.654493751557878</v>
      </c>
      <c r="DJ7" s="462">
        <f>$DO$6/AK45*100/2</f>
        <v>16.973402327533162</v>
      </c>
      <c r="DK7" s="462">
        <f>$DO$6/AL45*100</f>
        <v>16.467288804145888</v>
      </c>
      <c r="DL7" s="462"/>
      <c r="DM7" s="462">
        <f>$DO$6/AN45*100/2</f>
        <v>22.421982586984811</v>
      </c>
      <c r="DN7" s="462">
        <f>$DO$6/AO45*100/2</f>
        <v>19.933558935052684</v>
      </c>
      <c r="DO7" s="462">
        <f>$DO$6/AP45*100</f>
        <v>20.953676625359744</v>
      </c>
      <c r="DP7" s="462"/>
      <c r="DQ7" s="462"/>
      <c r="DR7" s="462"/>
      <c r="DS7" s="462">
        <f>$FK$6/AT45*100</f>
        <v>18.290911473857509</v>
      </c>
      <c r="DT7" s="462"/>
      <c r="DU7" s="462"/>
      <c r="DV7" s="462"/>
      <c r="DW7" s="462">
        <f>$FK$6/AX45*100</f>
        <v>19.017410913047243</v>
      </c>
      <c r="DX7" s="462"/>
      <c r="DY7" s="462"/>
      <c r="DZ7" s="462"/>
      <c r="EA7" s="462">
        <f>$FK$6/BB45*100</f>
        <v>18.65036997983087</v>
      </c>
      <c r="EB7" s="462"/>
      <c r="EC7" s="462"/>
      <c r="ED7" s="462"/>
      <c r="EE7" s="462">
        <f>$FK$6/BF45*100</f>
        <v>32.88530158649899</v>
      </c>
      <c r="EF7" s="462"/>
      <c r="EG7" s="462"/>
      <c r="EH7" s="462"/>
      <c r="EI7" s="1362">
        <f>$FK$6/BJ45*100</f>
        <v>19.738799475922438</v>
      </c>
      <c r="EJ7" s="462"/>
      <c r="EK7" s="462"/>
      <c r="EL7" s="462"/>
      <c r="EM7" s="1362">
        <f>$FK$6/BN45*100</f>
        <v>18.859448168007148</v>
      </c>
      <c r="EN7" s="462"/>
      <c r="EO7" s="462"/>
      <c r="EP7" s="462"/>
      <c r="EQ7" s="1362">
        <f>$FK$6/BR45*100</f>
        <v>17.038692704970952</v>
      </c>
      <c r="ER7" s="462"/>
      <c r="ES7" s="462"/>
      <c r="ET7" s="462"/>
      <c r="EU7" s="462">
        <f>$FK$6/BV45*100</f>
        <v>18.26338698390483</v>
      </c>
      <c r="EV7" s="462"/>
      <c r="EW7" s="462"/>
      <c r="EX7" s="462"/>
      <c r="EY7" s="1589">
        <f>$FK$6/BZ45*100</f>
        <v>20.883620605468749</v>
      </c>
      <c r="EZ7" s="462"/>
      <c r="FA7" s="462"/>
      <c r="FB7" s="462"/>
      <c r="FC7" s="462">
        <f ca="1">$FK$6/CD45*100</f>
        <v>16.098303268370199</v>
      </c>
      <c r="FD7" s="462"/>
      <c r="FE7" s="462"/>
      <c r="FF7" s="462"/>
      <c r="FG7" s="462">
        <f ca="1">$FK$6/CH45*100</f>
        <v>15.213291019321767</v>
      </c>
      <c r="FH7" s="462"/>
      <c r="FI7" s="462"/>
      <c r="FJ7" s="462"/>
      <c r="FK7" s="462">
        <f ca="1">$FK$6/CL45*100</f>
        <v>14.218991367973191</v>
      </c>
      <c r="FL7" s="1259"/>
      <c r="FM7" s="444" t="s">
        <v>1030</v>
      </c>
      <c r="FN7" s="444"/>
      <c r="FO7" s="444"/>
      <c r="FP7" s="444"/>
      <c r="FQ7" s="444"/>
      <c r="FR7" s="444"/>
      <c r="FS7" s="967">
        <f>+FS2*FS6</f>
        <v>120385.039263</v>
      </c>
      <c r="FT7" s="444"/>
      <c r="FU7" s="444"/>
      <c r="FV7" s="444"/>
      <c r="FW7" s="444"/>
    </row>
    <row r="8" spans="1:183" ht="13.8">
      <c r="A8" s="444"/>
      <c r="B8" s="444"/>
      <c r="C8" s="1363" t="s">
        <v>340</v>
      </c>
      <c r="D8" s="1089"/>
      <c r="E8" s="1089"/>
      <c r="F8" s="1089"/>
      <c r="G8" s="1364"/>
      <c r="H8" s="1089">
        <v>1.9957023763641259E-2</v>
      </c>
      <c r="I8" s="1089">
        <v>2.0211751618926542E-2</v>
      </c>
      <c r="J8" s="1089">
        <v>2.0088286098138314E-2</v>
      </c>
      <c r="K8" s="1364"/>
      <c r="L8" s="1089">
        <v>2.2221149959869298E-2</v>
      </c>
      <c r="M8" s="1089">
        <v>2.3699737547647311E-2</v>
      </c>
      <c r="N8" s="1089">
        <v>2.2949300993767897E-2</v>
      </c>
      <c r="O8" s="1364"/>
      <c r="P8" s="1089">
        <v>2.4516818953123885E-2</v>
      </c>
      <c r="Q8" s="1089">
        <v>2.4970433186508378E-2</v>
      </c>
      <c r="R8" s="1089">
        <v>2.4749759263517097E-2</v>
      </c>
      <c r="S8" s="1365"/>
      <c r="T8" s="1089">
        <v>2.471243303155693E-2</v>
      </c>
      <c r="U8" s="1089">
        <v>2.4487558941142139E-2</v>
      </c>
      <c r="V8" s="1089">
        <v>2.4241938680418806E-2</v>
      </c>
      <c r="W8" s="1365"/>
      <c r="X8" s="1089">
        <v>2.3523769463914365E-2</v>
      </c>
      <c r="Y8" s="1089">
        <v>2.2766421201090382E-2</v>
      </c>
      <c r="Z8" s="1089">
        <v>2.3134483753326419E-2</v>
      </c>
      <c r="AA8" s="1366"/>
      <c r="AB8" s="1090">
        <f>MODEL!BH606</f>
        <v>2.2482604907496685E-2</v>
      </c>
      <c r="AC8" s="1090">
        <f>MODEL!BI606</f>
        <v>2.1873033387705101E-2</v>
      </c>
      <c r="AD8" s="1090">
        <f>MODEL!BJ606</f>
        <v>2.2199086104018675E-2</v>
      </c>
      <c r="AE8" s="1366">
        <f>MODEL!BK606</f>
        <v>0</v>
      </c>
      <c r="AF8" s="1090">
        <f>MODEL!BL606</f>
        <v>2.1450292275719221E-2</v>
      </c>
      <c r="AG8" s="1090">
        <f>MODEL!BM606</f>
        <v>2.12052157638314E-2</v>
      </c>
      <c r="AH8" s="1367">
        <f>MODEL!BN606</f>
        <v>2.1324673839291371E-2</v>
      </c>
      <c r="AI8" s="1366"/>
      <c r="AJ8" s="1090">
        <f>MODEL!BP606</f>
        <v>2.0386155827046851E-2</v>
      </c>
      <c r="AK8" s="1090">
        <f>MODEL!BQ606</f>
        <v>2.0383137446578433E-2</v>
      </c>
      <c r="AL8" s="1367">
        <f>MODEL!BR606</f>
        <v>2.0385761767212341E-2</v>
      </c>
      <c r="AM8" s="1366"/>
      <c r="AN8" s="1090">
        <f>MODEL!BT606</f>
        <v>2.0694699854387849E-2</v>
      </c>
      <c r="AO8" s="1090">
        <f>MODEL!BU606</f>
        <v>2.0614152202937251E-2</v>
      </c>
      <c r="AP8" s="1367">
        <f>MODEL!BV606</f>
        <v>2.0654456888353732E-2</v>
      </c>
      <c r="AQ8" s="1090"/>
      <c r="AR8" s="1090">
        <f>MODEL!BX606</f>
        <v>2.0000865346245005E-2</v>
      </c>
      <c r="AS8" s="1090">
        <f>MODEL!BY606</f>
        <v>1.9773687967259951E-2</v>
      </c>
      <c r="AT8" s="1367">
        <f>MODEL!BZ606</f>
        <v>1.9886642793782532E-2</v>
      </c>
      <c r="AU8" s="1368"/>
      <c r="AV8" s="1090">
        <f>MODEL!CB606</f>
        <v>1.9263792875699001E-2</v>
      </c>
      <c r="AW8" s="1090">
        <f>MODEL!CC606</f>
        <v>1.8213937852235237E-2</v>
      </c>
      <c r="AX8" s="1090">
        <f>MODEL!CD606</f>
        <v>1.8730545475193705E-2</v>
      </c>
      <c r="AY8" s="1368"/>
      <c r="AZ8" s="1091">
        <f>MODEL!CF606</f>
        <v>1.8037707134694547E-2</v>
      </c>
      <c r="BA8" s="1090">
        <f>MODEL!CG606</f>
        <v>1.7232444586232985E-2</v>
      </c>
      <c r="BB8" s="1367">
        <f>MODEL!CH606</f>
        <v>1.763239668527174E-2</v>
      </c>
      <c r="BC8" s="1090"/>
      <c r="BD8" s="1090">
        <f>MODEL!CJ606</f>
        <v>1.6861008742183221E-2</v>
      </c>
      <c r="BE8" s="1090">
        <f>MODEL!CK606</f>
        <v>1.5710324354799736E-2</v>
      </c>
      <c r="BF8" s="1367">
        <f>MODEL!CL606</f>
        <v>1.6281484606238166E-2</v>
      </c>
      <c r="BG8" s="1090"/>
      <c r="BH8" s="1090">
        <f>MODEL!CN606</f>
        <v>1.6338183672275779E-2</v>
      </c>
      <c r="BI8" s="1090">
        <f>MODEL!CO606</f>
        <v>1.6452496019000118E-2</v>
      </c>
      <c r="BJ8" s="1367">
        <f>MODEL!CP606</f>
        <v>1.639591011137085E-2</v>
      </c>
      <c r="BK8" s="1090"/>
      <c r="BL8" s="1090">
        <f>MODEL!CR606</f>
        <v>1.5826785793373838E-2</v>
      </c>
      <c r="BM8" s="1090">
        <f>MODEL!CS606</f>
        <v>1.684759885008047E-2</v>
      </c>
      <c r="BN8" s="1367">
        <f>MODEL!CT606</f>
        <v>1.6344390392918091E-2</v>
      </c>
      <c r="BO8" s="1090"/>
      <c r="BP8" s="1090">
        <f>MODEL!CV606</f>
        <v>1.7520240352963186E-2</v>
      </c>
      <c r="BQ8" s="1090">
        <f>MODEL!CW606</f>
        <v>1.6480036617208548E-2</v>
      </c>
      <c r="BR8" s="1367">
        <f>MODEL!CX606</f>
        <v>1.6997597117771997E-2</v>
      </c>
      <c r="BS8" s="1090"/>
      <c r="BT8" s="1090">
        <f>MODEL!CZ606</f>
        <v>1.5555015108982584E-2</v>
      </c>
      <c r="BU8" s="1090">
        <f>MODEL!DA606</f>
        <v>1.5839303768571681E-2</v>
      </c>
      <c r="BV8" s="1367">
        <f>MODEL!DB606</f>
        <v>1.5698269663623858E-2</v>
      </c>
      <c r="BW8" s="1090"/>
      <c r="BX8" s="1090">
        <f>MODEL!DD606</f>
        <v>1.5573325204557431E-2</v>
      </c>
      <c r="BY8" s="1090">
        <f>MODEL!DE606</f>
        <v>1.5405233593161392E-2</v>
      </c>
      <c r="BZ8" s="1367">
        <f>MODEL!DF606</f>
        <v>1.5487786370127137E-2</v>
      </c>
      <c r="CA8" s="1090"/>
      <c r="CB8" s="1090">
        <f ca="1">MODEL!DH606</f>
        <v>1.5505620153278325E-2</v>
      </c>
      <c r="CC8" s="1090">
        <f ca="1">MODEL!DI606</f>
        <v>1.5402126729704651E-2</v>
      </c>
      <c r="CD8" s="1367">
        <f ca="1">MODEL!DJ606</f>
        <v>1.5453664481681915E-2</v>
      </c>
      <c r="CE8" s="1090"/>
      <c r="CF8" s="1090">
        <f ca="1">MODEL!DL606</f>
        <v>1.5401257316406632E-2</v>
      </c>
      <c r="CG8" s="1090">
        <f ca="1">MODEL!DM606</f>
        <v>1.5299367500580533E-2</v>
      </c>
      <c r="CH8" s="1367">
        <f ca="1">MODEL!DN606</f>
        <v>1.5350070568405903E-2</v>
      </c>
      <c r="CI8" s="1090"/>
      <c r="CJ8" s="1090">
        <f ca="1">MODEL!DP606</f>
        <v>1.5300910920006683E-2</v>
      </c>
      <c r="CK8" s="1090">
        <f ca="1">MODEL!DQ606</f>
        <v>1.5297730426780278E-2</v>
      </c>
      <c r="CL8" s="1090">
        <f ca="1">MODEL!DR606</f>
        <v>1.5299304220094795E-2</v>
      </c>
      <c r="CM8" s="1361"/>
      <c r="CN8" s="1369" t="s">
        <v>725</v>
      </c>
      <c r="CO8" s="1343" t="e">
        <v>#REF!</v>
      </c>
      <c r="CP8" s="1343" t="e">
        <v>#REF!</v>
      </c>
      <c r="CQ8" s="1343" t="e">
        <v>#REF!</v>
      </c>
      <c r="CR8" s="1343"/>
      <c r="CS8" s="1343" t="e">
        <v>#REF!</v>
      </c>
      <c r="CT8" s="1343" t="e">
        <v>#REF!</v>
      </c>
      <c r="CU8" s="1343" t="e">
        <v>#REF!</v>
      </c>
      <c r="CV8" s="1343"/>
      <c r="CW8" s="1343">
        <v>15.298072516441676</v>
      </c>
      <c r="CX8" s="1343">
        <v>15.301355972696246</v>
      </c>
      <c r="CY8" s="1343">
        <v>15.299438563327032</v>
      </c>
      <c r="CZ8" s="1343"/>
      <c r="DA8" s="464" t="e">
        <f>$DO$6/#REF!*100/2</f>
        <v>#REF!</v>
      </c>
      <c r="DB8" s="464" t="e">
        <f>$DO$6/#REF!*100/2</f>
        <v>#REF!</v>
      </c>
      <c r="DC8" s="464" t="e">
        <f>$DO$6/#REF!*100</f>
        <v>#REF!</v>
      </c>
      <c r="DD8" s="464"/>
      <c r="DE8" s="464" t="e">
        <f>$DO$6/#REF!*100/2</f>
        <v>#REF!</v>
      </c>
      <c r="DF8" s="464" t="e">
        <f>$DO$6/#REF!*100/2</f>
        <v>#REF!</v>
      </c>
      <c r="DG8" s="464" t="e">
        <f>$DO$6/#REF!*100</f>
        <v>#REF!</v>
      </c>
      <c r="DH8" s="464"/>
      <c r="DI8" s="464" t="e">
        <f>$DO$6/#REF!*100/2</f>
        <v>#REF!</v>
      </c>
      <c r="DJ8" s="464" t="e">
        <f>$DO$6/#REF!*100/2</f>
        <v>#REF!</v>
      </c>
      <c r="DK8" s="464" t="e">
        <f>$DO$6/#REF!*100</f>
        <v>#REF!</v>
      </c>
      <c r="DL8" s="464"/>
      <c r="DM8" s="464" t="e">
        <f>$DO$6/#REF!*100/2</f>
        <v>#REF!</v>
      </c>
      <c r="DN8" s="464" t="e">
        <f>$DO$6/#REF!*100/2</f>
        <v>#REF!</v>
      </c>
      <c r="DO8" s="464" t="e">
        <f>$DO$6/#REF!*100</f>
        <v>#REF!</v>
      </c>
      <c r="DP8" s="464"/>
      <c r="DQ8" s="464"/>
      <c r="DR8" s="464"/>
      <c r="DS8" s="464" t="e">
        <f>$FK$6/#REF!*100</f>
        <v>#REF!</v>
      </c>
      <c r="DT8" s="464"/>
      <c r="DU8" s="464"/>
      <c r="DV8" s="464"/>
      <c r="DW8" s="464" t="e">
        <f>$FK$6/#REF!*100</f>
        <v>#REF!</v>
      </c>
      <c r="DX8" s="464"/>
      <c r="DY8" s="464"/>
      <c r="DZ8" s="464"/>
      <c r="EA8" s="464" t="e">
        <f>$FK$6/#REF!*100</f>
        <v>#REF!</v>
      </c>
      <c r="EB8" s="464"/>
      <c r="EC8" s="464"/>
      <c r="ED8" s="464"/>
      <c r="EE8" s="464" t="e">
        <f>$FK$6/#REF!*100</f>
        <v>#REF!</v>
      </c>
      <c r="EF8" s="464"/>
      <c r="EG8" s="464"/>
      <c r="EH8" s="464"/>
      <c r="EI8" s="1370" t="e">
        <f>$FK$6/#REF!*100</f>
        <v>#REF!</v>
      </c>
      <c r="EJ8" s="464"/>
      <c r="EK8" s="464"/>
      <c r="EL8" s="464"/>
      <c r="EM8" s="1370" t="e">
        <f>$FK$6/#REF!*100</f>
        <v>#REF!</v>
      </c>
      <c r="EN8" s="464"/>
      <c r="EO8" s="464"/>
      <c r="EP8" s="464"/>
      <c r="EQ8" s="1370">
        <f t="shared" ref="EQ8:FK8" si="2">$FK$6/BR44*100</f>
        <v>16.314180493727235</v>
      </c>
      <c r="ER8" s="464" t="e">
        <f t="shared" si="2"/>
        <v>#DIV/0!</v>
      </c>
      <c r="ES8" s="464">
        <f t="shared" si="2"/>
        <v>34.094159628378378</v>
      </c>
      <c r="ET8" s="464">
        <f t="shared" si="2"/>
        <v>38.092790734320843</v>
      </c>
      <c r="EU8" s="464">
        <f t="shared" si="2"/>
        <v>17.990400000000001</v>
      </c>
      <c r="EV8" s="464" t="e">
        <f t="shared" si="2"/>
        <v>#DIV/0!</v>
      </c>
      <c r="EW8" s="464">
        <f t="shared" si="2"/>
        <v>33.608790639013456</v>
      </c>
      <c r="EX8" s="464">
        <f t="shared" si="2"/>
        <v>54.066090581342948</v>
      </c>
      <c r="EY8" s="1590">
        <f t="shared" si="2"/>
        <v>20.726526697770865</v>
      </c>
      <c r="EZ8" s="464" t="e">
        <f t="shared" si="2"/>
        <v>#DIV/0!</v>
      </c>
      <c r="FA8" s="464">
        <f t="shared" ca="1" si="2"/>
        <v>32.589596503127567</v>
      </c>
      <c r="FB8" s="464">
        <f t="shared" ca="1" si="2"/>
        <v>31.63926432571737</v>
      </c>
      <c r="FC8" s="464">
        <f t="shared" ca="1" si="2"/>
        <v>16.053278427893598</v>
      </c>
      <c r="FD8" s="464" t="e">
        <f t="shared" si="2"/>
        <v>#DIV/0!</v>
      </c>
      <c r="FE8" s="464">
        <f t="shared" ca="1" si="2"/>
        <v>30.421941781436662</v>
      </c>
      <c r="FF8" s="464">
        <f t="shared" ca="1" si="2"/>
        <v>30.261492963256366</v>
      </c>
      <c r="FG8" s="464">
        <f t="shared" ca="1" si="2"/>
        <v>15.170788507348734</v>
      </c>
      <c r="FH8" s="464" t="e">
        <f t="shared" si="2"/>
        <v>#DIV/0!</v>
      </c>
      <c r="FI8" s="464">
        <f t="shared" ca="1" si="2"/>
        <v>28.944762788101318</v>
      </c>
      <c r="FJ8" s="464">
        <f t="shared" ca="1" si="2"/>
        <v>27.792658974701212</v>
      </c>
      <c r="FK8" s="464">
        <f t="shared" ca="1" si="2"/>
        <v>14.179017648455893</v>
      </c>
      <c r="FL8" s="444"/>
      <c r="FM8" s="748"/>
      <c r="FN8" s="444"/>
      <c r="FO8" s="444"/>
      <c r="FP8" s="444"/>
      <c r="FQ8" s="444"/>
      <c r="FR8" s="444"/>
      <c r="FS8" s="444"/>
      <c r="FT8" s="444"/>
      <c r="FU8" s="444"/>
      <c r="FV8" s="444"/>
      <c r="FW8" s="444"/>
    </row>
    <row r="9" spans="1:183" ht="13.8">
      <c r="A9" s="444"/>
      <c r="B9" s="444"/>
      <c r="C9" s="1363" t="s">
        <v>843</v>
      </c>
      <c r="D9" s="1089"/>
      <c r="E9" s="1089"/>
      <c r="F9" s="1089"/>
      <c r="G9" s="1364"/>
      <c r="H9" s="1089"/>
      <c r="I9" s="1089"/>
      <c r="J9" s="1089"/>
      <c r="K9" s="1364"/>
      <c r="L9" s="1089"/>
      <c r="M9" s="1089"/>
      <c r="N9" s="1089"/>
      <c r="O9" s="1364"/>
      <c r="P9" s="1089"/>
      <c r="Q9" s="1089"/>
      <c r="R9" s="1089"/>
      <c r="S9" s="1365"/>
      <c r="T9" s="1089"/>
      <c r="U9" s="1089"/>
      <c r="V9" s="1089"/>
      <c r="W9" s="1365"/>
      <c r="X9" s="1089"/>
      <c r="Y9" s="1089"/>
      <c r="Z9" s="1089"/>
      <c r="AA9" s="1366"/>
      <c r="AB9" s="1090"/>
      <c r="AC9" s="1090"/>
      <c r="AD9" s="1090"/>
      <c r="AE9" s="1366"/>
      <c r="AF9" s="1090"/>
      <c r="AG9" s="1090"/>
      <c r="AH9" s="1367"/>
      <c r="AI9" s="1366"/>
      <c r="AJ9" s="1090"/>
      <c r="AK9" s="1090"/>
      <c r="AL9" s="1367"/>
      <c r="AM9" s="1366"/>
      <c r="AN9" s="1090"/>
      <c r="AO9" s="1090"/>
      <c r="AP9" s="1367"/>
      <c r="AQ9" s="1090"/>
      <c r="AR9" s="1090"/>
      <c r="AS9" s="1090"/>
      <c r="AT9" s="1367"/>
      <c r="AU9" s="1367"/>
      <c r="AV9" s="1090"/>
      <c r="AW9" s="1090"/>
      <c r="AX9" s="1090"/>
      <c r="AY9" s="1367"/>
      <c r="AZ9" s="1091"/>
      <c r="BA9" s="1090"/>
      <c r="BB9" s="1367"/>
      <c r="BC9" s="1090"/>
      <c r="BD9" s="1090"/>
      <c r="BE9" s="1090"/>
      <c r="BF9" s="1367"/>
      <c r="BG9" s="1090"/>
      <c r="BH9" s="1090"/>
      <c r="BI9" s="1090"/>
      <c r="BJ9" s="1367">
        <f>MODEL!CP774</f>
        <v>2.2202312740910512E-2</v>
      </c>
      <c r="BK9" s="1090"/>
      <c r="BL9" s="1090">
        <f>MODEL!CR774</f>
        <v>2.0767483503765918E-2</v>
      </c>
      <c r="BM9" s="1090">
        <f>MODEL!CS774</f>
        <v>2.2634378661840291E-2</v>
      </c>
      <c r="BN9" s="1367">
        <f>MODEL!CT774</f>
        <v>2.1714090401550503E-2</v>
      </c>
      <c r="BO9" s="1090"/>
      <c r="BP9" s="1090">
        <f>MODEL!CV774</f>
        <v>2.4314575097557894E-2</v>
      </c>
      <c r="BQ9" s="1090">
        <f>MODEL!CW774</f>
        <v>2.3489210325430849E-2</v>
      </c>
      <c r="BR9" s="1367">
        <f>MODEL!CX774</f>
        <v>2.3901692441071536E-2</v>
      </c>
      <c r="BS9" s="1090"/>
      <c r="BT9" s="1090">
        <f>MODEL!CZ774</f>
        <v>2.3262335932319252E-2</v>
      </c>
      <c r="BU9" s="1090">
        <f>MODEL!DA774</f>
        <v>2.382715549410179E-2</v>
      </c>
      <c r="BV9" s="1367">
        <f>MODEL!DB774</f>
        <v>2.3546135163536628E-2</v>
      </c>
      <c r="BW9" s="1090"/>
      <c r="BX9" s="1090">
        <f>MODEL!DD774</f>
        <v>2.2637361225728E-2</v>
      </c>
      <c r="BY9" s="1090">
        <f>MODEL!DE774</f>
        <v>2.2620302597959559E-2</v>
      </c>
      <c r="BZ9" s="1367">
        <f>MODEL!DF774</f>
        <v>2.2629011793115317E-2</v>
      </c>
      <c r="CA9" s="1090"/>
      <c r="CB9" s="1090">
        <f ca="1">MODEL!DH774</f>
        <v>2.2873521363053491E-2</v>
      </c>
      <c r="CC9" s="1090">
        <f ca="1">MODEL!DI774</f>
        <v>2.2712971954911718E-2</v>
      </c>
      <c r="CD9" s="1367">
        <f ca="1">MODEL!DJ774</f>
        <v>2.2792897060799788E-2</v>
      </c>
      <c r="CE9" s="1090"/>
      <c r="CF9" s="1090">
        <f ca="1">MODEL!DL774</f>
        <v>2.2702072323945745E-2</v>
      </c>
      <c r="CG9" s="1090">
        <f ca="1">MODEL!DM774</f>
        <v>2.2536740487372007E-2</v>
      </c>
      <c r="CH9" s="1367">
        <f ca="1">MODEL!DN774</f>
        <v>2.2618933826127504E-2</v>
      </c>
      <c r="CI9" s="1090"/>
      <c r="CJ9" s="1090">
        <f ca="1">MODEL!DP774</f>
        <v>2.2530983643672443E-2</v>
      </c>
      <c r="CK9" s="1090">
        <f ca="1">MODEL!DQ774</f>
        <v>2.2513941249111918E-2</v>
      </c>
      <c r="CL9" s="1090">
        <f ca="1">MODEL!DR774</f>
        <v>2.2522371635318335E-2</v>
      </c>
      <c r="CM9" s="1361"/>
      <c r="CN9" s="1371" t="s">
        <v>309</v>
      </c>
      <c r="CO9" s="1372" t="e">
        <v>#REF!</v>
      </c>
      <c r="CP9" s="1372" t="e">
        <v>#REF!</v>
      </c>
      <c r="CQ9" s="1372">
        <v>16.73033486238532</v>
      </c>
      <c r="CR9" s="1372"/>
      <c r="CS9" s="1372">
        <v>30.513791251778084</v>
      </c>
      <c r="CT9" s="1372">
        <v>30.720609618104671</v>
      </c>
      <c r="CU9" s="1372">
        <v>15.828231714023836</v>
      </c>
      <c r="CV9" s="1372"/>
      <c r="CW9" s="1372">
        <v>30.596145032883353</v>
      </c>
      <c r="CX9" s="1372">
        <v>30.602711945392493</v>
      </c>
      <c r="CY9" s="1372">
        <v>15.299438563327032</v>
      </c>
      <c r="CZ9" s="1372"/>
      <c r="DA9" s="559" t="e">
        <f>$DO$6/#REF!*100/2</f>
        <v>#REF!</v>
      </c>
      <c r="DB9" s="559" t="e">
        <f>$DO$6/#REF!*100/2</f>
        <v>#REF!</v>
      </c>
      <c r="DC9" s="559" t="e">
        <f>$DO$6/#REF!*100</f>
        <v>#REF!</v>
      </c>
      <c r="DD9" s="559"/>
      <c r="DE9" s="559" t="e">
        <f>$DO$6/#REF!*100</f>
        <v>#REF!</v>
      </c>
      <c r="DF9" s="559" t="e">
        <f>$DO$6/#REF!*100</f>
        <v>#REF!</v>
      </c>
      <c r="DG9" s="559" t="e">
        <f>$DO$6/#REF!*100</f>
        <v>#REF!</v>
      </c>
      <c r="DH9" s="559"/>
      <c r="DI9" s="559" t="e">
        <f>$DO$6/#REF!*100</f>
        <v>#REF!</v>
      </c>
      <c r="DJ9" s="559" t="e">
        <f>$DO$6/#REF!*100</f>
        <v>#REF!</v>
      </c>
      <c r="DK9" s="559" t="e">
        <f>$DO$6/#REF!*100</f>
        <v>#REF!</v>
      </c>
      <c r="DL9" s="559"/>
      <c r="DM9" s="559" t="e">
        <f>$DO$6/#REF!*100</f>
        <v>#REF!</v>
      </c>
      <c r="DN9" s="559" t="e">
        <f>$DO$6/#REF!*100</f>
        <v>#REF!</v>
      </c>
      <c r="DO9" s="559" t="e">
        <f>$DO$6/#REF!*100</f>
        <v>#REF!</v>
      </c>
      <c r="DP9" s="559"/>
      <c r="DQ9" s="559"/>
      <c r="DR9" s="559"/>
      <c r="DS9" s="559">
        <f>$FK$6/AT44*100</f>
        <v>17.154872004255935</v>
      </c>
      <c r="DT9" s="559"/>
      <c r="DU9" s="559"/>
      <c r="DV9" s="559"/>
      <c r="DW9" s="559">
        <f ca="1">$FK$6/AX44*100</f>
        <v>20.341256651057567</v>
      </c>
      <c r="DX9" s="559"/>
      <c r="DY9" s="559"/>
      <c r="DZ9" s="559"/>
      <c r="EA9" s="559">
        <f>$FK$6/BB44*100</f>
        <v>18.768476286474215</v>
      </c>
      <c r="EB9" s="559"/>
      <c r="EC9" s="559"/>
      <c r="ED9" s="559"/>
      <c r="EE9" s="559">
        <f>$FK$6/BF44*100</f>
        <v>31.458030737911475</v>
      </c>
      <c r="EF9" s="559"/>
      <c r="EG9" s="559"/>
      <c r="EH9" s="559"/>
      <c r="EI9" s="1373">
        <f>$FK$6/BJ44*100</f>
        <v>18.678136472437387</v>
      </c>
      <c r="EJ9" s="559"/>
      <c r="EK9" s="559"/>
      <c r="EL9" s="559"/>
      <c r="EM9" s="1373">
        <f>$FK$6/BN44*100</f>
        <v>17.68728833128079</v>
      </c>
      <c r="EN9" s="559"/>
      <c r="EO9" s="559"/>
      <c r="EP9" s="559"/>
      <c r="EQ9" s="1373">
        <f>$FK$6/BR44*100</f>
        <v>16.314180493727235</v>
      </c>
      <c r="ER9" s="559"/>
      <c r="ES9" s="559"/>
      <c r="ET9" s="559"/>
      <c r="EU9" s="559">
        <f>$FK$6/BV44*100</f>
        <v>17.990400000000001</v>
      </c>
      <c r="EV9" s="559"/>
      <c r="EW9" s="559"/>
      <c r="EX9" s="559"/>
      <c r="EY9" s="1591">
        <f>$FK$6/BZ44*100</f>
        <v>20.726526697770865</v>
      </c>
      <c r="EZ9" s="559"/>
      <c r="FA9" s="559"/>
      <c r="FB9" s="559"/>
      <c r="FC9" s="559">
        <f ca="1">$FK$6/CD44*100</f>
        <v>16.053278427893598</v>
      </c>
      <c r="FD9" s="559"/>
      <c r="FE9" s="559"/>
      <c r="FF9" s="559"/>
      <c r="FG9" s="559">
        <f ca="1">$FK$6/CH44*100</f>
        <v>15.170788507348734</v>
      </c>
      <c r="FH9" s="559"/>
      <c r="FI9" s="559"/>
      <c r="FJ9" s="559"/>
      <c r="FK9" s="559">
        <f ca="1">$FK$6/CL44*100</f>
        <v>14.179017648455893</v>
      </c>
      <c r="FL9" s="444"/>
      <c r="FM9" s="748"/>
      <c r="FN9" s="444"/>
      <c r="FO9" s="444"/>
      <c r="FP9" s="444"/>
      <c r="FQ9" s="444"/>
      <c r="FR9" s="444"/>
      <c r="FS9" s="444"/>
      <c r="FT9" s="444"/>
      <c r="FU9" s="444"/>
      <c r="FV9" s="444"/>
      <c r="FW9" s="444"/>
    </row>
    <row r="10" spans="1:183" ht="13.8">
      <c r="A10" s="444"/>
      <c r="B10" s="444"/>
      <c r="C10" s="1374" t="s">
        <v>343</v>
      </c>
      <c r="D10" s="1092"/>
      <c r="E10" s="1092"/>
      <c r="F10" s="1092"/>
      <c r="G10" s="1375"/>
      <c r="H10" s="1092"/>
      <c r="I10" s="1092"/>
      <c r="J10" s="1092"/>
      <c r="K10" s="1375"/>
      <c r="L10" s="1092"/>
      <c r="M10" s="1092"/>
      <c r="N10" s="1092"/>
      <c r="O10" s="1375"/>
      <c r="P10" s="1092"/>
      <c r="Q10" s="1092"/>
      <c r="R10" s="1092"/>
      <c r="S10" s="1376"/>
      <c r="T10" s="1092"/>
      <c r="U10" s="1092"/>
      <c r="V10" s="1092"/>
      <c r="W10" s="1376"/>
      <c r="X10" s="1093">
        <f>MODEL!BD15</f>
        <v>1156</v>
      </c>
      <c r="Y10" s="1093">
        <f>MODEL!BE15</f>
        <v>1137</v>
      </c>
      <c r="Z10" s="1093">
        <f>MODEL!BF15</f>
        <v>2293</v>
      </c>
      <c r="AA10" s="1377"/>
      <c r="AB10" s="1093">
        <f>MODEL!BH15</f>
        <v>1145</v>
      </c>
      <c r="AC10" s="1093">
        <f>MODEL!BI15</f>
        <v>1171</v>
      </c>
      <c r="AD10" s="1093">
        <f>MODEL!BJ15</f>
        <v>2316</v>
      </c>
      <c r="AE10" s="1377">
        <f>MODEL!BK15</f>
        <v>0</v>
      </c>
      <c r="AF10" s="1093">
        <f>MODEL!BL15</f>
        <v>1186</v>
      </c>
      <c r="AG10" s="1093">
        <f>MODEL!BM15</f>
        <v>1178</v>
      </c>
      <c r="AH10" s="1378">
        <f>MODEL!BN15</f>
        <v>2364</v>
      </c>
      <c r="AI10" s="1377"/>
      <c r="AJ10" s="1093">
        <f>MODEL!BP15</f>
        <v>1253</v>
      </c>
      <c r="AK10" s="1093">
        <f>MODEL!BQ15</f>
        <v>1267</v>
      </c>
      <c r="AL10" s="1378">
        <f>MODEL!BR15</f>
        <v>2520</v>
      </c>
      <c r="AM10" s="1377"/>
      <c r="AN10" s="1093">
        <f>MODEL!BT15</f>
        <v>1236</v>
      </c>
      <c r="AO10" s="1093">
        <f>MODEL!BU15</f>
        <v>1201</v>
      </c>
      <c r="AP10" s="1378">
        <f>MODEL!BV15</f>
        <v>2437</v>
      </c>
      <c r="AQ10" s="1093"/>
      <c r="AR10" s="1093">
        <f>MODEL!BX15</f>
        <v>1177</v>
      </c>
      <c r="AS10" s="1093">
        <f>MODEL!BY15</f>
        <v>1185</v>
      </c>
      <c r="AT10" s="1378">
        <f>MODEL!BZ15</f>
        <v>2362</v>
      </c>
      <c r="AU10" s="1378"/>
      <c r="AV10" s="1093">
        <f>MODEL!CB15</f>
        <v>1335</v>
      </c>
      <c r="AW10" s="1093">
        <f>MODEL!CC15</f>
        <v>1289</v>
      </c>
      <c r="AX10" s="1093">
        <f>MODEL!CD15</f>
        <v>2624</v>
      </c>
      <c r="AY10" s="1378"/>
      <c r="AZ10" s="1094">
        <f>MODEL!CF15</f>
        <v>1218</v>
      </c>
      <c r="BA10" s="1093">
        <f>MODEL!CG15</f>
        <v>1275</v>
      </c>
      <c r="BB10" s="1378">
        <f>MODEL!CH15</f>
        <v>2493</v>
      </c>
      <c r="BC10" s="1093"/>
      <c r="BD10" s="1093">
        <f>MODEL!CJ15</f>
        <v>1135</v>
      </c>
      <c r="BE10" s="1093">
        <f>MODEL!CK15</f>
        <v>1080</v>
      </c>
      <c r="BF10" s="1378">
        <f>MODEL!CL15</f>
        <v>2215</v>
      </c>
      <c r="BG10" s="1093"/>
      <c r="BH10" s="1093">
        <f>MODEL!CN15</f>
        <v>1011</v>
      </c>
      <c r="BI10" s="1093">
        <f>MODEL!CO15</f>
        <v>1052</v>
      </c>
      <c r="BJ10" s="1378">
        <f>MODEL!CP15</f>
        <v>2063</v>
      </c>
      <c r="BK10" s="1093"/>
      <c r="BL10" s="1093">
        <f>MODEL!CR15</f>
        <v>953</v>
      </c>
      <c r="BM10" s="1093">
        <f>MODEL!CS15</f>
        <v>954</v>
      </c>
      <c r="BN10" s="1378">
        <f>MODEL!CT15</f>
        <v>1907</v>
      </c>
      <c r="BO10" s="1093"/>
      <c r="BP10" s="1093">
        <f>MODEL!CV15</f>
        <v>890</v>
      </c>
      <c r="BQ10" s="1093">
        <f>MODEL!CW15</f>
        <v>972</v>
      </c>
      <c r="BR10" s="1378">
        <f>MODEL!CX15</f>
        <v>1862</v>
      </c>
      <c r="BS10" s="1093"/>
      <c r="BT10" s="1093">
        <f>MODEL!CZ15</f>
        <v>919</v>
      </c>
      <c r="BU10" s="1093">
        <f>MODEL!DA15</f>
        <v>956</v>
      </c>
      <c r="BV10" s="1378">
        <f>MODEL!DB15</f>
        <v>1875</v>
      </c>
      <c r="BW10" s="1093"/>
      <c r="BX10" s="1093">
        <f>MODEL!DD15</f>
        <v>855</v>
      </c>
      <c r="BY10" s="1093">
        <f>MODEL!DE15</f>
        <v>948</v>
      </c>
      <c r="BZ10" s="1378">
        <f>MODEL!DF15</f>
        <v>1803</v>
      </c>
      <c r="CA10" s="1093"/>
      <c r="CB10" s="1093">
        <f>MODEL!DH15</f>
        <v>891.12</v>
      </c>
      <c r="CC10" s="1093">
        <f>MODEL!DI15</f>
        <v>944.58720000000005</v>
      </c>
      <c r="CD10" s="1378">
        <f>MODEL!DJ15</f>
        <v>1835.7072000000001</v>
      </c>
      <c r="CE10" s="1093"/>
      <c r="CF10" s="1093">
        <f>MODEL!DL15</f>
        <v>906.80371200000002</v>
      </c>
      <c r="CG10" s="1093">
        <f>MODEL!DM15</f>
        <v>961.21193472000004</v>
      </c>
      <c r="CH10" s="1378">
        <f>MODEL!DN15</f>
        <v>1868.0156467199999</v>
      </c>
      <c r="CI10" s="1093"/>
      <c r="CJ10" s="1093">
        <f>MODEL!DP15</f>
        <v>922.76345733120002</v>
      </c>
      <c r="CK10" s="1093">
        <f>MODEL!DQ15</f>
        <v>978.12926477107203</v>
      </c>
      <c r="CL10" s="1093">
        <f>MODEL!DR15</f>
        <v>1900.892722102272</v>
      </c>
      <c r="CM10" s="1379"/>
      <c r="CN10" s="1369" t="s">
        <v>425</v>
      </c>
      <c r="CO10" s="1343">
        <v>19.018733272644518</v>
      </c>
      <c r="CP10" s="1343">
        <v>18.624229374032293</v>
      </c>
      <c r="CQ10" s="1343">
        <v>9.4095231632080765</v>
      </c>
      <c r="CR10" s="1343"/>
      <c r="CS10" s="1343">
        <v>19.020491521642125</v>
      </c>
      <c r="CT10" s="1343">
        <v>19.703092465753425</v>
      </c>
      <c r="CU10" s="1343">
        <v>9.6793090724441448</v>
      </c>
      <c r="CV10" s="1343"/>
      <c r="CW10" s="1343">
        <v>19.148459123610202</v>
      </c>
      <c r="CX10" s="1343">
        <v>18.805256221003795</v>
      </c>
      <c r="CY10" s="1343">
        <v>9.4868240969021347</v>
      </c>
      <c r="CZ10" s="1343"/>
      <c r="DA10" s="464">
        <f>$DO$6/(AB19/DA20)</f>
        <v>21.614586965134706</v>
      </c>
      <c r="DB10" s="464">
        <f>$DO$6/(AC19/DB20)</f>
        <v>21.537982697601262</v>
      </c>
      <c r="DC10" s="464">
        <f>$DO$6/(AD19/DC20)</f>
        <v>10.787871521610422</v>
      </c>
      <c r="DD10" s="464"/>
      <c r="DE10" s="464">
        <f>$DO$6/(AF19/DE20)</f>
        <v>20.356432552954292</v>
      </c>
      <c r="DF10" s="464">
        <f>$DO$6/(AG19/DF20)</f>
        <v>20.221020971302426</v>
      </c>
      <c r="DG10" s="464">
        <f>$DO$6/(AH19/DG20)</f>
        <v>10.14419439822518</v>
      </c>
      <c r="DH10" s="464"/>
      <c r="DI10" s="464">
        <f>$DO$6/(AJ19/DI20)</f>
        <v>19.751440450643781</v>
      </c>
      <c r="DJ10" s="464">
        <f>$DO$6/(AK19/DJ20)</f>
        <v>20.153980599964072</v>
      </c>
      <c r="DK10" s="464">
        <f>$DO$6/(AL19/DK20)</f>
        <v>9.9763106013083611</v>
      </c>
      <c r="DL10" s="464"/>
      <c r="DM10" s="464">
        <f>$DO$6/(AN19/DM20)</f>
        <v>24.102388877403349</v>
      </c>
      <c r="DN10" s="464">
        <f>$DO$6/(AO19/DN20)</f>
        <v>21.963359345618652</v>
      </c>
      <c r="DO10" s="464">
        <f>$DO$6/(AP19/DO20)</f>
        <v>11.489915805022157</v>
      </c>
      <c r="DP10" s="464"/>
      <c r="DQ10" s="464"/>
      <c r="DR10" s="464"/>
      <c r="DS10" s="464">
        <f>$FK$6/(AT19/DS20)</f>
        <v>10.824094847451379</v>
      </c>
      <c r="DT10" s="464"/>
      <c r="DU10" s="464"/>
      <c r="DV10" s="464"/>
      <c r="DW10" s="464">
        <f>$FK$6/(AX19/DW20)</f>
        <v>11.694050270921132</v>
      </c>
      <c r="DX10" s="464"/>
      <c r="DY10" s="464"/>
      <c r="DZ10" s="464"/>
      <c r="EA10" s="464">
        <f>$FK$6/(BB19/EA20)</f>
        <v>11.487067182165095</v>
      </c>
      <c r="EB10" s="464"/>
      <c r="EC10" s="464"/>
      <c r="ED10" s="464"/>
      <c r="EE10" s="464">
        <f>$FK$6/(BF19/EE20)</f>
        <v>13.648800932010994</v>
      </c>
      <c r="EF10" s="464"/>
      <c r="EG10" s="464"/>
      <c r="EH10" s="464"/>
      <c r="EI10" s="1370">
        <f>$FK$6/(BJ19/EI20)</f>
        <v>13.641914006669841</v>
      </c>
      <c r="EJ10" s="464"/>
      <c r="EK10" s="464"/>
      <c r="EL10" s="464"/>
      <c r="EM10" s="1370">
        <f>$FK$6/(BN19/EM20)</f>
        <v>12.81184489295272</v>
      </c>
      <c r="EN10" s="464"/>
      <c r="EO10" s="464"/>
      <c r="EP10" s="464"/>
      <c r="EQ10" s="1370">
        <f>$FK$6/(BR19/EQ20)</f>
        <v>11.23323611369125</v>
      </c>
      <c r="ER10" s="464"/>
      <c r="ES10" s="464"/>
      <c r="ET10" s="464"/>
      <c r="EU10" s="464">
        <f>$FK$6/(BV19/EU20)</f>
        <v>12.016829558998809</v>
      </c>
      <c r="EV10" s="464"/>
      <c r="EW10" s="464"/>
      <c r="EX10" s="464"/>
      <c r="EY10" s="1590">
        <f>$FK$6/(BZ19/EY20)</f>
        <v>13.299080829360241</v>
      </c>
      <c r="EZ10" s="464"/>
      <c r="FA10" s="464"/>
      <c r="FB10" s="464"/>
      <c r="FC10" s="464">
        <f ca="1">$FK$6/(CD19/FC20)</f>
        <v>10.705689924273381</v>
      </c>
      <c r="FD10" s="464"/>
      <c r="FE10" s="464"/>
      <c r="FF10" s="464"/>
      <c r="FG10" s="464">
        <f ca="1">$FK$6/(CH19/FG20)</f>
        <v>9.9431425475138564</v>
      </c>
      <c r="FH10" s="464"/>
      <c r="FI10" s="464"/>
      <c r="FJ10" s="464"/>
      <c r="FK10" s="464">
        <f ca="1">$FK$6/(CL19/FK20)</f>
        <v>9.2407838159597215</v>
      </c>
      <c r="FL10" s="444"/>
      <c r="FM10" s="444"/>
      <c r="FN10" s="444"/>
      <c r="FO10" s="444"/>
      <c r="FP10" s="444"/>
      <c r="FQ10" s="444"/>
      <c r="FR10" s="444"/>
      <c r="FS10" s="444"/>
      <c r="FT10" s="444"/>
      <c r="FU10" s="444"/>
      <c r="FV10" s="444"/>
      <c r="FW10" s="444"/>
    </row>
    <row r="11" spans="1:183" ht="13.8">
      <c r="A11" s="444"/>
      <c r="B11" s="444"/>
      <c r="C11" s="1374" t="s">
        <v>344</v>
      </c>
      <c r="D11" s="1092"/>
      <c r="E11" s="1092"/>
      <c r="F11" s="1092"/>
      <c r="G11" s="1375"/>
      <c r="H11" s="1092"/>
      <c r="I11" s="1092"/>
      <c r="J11" s="1092"/>
      <c r="K11" s="1375"/>
      <c r="L11" s="1092"/>
      <c r="M11" s="1092"/>
      <c r="N11" s="1092"/>
      <c r="O11" s="1375"/>
      <c r="P11" s="1092"/>
      <c r="Q11" s="1092"/>
      <c r="R11" s="1092"/>
      <c r="S11" s="1376"/>
      <c r="T11" s="1092"/>
      <c r="U11" s="1092"/>
      <c r="V11" s="1092"/>
      <c r="W11" s="1376"/>
      <c r="X11" s="1093">
        <f>MODEL!BD16</f>
        <v>802</v>
      </c>
      <c r="Y11" s="1093">
        <f>MODEL!BE16</f>
        <v>699</v>
      </c>
      <c r="Z11" s="1093">
        <f>MODEL!BF16</f>
        <v>1501</v>
      </c>
      <c r="AA11" s="1377"/>
      <c r="AB11" s="1093">
        <f>MODEL!BH16</f>
        <v>743</v>
      </c>
      <c r="AC11" s="1093">
        <f>MODEL!BI16</f>
        <v>567</v>
      </c>
      <c r="AD11" s="1093">
        <f>MODEL!BJ16</f>
        <v>1310</v>
      </c>
      <c r="AE11" s="1377">
        <f>MODEL!BK16</f>
        <v>0</v>
      </c>
      <c r="AF11" s="1093">
        <f>MODEL!BL16</f>
        <v>720</v>
      </c>
      <c r="AG11" s="1093">
        <f>MODEL!BM16</f>
        <v>565</v>
      </c>
      <c r="AH11" s="1378">
        <f>MODEL!BN16</f>
        <v>1285</v>
      </c>
      <c r="AI11" s="1377"/>
      <c r="AJ11" s="1093">
        <f>MODEL!BP16</f>
        <v>675</v>
      </c>
      <c r="AK11" s="1093">
        <f>MODEL!BQ16</f>
        <v>388</v>
      </c>
      <c r="AL11" s="1378">
        <f>MODEL!BR16</f>
        <v>1063</v>
      </c>
      <c r="AM11" s="1377"/>
      <c r="AN11" s="1093">
        <f>MODEL!BT16</f>
        <v>401</v>
      </c>
      <c r="AO11" s="1093">
        <f>MODEL!BU16</f>
        <v>365</v>
      </c>
      <c r="AP11" s="1378">
        <f>MODEL!BV16</f>
        <v>766</v>
      </c>
      <c r="AQ11" s="1093"/>
      <c r="AR11" s="1093">
        <f>MODEL!BX16</f>
        <v>886</v>
      </c>
      <c r="AS11" s="1093">
        <f>MODEL!BY16</f>
        <v>550</v>
      </c>
      <c r="AT11" s="1378">
        <f>MODEL!BZ16</f>
        <v>1436</v>
      </c>
      <c r="AU11" s="1378"/>
      <c r="AV11" s="1093">
        <f>MODEL!CB16</f>
        <v>552</v>
      </c>
      <c r="AW11" s="1093">
        <f>MODEL!CC16</f>
        <v>577</v>
      </c>
      <c r="AX11" s="1093">
        <f>MODEL!CD16</f>
        <v>1129</v>
      </c>
      <c r="AY11" s="1378"/>
      <c r="AZ11" s="1094">
        <f>MODEL!CF16</f>
        <v>667</v>
      </c>
      <c r="BA11" s="1093">
        <f>MODEL!CG16</f>
        <v>619</v>
      </c>
      <c r="BB11" s="1378">
        <f>MODEL!CH16</f>
        <v>1286</v>
      </c>
      <c r="BC11" s="1093"/>
      <c r="BD11" s="1093">
        <f>MODEL!CJ16</f>
        <v>764</v>
      </c>
      <c r="BE11" s="1093">
        <f>MODEL!CK16</f>
        <v>1120</v>
      </c>
      <c r="BF11" s="1378">
        <f>MODEL!CL16</f>
        <v>1884</v>
      </c>
      <c r="BG11" s="1093"/>
      <c r="BH11" s="1093">
        <f>MODEL!CN16</f>
        <v>638</v>
      </c>
      <c r="BI11" s="1093">
        <f>MODEL!CO16</f>
        <v>492</v>
      </c>
      <c r="BJ11" s="1378">
        <f>MODEL!CP16</f>
        <v>1130</v>
      </c>
      <c r="BK11" s="1093"/>
      <c r="BL11" s="1093">
        <f>MODEL!CR16</f>
        <v>396</v>
      </c>
      <c r="BM11" s="1093">
        <f>MODEL!CS16</f>
        <v>464</v>
      </c>
      <c r="BN11" s="1378">
        <f>MODEL!CT16</f>
        <v>860</v>
      </c>
      <c r="BO11" s="1093"/>
      <c r="BP11" s="1093">
        <f>MODEL!CV16</f>
        <v>985</v>
      </c>
      <c r="BQ11" s="1093">
        <f>MODEL!CW16</f>
        <v>938</v>
      </c>
      <c r="BR11" s="1378">
        <f>MODEL!CX16</f>
        <v>1923</v>
      </c>
      <c r="BS11" s="1093"/>
      <c r="BT11" s="1093">
        <f>MODEL!CZ16</f>
        <v>1276</v>
      </c>
      <c r="BU11" s="1093">
        <f>MODEL!DA16</f>
        <v>1039</v>
      </c>
      <c r="BV11" s="1378">
        <f>MODEL!DB16</f>
        <v>2315</v>
      </c>
      <c r="BW11" s="1093"/>
      <c r="BX11" s="1093">
        <f>MODEL!DD16</f>
        <v>991</v>
      </c>
      <c r="BY11" s="1093">
        <f>MODEL!DE16</f>
        <v>870</v>
      </c>
      <c r="BZ11" s="1378">
        <f>MODEL!DF16</f>
        <v>1861</v>
      </c>
      <c r="CA11" s="1093"/>
      <c r="CB11" s="1093">
        <f>MODEL!DH16</f>
        <v>913.76</v>
      </c>
      <c r="CC11" s="1093">
        <f>MODEL!DI16</f>
        <v>818.93</v>
      </c>
      <c r="CD11" s="1378">
        <f>MODEL!DJ16</f>
        <v>1732.69</v>
      </c>
      <c r="CE11" s="1093"/>
      <c r="CF11" s="1093">
        <f>MODEL!DL16</f>
        <v>940.21019999999999</v>
      </c>
      <c r="CG11" s="1093">
        <f>MODEL!DM16</f>
        <v>842.51909999999998</v>
      </c>
      <c r="CH11" s="1378">
        <f>MODEL!DN16</f>
        <v>1782.7293</v>
      </c>
      <c r="CI11" s="1093"/>
      <c r="CJ11" s="1093">
        <f>MODEL!DP16</f>
        <v>967.43465400000002</v>
      </c>
      <c r="CK11" s="1093">
        <f>MODEL!DQ16</f>
        <v>866.7962970000001</v>
      </c>
      <c r="CL11" s="1093">
        <f>MODEL!DR16</f>
        <v>1834.230951</v>
      </c>
      <c r="CM11" s="1379"/>
      <c r="CN11" s="1369" t="s">
        <v>338</v>
      </c>
      <c r="CO11" s="1343">
        <v>9.9930046954084624</v>
      </c>
      <c r="CP11" s="1343">
        <v>10.388088577735012</v>
      </c>
      <c r="CQ11" s="1343">
        <v>10.388088577735012</v>
      </c>
      <c r="CR11" s="1343"/>
      <c r="CS11" s="1343">
        <v>10.613437671240233</v>
      </c>
      <c r="CT11" s="1343">
        <v>11.438041340200421</v>
      </c>
      <c r="CU11" s="1343">
        <v>11.438041340200421</v>
      </c>
      <c r="CV11" s="1343"/>
      <c r="CW11" s="1343">
        <v>11.738304016277459</v>
      </c>
      <c r="CX11" s="1343">
        <v>12.224378495998414</v>
      </c>
      <c r="CY11" s="1343">
        <v>12.224378495998414</v>
      </c>
      <c r="CZ11" s="1343"/>
      <c r="DA11" s="467">
        <f>MODEL!BH1119</f>
        <v>12.551168105875051</v>
      </c>
      <c r="DB11" s="467">
        <f>MODEL!BI1119</f>
        <v>13.478369482207297</v>
      </c>
      <c r="DC11" s="467">
        <f>MODEL!BJ1119</f>
        <v>13.478369482207297</v>
      </c>
      <c r="DD11" s="467"/>
      <c r="DE11" s="467">
        <f>MODEL!BL1119</f>
        <v>13.895536084815166</v>
      </c>
      <c r="DF11" s="467">
        <f>MODEL!BM1119</f>
        <v>14.650509011359736</v>
      </c>
      <c r="DG11" s="467">
        <f>MODEL!BN1119</f>
        <v>14.650509011359736</v>
      </c>
      <c r="DH11" s="467"/>
      <c r="DI11" s="467">
        <f>MODEL!BP1119</f>
        <v>15.752824135703454</v>
      </c>
      <c r="DJ11" s="467">
        <f>MODEL!BQ1119</f>
        <v>16.85835873397534</v>
      </c>
      <c r="DK11" s="467">
        <f>MODEL!BR1119</f>
        <v>16.85835873397534</v>
      </c>
      <c r="DL11" s="467">
        <f>MODEL!BS1119</f>
        <v>0</v>
      </c>
      <c r="DM11" s="467">
        <f>MODEL!BT1119</f>
        <v>16.718764433828639</v>
      </c>
      <c r="DN11" s="467">
        <f>MODEL!BU1119</f>
        <v>17.129427771424147</v>
      </c>
      <c r="DO11" s="467">
        <f>MODEL!BV1119</f>
        <v>17.129427771424147</v>
      </c>
      <c r="DP11" s="467"/>
      <c r="DQ11" s="467"/>
      <c r="DR11" s="467"/>
      <c r="DS11" s="467">
        <f>MODEL!BZ1119</f>
        <v>17.698893146682355</v>
      </c>
      <c r="DT11" s="467"/>
      <c r="DU11" s="467"/>
      <c r="DV11" s="467"/>
      <c r="DW11" s="467">
        <f>MODEL!CD1119</f>
        <v>18.900562903536091</v>
      </c>
      <c r="DX11" s="467"/>
      <c r="DY11" s="467"/>
      <c r="DZ11" s="467"/>
      <c r="EA11" s="467">
        <f>MODEL!CH1119</f>
        <v>19.728461668671624</v>
      </c>
      <c r="EB11" s="467"/>
      <c r="EC11" s="467"/>
      <c r="ED11" s="467"/>
      <c r="EE11" s="467">
        <f>MODEL!CL1119</f>
        <v>20.035416333798526</v>
      </c>
      <c r="EF11" s="467"/>
      <c r="EG11" s="467"/>
      <c r="EH11" s="467"/>
      <c r="EI11" s="1380">
        <f>MODEL!CP1119</f>
        <v>21.087181781018341</v>
      </c>
      <c r="EJ11" s="467"/>
      <c r="EK11" s="467"/>
      <c r="EL11" s="467"/>
      <c r="EM11" s="1380">
        <f>MODEL!CT1119</f>
        <v>20.746348457633296</v>
      </c>
      <c r="EN11" s="467"/>
      <c r="EO11" s="467"/>
      <c r="EP11" s="467"/>
      <c r="EQ11" s="1380">
        <f>MODEL!CX1119</f>
        <v>21.770351938410776</v>
      </c>
      <c r="ER11" s="467"/>
      <c r="ES11" s="467"/>
      <c r="ET11" s="467"/>
      <c r="EU11" s="467">
        <f>MODEL!DB1119</f>
        <v>21.596847967796215</v>
      </c>
      <c r="EV11" s="467"/>
      <c r="EW11" s="467"/>
      <c r="EX11" s="467"/>
      <c r="EY11" s="1592">
        <f>MODEL!DF1119</f>
        <v>21.908013372311093</v>
      </c>
      <c r="EZ11" s="467"/>
      <c r="FA11" s="467"/>
      <c r="FB11" s="467"/>
      <c r="FC11" s="467">
        <f ca="1">MODEL!DJ1119</f>
        <v>22.861131877507056</v>
      </c>
      <c r="FD11" s="467"/>
      <c r="FE11" s="467"/>
      <c r="FF11" s="467"/>
      <c r="FG11" s="467">
        <f ca="1">MODEL!DN1119</f>
        <v>23.68309389514932</v>
      </c>
      <c r="FH11" s="467"/>
      <c r="FI11" s="467"/>
      <c r="FJ11" s="467"/>
      <c r="FK11" s="467">
        <f ca="1">MODEL!DR1119</f>
        <v>24.504291047101844</v>
      </c>
      <c r="FL11" s="444"/>
      <c r="FM11" s="758"/>
      <c r="FN11" s="444"/>
      <c r="FO11" s="444"/>
      <c r="FP11" s="444"/>
      <c r="FQ11" s="444"/>
      <c r="FR11" s="444"/>
      <c r="FS11" s="758"/>
      <c r="FT11" s="444"/>
      <c r="FU11" s="444"/>
      <c r="FV11" s="444"/>
      <c r="FW11" s="444"/>
    </row>
    <row r="12" spans="1:183" ht="13.8">
      <c r="A12" s="444"/>
      <c r="B12" s="444"/>
      <c r="C12" s="1374" t="s">
        <v>345</v>
      </c>
      <c r="D12" s="1092"/>
      <c r="E12" s="1092"/>
      <c r="F12" s="1092"/>
      <c r="G12" s="1375"/>
      <c r="H12" s="1092"/>
      <c r="I12" s="1092"/>
      <c r="J12" s="1092"/>
      <c r="K12" s="1375"/>
      <c r="L12" s="1092"/>
      <c r="M12" s="1092"/>
      <c r="N12" s="1092"/>
      <c r="O12" s="1375"/>
      <c r="P12" s="1092"/>
      <c r="Q12" s="1092"/>
      <c r="R12" s="1092"/>
      <c r="S12" s="1376"/>
      <c r="T12" s="1092"/>
      <c r="U12" s="1092"/>
      <c r="V12" s="1092"/>
      <c r="W12" s="1376"/>
      <c r="X12" s="1093">
        <f>MODEL!BD17</f>
        <v>166</v>
      </c>
      <c r="Y12" s="1093">
        <f>MODEL!BE17</f>
        <v>230</v>
      </c>
      <c r="Z12" s="1093">
        <f>MODEL!BF17</f>
        <v>396</v>
      </c>
      <c r="AA12" s="1377"/>
      <c r="AB12" s="1093">
        <f>MODEL!BH17</f>
        <v>209</v>
      </c>
      <c r="AC12" s="1093">
        <f>MODEL!BI17</f>
        <v>269</v>
      </c>
      <c r="AD12" s="1093">
        <f>MODEL!BJ17</f>
        <v>478</v>
      </c>
      <c r="AE12" s="1377">
        <f>MODEL!BK17</f>
        <v>0</v>
      </c>
      <c r="AF12" s="1093">
        <f>MODEL!BL17</f>
        <v>243</v>
      </c>
      <c r="AG12" s="1093">
        <f>MODEL!BM17</f>
        <v>267</v>
      </c>
      <c r="AH12" s="1378">
        <f>MODEL!BN17</f>
        <v>510</v>
      </c>
      <c r="AI12" s="1377"/>
      <c r="AJ12" s="1093">
        <f>MODEL!BP17</f>
        <v>314</v>
      </c>
      <c r="AK12" s="1093">
        <f>MODEL!BQ17</f>
        <v>311</v>
      </c>
      <c r="AL12" s="1378">
        <f>MODEL!BR17</f>
        <v>625</v>
      </c>
      <c r="AM12" s="1377"/>
      <c r="AN12" s="1093">
        <f>MODEL!BT17</f>
        <v>301</v>
      </c>
      <c r="AO12" s="1093">
        <f>MODEL!BU17</f>
        <v>243</v>
      </c>
      <c r="AP12" s="1378">
        <f>MODEL!BV17</f>
        <v>544</v>
      </c>
      <c r="AQ12" s="1093"/>
      <c r="AR12" s="1093">
        <f>MODEL!BX17</f>
        <v>173</v>
      </c>
      <c r="AS12" s="1093">
        <f>MODEL!BY17</f>
        <v>127</v>
      </c>
      <c r="AT12" s="1378">
        <f>MODEL!BZ17</f>
        <v>300</v>
      </c>
      <c r="AU12" s="1378"/>
      <c r="AV12" s="1093">
        <f>MODEL!CB17</f>
        <v>88</v>
      </c>
      <c r="AW12" s="1093">
        <f>MODEL!CC17</f>
        <v>95</v>
      </c>
      <c r="AX12" s="1093">
        <f>MODEL!CD17</f>
        <v>183</v>
      </c>
      <c r="AY12" s="1378"/>
      <c r="AZ12" s="1094">
        <f>MODEL!CF17</f>
        <v>131</v>
      </c>
      <c r="BA12" s="1093">
        <f>MODEL!CG17</f>
        <v>131</v>
      </c>
      <c r="BB12" s="1378">
        <f>MODEL!CH17</f>
        <v>262</v>
      </c>
      <c r="BC12" s="1093"/>
      <c r="BD12" s="1093">
        <f>MODEL!CJ17</f>
        <v>135</v>
      </c>
      <c r="BE12" s="1093">
        <f>MODEL!CK17</f>
        <v>20</v>
      </c>
      <c r="BF12" s="1378">
        <f>MODEL!CL17</f>
        <v>155</v>
      </c>
      <c r="BG12" s="1093"/>
      <c r="BH12" s="1093">
        <f>MODEL!CN17</f>
        <v>-242</v>
      </c>
      <c r="BI12" s="1093">
        <f>MODEL!CO17</f>
        <v>66</v>
      </c>
      <c r="BJ12" s="1378">
        <f>MODEL!CP17</f>
        <v>-176</v>
      </c>
      <c r="BK12" s="1093"/>
      <c r="BL12" s="1093">
        <f>MODEL!CR17</f>
        <v>74</v>
      </c>
      <c r="BM12" s="1093">
        <f>MODEL!CS17</f>
        <v>103</v>
      </c>
      <c r="BN12" s="1378">
        <f>MODEL!CT17</f>
        <v>177</v>
      </c>
      <c r="BO12" s="1093"/>
      <c r="BP12" s="1093">
        <f>MODEL!CV17</f>
        <v>101</v>
      </c>
      <c r="BQ12" s="1093">
        <f>MODEL!CW17</f>
        <v>120</v>
      </c>
      <c r="BR12" s="1378">
        <f>MODEL!CX17</f>
        <v>221</v>
      </c>
      <c r="BS12" s="1093"/>
      <c r="BT12" s="1093">
        <f>MODEL!CZ17</f>
        <v>84</v>
      </c>
      <c r="BU12" s="1093">
        <f>MODEL!DA17</f>
        <v>21</v>
      </c>
      <c r="BV12" s="1378">
        <f>MODEL!DB17</f>
        <v>105</v>
      </c>
      <c r="BW12" s="1093"/>
      <c r="BX12" s="1093">
        <f>MODEL!DD17</f>
        <v>38</v>
      </c>
      <c r="BY12" s="1093">
        <f>MODEL!DE17</f>
        <v>38</v>
      </c>
      <c r="BZ12" s="1378">
        <f>MODEL!DF17</f>
        <v>76</v>
      </c>
      <c r="CA12" s="1093"/>
      <c r="CB12" s="1093">
        <f>MODEL!DH17</f>
        <v>53.752200000000016</v>
      </c>
      <c r="CC12" s="1093">
        <f>MODEL!DI17</f>
        <v>55.427244000000016</v>
      </c>
      <c r="CD12" s="1378">
        <f>MODEL!DJ17</f>
        <v>109.17944400000003</v>
      </c>
      <c r="CE12" s="1093"/>
      <c r="CF12" s="1093">
        <f>MODEL!DL17</f>
        <v>67.135788880000021</v>
      </c>
      <c r="CG12" s="1093">
        <f>MODEL!DM17</f>
        <v>68.878504657600018</v>
      </c>
      <c r="CH12" s="1378">
        <f>MODEL!DN17</f>
        <v>136.01429353760005</v>
      </c>
      <c r="CI12" s="1093"/>
      <c r="CJ12" s="1093">
        <f>MODEL!DP17</f>
        <v>70.656074750752026</v>
      </c>
      <c r="CK12" s="1093">
        <f>MODEL!DQ17</f>
        <v>72.469196245767066</v>
      </c>
      <c r="CL12" s="1093">
        <f>MODEL!DR17</f>
        <v>143.12527099651908</v>
      </c>
      <c r="CM12" s="1379"/>
      <c r="CN12" s="1369" t="s">
        <v>339</v>
      </c>
      <c r="CO12" s="1343">
        <v>12.491157190460806</v>
      </c>
      <c r="CP12" s="1343">
        <v>12.978273883127381</v>
      </c>
      <c r="CQ12" s="1343">
        <v>12.978273883127381</v>
      </c>
      <c r="CR12" s="1343"/>
      <c r="CS12" s="1343">
        <v>13.167718566681144</v>
      </c>
      <c r="CT12" s="1343">
        <v>14.086922983416667</v>
      </c>
      <c r="CU12" s="1343">
        <v>14.086922983416667</v>
      </c>
      <c r="CV12" s="1343"/>
      <c r="CW12" s="1343">
        <v>14.376838000160765</v>
      </c>
      <c r="CX12" s="1343">
        <v>14.830587434184361</v>
      </c>
      <c r="CY12" s="1343">
        <v>14.830587434184361</v>
      </c>
      <c r="CZ12" s="1343"/>
      <c r="DA12" s="467">
        <f>MODEL!BH1118</f>
        <v>15.154195158526548</v>
      </c>
      <c r="DB12" s="467">
        <f>MODEL!BI1118</f>
        <v>16.281199696327743</v>
      </c>
      <c r="DC12" s="467">
        <f>MODEL!BJ1118</f>
        <v>16.281199696327743</v>
      </c>
      <c r="DD12" s="467"/>
      <c r="DE12" s="467">
        <f>MODEL!BL1118</f>
        <v>16.799565012981017</v>
      </c>
      <c r="DF12" s="467">
        <f>MODEL!BM1118</f>
        <v>17.534467478162831</v>
      </c>
      <c r="DG12" s="467">
        <f>MODEL!BN1118</f>
        <v>17.534467478162831</v>
      </c>
      <c r="DH12" s="467"/>
      <c r="DI12" s="467">
        <f>MODEL!BP1118</f>
        <v>18.783937638726904</v>
      </c>
      <c r="DJ12" s="467">
        <f>MODEL!BQ1118</f>
        <v>19.72188540806961</v>
      </c>
      <c r="DK12" s="467">
        <f>MODEL!BR1118</f>
        <v>19.72188540806961</v>
      </c>
      <c r="DL12" s="467">
        <f>MODEL!BS1118</f>
        <v>0</v>
      </c>
      <c r="DM12" s="467">
        <f>MODEL!BT1118</f>
        <v>19.318539501084171</v>
      </c>
      <c r="DN12" s="467">
        <f>MODEL!BU1118</f>
        <v>19.750114762657066</v>
      </c>
      <c r="DO12" s="467">
        <f>MODEL!BV1118</f>
        <v>19.750114762657066</v>
      </c>
      <c r="DP12" s="467"/>
      <c r="DQ12" s="467"/>
      <c r="DR12" s="467"/>
      <c r="DS12" s="467">
        <f>MODEL!BZ1118</f>
        <v>20.071727500726016</v>
      </c>
      <c r="DT12" s="467"/>
      <c r="DU12" s="467"/>
      <c r="DV12" s="467"/>
      <c r="DW12" s="467">
        <f>MODEL!CD1118</f>
        <v>20.616170126750294</v>
      </c>
      <c r="DX12" s="467"/>
      <c r="DY12" s="467"/>
      <c r="DZ12" s="467"/>
      <c r="EA12" s="467">
        <f>MODEL!CH1118</f>
        <v>21.443351196431944</v>
      </c>
      <c r="EB12" s="467"/>
      <c r="EC12" s="467"/>
      <c r="ED12" s="467"/>
      <c r="EE12" s="467">
        <f>MODEL!CL1118</f>
        <v>21.577116764769634</v>
      </c>
      <c r="EF12" s="467"/>
      <c r="EG12" s="467"/>
      <c r="EH12" s="467"/>
      <c r="EI12" s="1380">
        <f>MODEL!CP1118</f>
        <v>22.547747402437526</v>
      </c>
      <c r="EJ12" s="467"/>
      <c r="EK12" s="467"/>
      <c r="EL12" s="467"/>
      <c r="EM12" s="1380">
        <f>MODEL!CT1118</f>
        <v>22.043037043321579</v>
      </c>
      <c r="EN12" s="467"/>
      <c r="EO12" s="467"/>
      <c r="EP12" s="467"/>
      <c r="EQ12" s="1380">
        <f>MODEL!CX1118</f>
        <v>23.120415177343965</v>
      </c>
      <c r="ER12" s="467"/>
      <c r="ES12" s="467"/>
      <c r="ET12" s="467"/>
      <c r="EU12" s="467">
        <f>MODEL!DB1118</f>
        <v>23.446539155290775</v>
      </c>
      <c r="EV12" s="467"/>
      <c r="EW12" s="467"/>
      <c r="EX12" s="467"/>
      <c r="EY12" s="1592">
        <f>MODEL!DF1118</f>
        <v>23.840294587851588</v>
      </c>
      <c r="EZ12" s="467"/>
      <c r="FA12" s="467"/>
      <c r="FB12" s="467"/>
      <c r="FC12" s="467">
        <f ca="1">MODEL!DJ1118</f>
        <v>24.755489516364925</v>
      </c>
      <c r="FD12" s="467"/>
      <c r="FE12" s="467"/>
      <c r="FF12" s="467"/>
      <c r="FG12" s="467">
        <f ca="1">MODEL!DN1118</f>
        <v>25.568653920508108</v>
      </c>
      <c r="FH12" s="467"/>
      <c r="FI12" s="467"/>
      <c r="FJ12" s="467"/>
      <c r="FK12" s="467">
        <f ca="1">MODEL!DR1118</f>
        <v>26.393238207067995</v>
      </c>
      <c r="FL12" s="778"/>
      <c r="FM12" s="779"/>
      <c r="FN12" s="444"/>
      <c r="FO12" s="444"/>
      <c r="FP12" s="444"/>
      <c r="FQ12" s="444"/>
      <c r="FR12" s="444"/>
      <c r="FS12" s="485"/>
      <c r="FT12" s="444"/>
      <c r="FU12" s="444"/>
      <c r="FV12" s="444"/>
      <c r="FW12" s="444"/>
    </row>
    <row r="13" spans="1:183" ht="13.8">
      <c r="A13" s="444"/>
      <c r="B13" s="444"/>
      <c r="C13" s="1374" t="s">
        <v>346</v>
      </c>
      <c r="D13" s="1092"/>
      <c r="E13" s="1092"/>
      <c r="F13" s="1092"/>
      <c r="G13" s="1375"/>
      <c r="H13" s="1092"/>
      <c r="I13" s="1092"/>
      <c r="J13" s="1092"/>
      <c r="K13" s="1375"/>
      <c r="L13" s="1092"/>
      <c r="M13" s="1092"/>
      <c r="N13" s="1092"/>
      <c r="O13" s="1375"/>
      <c r="P13" s="1092"/>
      <c r="Q13" s="1092"/>
      <c r="R13" s="1092"/>
      <c r="S13" s="1376"/>
      <c r="T13" s="1092"/>
      <c r="U13" s="1092"/>
      <c r="V13" s="1092"/>
      <c r="W13" s="1376"/>
      <c r="X13" s="1093">
        <f>MODEL!BD18</f>
        <v>55</v>
      </c>
      <c r="Y13" s="1093">
        <f>MODEL!BE18</f>
        <v>394</v>
      </c>
      <c r="Z13" s="1093">
        <f>MODEL!BF18</f>
        <v>449</v>
      </c>
      <c r="AA13" s="1377"/>
      <c r="AB13" s="1093">
        <f>MODEL!BH18</f>
        <v>165</v>
      </c>
      <c r="AC13" s="1093">
        <f>MODEL!BI18</f>
        <v>134</v>
      </c>
      <c r="AD13" s="1093">
        <f>MODEL!BJ18</f>
        <v>299</v>
      </c>
      <c r="AE13" s="1377">
        <f>MODEL!BK18</f>
        <v>0</v>
      </c>
      <c r="AF13" s="1093">
        <f>MODEL!BL18</f>
        <v>138</v>
      </c>
      <c r="AG13" s="1093">
        <f>MODEL!BM18</f>
        <v>201</v>
      </c>
      <c r="AH13" s="1378">
        <f>MODEL!BN18</f>
        <v>339</v>
      </c>
      <c r="AI13" s="1377"/>
      <c r="AJ13" s="1093">
        <f>MODEL!BP18</f>
        <v>83</v>
      </c>
      <c r="AK13" s="1093">
        <f>MODEL!BQ18</f>
        <v>126</v>
      </c>
      <c r="AL13" s="1378">
        <f>MODEL!BR18</f>
        <v>209</v>
      </c>
      <c r="AM13" s="1377"/>
      <c r="AN13" s="1093">
        <f>MODEL!BT18</f>
        <v>48</v>
      </c>
      <c r="AO13" s="1093">
        <f>MODEL!BU18</f>
        <v>186</v>
      </c>
      <c r="AP13" s="1378">
        <f>MODEL!BV18</f>
        <v>234</v>
      </c>
      <c r="AQ13" s="1093"/>
      <c r="AR13" s="1093">
        <f>MODEL!BX18</f>
        <v>-24</v>
      </c>
      <c r="AS13" s="1093">
        <f>MODEL!BY18</f>
        <v>199</v>
      </c>
      <c r="AT13" s="1378">
        <f>MODEL!BZ18</f>
        <v>175</v>
      </c>
      <c r="AU13" s="1378"/>
      <c r="AV13" s="1093">
        <f>MODEL!CB18</f>
        <v>419</v>
      </c>
      <c r="AW13" s="1093">
        <f>MODEL!CC18</f>
        <v>245</v>
      </c>
      <c r="AX13" s="1093">
        <f>MODEL!CD18</f>
        <v>664</v>
      </c>
      <c r="AY13" s="1378"/>
      <c r="AZ13" s="1094">
        <f>MODEL!CF18</f>
        <v>361</v>
      </c>
      <c r="BA13" s="1093">
        <f>MODEL!CG18</f>
        <v>169</v>
      </c>
      <c r="BB13" s="1378">
        <f>MODEL!CH18</f>
        <v>530</v>
      </c>
      <c r="BC13" s="1093"/>
      <c r="BD13" s="1093">
        <f>MODEL!CJ18</f>
        <v>-724</v>
      </c>
      <c r="BE13" s="1093">
        <f>MODEL!CK18</f>
        <v>95</v>
      </c>
      <c r="BF13" s="1378">
        <f>MODEL!CL18</f>
        <v>-629</v>
      </c>
      <c r="BG13" s="1093"/>
      <c r="BH13" s="1093">
        <f>MODEL!CN18</f>
        <v>-22</v>
      </c>
      <c r="BI13" s="1093">
        <f>MODEL!CO18</f>
        <v>181</v>
      </c>
      <c r="BJ13" s="1378">
        <f>MODEL!CP18</f>
        <v>159</v>
      </c>
      <c r="BK13" s="1093"/>
      <c r="BL13" s="1093">
        <f>MODEL!CR18</f>
        <v>370</v>
      </c>
      <c r="BM13" s="1093">
        <f>MODEL!CS18</f>
        <v>219</v>
      </c>
      <c r="BN13" s="1378">
        <f>MODEL!CT18</f>
        <v>589</v>
      </c>
      <c r="BO13" s="1093"/>
      <c r="BP13" s="1093">
        <f>MODEL!CV18</f>
        <v>9</v>
      </c>
      <c r="BQ13" s="1093">
        <f>MODEL!CW18</f>
        <v>208</v>
      </c>
      <c r="BR13" s="1378">
        <f>MODEL!CX18</f>
        <v>217</v>
      </c>
      <c r="BS13" s="1093"/>
      <c r="BT13" s="1093">
        <f>MODEL!CZ18</f>
        <v>121</v>
      </c>
      <c r="BU13" s="1093">
        <f>MODEL!DA18</f>
        <v>202</v>
      </c>
      <c r="BV13" s="1378">
        <f>MODEL!DB18</f>
        <v>323</v>
      </c>
      <c r="BW13" s="1093"/>
      <c r="BX13" s="1093">
        <f>MODEL!DD18</f>
        <v>196</v>
      </c>
      <c r="BY13" s="1093">
        <f>MODEL!DE18</f>
        <v>-93</v>
      </c>
      <c r="BZ13" s="1378">
        <f>MODEL!DF18</f>
        <v>103</v>
      </c>
      <c r="CA13" s="1093"/>
      <c r="CB13" s="1093">
        <f>MODEL!DH18</f>
        <v>195.84</v>
      </c>
      <c r="CC13" s="1093">
        <f>MODEL!DI18</f>
        <v>199.7568</v>
      </c>
      <c r="CD13" s="1378">
        <f>MODEL!DJ18</f>
        <v>395.59680000000003</v>
      </c>
      <c r="CE13" s="1093"/>
      <c r="CF13" s="1093">
        <f>MODEL!DL18</f>
        <v>203.751936</v>
      </c>
      <c r="CG13" s="1093">
        <f>MODEL!DM18</f>
        <v>207.82697472000001</v>
      </c>
      <c r="CH13" s="1378">
        <f>MODEL!DN18</f>
        <v>411.57891072000001</v>
      </c>
      <c r="CI13" s="1093"/>
      <c r="CJ13" s="1093">
        <f>MODEL!DP18</f>
        <v>211.9835142144</v>
      </c>
      <c r="CK13" s="1093">
        <f>MODEL!DQ18</f>
        <v>216.223184498688</v>
      </c>
      <c r="CL13" s="1093">
        <f>MODEL!DR18</f>
        <v>428.20669871308803</v>
      </c>
      <c r="CM13" s="1379"/>
      <c r="CN13" s="1349" t="s">
        <v>417</v>
      </c>
      <c r="CO13" s="1343">
        <v>3.345340167343287</v>
      </c>
      <c r="CP13" s="1343">
        <v>3.2181088705434373</v>
      </c>
      <c r="CQ13" s="1343">
        <v>3.2181088705434373</v>
      </c>
      <c r="CR13" s="1343"/>
      <c r="CS13" s="1343">
        <v>3.1497805928221503</v>
      </c>
      <c r="CT13" s="1343">
        <v>2.9227031976625315</v>
      </c>
      <c r="CU13" s="1343">
        <v>2.9227031976625315</v>
      </c>
      <c r="CV13" s="1343"/>
      <c r="CW13" s="1343">
        <v>2.8479412318545125</v>
      </c>
      <c r="CX13" s="1343">
        <v>2.7346993559585164</v>
      </c>
      <c r="CY13" s="1343">
        <v>2.7346993559585164</v>
      </c>
      <c r="CZ13" s="1343"/>
      <c r="DA13" s="462">
        <f t="shared" ref="DA13:DC14" si="3">$DO$6/DA11</f>
        <v>3.2148402172314663</v>
      </c>
      <c r="DB13" s="462">
        <f t="shared" si="3"/>
        <v>2.9936855532314763</v>
      </c>
      <c r="DC13" s="462">
        <f t="shared" si="3"/>
        <v>2.9936855532314763</v>
      </c>
      <c r="DD13" s="462"/>
      <c r="DE13" s="462">
        <f t="shared" ref="DE13:DG14" si="4">$DO$6/DE11</f>
        <v>2.9038102419160263</v>
      </c>
      <c r="DF13" s="462">
        <f t="shared" si="4"/>
        <v>2.7541705184927943</v>
      </c>
      <c r="DG13" s="1096">
        <f t="shared" si="4"/>
        <v>2.7541705184927943</v>
      </c>
      <c r="DH13" s="1096"/>
      <c r="DI13" s="1096">
        <f t="shared" ref="DI13:DK14" si="5">$DO$6/DI11</f>
        <v>2.5614454685968053</v>
      </c>
      <c r="DJ13" s="1096">
        <f t="shared" si="5"/>
        <v>2.3934714308031064</v>
      </c>
      <c r="DK13" s="1096">
        <f t="shared" si="5"/>
        <v>2.3934714308031064</v>
      </c>
      <c r="DL13" s="1096"/>
      <c r="DM13" s="1096">
        <f t="shared" ref="DM13:DO14" si="6">$DO$6/DM11</f>
        <v>2.413455860312026</v>
      </c>
      <c r="DN13" s="1096">
        <f t="shared" si="6"/>
        <v>2.3555953262672991</v>
      </c>
      <c r="DO13" s="1096">
        <f t="shared" si="6"/>
        <v>2.3555953262672991</v>
      </c>
      <c r="DP13" s="1096"/>
      <c r="DQ13" s="1096"/>
      <c r="DR13" s="1096"/>
      <c r="DS13" s="1096">
        <f>$FK$6/DS11</f>
        <v>2.2798035823818497</v>
      </c>
      <c r="DT13" s="1096"/>
      <c r="DU13" s="1096"/>
      <c r="DV13" s="1096"/>
      <c r="DW13" s="1096">
        <f>$FK$6/DW11</f>
        <v>2.1348570519267946</v>
      </c>
      <c r="DX13" s="1096"/>
      <c r="DY13" s="1096"/>
      <c r="DZ13" s="1096"/>
      <c r="EA13" s="1096">
        <f>$FK$6/EA11</f>
        <v>2.0452684389515752</v>
      </c>
      <c r="EB13" s="1096"/>
      <c r="EC13" s="1096"/>
      <c r="ED13" s="1096"/>
      <c r="EE13" s="1096">
        <f>$FK$6/EE11</f>
        <v>2.0139336926047307</v>
      </c>
      <c r="EF13" s="1096"/>
      <c r="EG13" s="1096"/>
      <c r="EH13" s="1096"/>
      <c r="EI13" s="1381">
        <f>$FK$6/EI11</f>
        <v>1.9134847140323472</v>
      </c>
      <c r="EJ13" s="1096"/>
      <c r="EK13" s="1096"/>
      <c r="EL13" s="1096"/>
      <c r="EM13" s="1381">
        <f>$FK$6/EM11</f>
        <v>1.9449205763799773</v>
      </c>
      <c r="EN13" s="1096"/>
      <c r="EO13" s="1096"/>
      <c r="EP13" s="1096"/>
      <c r="EQ13" s="1381">
        <f>$FK$6/EQ11</f>
        <v>1.8534381122616583</v>
      </c>
      <c r="ER13" s="1096"/>
      <c r="ES13" s="1096"/>
      <c r="ET13" s="1096"/>
      <c r="EU13" s="1096">
        <f>$FK$6/EU11</f>
        <v>1.8683281958629907</v>
      </c>
      <c r="EV13" s="1096"/>
      <c r="EW13" s="1096"/>
      <c r="EX13" s="1096"/>
      <c r="EY13" s="1593">
        <f>$FK$6/EY11</f>
        <v>1.841791828144363</v>
      </c>
      <c r="EZ13" s="1096"/>
      <c r="FA13" s="1096"/>
      <c r="FB13" s="1096"/>
      <c r="FC13" s="1096">
        <f ca="1">$FK$6/FC11</f>
        <v>1.7650044720532909</v>
      </c>
      <c r="FD13" s="1096"/>
      <c r="FE13" s="1096"/>
      <c r="FF13" s="1096"/>
      <c r="FG13" s="1096">
        <f ca="1">$FK$6/FG11</f>
        <v>1.7037469926285405</v>
      </c>
      <c r="FH13" s="1096"/>
      <c r="FI13" s="1096"/>
      <c r="FJ13" s="1096"/>
      <c r="FK13" s="1096">
        <f ca="1">$FK$6/FK11</f>
        <v>1.6466503732933848</v>
      </c>
      <c r="FL13" s="778"/>
      <c r="FM13" s="692"/>
      <c r="FN13" s="444"/>
      <c r="FO13" s="444"/>
      <c r="FP13" s="444"/>
      <c r="FQ13" s="444"/>
      <c r="FR13" s="444"/>
      <c r="FS13" s="444"/>
      <c r="FT13" s="444"/>
      <c r="FU13" s="444"/>
      <c r="FV13" s="444"/>
      <c r="FW13" s="444"/>
    </row>
    <row r="14" spans="1:183" ht="13.8">
      <c r="A14" s="444"/>
      <c r="B14" s="444"/>
      <c r="C14" s="1356" t="s">
        <v>487</v>
      </c>
      <c r="D14" s="1357"/>
      <c r="E14" s="1357"/>
      <c r="F14" s="1357"/>
      <c r="G14" s="1358"/>
      <c r="H14" s="1357">
        <v>1923</v>
      </c>
      <c r="I14" s="1357">
        <v>1722</v>
      </c>
      <c r="J14" s="1357">
        <v>3645</v>
      </c>
      <c r="K14" s="1358"/>
      <c r="L14" s="1357">
        <v>1063</v>
      </c>
      <c r="M14" s="1357">
        <v>3067</v>
      </c>
      <c r="N14" s="1357">
        <v>4130</v>
      </c>
      <c r="O14" s="1358"/>
      <c r="P14" s="1357">
        <v>2410</v>
      </c>
      <c r="Q14" s="1357">
        <v>2618</v>
      </c>
      <c r="R14" s="1357">
        <v>5028</v>
      </c>
      <c r="S14" s="1357"/>
      <c r="T14" s="1357">
        <v>2856</v>
      </c>
      <c r="U14" s="1357">
        <v>2529</v>
      </c>
      <c r="V14" s="1357">
        <v>5385</v>
      </c>
      <c r="W14" s="1357"/>
      <c r="X14" s="1359">
        <f>SUM(X10:X13)</f>
        <v>2179</v>
      </c>
      <c r="Y14" s="1359">
        <f>SUM(Y10:Y13)</f>
        <v>2460</v>
      </c>
      <c r="Z14" s="1087">
        <f>SUM(Z10:Z13)</f>
        <v>4639</v>
      </c>
      <c r="AA14" s="1087"/>
      <c r="AB14" s="1359">
        <f t="shared" ref="AB14:AH14" si="7">SUM(AB10:AB13)</f>
        <v>2262</v>
      </c>
      <c r="AC14" s="1359">
        <f t="shared" si="7"/>
        <v>2141</v>
      </c>
      <c r="AD14" s="1087">
        <f t="shared" si="7"/>
        <v>4403</v>
      </c>
      <c r="AE14" s="1087">
        <f t="shared" si="7"/>
        <v>0</v>
      </c>
      <c r="AF14" s="1087">
        <f t="shared" si="7"/>
        <v>2287</v>
      </c>
      <c r="AG14" s="1087">
        <f t="shared" si="7"/>
        <v>2211</v>
      </c>
      <c r="AH14" s="1360">
        <f t="shared" si="7"/>
        <v>4498</v>
      </c>
      <c r="AI14" s="1087"/>
      <c r="AJ14" s="1087">
        <f>SUM(AJ10:AJ13)</f>
        <v>2325</v>
      </c>
      <c r="AK14" s="1087">
        <f>SUM(AK10:AK13)</f>
        <v>2092</v>
      </c>
      <c r="AL14" s="1360">
        <f>SUM(AL10:AL13)</f>
        <v>4417</v>
      </c>
      <c r="AM14" s="1087"/>
      <c r="AN14" s="1087">
        <f>SUM(AN10:AN13)</f>
        <v>1986</v>
      </c>
      <c r="AO14" s="1087">
        <f>SUM(AO10:AO13)</f>
        <v>1995</v>
      </c>
      <c r="AP14" s="1360">
        <f>SUM(AP10:AP13)</f>
        <v>3981</v>
      </c>
      <c r="AQ14" s="1093"/>
      <c r="AR14" s="1087">
        <f>SUM(AR10:AR13)</f>
        <v>2212</v>
      </c>
      <c r="AS14" s="1087">
        <f>SUM(AS10:AS13)</f>
        <v>2061</v>
      </c>
      <c r="AT14" s="1360">
        <f>SUM(AT10:AT13)</f>
        <v>4273</v>
      </c>
      <c r="AU14" s="1378"/>
      <c r="AV14" s="1087">
        <f>SUM(AV10:AV13)</f>
        <v>2394</v>
      </c>
      <c r="AW14" s="1087">
        <f>SUM(AW10:AW13)</f>
        <v>2206</v>
      </c>
      <c r="AX14" s="1087">
        <f>SUM(AX10:AX13)</f>
        <v>4600</v>
      </c>
      <c r="AY14" s="1378"/>
      <c r="AZ14" s="1088">
        <f>SUM(AZ10:AZ13)</f>
        <v>2377</v>
      </c>
      <c r="BA14" s="1087">
        <f>SUM(BA10:BA13)</f>
        <v>2194</v>
      </c>
      <c r="BB14" s="1360">
        <f>SUM(BB10:BB13)</f>
        <v>4571</v>
      </c>
      <c r="BC14" s="1087"/>
      <c r="BD14" s="1087">
        <f>SUM(BD10:BD13)</f>
        <v>1310</v>
      </c>
      <c r="BE14" s="1087">
        <f>SUM(BE10:BE13)</f>
        <v>2315</v>
      </c>
      <c r="BF14" s="1360">
        <f>SUM(BF10:BF13)</f>
        <v>3625</v>
      </c>
      <c r="BG14" s="1087"/>
      <c r="BH14" s="1087">
        <f>SUM(BH10:BH13)</f>
        <v>1385</v>
      </c>
      <c r="BI14" s="1087">
        <f>SUM(BI10:BI13)</f>
        <v>1791</v>
      </c>
      <c r="BJ14" s="1360">
        <f>SUM(BJ10:BJ13)</f>
        <v>3176</v>
      </c>
      <c r="BK14" s="1087"/>
      <c r="BL14" s="1087">
        <f>SUM(BL10:BL13)</f>
        <v>1793</v>
      </c>
      <c r="BM14" s="1087">
        <f>SUM(BM10:BM13)</f>
        <v>1740</v>
      </c>
      <c r="BN14" s="1360">
        <f>SUM(BN10:BN13)</f>
        <v>3533</v>
      </c>
      <c r="BO14" s="1087"/>
      <c r="BP14" s="1087">
        <f>SUM(BP10:BP13)</f>
        <v>1985</v>
      </c>
      <c r="BQ14" s="1087">
        <f>SUM(BQ10:BQ13)</f>
        <v>2238</v>
      </c>
      <c r="BR14" s="1360">
        <f>SUM(BR10:BR13)</f>
        <v>4223</v>
      </c>
      <c r="BS14" s="1087"/>
      <c r="BT14" s="1087">
        <f>SUM(BT10:BT13)</f>
        <v>2400</v>
      </c>
      <c r="BU14" s="1087">
        <f>SUM(BU10:BU13)</f>
        <v>2218</v>
      </c>
      <c r="BV14" s="1360">
        <f>SUM(BV10:BV13)</f>
        <v>4618</v>
      </c>
      <c r="BW14" s="1087"/>
      <c r="BX14" s="1087">
        <f>SUM(BX10:BX13)</f>
        <v>2080</v>
      </c>
      <c r="BY14" s="1087">
        <f>SUM(BY10:BY13)</f>
        <v>1763</v>
      </c>
      <c r="BZ14" s="1360">
        <f>SUM(BZ10:BZ13)</f>
        <v>3843</v>
      </c>
      <c r="CA14" s="1087"/>
      <c r="CB14" s="1087">
        <f>SUM(CB10:CB13)</f>
        <v>2054.4722000000002</v>
      </c>
      <c r="CC14" s="1087">
        <f>SUM(CC10:CC13)</f>
        <v>2018.7012439999999</v>
      </c>
      <c r="CD14" s="1360">
        <f>SUM(CD10:CD13)</f>
        <v>4073.173444</v>
      </c>
      <c r="CE14" s="1087"/>
      <c r="CF14" s="1087">
        <f>SUM(CF10:CF13)</f>
        <v>2117.9016368799998</v>
      </c>
      <c r="CG14" s="1087">
        <f>SUM(CG10:CG13)</f>
        <v>2080.4365140976001</v>
      </c>
      <c r="CH14" s="1360">
        <f>SUM(CH10:CH13)</f>
        <v>4198.3381509776</v>
      </c>
      <c r="CI14" s="1087"/>
      <c r="CJ14" s="1087">
        <f>SUM(CJ10:CJ13)</f>
        <v>2172.8377002963521</v>
      </c>
      <c r="CK14" s="1087">
        <f>SUM(CK10:CK13)</f>
        <v>2133.6179425155274</v>
      </c>
      <c r="CL14" s="1087">
        <f>SUM(CL10:CL13)</f>
        <v>4306.4556428118794</v>
      </c>
      <c r="CM14" s="1379"/>
      <c r="CN14" s="1097" t="s">
        <v>154</v>
      </c>
      <c r="CO14" s="1372">
        <v>2.6762932761369522</v>
      </c>
      <c r="CP14" s="1372">
        <v>2.5758433132977125</v>
      </c>
      <c r="CQ14" s="1372">
        <v>2.5758433132977125</v>
      </c>
      <c r="CR14" s="1372"/>
      <c r="CS14" s="1372">
        <v>2.5387845153821402</v>
      </c>
      <c r="CT14" s="1372">
        <v>2.3731229338979341</v>
      </c>
      <c r="CU14" s="1372">
        <v>2.3731229338979341</v>
      </c>
      <c r="CV14" s="1372"/>
      <c r="CW14" s="1372">
        <v>2.3252679065887909</v>
      </c>
      <c r="CX14" s="1372">
        <v>2.2541251415937964</v>
      </c>
      <c r="CY14" s="1372">
        <v>2.2541251415937964</v>
      </c>
      <c r="CZ14" s="1372"/>
      <c r="DA14" s="559">
        <f t="shared" si="3"/>
        <v>2.6626290329445155</v>
      </c>
      <c r="DB14" s="559">
        <f t="shared" si="3"/>
        <v>2.4783185976830087</v>
      </c>
      <c r="DC14" s="559">
        <f t="shared" si="3"/>
        <v>2.4783185976830087</v>
      </c>
      <c r="DD14" s="559"/>
      <c r="DE14" s="559">
        <f t="shared" si="4"/>
        <v>2.4018479031344904</v>
      </c>
      <c r="DF14" s="559">
        <f t="shared" si="4"/>
        <v>2.3011819463722691</v>
      </c>
      <c r="DG14" s="1098">
        <f t="shared" si="4"/>
        <v>2.3011819463722691</v>
      </c>
      <c r="DH14" s="1098"/>
      <c r="DI14" s="1098">
        <f t="shared" si="5"/>
        <v>2.1481119015647856</v>
      </c>
      <c r="DJ14" s="1098">
        <f t="shared" si="5"/>
        <v>2.0459504334960785</v>
      </c>
      <c r="DK14" s="1098">
        <f t="shared" si="5"/>
        <v>2.0459504334960785</v>
      </c>
      <c r="DL14" s="1098"/>
      <c r="DM14" s="1098">
        <f t="shared" si="6"/>
        <v>2.0886672099480155</v>
      </c>
      <c r="DN14" s="1098">
        <f t="shared" si="6"/>
        <v>2.0430261031339723</v>
      </c>
      <c r="DO14" s="1098">
        <f t="shared" si="6"/>
        <v>2.0430261031339723</v>
      </c>
      <c r="DP14" s="1098"/>
      <c r="DQ14" s="1098"/>
      <c r="DR14" s="1098"/>
      <c r="DS14" s="1098">
        <f>$FK$6/DS12</f>
        <v>2.0102903448913652</v>
      </c>
      <c r="DT14" s="1098"/>
      <c r="DU14" s="1098"/>
      <c r="DV14" s="1098"/>
      <c r="DW14" s="1098">
        <f>$FK$6/DW12</f>
        <v>1.9572015438330268</v>
      </c>
      <c r="DX14" s="1098"/>
      <c r="DY14" s="1098"/>
      <c r="DZ14" s="1098"/>
      <c r="EA14" s="1098">
        <f>$FK$6/EA12</f>
        <v>1.8817021476901437</v>
      </c>
      <c r="EB14" s="1098"/>
      <c r="EC14" s="1098"/>
      <c r="ED14" s="1098"/>
      <c r="EE14" s="1098">
        <f>$FK$6/EE12</f>
        <v>1.8700366893264477</v>
      </c>
      <c r="EF14" s="1098"/>
      <c r="EG14" s="1098"/>
      <c r="EH14" s="1098"/>
      <c r="EI14" s="1382">
        <f>$FK$6/EI12</f>
        <v>1.7895357473996698</v>
      </c>
      <c r="EJ14" s="1098"/>
      <c r="EK14" s="1098"/>
      <c r="EL14" s="1098"/>
      <c r="EM14" s="1382">
        <f>$FK$6/EM12</f>
        <v>1.8305100118781008</v>
      </c>
      <c r="EN14" s="1098"/>
      <c r="EO14" s="1098"/>
      <c r="EP14" s="1098"/>
      <c r="EQ14" s="1382">
        <f>$FK$6/EQ12</f>
        <v>1.7452108749128157</v>
      </c>
      <c r="ER14" s="1098"/>
      <c r="ES14" s="1098"/>
      <c r="ET14" s="1098"/>
      <c r="EU14" s="1098">
        <f>$FK$6/EU12</f>
        <v>1.7209362854259416</v>
      </c>
      <c r="EV14" s="1098"/>
      <c r="EW14" s="1098"/>
      <c r="EX14" s="1098"/>
      <c r="EY14" s="1594">
        <f>$FK$6/EY12</f>
        <v>1.6925126428832529</v>
      </c>
      <c r="EZ14" s="1098"/>
      <c r="FA14" s="1098"/>
      <c r="FB14" s="1098"/>
      <c r="FC14" s="1098">
        <f ca="1">$FK$6/FC12</f>
        <v>1.6299415114908606</v>
      </c>
      <c r="FD14" s="1098"/>
      <c r="FE14" s="1098"/>
      <c r="FF14" s="1098"/>
      <c r="FG14" s="1098">
        <f ca="1">$FK$6/FG12</f>
        <v>1.5781041945128003</v>
      </c>
      <c r="FH14" s="1098"/>
      <c r="FI14" s="1098"/>
      <c r="FJ14" s="1098"/>
      <c r="FK14" s="1098">
        <f ca="1">$FK$6/FK12</f>
        <v>1.5288006603598359</v>
      </c>
      <c r="FL14" s="1078"/>
      <c r="FM14" s="692"/>
      <c r="FN14" s="444"/>
      <c r="FO14" s="444"/>
      <c r="FP14" s="444"/>
      <c r="FQ14" s="444"/>
      <c r="FR14" s="444"/>
      <c r="FS14" s="444" t="s">
        <v>25</v>
      </c>
      <c r="FT14" s="444"/>
      <c r="FU14" s="444"/>
      <c r="FV14" s="444"/>
      <c r="FW14" s="444"/>
    </row>
    <row r="15" spans="1:183" ht="13.8">
      <c r="A15" s="444"/>
      <c r="B15" s="444"/>
      <c r="C15" s="1374" t="s">
        <v>354</v>
      </c>
      <c r="D15" s="1376"/>
      <c r="E15" s="1376"/>
      <c r="F15" s="1376"/>
      <c r="G15" s="1375"/>
      <c r="H15" s="1376"/>
      <c r="I15" s="1376"/>
      <c r="J15" s="1376"/>
      <c r="K15" s="1375"/>
      <c r="L15" s="1376"/>
      <c r="M15" s="1376"/>
      <c r="N15" s="1376"/>
      <c r="O15" s="1375"/>
      <c r="P15" s="1376"/>
      <c r="Q15" s="1376"/>
      <c r="R15" s="1376"/>
      <c r="S15" s="1376"/>
      <c r="T15" s="1376"/>
      <c r="U15" s="1376"/>
      <c r="V15" s="1376"/>
      <c r="W15" s="1376"/>
      <c r="X15" s="1383">
        <f>MODEL!BD25</f>
        <v>557</v>
      </c>
      <c r="Y15" s="1383">
        <f>MODEL!BE25</f>
        <v>542</v>
      </c>
      <c r="Z15" s="1377">
        <f>MODEL!BF25</f>
        <v>1099</v>
      </c>
      <c r="AA15" s="1377"/>
      <c r="AB15" s="1383">
        <f>MODEL!BH25</f>
        <v>594</v>
      </c>
      <c r="AC15" s="1383">
        <f>MODEL!BI25</f>
        <v>622</v>
      </c>
      <c r="AD15" s="1377">
        <f>MODEL!BJ25</f>
        <v>1216</v>
      </c>
      <c r="AE15" s="1377">
        <f>MODEL!BK25</f>
        <v>0</v>
      </c>
      <c r="AF15" s="1377">
        <f>MODEL!BL25</f>
        <v>617</v>
      </c>
      <c r="AG15" s="1377">
        <f>MODEL!BM25</f>
        <v>666</v>
      </c>
      <c r="AH15" s="1384">
        <f>MODEL!BN25</f>
        <v>1283</v>
      </c>
      <c r="AI15" s="1377"/>
      <c r="AJ15" s="1377">
        <f>MODEL!BP25</f>
        <v>732</v>
      </c>
      <c r="AK15" s="1377">
        <f>MODEL!BQ25</f>
        <v>772</v>
      </c>
      <c r="AL15" s="1384">
        <f>MODEL!BR25</f>
        <v>1504</v>
      </c>
      <c r="AM15" s="1377"/>
      <c r="AN15" s="1377">
        <f>MODEL!BT25</f>
        <v>771</v>
      </c>
      <c r="AO15" s="1377">
        <f>MODEL!BU25</f>
        <v>747</v>
      </c>
      <c r="AP15" s="1384">
        <f>MODEL!BV25</f>
        <v>1518</v>
      </c>
      <c r="AQ15" s="1377"/>
      <c r="AR15" s="1377">
        <f>MODEL!BX25</f>
        <v>345</v>
      </c>
      <c r="AS15" s="1377">
        <f>MODEL!BY25</f>
        <v>323</v>
      </c>
      <c r="AT15" s="1384">
        <f>MODEL!BZ25</f>
        <v>668</v>
      </c>
      <c r="AU15" s="1360"/>
      <c r="AV15" s="1377">
        <f>MODEL!CB25</f>
        <v>126</v>
      </c>
      <c r="AW15" s="1377">
        <f>MODEL!CC25</f>
        <v>127</v>
      </c>
      <c r="AX15" s="1377">
        <f>MODEL!CD25</f>
        <v>253</v>
      </c>
      <c r="AY15" s="1360"/>
      <c r="AZ15" s="1095">
        <f>MODEL!CF25</f>
        <v>70</v>
      </c>
      <c r="BA15" s="1377">
        <f>MODEL!CG25</f>
        <v>49</v>
      </c>
      <c r="BB15" s="1384">
        <f>MODEL!CH25</f>
        <v>119</v>
      </c>
      <c r="BC15" s="1377"/>
      <c r="BD15" s="1377">
        <f>MODEL!CJ25</f>
        <v>47</v>
      </c>
      <c r="BE15" s="1377">
        <f>MODEL!CK25</f>
        <v>31</v>
      </c>
      <c r="BF15" s="1384">
        <f>MODEL!CL25</f>
        <v>78</v>
      </c>
      <c r="BG15" s="1377"/>
      <c r="BH15" s="1377">
        <f>MODEL!CN25</f>
        <v>52</v>
      </c>
      <c r="BI15" s="1377">
        <f>MODEL!CO25</f>
        <v>58</v>
      </c>
      <c r="BJ15" s="1384">
        <f>MODEL!CP25</f>
        <v>110</v>
      </c>
      <c r="BK15" s="1377"/>
      <c r="BL15" s="1377">
        <f>MODEL!CR25</f>
        <v>55</v>
      </c>
      <c r="BM15" s="1377">
        <f>MODEL!CS25</f>
        <v>85</v>
      </c>
      <c r="BN15" s="1384">
        <f>MODEL!CT25</f>
        <v>140</v>
      </c>
      <c r="BO15" s="1377"/>
      <c r="BP15" s="1377">
        <f>MODEL!CV25</f>
        <v>55</v>
      </c>
      <c r="BQ15" s="1377">
        <f>MODEL!CW25</f>
        <v>53</v>
      </c>
      <c r="BR15" s="1384">
        <f>MODEL!CX25</f>
        <v>108</v>
      </c>
      <c r="BS15" s="1377"/>
      <c r="BT15" s="1377">
        <f>MODEL!CZ25</f>
        <v>48</v>
      </c>
      <c r="BU15" s="1377">
        <f>MODEL!DA25</f>
        <v>74</v>
      </c>
      <c r="BV15" s="1384">
        <f>MODEL!DB25</f>
        <v>122</v>
      </c>
      <c r="BW15" s="1377"/>
      <c r="BX15" s="1377">
        <f>MODEL!DD25</f>
        <v>46</v>
      </c>
      <c r="BY15" s="1377">
        <f>MODEL!DE25</f>
        <v>49</v>
      </c>
      <c r="BZ15" s="1384">
        <f>MODEL!DF25</f>
        <v>95</v>
      </c>
      <c r="CA15" s="1377"/>
      <c r="CB15" s="1377">
        <f>MODEL!DH25</f>
        <v>49.49</v>
      </c>
      <c r="CC15" s="1377">
        <f>MODEL!DI25</f>
        <v>49.984900000000003</v>
      </c>
      <c r="CD15" s="1384">
        <f>MODEL!DJ25</f>
        <v>99.474900000000005</v>
      </c>
      <c r="CE15" s="1377"/>
      <c r="CF15" s="1377">
        <f>MODEL!DL25</f>
        <v>50.484749000000001</v>
      </c>
      <c r="CG15" s="1377">
        <f>MODEL!DM25</f>
        <v>50.989596490000004</v>
      </c>
      <c r="CH15" s="1384">
        <f>MODEL!DN25</f>
        <v>101.47434549</v>
      </c>
      <c r="CI15" s="1377"/>
      <c r="CJ15" s="1377">
        <f>MODEL!DP25</f>
        <v>51.499492454900007</v>
      </c>
      <c r="CK15" s="1377">
        <f>MODEL!DQ25</f>
        <v>52.014487379449008</v>
      </c>
      <c r="CL15" s="1377">
        <f>MODEL!DR25</f>
        <v>103.51397983434902</v>
      </c>
      <c r="CM15" s="1379"/>
      <c r="CN15" s="1385" t="s">
        <v>423</v>
      </c>
      <c r="CO15" s="1343">
        <v>52</v>
      </c>
      <c r="CP15" s="1343">
        <v>74</v>
      </c>
      <c r="CQ15" s="1343">
        <v>126</v>
      </c>
      <c r="CR15" s="1343"/>
      <c r="CS15" s="1343">
        <v>64</v>
      </c>
      <c r="CT15" s="1343">
        <v>76</v>
      </c>
      <c r="CU15" s="1343">
        <v>140</v>
      </c>
      <c r="CV15" s="1343"/>
      <c r="CW15" s="1343">
        <v>66</v>
      </c>
      <c r="CX15" s="1343">
        <v>79</v>
      </c>
      <c r="CY15" s="1343">
        <v>145</v>
      </c>
      <c r="CZ15" s="1343"/>
      <c r="DA15" s="1100">
        <f>AB47</f>
        <v>73</v>
      </c>
      <c r="DB15" s="1100">
        <f>AC47</f>
        <v>91</v>
      </c>
      <c r="DC15" s="1100">
        <f>AD47</f>
        <v>164</v>
      </c>
      <c r="DD15" s="1100"/>
      <c r="DE15" s="1100">
        <f>AF47</f>
        <v>83</v>
      </c>
      <c r="DF15" s="1100">
        <f>AG47</f>
        <v>95</v>
      </c>
      <c r="DG15" s="1100">
        <f>AH47</f>
        <v>178</v>
      </c>
      <c r="DH15" s="1100"/>
      <c r="DI15" s="1100">
        <f t="shared" ref="DI15:DO15" si="8">AJ47</f>
        <v>86</v>
      </c>
      <c r="DJ15" s="1100">
        <f t="shared" si="8"/>
        <v>95</v>
      </c>
      <c r="DK15" s="1100">
        <f t="shared" si="8"/>
        <v>181</v>
      </c>
      <c r="DL15" s="1100">
        <f t="shared" si="8"/>
        <v>0</v>
      </c>
      <c r="DM15" s="1100">
        <f t="shared" si="8"/>
        <v>80</v>
      </c>
      <c r="DN15" s="1100">
        <f t="shared" si="8"/>
        <v>80</v>
      </c>
      <c r="DO15" s="1100">
        <f t="shared" si="8"/>
        <v>160</v>
      </c>
      <c r="DP15" s="1100"/>
      <c r="DQ15" s="1100">
        <f>AR47</f>
        <v>80</v>
      </c>
      <c r="DR15" s="1100">
        <f>AS47</f>
        <v>80</v>
      </c>
      <c r="DS15" s="1100">
        <f>AT47</f>
        <v>160</v>
      </c>
      <c r="DT15" s="1100"/>
      <c r="DU15" s="1100">
        <f>AV47</f>
        <v>80</v>
      </c>
      <c r="DV15" s="1100">
        <f>AW47</f>
        <v>80</v>
      </c>
      <c r="DW15" s="1100">
        <f>AX47</f>
        <v>160</v>
      </c>
      <c r="DX15" s="1100"/>
      <c r="DY15" s="1100"/>
      <c r="DZ15" s="1100"/>
      <c r="EA15" s="1100">
        <f>BB47</f>
        <v>160</v>
      </c>
      <c r="EB15" s="1100"/>
      <c r="EC15" s="1100"/>
      <c r="ED15" s="1100"/>
      <c r="EE15" s="1100">
        <f>BF47</f>
        <v>60</v>
      </c>
      <c r="EF15" s="1100"/>
      <c r="EG15" s="1100"/>
      <c r="EH15" s="1100"/>
      <c r="EI15" s="1386">
        <f>BJ47</f>
        <v>142</v>
      </c>
      <c r="EJ15" s="1100"/>
      <c r="EK15" s="1100">
        <f>BL47</f>
        <v>72</v>
      </c>
      <c r="EL15" s="1100">
        <f>BM47</f>
        <v>74</v>
      </c>
      <c r="EM15" s="1386">
        <f>BN47</f>
        <v>146</v>
      </c>
      <c r="EN15" s="1100"/>
      <c r="EO15" s="1100"/>
      <c r="EP15" s="1100"/>
      <c r="EQ15" s="1386">
        <f>BR47</f>
        <v>162</v>
      </c>
      <c r="ER15" s="1100"/>
      <c r="ES15" s="1100"/>
      <c r="ET15" s="1100"/>
      <c r="EU15" s="1100">
        <f>BV47</f>
        <v>166</v>
      </c>
      <c r="EV15" s="1100"/>
      <c r="EW15" s="1100"/>
      <c r="EX15" s="1100"/>
      <c r="EY15" s="1595">
        <f>BZ47</f>
        <v>166</v>
      </c>
      <c r="EZ15" s="1100"/>
      <c r="FA15" s="1100"/>
      <c r="FB15" s="1100"/>
      <c r="FC15" s="1100">
        <f ca="1">CD47</f>
        <v>172</v>
      </c>
      <c r="FD15" s="1100"/>
      <c r="FE15" s="1100"/>
      <c r="FF15" s="1100"/>
      <c r="FG15" s="1100">
        <f ca="1">CH47</f>
        <v>182</v>
      </c>
      <c r="FH15" s="1100"/>
      <c r="FI15" s="1100"/>
      <c r="FJ15" s="1100"/>
      <c r="FK15" s="1100">
        <f ca="1">CL47</f>
        <v>190</v>
      </c>
      <c r="FL15" s="778"/>
      <c r="FN15" s="444"/>
      <c r="FO15" s="444"/>
      <c r="FP15" s="444"/>
      <c r="FQ15" s="444"/>
      <c r="FR15" s="444"/>
      <c r="FS15" s="758"/>
      <c r="FT15" s="444"/>
      <c r="FU15" s="444"/>
      <c r="FV15" s="444"/>
      <c r="FW15" s="444"/>
    </row>
    <row r="16" spans="1:183" ht="13.8">
      <c r="A16" s="444"/>
      <c r="B16" s="444"/>
      <c r="C16" s="1356" t="s">
        <v>223</v>
      </c>
      <c r="D16" s="1357"/>
      <c r="E16" s="1357"/>
      <c r="F16" s="1357"/>
      <c r="G16" s="1358"/>
      <c r="H16" s="1357"/>
      <c r="I16" s="1357"/>
      <c r="J16" s="1357"/>
      <c r="K16" s="1358"/>
      <c r="L16" s="1357"/>
      <c r="M16" s="1357"/>
      <c r="N16" s="1357"/>
      <c r="O16" s="1358"/>
      <c r="P16" s="1357"/>
      <c r="Q16" s="1357"/>
      <c r="R16" s="1357"/>
      <c r="S16" s="1357"/>
      <c r="T16" s="1357"/>
      <c r="U16" s="1357"/>
      <c r="V16" s="1357"/>
      <c r="W16" s="1357"/>
      <c r="X16" s="1359"/>
      <c r="Y16" s="1359"/>
      <c r="Z16" s="1087"/>
      <c r="AA16" s="1087"/>
      <c r="AB16" s="1359">
        <f t="shared" ref="AB16:AH16" si="9">AB14+AB15</f>
        <v>2856</v>
      </c>
      <c r="AC16" s="1359">
        <f t="shared" si="9"/>
        <v>2763</v>
      </c>
      <c r="AD16" s="1087">
        <f t="shared" si="9"/>
        <v>5619</v>
      </c>
      <c r="AE16" s="1087">
        <f t="shared" si="9"/>
        <v>0</v>
      </c>
      <c r="AF16" s="1087">
        <f t="shared" si="9"/>
        <v>2904</v>
      </c>
      <c r="AG16" s="1087">
        <f t="shared" si="9"/>
        <v>2877</v>
      </c>
      <c r="AH16" s="1360">
        <f t="shared" si="9"/>
        <v>5781</v>
      </c>
      <c r="AI16" s="1087"/>
      <c r="AJ16" s="1087">
        <f t="shared" ref="AJ16:AT16" si="10">AJ14+AJ15</f>
        <v>3057</v>
      </c>
      <c r="AK16" s="1087">
        <f t="shared" si="10"/>
        <v>2864</v>
      </c>
      <c r="AL16" s="1360">
        <f>AL14+AL15</f>
        <v>5921</v>
      </c>
      <c r="AM16" s="1087">
        <f t="shared" si="10"/>
        <v>0</v>
      </c>
      <c r="AN16" s="1087">
        <f t="shared" si="10"/>
        <v>2757</v>
      </c>
      <c r="AO16" s="1087">
        <f t="shared" si="10"/>
        <v>2742</v>
      </c>
      <c r="AP16" s="1360">
        <f t="shared" si="10"/>
        <v>5499</v>
      </c>
      <c r="AQ16" s="1087"/>
      <c r="AR16" s="1087">
        <f t="shared" si="10"/>
        <v>2557</v>
      </c>
      <c r="AS16" s="1087">
        <f t="shared" si="10"/>
        <v>2384</v>
      </c>
      <c r="AT16" s="1360">
        <f t="shared" si="10"/>
        <v>4941</v>
      </c>
      <c r="AU16" s="1360"/>
      <c r="AV16" s="1087">
        <f>AV14+AV15</f>
        <v>2520</v>
      </c>
      <c r="AW16" s="1087">
        <f>AW14+AW15</f>
        <v>2333</v>
      </c>
      <c r="AX16" s="1087">
        <f>AX14+AX15</f>
        <v>4853</v>
      </c>
      <c r="AY16" s="1360"/>
      <c r="AZ16" s="1088">
        <f>AZ14+AZ15</f>
        <v>2447</v>
      </c>
      <c r="BA16" s="1087">
        <f>BA14+BA15</f>
        <v>2243</v>
      </c>
      <c r="BB16" s="1360">
        <f>BB14+BB15</f>
        <v>4690</v>
      </c>
      <c r="BC16" s="1087"/>
      <c r="BD16" s="1087">
        <f>BD14+BD15</f>
        <v>1357</v>
      </c>
      <c r="BE16" s="1087">
        <f>BE14+BE15</f>
        <v>2346</v>
      </c>
      <c r="BF16" s="1360">
        <f>BF14+BF15</f>
        <v>3703</v>
      </c>
      <c r="BG16" s="1087"/>
      <c r="BH16" s="1087">
        <f>BH14+BH15</f>
        <v>1437</v>
      </c>
      <c r="BI16" s="1087">
        <f>BI14+BI15</f>
        <v>1849</v>
      </c>
      <c r="BJ16" s="1360">
        <f>BJ14+BJ15</f>
        <v>3286</v>
      </c>
      <c r="BK16" s="1087"/>
      <c r="BL16" s="1087">
        <f>BL14+BL15</f>
        <v>1848</v>
      </c>
      <c r="BM16" s="1087">
        <f>BM14+BM15</f>
        <v>1825</v>
      </c>
      <c r="BN16" s="1360">
        <f>BN14+BN15</f>
        <v>3673</v>
      </c>
      <c r="BO16" s="1087"/>
      <c r="BP16" s="1087">
        <f>BP14+BP15</f>
        <v>2040</v>
      </c>
      <c r="BQ16" s="1087">
        <f>BQ14+BQ15</f>
        <v>2291</v>
      </c>
      <c r="BR16" s="1360">
        <f>BR14+BR15</f>
        <v>4331</v>
      </c>
      <c r="BS16" s="1087"/>
      <c r="BT16" s="1087">
        <f>BT14+BT15</f>
        <v>2448</v>
      </c>
      <c r="BU16" s="1087">
        <f>BU14+BU15</f>
        <v>2292</v>
      </c>
      <c r="BV16" s="1360">
        <f>BV14+BV15</f>
        <v>4740</v>
      </c>
      <c r="BW16" s="1087"/>
      <c r="BX16" s="1087">
        <f>BX14+BX15</f>
        <v>2126</v>
      </c>
      <c r="BY16" s="1087">
        <f>BY14+BY15</f>
        <v>1812</v>
      </c>
      <c r="BZ16" s="1360">
        <f>BZ14+BZ15</f>
        <v>3938</v>
      </c>
      <c r="CA16" s="1087"/>
      <c r="CB16" s="1087">
        <f>CB14+CB15</f>
        <v>2103.9621999999999</v>
      </c>
      <c r="CC16" s="1087">
        <f>CC14+CC15</f>
        <v>2068.6861439999998</v>
      </c>
      <c r="CD16" s="1360">
        <f>CD14+CD15</f>
        <v>4172.6483440000002</v>
      </c>
      <c r="CE16" s="1087"/>
      <c r="CF16" s="1087">
        <f>CF14+CF15</f>
        <v>2168.38638588</v>
      </c>
      <c r="CG16" s="1087">
        <f>CG14+CG15</f>
        <v>2131.4261105876003</v>
      </c>
      <c r="CH16" s="1360">
        <f>CH14+CH15</f>
        <v>4299.8124964675999</v>
      </c>
      <c r="CI16" s="1087"/>
      <c r="CJ16" s="1087">
        <f>CJ14+CJ15</f>
        <v>2224.3371927512521</v>
      </c>
      <c r="CK16" s="1087">
        <f>CK14+CK15</f>
        <v>2185.6324298949762</v>
      </c>
      <c r="CL16" s="1087">
        <f>CL14+CL15</f>
        <v>4409.9696226462283</v>
      </c>
      <c r="CM16" s="1379"/>
      <c r="CN16" s="1385" t="s">
        <v>341</v>
      </c>
      <c r="CO16" s="1343">
        <v>100</v>
      </c>
      <c r="CP16" s="1343">
        <v>100</v>
      </c>
      <c r="CQ16" s="1343">
        <v>100</v>
      </c>
      <c r="CR16" s="1343"/>
      <c r="CS16" s="1343"/>
      <c r="CT16" s="1343"/>
      <c r="CU16" s="1343">
        <v>100</v>
      </c>
      <c r="CV16" s="1343"/>
      <c r="CW16" s="1343"/>
      <c r="CX16" s="1343"/>
      <c r="CY16" s="1343">
        <v>100</v>
      </c>
      <c r="CZ16" s="1343"/>
      <c r="DA16" s="1100">
        <f>MODEL!BH1164*100</f>
        <v>100</v>
      </c>
      <c r="DB16" s="1100">
        <f>MODEL!BI1164*100</f>
        <v>100</v>
      </c>
      <c r="DC16" s="1100">
        <f>MODEL!BJ1164*100</f>
        <v>100</v>
      </c>
      <c r="DD16" s="1100"/>
      <c r="DE16" s="1100">
        <f>MODEL!BL1164*100</f>
        <v>100</v>
      </c>
      <c r="DF16" s="1100">
        <f>MODEL!BM1164*100</f>
        <v>100</v>
      </c>
      <c r="DG16" s="1100">
        <f>MODEL!BN1164*100</f>
        <v>100</v>
      </c>
      <c r="DH16" s="1100"/>
      <c r="DI16" s="1100">
        <f>MODEL!BP1164*100</f>
        <v>100</v>
      </c>
      <c r="DJ16" s="1100">
        <f>MODEL!BQ1164*100</f>
        <v>100</v>
      </c>
      <c r="DK16" s="1100">
        <f>MODEL!BR1164*100</f>
        <v>100</v>
      </c>
      <c r="DL16" s="1100">
        <f>MODEL!BS1164*100</f>
        <v>0</v>
      </c>
      <c r="DM16" s="1100">
        <f>MODEL!BT1164*100</f>
        <v>100</v>
      </c>
      <c r="DN16" s="1100">
        <f>MODEL!BU1164*100</f>
        <v>100</v>
      </c>
      <c r="DO16" s="1100">
        <f>MODEL!BV1164*100</f>
        <v>100</v>
      </c>
      <c r="DP16" s="1100"/>
      <c r="DQ16" s="1100">
        <f>MODEL!BX1164*100</f>
        <v>100</v>
      </c>
      <c r="DR16" s="1100">
        <f>MODEL!BY1164*100</f>
        <v>100</v>
      </c>
      <c r="DS16" s="1100">
        <f>MODEL!BZ1164*100</f>
        <v>100</v>
      </c>
      <c r="DT16" s="1100"/>
      <c r="DU16" s="1100">
        <f>MODEL!CB1164*100</f>
        <v>100</v>
      </c>
      <c r="DV16" s="1100">
        <f>MODEL!CC1164*100</f>
        <v>100</v>
      </c>
      <c r="DW16" s="1100">
        <f>MODEL!CD1164*100</f>
        <v>100</v>
      </c>
      <c r="DX16" s="1100"/>
      <c r="DY16" s="1100"/>
      <c r="DZ16" s="1100"/>
      <c r="EA16" s="1100">
        <f>MODEL!CH1164*100</f>
        <v>85</v>
      </c>
      <c r="EB16" s="1100"/>
      <c r="EC16" s="1100"/>
      <c r="ED16" s="1100"/>
      <c r="EE16" s="1100">
        <f>MODEL!CL1164*100</f>
        <v>100</v>
      </c>
      <c r="EF16" s="1100"/>
      <c r="EG16" s="1100"/>
      <c r="EH16" s="1100"/>
      <c r="EI16" s="1386">
        <f>MODEL!CP1164*100</f>
        <v>100</v>
      </c>
      <c r="EJ16" s="1100"/>
      <c r="EK16" s="1100"/>
      <c r="EL16" s="1100"/>
      <c r="EM16" s="1386">
        <f>MODEL!CT1164*100</f>
        <v>100</v>
      </c>
      <c r="EN16" s="1100"/>
      <c r="EO16" s="1100"/>
      <c r="EP16" s="1100"/>
      <c r="EQ16" s="1386">
        <f>MODEL!CX1164*100</f>
        <v>82.5</v>
      </c>
      <c r="ER16" s="1100"/>
      <c r="ES16" s="1100"/>
      <c r="ET16" s="1100"/>
      <c r="EU16" s="1100">
        <f>MODEL!DB1164*100</f>
        <v>67.5</v>
      </c>
      <c r="EV16" s="1100"/>
      <c r="EW16" s="1100"/>
      <c r="EX16" s="1100"/>
      <c r="EY16" s="1595">
        <f>MODEL!DF1164*100</f>
        <v>70</v>
      </c>
      <c r="EZ16" s="1100"/>
      <c r="FA16" s="1100"/>
      <c r="FB16" s="1100"/>
      <c r="FC16" s="1100">
        <f ca="1">MODEL!DJ1164*100</f>
        <v>70</v>
      </c>
      <c r="FD16" s="1100"/>
      <c r="FE16" s="1100"/>
      <c r="FF16" s="1100"/>
      <c r="FG16" s="1100">
        <f ca="1">MODEL!DN1164*100</f>
        <v>70</v>
      </c>
      <c r="FH16" s="1100"/>
      <c r="FI16" s="1100"/>
      <c r="FJ16" s="1100"/>
      <c r="FK16" s="1100">
        <f ca="1">MODEL!DR1164*100</f>
        <v>70</v>
      </c>
      <c r="FL16" s="778"/>
      <c r="FN16" s="444"/>
      <c r="FO16" s="444"/>
      <c r="FP16" s="444"/>
      <c r="FQ16" s="444"/>
      <c r="FR16" s="444"/>
      <c r="FS16" s="758"/>
      <c r="FT16" s="444"/>
      <c r="FU16" s="444"/>
      <c r="FV16" s="444"/>
      <c r="FW16" s="444"/>
    </row>
    <row r="17" spans="1:188" ht="13.8">
      <c r="A17" s="444"/>
      <c r="B17" s="444"/>
      <c r="C17" s="1387" t="s">
        <v>256</v>
      </c>
      <c r="D17" s="1388"/>
      <c r="E17" s="1388"/>
      <c r="F17" s="1388"/>
      <c r="G17" s="1389"/>
      <c r="H17" s="1388">
        <v>5703</v>
      </c>
      <c r="I17" s="1388">
        <v>5792</v>
      </c>
      <c r="J17" s="1388">
        <v>11495</v>
      </c>
      <c r="K17" s="1389"/>
      <c r="L17" s="1388">
        <v>5884</v>
      </c>
      <c r="M17" s="1388">
        <v>8056</v>
      </c>
      <c r="N17" s="1388">
        <v>13940</v>
      </c>
      <c r="O17" s="1389"/>
      <c r="P17" s="1388">
        <v>7650</v>
      </c>
      <c r="Q17" s="1388">
        <v>8250</v>
      </c>
      <c r="R17" s="1388">
        <v>15900</v>
      </c>
      <c r="S17" s="1388"/>
      <c r="T17" s="1388">
        <v>8508</v>
      </c>
      <c r="U17" s="1388">
        <v>8377</v>
      </c>
      <c r="V17" s="1388">
        <v>16885</v>
      </c>
      <c r="W17" s="1388"/>
      <c r="X17" s="1390">
        <f>X7+X14+X15</f>
        <v>8720</v>
      </c>
      <c r="Y17" s="1390">
        <f>Y7+Y14+Y15</f>
        <v>9128</v>
      </c>
      <c r="Z17" s="1391">
        <f>Z7+Z14+Z15</f>
        <v>17848</v>
      </c>
      <c r="AA17" s="1391"/>
      <c r="AB17" s="1390">
        <f t="shared" ref="AB17:AH17" si="11">AB16+AB7</f>
        <v>9092</v>
      </c>
      <c r="AC17" s="1390">
        <f t="shared" si="11"/>
        <v>9299</v>
      </c>
      <c r="AD17" s="1391">
        <f t="shared" si="11"/>
        <v>18391</v>
      </c>
      <c r="AE17" s="1391">
        <f t="shared" si="11"/>
        <v>0</v>
      </c>
      <c r="AF17" s="1391">
        <f t="shared" si="11"/>
        <v>9668</v>
      </c>
      <c r="AG17" s="1391">
        <f t="shared" si="11"/>
        <v>9910</v>
      </c>
      <c r="AH17" s="1392">
        <f t="shared" si="11"/>
        <v>19578</v>
      </c>
      <c r="AI17" s="1391"/>
      <c r="AJ17" s="1391">
        <f t="shared" ref="AJ17:AP17" si="12">AJ16+AJ7</f>
        <v>10195</v>
      </c>
      <c r="AK17" s="1391">
        <f t="shared" si="12"/>
        <v>10342</v>
      </c>
      <c r="AL17" s="1392">
        <f t="shared" si="12"/>
        <v>20537</v>
      </c>
      <c r="AM17" s="1391">
        <f t="shared" si="12"/>
        <v>0</v>
      </c>
      <c r="AN17" s="1391">
        <f t="shared" si="12"/>
        <v>10325</v>
      </c>
      <c r="AO17" s="1391">
        <f t="shared" si="12"/>
        <v>10269</v>
      </c>
      <c r="AP17" s="1392">
        <f t="shared" si="12"/>
        <v>20594</v>
      </c>
      <c r="AQ17" s="1391"/>
      <c r="AR17" s="1391">
        <f>AR16+AR7</f>
        <v>9976</v>
      </c>
      <c r="AS17" s="1391">
        <f>AS16+AS7</f>
        <v>9840</v>
      </c>
      <c r="AT17" s="1392">
        <f>AT16+AT7</f>
        <v>19816</v>
      </c>
      <c r="AU17" s="1392"/>
      <c r="AV17" s="1391">
        <f>AV16+AV7</f>
        <v>9870</v>
      </c>
      <c r="AW17" s="1391">
        <f>AW16+AW7</f>
        <v>9497</v>
      </c>
      <c r="AX17" s="1391">
        <f>AX16+AX7</f>
        <v>19367</v>
      </c>
      <c r="AY17" s="1392"/>
      <c r="AZ17" s="1099">
        <f>AZ16+AZ7</f>
        <v>9746</v>
      </c>
      <c r="BA17" s="1391">
        <f>BA16+BA7</f>
        <v>9283</v>
      </c>
      <c r="BB17" s="1392">
        <f>BB16+BB7</f>
        <v>19029</v>
      </c>
      <c r="BC17" s="1391"/>
      <c r="BD17" s="1391">
        <f>BD16+BD7</f>
        <v>8579</v>
      </c>
      <c r="BE17" s="1391">
        <f>BE16+BE7</f>
        <v>9173</v>
      </c>
      <c r="BF17" s="1392">
        <f>BF16+BF7</f>
        <v>17752</v>
      </c>
      <c r="BG17" s="1391"/>
      <c r="BH17" s="1391">
        <f>BH16+BH7</f>
        <v>8423</v>
      </c>
      <c r="BI17" s="1391">
        <f>BI16+BI7</f>
        <v>9024</v>
      </c>
      <c r="BJ17" s="1392">
        <f>BJ16+BJ7</f>
        <v>17447</v>
      </c>
      <c r="BK17" s="1391"/>
      <c r="BL17" s="1391">
        <f>BL16+BL7</f>
        <v>8948</v>
      </c>
      <c r="BM17" s="1391">
        <f>BM16+BM7</f>
        <v>9599</v>
      </c>
      <c r="BN17" s="1392">
        <f>BN16+BN7</f>
        <v>18547</v>
      </c>
      <c r="BO17" s="1391"/>
      <c r="BP17" s="1391">
        <f>BP16+BP7</f>
        <v>10540</v>
      </c>
      <c r="BQ17" s="1391">
        <f>BQ16+BQ7</f>
        <v>10365</v>
      </c>
      <c r="BR17" s="1392">
        <f>BR16+BR7</f>
        <v>20905</v>
      </c>
      <c r="BS17" s="1391"/>
      <c r="BT17" s="1391">
        <f>BT16+BT7</f>
        <v>10347</v>
      </c>
      <c r="BU17" s="1391">
        <f>BU16+BU7</f>
        <v>10462</v>
      </c>
      <c r="BV17" s="1392">
        <f>BV16+BV7</f>
        <v>20809</v>
      </c>
      <c r="BW17" s="1391"/>
      <c r="BX17" s="1391">
        <f>BX16+BX7</f>
        <v>10995</v>
      </c>
      <c r="BY17" s="1391">
        <f>BY16+BY7</f>
        <v>10904</v>
      </c>
      <c r="BZ17" s="1392">
        <f>BZ16+BZ7</f>
        <v>21899</v>
      </c>
      <c r="CA17" s="1391"/>
      <c r="CB17" s="1391">
        <f ca="1">CB16+CB7</f>
        <v>11288.984147560002</v>
      </c>
      <c r="CC17" s="1391">
        <f ca="1">CC16+CC7</f>
        <v>11374.515751326247</v>
      </c>
      <c r="CD17" s="1392">
        <f ca="1">CD16+CD7</f>
        <v>22663.49989888625</v>
      </c>
      <c r="CE17" s="1391"/>
      <c r="CF17" s="1391">
        <f ca="1">CF16+CF7</f>
        <v>11626.422084593729</v>
      </c>
      <c r="CG17" s="1391">
        <f ca="1">CG16+CG7</f>
        <v>11798.408556718041</v>
      </c>
      <c r="CH17" s="1392">
        <f ca="1">CH16+CH7</f>
        <v>23424.830641311768</v>
      </c>
      <c r="CI17" s="1391"/>
      <c r="CJ17" s="1391">
        <f ca="1">CJ16+CJ7</f>
        <v>12079.634094440933</v>
      </c>
      <c r="CK17" s="1391">
        <f ca="1">CK16+CK7</f>
        <v>12244.903307413953</v>
      </c>
      <c r="CL17" s="1391">
        <f ca="1">CL16+CL7</f>
        <v>24324.537401854886</v>
      </c>
      <c r="CM17" s="1379"/>
      <c r="CN17" s="1393" t="s">
        <v>524</v>
      </c>
      <c r="CO17" s="1394">
        <v>55.58673271392405</v>
      </c>
      <c r="CP17" s="1394">
        <v>68.828132067587205</v>
      </c>
      <c r="CQ17" s="1394">
        <v>62.701205775478329</v>
      </c>
      <c r="CR17" s="1394"/>
      <c r="CS17" s="1394">
        <v>58.800860127388532</v>
      </c>
      <c r="CT17" s="1394">
        <v>70.881502890173408</v>
      </c>
      <c r="CU17" s="1394">
        <v>64.778553936360382</v>
      </c>
      <c r="CV17" s="1394"/>
      <c r="CW17" s="1394">
        <v>60.228452751817244</v>
      </c>
      <c r="CX17" s="1394">
        <v>72.286689419795223</v>
      </c>
      <c r="CY17" s="1394">
        <v>66.300051555250036</v>
      </c>
      <c r="CZ17" s="1394"/>
      <c r="DA17" s="559">
        <f>MODEL!BH1138*100</f>
        <v>63.004779560868208</v>
      </c>
      <c r="DB17" s="559">
        <f>MODEL!BI1138*100</f>
        <v>75.361495083006332</v>
      </c>
      <c r="DC17" s="559">
        <f>MODEL!BJ1138*100</f>
        <v>69.310663498767724</v>
      </c>
      <c r="DD17" s="559"/>
      <c r="DE17" s="559">
        <f>MODEL!BL1138*100</f>
        <v>64.797112264580363</v>
      </c>
      <c r="DF17" s="559">
        <f>MODEL!BM1138*100</f>
        <v>72.703952872015549</v>
      </c>
      <c r="DG17" s="559">
        <f>MODEL!BN1138*100</f>
        <v>68.798860173528169</v>
      </c>
      <c r="DH17" s="559"/>
      <c r="DI17" s="559">
        <f>MODEL!BP1138*100</f>
        <v>64.710092244831344</v>
      </c>
      <c r="DJ17" s="559">
        <f>MODEL!BQ1138*100</f>
        <v>77.897701778248589</v>
      </c>
      <c r="DK17" s="559">
        <f>MODEL!BR1138*100</f>
        <v>71.179623529240573</v>
      </c>
      <c r="DL17" s="559">
        <f>MODEL!BS1138*100</f>
        <v>0</v>
      </c>
      <c r="DM17" s="559">
        <f>MODEL!BT1138*100</f>
        <v>83.898205549964061</v>
      </c>
      <c r="DN17" s="559">
        <f>MODEL!BU1138*100</f>
        <v>75.377577341486955</v>
      </c>
      <c r="DO17" s="559">
        <f>MODEL!BV1138*100</f>
        <v>79.402774773306163</v>
      </c>
      <c r="DP17" s="559"/>
      <c r="DQ17" s="559">
        <f>MODEL!BX1138*100</f>
        <v>68.860439964819705</v>
      </c>
      <c r="DR17" s="559">
        <f>MODEL!BY1138*100</f>
        <v>66.62694248936775</v>
      </c>
      <c r="DS17" s="559">
        <f>MODEL!BZ1138*100</f>
        <v>67.725019729028546</v>
      </c>
      <c r="DT17" s="559"/>
      <c r="DU17" s="559">
        <f ca="1">MODEL!CB1138*100</f>
        <v>80.633073101529902</v>
      </c>
      <c r="DV17" s="559">
        <f>MODEL!CC1138*100</f>
        <v>78.487350440423356</v>
      </c>
      <c r="DW17" s="559">
        <f ca="1">MODEL!CD1138*100</f>
        <v>79.550416482342811</v>
      </c>
      <c r="DX17" s="559"/>
      <c r="DY17" s="559">
        <f>MODEL!CF1138*100</f>
        <v>64.500297757541276</v>
      </c>
      <c r="DZ17" s="559">
        <f>MODEL!CG1138*100</f>
        <v>85.669359214204761</v>
      </c>
      <c r="EA17" s="559">
        <f>MODEL!CH1138*100</f>
        <v>73.595331952605108</v>
      </c>
      <c r="EB17" s="559"/>
      <c r="EC17" s="559">
        <f>MODEL!CJ1138*100</f>
        <v>53.593677664399095</v>
      </c>
      <c r="ED17" s="559">
        <f>MODEL!CK1138*100</f>
        <v>42.538706835686781</v>
      </c>
      <c r="EE17" s="559">
        <f>MODEL!CL1138*100</f>
        <v>46.534806946721311</v>
      </c>
      <c r="EF17" s="559"/>
      <c r="EG17" s="559">
        <f>MODEL!CN1138*100</f>
        <v>66.796755868544608</v>
      </c>
      <c r="EH17" s="559">
        <f>MODEL!CO1138*100</f>
        <v>63.550041557986873</v>
      </c>
      <c r="EI17" s="1373">
        <f>MODEL!CP1138*100</f>
        <v>65.116406559456408</v>
      </c>
      <c r="EJ17" s="559"/>
      <c r="EK17" s="559">
        <f>MODEL!CR1138*100</f>
        <v>64.728282023166017</v>
      </c>
      <c r="EL17" s="559">
        <f>MODEL!CS1138*100</f>
        <v>65.305300346517129</v>
      </c>
      <c r="EM17" s="1373">
        <f>MODEL!CT1138*100</f>
        <v>65.02922692456896</v>
      </c>
      <c r="EN17" s="559"/>
      <c r="EO17" s="559">
        <f>MODEL!CV1138*100</f>
        <v>63.534267260903633</v>
      </c>
      <c r="EP17" s="559">
        <f>MODEL!CW1138*100</f>
        <v>78.834766086186534</v>
      </c>
      <c r="EQ17" s="1373">
        <f>MODEL!CX1138*100</f>
        <v>70.931675569255702</v>
      </c>
      <c r="ER17" s="559"/>
      <c r="ES17" s="559">
        <f>MODEL!CZ1138*100</f>
        <v>70.276854243806326</v>
      </c>
      <c r="ET17" s="559">
        <f>MODEL!DA1138*100</f>
        <v>77.936195896627794</v>
      </c>
      <c r="EU17" s="559">
        <f>MODEL!DB1138*100</f>
        <v>73.890696781263941</v>
      </c>
      <c r="EV17" s="559"/>
      <c r="EW17" s="559">
        <f>MODEL!DD1138*100</f>
        <v>69.120893112668142</v>
      </c>
      <c r="EX17" s="559">
        <f>MODEL!DE1138*100</f>
        <v>111.59629334835512</v>
      </c>
      <c r="EY17" s="1591">
        <f>MODEL!DF1138*100</f>
        <v>85.407900737169513</v>
      </c>
      <c r="EZ17" s="559"/>
      <c r="FA17" s="559">
        <f ca="1">MODEL!DH1138*100</f>
        <v>69</v>
      </c>
      <c r="FB17" s="559">
        <f ca="1">MODEL!DI1138*100</f>
        <v>68</v>
      </c>
      <c r="FC17" s="559">
        <f ca="1">MODEL!DJ1138*100</f>
        <v>68.491714940499307</v>
      </c>
      <c r="FD17" s="559"/>
      <c r="FE17" s="559">
        <f ca="1">MODEL!DL1138*100</f>
        <v>68</v>
      </c>
      <c r="FF17" s="559">
        <f ca="1">MODEL!DM1138*100</f>
        <v>69</v>
      </c>
      <c r="FG17" s="559">
        <f ca="1">MODEL!DN1138*100</f>
        <v>68.50087478144512</v>
      </c>
      <c r="FH17" s="559"/>
      <c r="FI17" s="559">
        <f ca="1">MODEL!DP1138*100</f>
        <v>67.5</v>
      </c>
      <c r="FJ17" s="559">
        <f ca="1">MODEL!DQ1138*100</f>
        <v>66</v>
      </c>
      <c r="FK17" s="559">
        <f ca="1">MODEL!DR1138*100</f>
        <v>66.736100751904488</v>
      </c>
      <c r="FL17" s="572"/>
      <c r="FM17" s="619"/>
      <c r="FN17" s="444"/>
      <c r="FO17" s="444"/>
      <c r="FP17" s="444"/>
      <c r="FQ17" s="444"/>
      <c r="FR17" s="444"/>
      <c r="FS17" s="758" t="s">
        <v>25</v>
      </c>
      <c r="FT17" s="444"/>
      <c r="FU17" s="444"/>
      <c r="FV17" s="444"/>
      <c r="FW17" s="485"/>
    </row>
    <row r="18" spans="1:188" ht="13.8">
      <c r="A18" s="444"/>
      <c r="B18" s="444"/>
      <c r="C18" s="1356" t="s">
        <v>179</v>
      </c>
      <c r="D18" s="1357"/>
      <c r="E18" s="1357"/>
      <c r="F18" s="1357"/>
      <c r="G18" s="1358"/>
      <c r="H18" s="1357">
        <v>-2667</v>
      </c>
      <c r="I18" s="1357">
        <v>-2777</v>
      </c>
      <c r="J18" s="1357">
        <v>-5444</v>
      </c>
      <c r="K18" s="1358"/>
      <c r="L18" s="1357">
        <v>-3066</v>
      </c>
      <c r="M18" s="1357">
        <v>-3135</v>
      </c>
      <c r="N18" s="1357">
        <v>-6201</v>
      </c>
      <c r="O18" s="1358"/>
      <c r="P18" s="1357">
        <v>-3256</v>
      </c>
      <c r="Q18" s="1357">
        <v>-3729</v>
      </c>
      <c r="R18" s="1357">
        <v>-6985</v>
      </c>
      <c r="S18" s="1357"/>
      <c r="T18" s="1357">
        <v>-4026</v>
      </c>
      <c r="U18" s="1357">
        <v>-3997</v>
      </c>
      <c r="V18" s="1357">
        <v>-8023</v>
      </c>
      <c r="W18" s="1357"/>
      <c r="X18" s="1359">
        <f>MODEL!BD31</f>
        <v>-4133</v>
      </c>
      <c r="Y18" s="1359">
        <f>MODEL!BE31</f>
        <v>-4386</v>
      </c>
      <c r="Z18" s="1087">
        <f>MODEL!BF31</f>
        <v>-8519</v>
      </c>
      <c r="AA18" s="1087"/>
      <c r="AB18" s="1359">
        <f>MODEL!BH31</f>
        <v>-4044</v>
      </c>
      <c r="AC18" s="1359">
        <f>MODEL!BI31</f>
        <v>-4213</v>
      </c>
      <c r="AD18" s="1087">
        <f>MODEL!BJ31</f>
        <v>-8257</v>
      </c>
      <c r="AE18" s="1087">
        <f>MODEL!BK31</f>
        <v>0</v>
      </c>
      <c r="AF18" s="1087">
        <f>MODEL!BL31</f>
        <v>-4286</v>
      </c>
      <c r="AG18" s="1087">
        <f>MODEL!BM31</f>
        <v>-4474</v>
      </c>
      <c r="AH18" s="1360">
        <f>MODEL!BN31</f>
        <v>-8760</v>
      </c>
      <c r="AI18" s="1087"/>
      <c r="AJ18" s="1087">
        <f>MODEL!BP31</f>
        <v>-4603</v>
      </c>
      <c r="AK18" s="1087">
        <f>MODEL!BQ31</f>
        <v>-4775</v>
      </c>
      <c r="AL18" s="1360">
        <f>MODEL!BR31</f>
        <v>-9378</v>
      </c>
      <c r="AM18" s="1087"/>
      <c r="AN18" s="1087">
        <f>MODEL!BT31</f>
        <v>-5488</v>
      </c>
      <c r="AO18" s="1087">
        <f>MODEL!BU31</f>
        <v>-4951</v>
      </c>
      <c r="AP18" s="1360">
        <f>MODEL!BV31</f>
        <v>-10439</v>
      </c>
      <c r="AQ18" s="1087"/>
      <c r="AR18" s="1087">
        <f>MODEL!BX31</f>
        <v>-4487</v>
      </c>
      <c r="AS18" s="1087">
        <f>MODEL!BY31</f>
        <v>-4480</v>
      </c>
      <c r="AT18" s="1360">
        <f>MODEL!BZ31</f>
        <v>-8967</v>
      </c>
      <c r="AU18" s="1395"/>
      <c r="AV18" s="1087">
        <f>MODEL!CB31</f>
        <v>-4473</v>
      </c>
      <c r="AW18" s="1087">
        <f>MODEL!CC31</f>
        <v>-4928</v>
      </c>
      <c r="AX18" s="1087">
        <f>MODEL!CD31</f>
        <v>-9401</v>
      </c>
      <c r="AY18" s="1395"/>
      <c r="AZ18" s="1088">
        <f>MODEL!CF31</f>
        <v>-4365</v>
      </c>
      <c r="BA18" s="1087">
        <f>MODEL!CG31</f>
        <v>-4706</v>
      </c>
      <c r="BB18" s="1360">
        <f>MODEL!CH31</f>
        <v>-9071</v>
      </c>
      <c r="BC18" s="1087"/>
      <c r="BD18" s="1087">
        <f>MODEL!CJ31</f>
        <v>-4605</v>
      </c>
      <c r="BE18" s="1087">
        <f>MODEL!CK31</f>
        <v>-4778</v>
      </c>
      <c r="BF18" s="1360">
        <f>MODEL!CL31</f>
        <v>-9383</v>
      </c>
      <c r="BG18" s="1087"/>
      <c r="BH18" s="1087">
        <f>MODEL!CN31</f>
        <v>-4482</v>
      </c>
      <c r="BI18" s="1087">
        <f>MODEL!CO31</f>
        <v>-4569</v>
      </c>
      <c r="BJ18" s="1360">
        <f>MODEL!CP31</f>
        <v>-9051</v>
      </c>
      <c r="BK18" s="1087"/>
      <c r="BL18" s="1087">
        <f>MODEL!CR31</f>
        <v>-4791</v>
      </c>
      <c r="BM18" s="1087">
        <f>MODEL!CS31</f>
        <v>-4788</v>
      </c>
      <c r="BN18" s="1360">
        <f>MODEL!CT31</f>
        <v>-9579</v>
      </c>
      <c r="BO18" s="1087"/>
      <c r="BP18" s="1087">
        <f>MODEL!CV31</f>
        <v>-4997</v>
      </c>
      <c r="BQ18" s="1087">
        <f>MODEL!CW31</f>
        <v>-5142</v>
      </c>
      <c r="BR18" s="1360">
        <f>MODEL!CX31</f>
        <v>-10139</v>
      </c>
      <c r="BS18" s="1087"/>
      <c r="BT18" s="1087">
        <f>MODEL!CZ31</f>
        <v>-5215</v>
      </c>
      <c r="BU18" s="1087">
        <f>MODEL!DA31</f>
        <v>-5526</v>
      </c>
      <c r="BV18" s="1360">
        <f>MODEL!DB31</f>
        <v>-10741</v>
      </c>
      <c r="BW18" s="1087"/>
      <c r="BX18" s="1087">
        <f>MODEL!DD31</f>
        <v>-5742</v>
      </c>
      <c r="BY18" s="1087">
        <f>MODEL!DE31</f>
        <v>-7138</v>
      </c>
      <c r="BZ18" s="1360">
        <f>MODEL!DF31</f>
        <v>-12880</v>
      </c>
      <c r="CA18" s="1087"/>
      <c r="CB18" s="1087">
        <f>MODEL!DH31</f>
        <v>-5800.8062475343522</v>
      </c>
      <c r="CC18" s="1087">
        <f>MODEL!DI31</f>
        <v>-5574.622973129075</v>
      </c>
      <c r="CD18" s="1360">
        <f>MODEL!DJ31</f>
        <v>-11375.429220663427</v>
      </c>
      <c r="CE18" s="1087"/>
      <c r="CF18" s="1087">
        <f>MODEL!DL31</f>
        <v>-5558.5700572482638</v>
      </c>
      <c r="CG18" s="1087">
        <f>MODEL!DM31</f>
        <v>-5699.0026403776892</v>
      </c>
      <c r="CH18" s="1360">
        <f>MODEL!DN31</f>
        <v>-11257.572697625954</v>
      </c>
      <c r="CI18" s="1087"/>
      <c r="CJ18" s="1087">
        <f>MODEL!DP31</f>
        <v>-5690.9196519848028</v>
      </c>
      <c r="CK18" s="1087">
        <f>MODEL!DQ31</f>
        <v>-5623.3690907090013</v>
      </c>
      <c r="CL18" s="1087">
        <f>MODEL!DR31</f>
        <v>-11314.288742693803</v>
      </c>
      <c r="CM18" s="1396"/>
      <c r="CN18" s="1397" t="s">
        <v>489</v>
      </c>
      <c r="CO18" s="1101">
        <v>3.1109781633263536</v>
      </c>
      <c r="CP18" s="1101">
        <v>4.4271612324259646</v>
      </c>
      <c r="CQ18" s="1101">
        <v>3.7690696978761591</v>
      </c>
      <c r="CR18" s="1101"/>
      <c r="CS18" s="1101">
        <v>3.8288962010170504</v>
      </c>
      <c r="CT18" s="1101">
        <v>4.5468142387077473</v>
      </c>
      <c r="CU18" s="1101">
        <v>4.1878552198623993</v>
      </c>
      <c r="CV18" s="1101"/>
      <c r="CW18" s="1101">
        <v>3.9485492072988335</v>
      </c>
      <c r="CX18" s="1101">
        <v>4.7262937481304217</v>
      </c>
      <c r="CY18" s="1101">
        <v>4.3374214777146278</v>
      </c>
      <c r="CZ18" s="1101"/>
      <c r="DA18" s="559">
        <f>DA15/$DO6*2</f>
        <v>3.6183395291201981</v>
      </c>
      <c r="DB18" s="559">
        <f>DB15/$DO6*2</f>
        <v>4.5105328376703842</v>
      </c>
      <c r="DC18" s="559">
        <f>DC15/$DO6</f>
        <v>4.0644361833952907</v>
      </c>
      <c r="DD18" s="559"/>
      <c r="DE18" s="559">
        <f>DE15/$DO6*2</f>
        <v>4.1140024783147462</v>
      </c>
      <c r="DF18" s="559">
        <f>DF15/$DO6*2</f>
        <v>4.7087980173482027</v>
      </c>
      <c r="DG18" s="559">
        <f>DG15/$DO6</f>
        <v>4.4114002478314749</v>
      </c>
      <c r="DH18" s="559"/>
      <c r="DI18" s="559">
        <f>DI15/$DO6*2</f>
        <v>4.2627013630731101</v>
      </c>
      <c r="DJ18" s="559">
        <f>DJ15/$DO6*2</f>
        <v>4.7087980173482027</v>
      </c>
      <c r="DK18" s="559">
        <f>DK15/$DO6</f>
        <v>4.4857496902106568</v>
      </c>
      <c r="DL18" s="559"/>
      <c r="DM18" s="559">
        <f>DM15/$DO6*2</f>
        <v>3.9653035935563814</v>
      </c>
      <c r="DN18" s="559">
        <f>DN15/$DO6*2</f>
        <v>3.9653035935563814</v>
      </c>
      <c r="DO18" s="559">
        <f>DO15/$DO6</f>
        <v>3.9653035935563814</v>
      </c>
      <c r="DP18" s="559"/>
      <c r="DQ18" s="559">
        <f>DQ15/$DO6</f>
        <v>1.9826517967781907</v>
      </c>
      <c r="DR18" s="559">
        <f>DR15/$DO6</f>
        <v>1.9826517967781907</v>
      </c>
      <c r="DS18" s="559">
        <f>DS15/$FK6</f>
        <v>3.9653035935563814</v>
      </c>
      <c r="DT18" s="559"/>
      <c r="DU18" s="559"/>
      <c r="DV18" s="559"/>
      <c r="DW18" s="559">
        <f>DW15/$FK6</f>
        <v>3.9653035935563814</v>
      </c>
      <c r="DX18" s="559"/>
      <c r="DY18" s="559"/>
      <c r="DZ18" s="559"/>
      <c r="EA18" s="559">
        <f>EA15/$FK6</f>
        <v>3.9653035935563814</v>
      </c>
      <c r="EB18" s="559"/>
      <c r="EC18" s="559"/>
      <c r="ED18" s="559"/>
      <c r="EE18" s="559">
        <f>EE15/$FK6</f>
        <v>1.486988847583643</v>
      </c>
      <c r="EF18" s="559"/>
      <c r="EG18" s="559"/>
      <c r="EH18" s="559"/>
      <c r="EI18" s="1373">
        <f>EI15/$FK6</f>
        <v>3.5192069392812888</v>
      </c>
      <c r="EJ18" s="559"/>
      <c r="EK18" s="559"/>
      <c r="EL18" s="559"/>
      <c r="EM18" s="1373">
        <f>EM15/$FK6</f>
        <v>3.6183395291201981</v>
      </c>
      <c r="EN18" s="559"/>
      <c r="EO18" s="559"/>
      <c r="EP18" s="559"/>
      <c r="EQ18" s="1373">
        <f>EQ15/$FK6</f>
        <v>4.014869888475836</v>
      </c>
      <c r="ER18" s="559"/>
      <c r="ES18" s="559"/>
      <c r="ET18" s="559"/>
      <c r="EU18" s="559">
        <f>EU15/$FK6</f>
        <v>4.1140024783147462</v>
      </c>
      <c r="EV18" s="559"/>
      <c r="EW18" s="559"/>
      <c r="EX18" s="559"/>
      <c r="EY18" s="1591">
        <f>EY15/$FK6</f>
        <v>4.1140024783147462</v>
      </c>
      <c r="EZ18" s="559"/>
      <c r="FA18" s="559"/>
      <c r="FB18" s="559"/>
      <c r="FC18" s="559">
        <f ca="1">FC15/$FK6</f>
        <v>4.2627013630731101</v>
      </c>
      <c r="FD18" s="559"/>
      <c r="FE18" s="559"/>
      <c r="FF18" s="559"/>
      <c r="FG18" s="559">
        <f ca="1">FG15/$FK6</f>
        <v>4.5105328376703842</v>
      </c>
      <c r="FH18" s="559"/>
      <c r="FI18" s="559"/>
      <c r="FJ18" s="559"/>
      <c r="FK18" s="559">
        <f ca="1">FK15/$FK6</f>
        <v>4.7087980173482027</v>
      </c>
      <c r="FL18" s="778"/>
      <c r="FN18" s="444"/>
      <c r="FO18" s="444"/>
      <c r="FP18" s="444"/>
      <c r="FQ18" s="444"/>
      <c r="FR18" s="444"/>
      <c r="FS18" s="758"/>
      <c r="FT18" s="444"/>
      <c r="FU18" s="444"/>
      <c r="FV18" s="444"/>
      <c r="FW18" s="444"/>
    </row>
    <row r="19" spans="1:188" ht="13.8">
      <c r="A19" s="444"/>
      <c r="B19" s="444"/>
      <c r="C19" s="1356" t="s">
        <v>10</v>
      </c>
      <c r="D19" s="1357"/>
      <c r="E19" s="1357"/>
      <c r="F19" s="1357"/>
      <c r="G19" s="1358"/>
      <c r="H19" s="1357">
        <v>3036</v>
      </c>
      <c r="I19" s="1357">
        <v>3015</v>
      </c>
      <c r="J19" s="1357">
        <v>6051</v>
      </c>
      <c r="K19" s="1358"/>
      <c r="L19" s="1357">
        <v>2818</v>
      </c>
      <c r="M19" s="1357">
        <v>4921</v>
      </c>
      <c r="N19" s="1357">
        <v>7739</v>
      </c>
      <c r="O19" s="1358"/>
      <c r="P19" s="1357">
        <v>4394</v>
      </c>
      <c r="Q19" s="1357">
        <v>4521</v>
      </c>
      <c r="R19" s="1357">
        <v>8915</v>
      </c>
      <c r="S19" s="1357"/>
      <c r="T19" s="1357">
        <v>4482</v>
      </c>
      <c r="U19" s="1357">
        <v>4380</v>
      </c>
      <c r="V19" s="1357">
        <v>8862</v>
      </c>
      <c r="W19" s="1357"/>
      <c r="X19" s="1359">
        <f t="shared" ref="X19:AX19" si="13">X17+X18</f>
        <v>4587</v>
      </c>
      <c r="Y19" s="1359">
        <f t="shared" si="13"/>
        <v>4742</v>
      </c>
      <c r="Z19" s="1087">
        <f t="shared" si="13"/>
        <v>9329</v>
      </c>
      <c r="AA19" s="1087">
        <f t="shared" si="13"/>
        <v>0</v>
      </c>
      <c r="AB19" s="1359">
        <f t="shared" si="13"/>
        <v>5048</v>
      </c>
      <c r="AC19" s="1359">
        <f t="shared" si="13"/>
        <v>5086</v>
      </c>
      <c r="AD19" s="1087">
        <f t="shared" si="13"/>
        <v>10134</v>
      </c>
      <c r="AE19" s="1087">
        <f t="shared" si="13"/>
        <v>0</v>
      </c>
      <c r="AF19" s="1087">
        <f t="shared" si="13"/>
        <v>5382</v>
      </c>
      <c r="AG19" s="1087">
        <f t="shared" si="13"/>
        <v>5436</v>
      </c>
      <c r="AH19" s="1360">
        <f t="shared" si="13"/>
        <v>10818</v>
      </c>
      <c r="AI19" s="1087">
        <f t="shared" si="13"/>
        <v>0</v>
      </c>
      <c r="AJ19" s="1087">
        <f t="shared" si="13"/>
        <v>5592</v>
      </c>
      <c r="AK19" s="1087">
        <f t="shared" si="13"/>
        <v>5567</v>
      </c>
      <c r="AL19" s="1360">
        <f t="shared" si="13"/>
        <v>11159</v>
      </c>
      <c r="AM19" s="1087">
        <f t="shared" si="13"/>
        <v>0</v>
      </c>
      <c r="AN19" s="1087">
        <f t="shared" si="13"/>
        <v>4837</v>
      </c>
      <c r="AO19" s="1087">
        <f t="shared" si="13"/>
        <v>5318</v>
      </c>
      <c r="AP19" s="1360">
        <f t="shared" si="13"/>
        <v>10155</v>
      </c>
      <c r="AQ19" s="1087">
        <f t="shared" si="13"/>
        <v>0</v>
      </c>
      <c r="AR19" s="1087">
        <f t="shared" si="13"/>
        <v>5489</v>
      </c>
      <c r="AS19" s="1087">
        <f t="shared" si="13"/>
        <v>5360</v>
      </c>
      <c r="AT19" s="1360">
        <f t="shared" si="13"/>
        <v>10849</v>
      </c>
      <c r="AU19" s="1384">
        <f t="shared" si="13"/>
        <v>0</v>
      </c>
      <c r="AV19" s="1087">
        <f t="shared" si="13"/>
        <v>5397</v>
      </c>
      <c r="AW19" s="1087">
        <f t="shared" si="13"/>
        <v>4569</v>
      </c>
      <c r="AX19" s="1087">
        <f t="shared" si="13"/>
        <v>9966</v>
      </c>
      <c r="AY19" s="1384"/>
      <c r="AZ19" s="1088">
        <f t="shared" ref="AZ19:BJ19" si="14">AZ17+AZ18</f>
        <v>5381</v>
      </c>
      <c r="BA19" s="1087">
        <f t="shared" si="14"/>
        <v>4577</v>
      </c>
      <c r="BB19" s="1360">
        <f t="shared" si="14"/>
        <v>9958</v>
      </c>
      <c r="BC19" s="1087">
        <f t="shared" si="14"/>
        <v>0</v>
      </c>
      <c r="BD19" s="1087">
        <f t="shared" si="14"/>
        <v>3974</v>
      </c>
      <c r="BE19" s="1087">
        <f t="shared" si="14"/>
        <v>4395</v>
      </c>
      <c r="BF19" s="1360">
        <f t="shared" si="14"/>
        <v>8369</v>
      </c>
      <c r="BG19" s="1087">
        <f t="shared" si="14"/>
        <v>0</v>
      </c>
      <c r="BH19" s="1087">
        <f t="shared" si="14"/>
        <v>3941</v>
      </c>
      <c r="BI19" s="1087">
        <f t="shared" si="14"/>
        <v>4455</v>
      </c>
      <c r="BJ19" s="1360">
        <f t="shared" si="14"/>
        <v>8396</v>
      </c>
      <c r="BK19" s="1087"/>
      <c r="BL19" s="1087">
        <f>BL17+BL18</f>
        <v>4157</v>
      </c>
      <c r="BM19" s="1087">
        <f>BM17+BM18</f>
        <v>4811</v>
      </c>
      <c r="BN19" s="1360">
        <f>BN17+BN18</f>
        <v>8968</v>
      </c>
      <c r="BO19" s="1087"/>
      <c r="BP19" s="1087">
        <f>BP17+BP18</f>
        <v>5543</v>
      </c>
      <c r="BQ19" s="1087">
        <f>BQ17+BQ18</f>
        <v>5223</v>
      </c>
      <c r="BR19" s="1360">
        <f>BR17+BR18</f>
        <v>10766</v>
      </c>
      <c r="BS19" s="1087"/>
      <c r="BT19" s="1087">
        <f>BT17+BT18</f>
        <v>5132</v>
      </c>
      <c r="BU19" s="1087">
        <f>BU17+BU18</f>
        <v>4936</v>
      </c>
      <c r="BV19" s="1360">
        <f>BV17+BV18</f>
        <v>10068</v>
      </c>
      <c r="BW19" s="1087"/>
      <c r="BX19" s="1087">
        <f>BX17+BX18</f>
        <v>5253</v>
      </c>
      <c r="BY19" s="1087">
        <f>BY17+BY18</f>
        <v>3766</v>
      </c>
      <c r="BZ19" s="1360">
        <f>BZ17+BZ18</f>
        <v>9019</v>
      </c>
      <c r="CA19" s="1087"/>
      <c r="CB19" s="1087">
        <f ca="1">CB17+CB18</f>
        <v>5488.1779000256502</v>
      </c>
      <c r="CC19" s="1087">
        <f ca="1">CC17+CC18</f>
        <v>5799.8927781971724</v>
      </c>
      <c r="CD19" s="1360">
        <f ca="1">CD17+CD18</f>
        <v>11288.070678222823</v>
      </c>
      <c r="CE19" s="1087"/>
      <c r="CF19" s="1087">
        <f ca="1">CF17+CF18</f>
        <v>6067.8520273454651</v>
      </c>
      <c r="CG19" s="1087">
        <f ca="1">CG17+CG18</f>
        <v>6099.4059163403517</v>
      </c>
      <c r="CH19" s="1360">
        <f ca="1">CH17+CH18</f>
        <v>12167.257943685814</v>
      </c>
      <c r="CI19" s="1087"/>
      <c r="CJ19" s="1087">
        <f ca="1">CJ17+CJ18</f>
        <v>6388.7144424561302</v>
      </c>
      <c r="CK19" s="1087">
        <f ca="1">CK17+CK18</f>
        <v>6621.5342167049521</v>
      </c>
      <c r="CL19" s="1087">
        <f ca="1">CL17+CL18</f>
        <v>13010.248659161083</v>
      </c>
      <c r="CM19" s="1379"/>
      <c r="CN19" s="1102" t="s">
        <v>442</v>
      </c>
      <c r="CO19" s="1343">
        <v>2533.4722409999999</v>
      </c>
      <c r="CP19" s="1343">
        <v>2559.662425</v>
      </c>
      <c r="CQ19" s="1343">
        <v>2559.662425</v>
      </c>
      <c r="CR19" s="1343"/>
      <c r="CS19" s="1343">
        <v>2596.4254799999999</v>
      </c>
      <c r="CT19" s="1343">
        <v>2629.0340369999999</v>
      </c>
      <c r="CU19" s="1343">
        <v>2629.0340369999999</v>
      </c>
      <c r="CV19" s="1343"/>
      <c r="CW19" s="1343">
        <v>2679.5182639999998</v>
      </c>
      <c r="CX19" s="1343">
        <v>2717.356961</v>
      </c>
      <c r="CY19" s="1343">
        <v>2717.356961</v>
      </c>
      <c r="CZ19" s="1343"/>
      <c r="DA19" s="471">
        <f>MODEL!BH1107</f>
        <v>2743.7286880000001</v>
      </c>
      <c r="DB19" s="471">
        <f>MODEL!BI1107</f>
        <v>2743.6553100000001</v>
      </c>
      <c r="DC19" s="471">
        <f>MODEL!BJ1107</f>
        <v>2743.6553100000001</v>
      </c>
      <c r="DD19" s="471"/>
      <c r="DE19" s="471">
        <f>MODEL!BL1107</f>
        <v>2744.1186699999998</v>
      </c>
      <c r="DF19" s="471">
        <f>MODEL!BM1107</f>
        <v>2756.6277709999999</v>
      </c>
      <c r="DG19" s="471">
        <f>MODEL!BN1107</f>
        <v>2756.6277709999999</v>
      </c>
      <c r="DH19" s="471"/>
      <c r="DI19" s="471">
        <f>MODEL!BP1107</f>
        <v>2765.9802220000001</v>
      </c>
      <c r="DJ19" s="471">
        <f>MODEL!BQ1107</f>
        <v>2902.7143609999998</v>
      </c>
      <c r="DK19" s="471">
        <f>MODEL!BR1107</f>
        <v>2902.7143609999998</v>
      </c>
      <c r="DL19" s="471">
        <f>MODEL!BS1107</f>
        <v>2917.5600979999999</v>
      </c>
      <c r="DM19" s="471">
        <f>MODEL!BT1107</f>
        <v>2917.5600979999999</v>
      </c>
      <c r="DN19" s="471">
        <f>MODEL!BU1107</f>
        <v>2927.4766599999998</v>
      </c>
      <c r="DO19" s="471">
        <f>MODEL!BV1107</f>
        <v>2927.4766599999998</v>
      </c>
      <c r="DP19" s="471"/>
      <c r="DQ19" s="471">
        <f>MODEL!BX1107</f>
        <v>2936.0370090000001</v>
      </c>
      <c r="DR19" s="471">
        <f>MODEL!BY1107</f>
        <v>2937.4153270000002</v>
      </c>
      <c r="DS19" s="471">
        <f>MODEL!BZ1107</f>
        <v>2937.4153269999997</v>
      </c>
      <c r="DT19" s="471"/>
      <c r="DU19" s="471"/>
      <c r="DV19" s="471"/>
      <c r="DW19" s="471">
        <f>MODEL!CD1107</f>
        <v>2873.6181179999999</v>
      </c>
      <c r="DX19" s="471"/>
      <c r="DY19" s="471"/>
      <c r="DZ19" s="471"/>
      <c r="EA19" s="471">
        <f>MODEL!CH1107</f>
        <v>2834.5849229999999</v>
      </c>
      <c r="EB19" s="471"/>
      <c r="EC19" s="471"/>
      <c r="ED19" s="471"/>
      <c r="EE19" s="471">
        <f>MODEL!CL1107</f>
        <v>2840.3702250000001</v>
      </c>
      <c r="EF19" s="471"/>
      <c r="EG19" s="471"/>
      <c r="EH19" s="471"/>
      <c r="EI19" s="1398">
        <f>MODEL!CP1107</f>
        <v>2823.5636519999994</v>
      </c>
      <c r="EJ19" s="471"/>
      <c r="EK19" s="471"/>
      <c r="EL19" s="471"/>
      <c r="EM19" s="1398">
        <f>MODEL!CT1107</f>
        <v>2989.9237509999998</v>
      </c>
      <c r="EN19" s="471"/>
      <c r="EO19" s="471"/>
      <c r="EP19" s="471"/>
      <c r="EQ19" s="1398">
        <f>MODEL!CX1107</f>
        <v>3005.7851239669421</v>
      </c>
      <c r="ER19" s="471"/>
      <c r="ES19" s="471"/>
      <c r="ET19" s="471"/>
      <c r="EU19" s="471">
        <f>MODEL!DB1107</f>
        <v>2979.41626</v>
      </c>
      <c r="EV19" s="471"/>
      <c r="EW19" s="471"/>
      <c r="EX19" s="471"/>
      <c r="EY19" s="1596">
        <f>MODEL!DF1107</f>
        <v>2983.52018</v>
      </c>
      <c r="EZ19" s="471"/>
      <c r="FA19" s="471"/>
      <c r="FB19" s="471"/>
      <c r="FC19" s="471">
        <f ca="1">MODEL!DJ1107</f>
        <v>3004.8083014347299</v>
      </c>
      <c r="FD19" s="471"/>
      <c r="FE19" s="471"/>
      <c r="FF19" s="471"/>
      <c r="FG19" s="471">
        <f ca="1">MODEL!DN1107</f>
        <v>2994.0658376469905</v>
      </c>
      <c r="FH19" s="471"/>
      <c r="FI19" s="471"/>
      <c r="FJ19" s="471"/>
      <c r="FK19" s="471">
        <f ca="1">MODEL!DR1107</f>
        <v>2972.8907807166183</v>
      </c>
      <c r="FL19" s="778"/>
      <c r="FN19" s="444"/>
      <c r="FO19" s="444"/>
      <c r="FP19" s="444"/>
      <c r="FQ19" s="444"/>
      <c r="FR19" s="444"/>
      <c r="FS19" s="444"/>
      <c r="FT19" s="444"/>
      <c r="FU19" s="444"/>
      <c r="FV19" s="444"/>
      <c r="FW19" s="444"/>
    </row>
    <row r="20" spans="1:188" ht="13.8">
      <c r="A20" s="444"/>
      <c r="B20" s="444"/>
      <c r="C20" s="1399" t="s">
        <v>1105</v>
      </c>
      <c r="D20" s="1376"/>
      <c r="E20" s="1376"/>
      <c r="F20" s="1376"/>
      <c r="G20" s="1400"/>
      <c r="H20" s="1376">
        <v>-681</v>
      </c>
      <c r="I20" s="1376">
        <v>-1267</v>
      </c>
      <c r="J20" s="1376">
        <v>-1948</v>
      </c>
      <c r="K20" s="1400"/>
      <c r="L20" s="1376">
        <v>-1373</v>
      </c>
      <c r="M20" s="1376">
        <v>-1632</v>
      </c>
      <c r="N20" s="1376">
        <v>-3005</v>
      </c>
      <c r="O20" s="1400"/>
      <c r="P20" s="1376">
        <v>-1082</v>
      </c>
      <c r="Q20" s="1376">
        <v>-705</v>
      </c>
      <c r="R20" s="1376">
        <v>-1787</v>
      </c>
      <c r="S20" s="1376"/>
      <c r="T20" s="1376">
        <v>-660</v>
      </c>
      <c r="U20" s="1376">
        <v>-560</v>
      </c>
      <c r="V20" s="1376">
        <v>-1220</v>
      </c>
      <c r="W20" s="1376"/>
      <c r="X20" s="1383">
        <f>MODEL!BD33</f>
        <v>-570</v>
      </c>
      <c r="Y20" s="1383">
        <f>MODEL!BE33</f>
        <v>-688</v>
      </c>
      <c r="Z20" s="1377">
        <f>MODEL!BF33</f>
        <v>-1258</v>
      </c>
      <c r="AA20" s="1377"/>
      <c r="AB20" s="1383">
        <f>MODEL!BH33</f>
        <v>-599</v>
      </c>
      <c r="AC20" s="1383">
        <f>MODEL!BI33</f>
        <v>-598</v>
      </c>
      <c r="AD20" s="1377">
        <f>MODEL!BJ33</f>
        <v>-1197</v>
      </c>
      <c r="AE20" s="1377">
        <f>MODEL!BK33</f>
        <v>0</v>
      </c>
      <c r="AF20" s="1377">
        <f>MODEL!BL33</f>
        <v>-528</v>
      </c>
      <c r="AG20" s="1377">
        <f>MODEL!BM33</f>
        <v>-461</v>
      </c>
      <c r="AH20" s="1384">
        <f>MODEL!BN33</f>
        <v>-989</v>
      </c>
      <c r="AI20" s="1377"/>
      <c r="AJ20" s="1377">
        <f>MODEL!BP33</f>
        <v>-510</v>
      </c>
      <c r="AK20" s="1377">
        <f>MODEL!BQ33</f>
        <v>-695</v>
      </c>
      <c r="AL20" s="1384">
        <f>MODEL!BR33</f>
        <v>-1205</v>
      </c>
      <c r="AM20" s="1377"/>
      <c r="AN20" s="1377">
        <f>MODEL!BT33</f>
        <v>-918</v>
      </c>
      <c r="AO20" s="1377">
        <f>MODEL!BU33</f>
        <v>-1038</v>
      </c>
      <c r="AP20" s="1384">
        <f>MODEL!BV33</f>
        <v>-1956</v>
      </c>
      <c r="AQ20" s="1377"/>
      <c r="AR20" s="1377">
        <f>MODEL!BX33</f>
        <v>-720</v>
      </c>
      <c r="AS20" s="1377">
        <f>MODEL!BY33</f>
        <v>-479</v>
      </c>
      <c r="AT20" s="1384">
        <f>MODEL!BZ33</f>
        <v>-1199</v>
      </c>
      <c r="AU20" s="1360"/>
      <c r="AV20" s="1377">
        <f>MODEL!CB33</f>
        <v>-408</v>
      </c>
      <c r="AW20" s="1377">
        <f>MODEL!CC33</f>
        <v>-280</v>
      </c>
      <c r="AX20" s="1377">
        <f>MODEL!CD33</f>
        <v>-688</v>
      </c>
      <c r="AY20" s="1360"/>
      <c r="AZ20" s="1095">
        <f>MODEL!CF33</f>
        <v>-393</v>
      </c>
      <c r="BA20" s="1377">
        <f>MODEL!CG33</f>
        <v>-402</v>
      </c>
      <c r="BB20" s="1384">
        <f>MODEL!CH33</f>
        <v>-795</v>
      </c>
      <c r="BC20" s="1377"/>
      <c r="BD20" s="1377">
        <f>MODEL!CJ33</f>
        <v>-1674</v>
      </c>
      <c r="BE20" s="1377">
        <f>MODEL!CK33</f>
        <v>-1064</v>
      </c>
      <c r="BF20" s="1384">
        <f>MODEL!CL33</f>
        <v>-2738</v>
      </c>
      <c r="BG20" s="1377"/>
      <c r="BH20" s="1377">
        <f>MODEL!CN33</f>
        <v>491</v>
      </c>
      <c r="BI20" s="1377">
        <f>MODEL!CO33</f>
        <v>76</v>
      </c>
      <c r="BJ20" s="1384">
        <f>MODEL!CP33</f>
        <v>567</v>
      </c>
      <c r="BK20" s="1377"/>
      <c r="BL20" s="1377">
        <f>MODEL!CR33</f>
        <v>284</v>
      </c>
      <c r="BM20" s="1377">
        <f>MODEL!CS33</f>
        <v>-52</v>
      </c>
      <c r="BN20" s="1384">
        <f>MODEL!CT33</f>
        <v>232</v>
      </c>
      <c r="BO20" s="1377"/>
      <c r="BP20" s="1377">
        <f>MODEL!CV33</f>
        <v>-133</v>
      </c>
      <c r="BQ20" s="1377">
        <f>MODEL!CW33</f>
        <v>-112</v>
      </c>
      <c r="BR20" s="1384">
        <f>MODEL!CX33</f>
        <v>-245</v>
      </c>
      <c r="BS20" s="1377"/>
      <c r="BT20" s="1377">
        <f>MODEL!CZ33</f>
        <v>-70</v>
      </c>
      <c r="BU20" s="1377">
        <f>MODEL!DA33</f>
        <v>-336</v>
      </c>
      <c r="BV20" s="1384">
        <f>MODEL!DB33</f>
        <v>-406</v>
      </c>
      <c r="BW20" s="1377"/>
      <c r="BX20" s="1377">
        <f>MODEL!DD33</f>
        <v>-145</v>
      </c>
      <c r="BY20" s="1377">
        <f>MODEL!DE33</f>
        <v>-296</v>
      </c>
      <c r="BZ20" s="1384">
        <f>MODEL!DF33</f>
        <v>-441</v>
      </c>
      <c r="CA20" s="1377"/>
      <c r="CB20" s="1377">
        <f>MODEL!DH33</f>
        <v>-209.3784177127927</v>
      </c>
      <c r="CC20" s="1377">
        <f>MODEL!DI33</f>
        <v>-344.16098380079086</v>
      </c>
      <c r="CD20" s="1384">
        <f>MODEL!DJ33</f>
        <v>-553.53940151358358</v>
      </c>
      <c r="CE20" s="1377"/>
      <c r="CF20" s="1377">
        <f>MODEL!DL33</f>
        <v>-393.64249455575055</v>
      </c>
      <c r="CG20" s="1377">
        <f>MODEL!DM33</f>
        <v>-405.40625259113426</v>
      </c>
      <c r="CH20" s="1384">
        <f>MODEL!DN33</f>
        <v>-799.04874714688481</v>
      </c>
      <c r="CI20" s="1377"/>
      <c r="CJ20" s="1377">
        <f>MODEL!DP33</f>
        <v>-458.2648637195523</v>
      </c>
      <c r="CK20" s="1377">
        <f>MODEL!DQ33</f>
        <v>-468.19535307126404</v>
      </c>
      <c r="CL20" s="1377">
        <f>MODEL!DR33</f>
        <v>-926.46021679081628</v>
      </c>
      <c r="CM20" s="1379"/>
      <c r="CN20" s="1105" t="s">
        <v>415</v>
      </c>
      <c r="CO20" s="1343">
        <v>2499.8000000000002</v>
      </c>
      <c r="CP20" s="1343">
        <v>2518.6999999999998</v>
      </c>
      <c r="CQ20" s="1343">
        <v>2509.3000000000002</v>
      </c>
      <c r="CR20" s="1343"/>
      <c r="CS20" s="1343">
        <v>2550.1</v>
      </c>
      <c r="CT20" s="1343">
        <v>2581.5</v>
      </c>
      <c r="CU20" s="1343">
        <v>2565.9</v>
      </c>
      <c r="CV20" s="1343"/>
      <c r="CW20" s="1343">
        <v>2627.4</v>
      </c>
      <c r="CX20" s="1343">
        <v>2667.5</v>
      </c>
      <c r="CY20" s="1343">
        <v>2647.4</v>
      </c>
      <c r="CZ20" s="1343"/>
      <c r="DA20" s="471">
        <f>MODEL!BH1220</f>
        <v>2704.1</v>
      </c>
      <c r="DB20" s="471">
        <f>MODEL!BI1220</f>
        <v>2714.8</v>
      </c>
      <c r="DC20" s="471">
        <f>MODEL!BJ1220</f>
        <v>2709.4</v>
      </c>
      <c r="DD20" s="471"/>
      <c r="DE20" s="471">
        <f>MODEL!BL1220</f>
        <v>2715.2</v>
      </c>
      <c r="DF20" s="471">
        <f>MODEL!BM1220</f>
        <v>2724.2</v>
      </c>
      <c r="DG20" s="471">
        <f>MODEL!BN1220</f>
        <v>2719.7</v>
      </c>
      <c r="DH20" s="471"/>
      <c r="DI20" s="471">
        <f>MODEL!BP1220</f>
        <v>2737.3</v>
      </c>
      <c r="DJ20" s="471">
        <f>MODEL!BQ1220</f>
        <v>2780.6</v>
      </c>
      <c r="DK20" s="471">
        <f>MODEL!BR1220</f>
        <v>2759</v>
      </c>
      <c r="DL20" s="471">
        <f>MODEL!BS1220</f>
        <v>0</v>
      </c>
      <c r="DM20" s="471">
        <f>MODEL!BT1220</f>
        <v>2889.3</v>
      </c>
      <c r="DN20" s="471">
        <f>MODEL!BU1220</f>
        <v>2894.7</v>
      </c>
      <c r="DO20" s="471">
        <f>MODEL!BV1220</f>
        <v>2891.7</v>
      </c>
      <c r="DP20" s="471"/>
      <c r="DQ20" s="471">
        <f>MODEL!BX1220</f>
        <v>2906.6</v>
      </c>
      <c r="DR20" s="471">
        <f>MODEL!BY1220</f>
        <v>2914</v>
      </c>
      <c r="DS20" s="471">
        <f>MODEL!BZ1220</f>
        <v>2910.3</v>
      </c>
      <c r="DT20" s="471"/>
      <c r="DU20" s="471"/>
      <c r="DV20" s="471"/>
      <c r="DW20" s="471">
        <f>MODEL!CD1220</f>
        <v>2888.3</v>
      </c>
      <c r="DX20" s="471"/>
      <c r="DY20" s="471"/>
      <c r="DZ20" s="471"/>
      <c r="EA20" s="471">
        <f>MODEL!CH1220</f>
        <v>2834.9</v>
      </c>
      <c r="EB20" s="471"/>
      <c r="EC20" s="471"/>
      <c r="ED20" s="471"/>
      <c r="EE20" s="471">
        <f>MODEL!CL1220</f>
        <v>2830.9</v>
      </c>
      <c r="EF20" s="471"/>
      <c r="EG20" s="471"/>
      <c r="EH20" s="471"/>
      <c r="EI20" s="1398">
        <f>MODEL!CP1220</f>
        <v>2838.6</v>
      </c>
      <c r="EJ20" s="471"/>
      <c r="EK20" s="471"/>
      <c r="EL20" s="471"/>
      <c r="EM20" s="1398">
        <f>MODEL!CT1220</f>
        <v>2847.5</v>
      </c>
      <c r="EN20" s="471"/>
      <c r="EO20" s="471"/>
      <c r="EP20" s="471"/>
      <c r="EQ20" s="1398">
        <f>MODEL!CX1220</f>
        <v>2997.2</v>
      </c>
      <c r="ER20" s="471"/>
      <c r="ES20" s="471"/>
      <c r="ET20" s="471"/>
      <c r="EU20" s="471">
        <f>MODEL!DB1220</f>
        <v>2998.4</v>
      </c>
      <c r="EV20" s="471"/>
      <c r="EW20" s="471"/>
      <c r="EX20" s="471"/>
      <c r="EY20" s="1596">
        <f>MODEL!DF1220</f>
        <v>2972.6</v>
      </c>
      <c r="EZ20" s="471"/>
      <c r="FA20" s="471"/>
      <c r="FB20" s="471"/>
      <c r="FC20" s="471">
        <f ca="1">MODEL!DJ1220</f>
        <v>2994.9587242710249</v>
      </c>
      <c r="FD20" s="471"/>
      <c r="FE20" s="471"/>
      <c r="FF20" s="471"/>
      <c r="FG20" s="471">
        <f ca="1">MODEL!DN1220</f>
        <v>2998.284514162041</v>
      </c>
      <c r="FH20" s="471"/>
      <c r="FI20" s="471"/>
      <c r="FJ20" s="471"/>
      <c r="FK20" s="471">
        <f ca="1">MODEL!DR1220</f>
        <v>2979.5513073404563</v>
      </c>
      <c r="FL20" s="778"/>
      <c r="FN20" s="444"/>
      <c r="FO20" s="444"/>
      <c r="FP20" s="444"/>
      <c r="FQ20" s="444"/>
      <c r="FR20" s="444"/>
      <c r="FT20" s="444"/>
      <c r="FU20" s="444"/>
      <c r="FV20" s="444"/>
      <c r="FW20" s="444"/>
      <c r="GF20" s="466"/>
    </row>
    <row r="21" spans="1:188" ht="13.8">
      <c r="A21" s="444"/>
      <c r="B21" s="444"/>
      <c r="C21" s="1401" t="s">
        <v>143</v>
      </c>
      <c r="D21" s="1357"/>
      <c r="E21" s="1357"/>
      <c r="F21" s="1357"/>
      <c r="G21" s="1402"/>
      <c r="H21" s="1357">
        <v>2355</v>
      </c>
      <c r="I21" s="1357">
        <v>1748</v>
      </c>
      <c r="J21" s="1357">
        <v>4103</v>
      </c>
      <c r="K21" s="1402"/>
      <c r="L21" s="1357">
        <v>1445</v>
      </c>
      <c r="M21" s="1357">
        <v>3289</v>
      </c>
      <c r="N21" s="1357">
        <v>4734</v>
      </c>
      <c r="O21" s="1402"/>
      <c r="P21" s="1357">
        <v>3312</v>
      </c>
      <c r="Q21" s="1357">
        <v>3816</v>
      </c>
      <c r="R21" s="1357">
        <v>7128</v>
      </c>
      <c r="S21" s="1357"/>
      <c r="T21" s="1357">
        <v>3822</v>
      </c>
      <c r="U21" s="1357">
        <v>3820</v>
      </c>
      <c r="V21" s="1357">
        <v>7642</v>
      </c>
      <c r="W21" s="1357"/>
      <c r="X21" s="1359">
        <f t="shared" ref="X21:AX21" si="15">X19+X20</f>
        <v>4017</v>
      </c>
      <c r="Y21" s="1359">
        <f t="shared" si="15"/>
        <v>4054</v>
      </c>
      <c r="Z21" s="1087">
        <f t="shared" si="15"/>
        <v>8071</v>
      </c>
      <c r="AA21" s="1087">
        <f t="shared" si="15"/>
        <v>0</v>
      </c>
      <c r="AB21" s="1359">
        <f t="shared" si="15"/>
        <v>4449</v>
      </c>
      <c r="AC21" s="1359">
        <f t="shared" si="15"/>
        <v>4488</v>
      </c>
      <c r="AD21" s="1087">
        <f t="shared" si="15"/>
        <v>8937</v>
      </c>
      <c r="AE21" s="1087">
        <f t="shared" si="15"/>
        <v>0</v>
      </c>
      <c r="AF21" s="1087">
        <f t="shared" si="15"/>
        <v>4854</v>
      </c>
      <c r="AG21" s="1087">
        <f t="shared" si="15"/>
        <v>4975</v>
      </c>
      <c r="AH21" s="1360">
        <f t="shared" si="15"/>
        <v>9829</v>
      </c>
      <c r="AI21" s="1087">
        <f t="shared" si="15"/>
        <v>0</v>
      </c>
      <c r="AJ21" s="1087">
        <f t="shared" si="15"/>
        <v>5082</v>
      </c>
      <c r="AK21" s="1087">
        <f t="shared" si="15"/>
        <v>4872</v>
      </c>
      <c r="AL21" s="1360">
        <f t="shared" si="15"/>
        <v>9954</v>
      </c>
      <c r="AM21" s="1087">
        <f t="shared" si="15"/>
        <v>0</v>
      </c>
      <c r="AN21" s="1087">
        <f t="shared" si="15"/>
        <v>3919</v>
      </c>
      <c r="AO21" s="1087">
        <f t="shared" si="15"/>
        <v>4280</v>
      </c>
      <c r="AP21" s="1360">
        <f t="shared" si="15"/>
        <v>8199</v>
      </c>
      <c r="AQ21" s="1087">
        <f t="shared" si="15"/>
        <v>0</v>
      </c>
      <c r="AR21" s="1087">
        <f t="shared" si="15"/>
        <v>4769</v>
      </c>
      <c r="AS21" s="1087">
        <f t="shared" si="15"/>
        <v>4881</v>
      </c>
      <c r="AT21" s="1360">
        <f t="shared" si="15"/>
        <v>9650</v>
      </c>
      <c r="AU21" s="1384">
        <f t="shared" si="15"/>
        <v>0</v>
      </c>
      <c r="AV21" s="1087">
        <f t="shared" si="15"/>
        <v>4989</v>
      </c>
      <c r="AW21" s="1087">
        <f t="shared" si="15"/>
        <v>4289</v>
      </c>
      <c r="AX21" s="1087">
        <f t="shared" si="15"/>
        <v>9278</v>
      </c>
      <c r="AY21" s="1384"/>
      <c r="AZ21" s="1088">
        <f t="shared" ref="AZ21:BJ21" si="16">AZ19+AZ20</f>
        <v>4988</v>
      </c>
      <c r="BA21" s="1087">
        <f t="shared" si="16"/>
        <v>4175</v>
      </c>
      <c r="BB21" s="1360">
        <f t="shared" si="16"/>
        <v>9163</v>
      </c>
      <c r="BC21" s="1087">
        <f t="shared" si="16"/>
        <v>0</v>
      </c>
      <c r="BD21" s="1087">
        <f t="shared" si="16"/>
        <v>2300</v>
      </c>
      <c r="BE21" s="1087">
        <f t="shared" si="16"/>
        <v>3331</v>
      </c>
      <c r="BF21" s="1360">
        <f t="shared" si="16"/>
        <v>5631</v>
      </c>
      <c r="BG21" s="1087">
        <f t="shared" si="16"/>
        <v>0</v>
      </c>
      <c r="BH21" s="1087">
        <f t="shared" si="16"/>
        <v>4432</v>
      </c>
      <c r="BI21" s="1087">
        <f t="shared" si="16"/>
        <v>4531</v>
      </c>
      <c r="BJ21" s="1360">
        <f t="shared" si="16"/>
        <v>8963</v>
      </c>
      <c r="BK21" s="1087"/>
      <c r="BL21" s="1087">
        <f>BL19+BL20</f>
        <v>4441</v>
      </c>
      <c r="BM21" s="1087">
        <f>BM19+BM20</f>
        <v>4759</v>
      </c>
      <c r="BN21" s="1360">
        <f>BN19+BN20</f>
        <v>9200</v>
      </c>
      <c r="BO21" s="1087"/>
      <c r="BP21" s="1087">
        <f>BP19+BP20</f>
        <v>5410</v>
      </c>
      <c r="BQ21" s="1087">
        <f>BQ19+BQ20</f>
        <v>5111</v>
      </c>
      <c r="BR21" s="1360">
        <f>BR19+BR20</f>
        <v>10521</v>
      </c>
      <c r="BS21" s="1087"/>
      <c r="BT21" s="1087">
        <f>BT19+BT20</f>
        <v>5062</v>
      </c>
      <c r="BU21" s="1087">
        <f>BU19+BU20</f>
        <v>4600</v>
      </c>
      <c r="BV21" s="1360">
        <f>BV19+BV20</f>
        <v>9662</v>
      </c>
      <c r="BW21" s="1087"/>
      <c r="BX21" s="1087">
        <f>BX19+BX20</f>
        <v>5108</v>
      </c>
      <c r="BY21" s="1087">
        <f>BY19+BY20</f>
        <v>3470</v>
      </c>
      <c r="BZ21" s="1360">
        <f>BZ19+BZ20</f>
        <v>8578</v>
      </c>
      <c r="CA21" s="1087"/>
      <c r="CB21" s="1087">
        <f ca="1">CB19+CB20</f>
        <v>5278.7994823128574</v>
      </c>
      <c r="CC21" s="1087">
        <f ca="1">CC19+CC20</f>
        <v>5455.7317943963817</v>
      </c>
      <c r="CD21" s="1360">
        <f ca="1">CD19+CD20</f>
        <v>10734.531276709238</v>
      </c>
      <c r="CE21" s="1087"/>
      <c r="CF21" s="1087">
        <f ca="1">CF19+CF20</f>
        <v>5674.209532789715</v>
      </c>
      <c r="CG21" s="1087">
        <f ca="1">CG19+CG20</f>
        <v>5693.9996637492177</v>
      </c>
      <c r="CH21" s="1360">
        <f ca="1">CH19+CH20</f>
        <v>11368.20919653893</v>
      </c>
      <c r="CI21" s="1087"/>
      <c r="CJ21" s="1087">
        <f ca="1">CJ19+CJ20</f>
        <v>5930.4495787365777</v>
      </c>
      <c r="CK21" s="1087">
        <f ca="1">CK19+CK20</f>
        <v>6153.3388636336877</v>
      </c>
      <c r="CL21" s="1087">
        <f ca="1">CL19+CL20</f>
        <v>12083.788442370267</v>
      </c>
      <c r="CM21" s="1379"/>
      <c r="CN21" s="1399"/>
      <c r="CO21" s="1343"/>
      <c r="CP21" s="1343"/>
      <c r="CQ21" s="1351"/>
      <c r="CR21" s="1343"/>
      <c r="CS21" s="1343"/>
      <c r="CT21" s="1343"/>
      <c r="CU21" s="1351"/>
      <c r="CV21" s="1351"/>
      <c r="CW21" s="1343"/>
      <c r="CX21" s="1343"/>
      <c r="CY21" s="1351"/>
      <c r="CZ21" s="1351"/>
      <c r="DA21" s="1351"/>
      <c r="DB21" s="1351"/>
      <c r="DC21" s="1399"/>
      <c r="DD21" s="1399"/>
      <c r="DE21" s="1351"/>
      <c r="DF21" s="1351"/>
      <c r="DG21" s="1399"/>
      <c r="DH21" s="1399"/>
      <c r="DI21" s="1351"/>
      <c r="DJ21" s="1351"/>
      <c r="DK21" s="1399"/>
      <c r="DL21" s="1399"/>
      <c r="DM21" s="1351"/>
      <c r="DN21" s="1351"/>
      <c r="DO21" s="1399"/>
      <c r="DP21" s="1399"/>
      <c r="DQ21" s="1399"/>
      <c r="DR21" s="1399"/>
      <c r="DS21" s="1399"/>
      <c r="DT21" s="1399"/>
      <c r="DU21" s="1399"/>
      <c r="DV21" s="1399"/>
      <c r="DW21" s="1399"/>
      <c r="DX21" s="1399"/>
      <c r="DY21" s="1399"/>
      <c r="DZ21" s="1399"/>
      <c r="EA21" s="1399"/>
      <c r="EB21" s="1399"/>
      <c r="EC21" s="1399"/>
      <c r="ED21" s="1399"/>
      <c r="EE21" s="1399"/>
      <c r="EF21" s="1399"/>
      <c r="EG21" s="1399"/>
      <c r="EH21" s="1399"/>
      <c r="EI21" s="1403"/>
      <c r="EJ21" s="1399"/>
      <c r="EK21" s="1399"/>
      <c r="EL21" s="1399"/>
      <c r="EM21" s="1403"/>
      <c r="EN21" s="1399"/>
      <c r="EO21" s="1399"/>
      <c r="EP21" s="1399"/>
      <c r="EQ21" s="1403"/>
      <c r="ER21" s="1399"/>
      <c r="ES21" s="1399"/>
      <c r="ET21" s="1399"/>
      <c r="EU21" s="1399"/>
      <c r="EV21" s="1399"/>
      <c r="EW21" s="1399"/>
      <c r="EX21" s="1399"/>
      <c r="EY21" s="1597"/>
      <c r="EZ21" s="1399"/>
      <c r="FA21" s="1399"/>
      <c r="FB21" s="1399"/>
      <c r="FC21" s="1399"/>
      <c r="FD21" s="1399"/>
      <c r="FE21" s="1399"/>
      <c r="FF21" s="1399"/>
      <c r="FG21" s="1399"/>
      <c r="FH21" s="1399"/>
      <c r="FI21" s="1399"/>
      <c r="FJ21" s="1399"/>
      <c r="FK21" s="1399"/>
      <c r="FL21" s="778"/>
      <c r="FN21" s="444"/>
      <c r="FO21" s="444"/>
      <c r="FP21" s="444"/>
      <c r="FQ21" s="444"/>
      <c r="FR21" s="444"/>
      <c r="FS21" s="444"/>
      <c r="FT21" s="444"/>
      <c r="FU21" s="444"/>
      <c r="FV21" s="444"/>
      <c r="FW21" s="444"/>
      <c r="GF21" s="803"/>
    </row>
    <row r="22" spans="1:188" ht="15.6">
      <c r="A22" s="444"/>
      <c r="B22" s="444"/>
      <c r="C22" s="1103" t="s">
        <v>545</v>
      </c>
      <c r="D22" s="1376"/>
      <c r="E22" s="1376"/>
      <c r="F22" s="1376"/>
      <c r="G22" s="1104"/>
      <c r="H22" s="1376">
        <v>-678</v>
      </c>
      <c r="I22" s="1376">
        <v>-388</v>
      </c>
      <c r="J22" s="1376">
        <v>-1066</v>
      </c>
      <c r="K22" s="1104"/>
      <c r="L22" s="1376">
        <v>-487</v>
      </c>
      <c r="M22" s="1376">
        <v>-862</v>
      </c>
      <c r="N22" s="1376">
        <v>-1349</v>
      </c>
      <c r="O22" s="1104"/>
      <c r="P22" s="1376">
        <v>-934</v>
      </c>
      <c r="Q22" s="1376">
        <v>-1055</v>
      </c>
      <c r="R22" s="1376">
        <v>-1989</v>
      </c>
      <c r="S22" s="1376"/>
      <c r="T22" s="1376">
        <v>-1094</v>
      </c>
      <c r="U22" s="1376">
        <v>-1073</v>
      </c>
      <c r="V22" s="1376">
        <v>-2167</v>
      </c>
      <c r="W22" s="1376"/>
      <c r="X22" s="1383">
        <f>MODEL!BD35</f>
        <v>-1117</v>
      </c>
      <c r="Y22" s="1383">
        <f>MODEL!BE35</f>
        <v>-1118</v>
      </c>
      <c r="Z22" s="1377">
        <f>MODEL!BF35</f>
        <v>-2235</v>
      </c>
      <c r="AA22" s="1377"/>
      <c r="AB22" s="1383">
        <f>MODEL!BH35</f>
        <v>-1265</v>
      </c>
      <c r="AC22" s="1383">
        <f>MODEL!BI35</f>
        <v>-1170</v>
      </c>
      <c r="AD22" s="1377">
        <f>MODEL!BJ35</f>
        <v>-2435</v>
      </c>
      <c r="AE22" s="1377">
        <f>MODEL!BK35</f>
        <v>0</v>
      </c>
      <c r="AF22" s="1377">
        <f>MODEL!BL35</f>
        <v>-1333</v>
      </c>
      <c r="AG22" s="1377">
        <f>MODEL!BM35</f>
        <v>-1367</v>
      </c>
      <c r="AH22" s="1384">
        <f>MODEL!BN35</f>
        <v>-2700</v>
      </c>
      <c r="AI22" s="1377"/>
      <c r="AJ22" s="1377">
        <f>MODEL!BP35</f>
        <v>-1398</v>
      </c>
      <c r="AK22" s="1377">
        <f>MODEL!BQ35</f>
        <v>-1326</v>
      </c>
      <c r="AL22" s="1384">
        <f>MODEL!BR35</f>
        <v>-2724</v>
      </c>
      <c r="AM22" s="1377"/>
      <c r="AN22" s="1377">
        <f>MODEL!BT35</f>
        <v>-1133</v>
      </c>
      <c r="AO22" s="1377">
        <f>MODEL!BU35</f>
        <v>-1166</v>
      </c>
      <c r="AP22" s="1384">
        <f>MODEL!BV35</f>
        <v>-2299</v>
      </c>
      <c r="AQ22" s="1377"/>
      <c r="AR22" s="1377">
        <f>MODEL!BX35</f>
        <v>-1406</v>
      </c>
      <c r="AS22" s="1377">
        <f>MODEL!BY35</f>
        <v>-1420</v>
      </c>
      <c r="AT22" s="1384">
        <f>MODEL!BZ35</f>
        <v>-2826</v>
      </c>
      <c r="AU22" s="1384"/>
      <c r="AV22" s="1377">
        <f>MODEL!CB35</f>
        <v>-1489</v>
      </c>
      <c r="AW22" s="1377">
        <f>MODEL!CC35</f>
        <v>-1286</v>
      </c>
      <c r="AX22" s="1377">
        <f>MODEL!CD35</f>
        <v>-2775</v>
      </c>
      <c r="AY22" s="1384"/>
      <c r="AZ22" s="1095">
        <f>MODEL!CF35</f>
        <v>-1415</v>
      </c>
      <c r="BA22" s="1377">
        <f>MODEL!CG35</f>
        <v>-1263</v>
      </c>
      <c r="BB22" s="1384">
        <f>MODEL!CH35</f>
        <v>-2678</v>
      </c>
      <c r="BC22" s="1377"/>
      <c r="BD22" s="1377">
        <f>MODEL!CJ35</f>
        <v>-886</v>
      </c>
      <c r="BE22" s="1377">
        <f>MODEL!CK35</f>
        <v>-986</v>
      </c>
      <c r="BF22" s="1384">
        <f>MODEL!CL35</f>
        <v>-1872</v>
      </c>
      <c r="BG22" s="1377"/>
      <c r="BH22" s="1377">
        <f>MODEL!CN35</f>
        <v>-1442</v>
      </c>
      <c r="BI22" s="1377">
        <f>MODEL!CO35</f>
        <v>-1322</v>
      </c>
      <c r="BJ22" s="1384">
        <f>MODEL!CP35</f>
        <v>-2764</v>
      </c>
      <c r="BK22" s="1377"/>
      <c r="BL22" s="1377">
        <f>MODEL!CR35</f>
        <v>-1328</v>
      </c>
      <c r="BM22" s="1377">
        <f>MODEL!CS35</f>
        <v>-1357</v>
      </c>
      <c r="BN22" s="1384">
        <f>MODEL!CT35</f>
        <v>-2685</v>
      </c>
      <c r="BO22" s="1377"/>
      <c r="BP22" s="1377">
        <f>MODEL!CV35</f>
        <v>-1567</v>
      </c>
      <c r="BQ22" s="1377">
        <f>MODEL!CW35</f>
        <v>-1513</v>
      </c>
      <c r="BR22" s="1384">
        <f>MODEL!CX35</f>
        <v>-3080</v>
      </c>
      <c r="BS22" s="1377"/>
      <c r="BT22" s="1377">
        <f>MODEL!CZ35</f>
        <v>-1496</v>
      </c>
      <c r="BU22" s="1377">
        <f>MODEL!DA35</f>
        <v>-1406</v>
      </c>
      <c r="BV22" s="1384">
        <f>MODEL!DB35</f>
        <v>-2902</v>
      </c>
      <c r="BW22" s="1377"/>
      <c r="BX22" s="1377">
        <f>MODEL!DD35</f>
        <v>-1519</v>
      </c>
      <c r="BY22" s="1377">
        <f>MODEL!DE35</f>
        <v>-1231</v>
      </c>
      <c r="BZ22" s="1384">
        <f>MODEL!DF35</f>
        <v>-2750</v>
      </c>
      <c r="CA22" s="1377"/>
      <c r="CB22" s="1377">
        <f ca="1">MODEL!DH35</f>
        <v>-1557.245847282293</v>
      </c>
      <c r="CC22" s="1377">
        <f ca="1">MODEL!DI35</f>
        <v>-1609.4408793469324</v>
      </c>
      <c r="CD22" s="1384">
        <f ca="1">MODEL!DJ35</f>
        <v>-3166.6867266292256</v>
      </c>
      <c r="CE22" s="1377"/>
      <c r="CF22" s="1377">
        <f ca="1">MODEL!DL35</f>
        <v>-1673.8918121729657</v>
      </c>
      <c r="CG22" s="1377">
        <f ca="1">MODEL!DM35</f>
        <v>-1679.729900806019</v>
      </c>
      <c r="CH22" s="1384">
        <f ca="1">MODEL!DN35</f>
        <v>-3353.6217129789848</v>
      </c>
      <c r="CI22" s="1377"/>
      <c r="CJ22" s="1377">
        <f ca="1">MODEL!DP35</f>
        <v>-1749.4826257272898</v>
      </c>
      <c r="CK22" s="1377">
        <f ca="1">MODEL!DQ35</f>
        <v>-1815.2349647719377</v>
      </c>
      <c r="CL22" s="1377">
        <f ca="1">MODEL!DR35</f>
        <v>-3564.7175904992273</v>
      </c>
      <c r="CM22" s="1379"/>
      <c r="CN22" s="1110" t="s">
        <v>157</v>
      </c>
      <c r="CO22" s="1404"/>
      <c r="CP22" s="1404"/>
      <c r="CQ22" s="1404"/>
      <c r="CR22" s="1404"/>
      <c r="CS22" s="1404"/>
      <c r="CT22" s="1404"/>
      <c r="CU22" s="1404"/>
      <c r="CV22" s="1404"/>
      <c r="CW22" s="1404"/>
      <c r="CX22" s="1404"/>
      <c r="CY22" s="1404"/>
      <c r="CZ22" s="1404"/>
      <c r="DA22" s="1111"/>
      <c r="DB22" s="1111"/>
      <c r="DC22" s="1111"/>
      <c r="DD22" s="1111"/>
      <c r="DE22" s="1111"/>
      <c r="DF22" s="1111"/>
      <c r="DG22" s="1111"/>
      <c r="DH22" s="1111"/>
      <c r="DI22" s="1111"/>
      <c r="DJ22" s="1111"/>
      <c r="DK22" s="1111"/>
      <c r="DL22" s="1111"/>
      <c r="DM22" s="1111"/>
      <c r="DN22" s="1111"/>
      <c r="DO22" s="1111"/>
      <c r="DP22" s="1111"/>
      <c r="DQ22" s="1111"/>
      <c r="DR22" s="1111"/>
      <c r="DS22" s="1111"/>
      <c r="DT22" s="1111"/>
      <c r="DU22" s="1111"/>
      <c r="DV22" s="1111"/>
      <c r="DW22" s="1111"/>
      <c r="DX22" s="1111"/>
      <c r="DY22" s="1111"/>
      <c r="DZ22" s="1111"/>
      <c r="EA22" s="1111"/>
      <c r="EB22" s="1111"/>
      <c r="EC22" s="1111"/>
      <c r="ED22" s="1111"/>
      <c r="EE22" s="1111"/>
      <c r="EF22" s="1111"/>
      <c r="EG22" s="1111"/>
      <c r="EH22" s="1111"/>
      <c r="EI22" s="1405"/>
      <c r="EJ22" s="1111"/>
      <c r="EK22" s="1111"/>
      <c r="EL22" s="1111"/>
      <c r="EM22" s="1405"/>
      <c r="EN22" s="1111"/>
      <c r="EO22" s="1111"/>
      <c r="EP22" s="1111"/>
      <c r="EQ22" s="1405"/>
      <c r="ER22" s="1111"/>
      <c r="ES22" s="1111"/>
      <c r="ET22" s="1111"/>
      <c r="EU22" s="1111"/>
      <c r="EV22" s="1111"/>
      <c r="EW22" s="1111"/>
      <c r="EX22" s="1111"/>
      <c r="EY22" s="1598"/>
      <c r="EZ22" s="1111"/>
      <c r="FA22" s="1111"/>
      <c r="FB22" s="1111"/>
      <c r="FC22" s="1111"/>
      <c r="FD22" s="1111"/>
      <c r="FE22" s="1111"/>
      <c r="FF22" s="1111"/>
      <c r="FG22" s="1111"/>
      <c r="FH22" s="1111"/>
      <c r="FI22" s="1111"/>
      <c r="FJ22" s="1111"/>
      <c r="FK22" s="1111"/>
      <c r="FL22" s="444"/>
      <c r="FM22" s="473"/>
      <c r="FN22" s="444"/>
      <c r="FO22" s="444"/>
      <c r="FP22" s="444"/>
      <c r="FQ22" s="444"/>
      <c r="FR22" s="444"/>
      <c r="FS22" s="444"/>
      <c r="FT22" s="444"/>
      <c r="FU22" s="444"/>
      <c r="FV22" s="444"/>
      <c r="FW22" s="444"/>
    </row>
    <row r="23" spans="1:188" ht="13.8">
      <c r="A23" s="444"/>
      <c r="B23" s="444"/>
      <c r="C23" s="1106" t="s">
        <v>712</v>
      </c>
      <c r="D23" s="1376"/>
      <c r="E23" s="1376"/>
      <c r="F23" s="1376"/>
      <c r="G23" s="1107"/>
      <c r="H23" s="1376">
        <v>-3</v>
      </c>
      <c r="I23" s="1376">
        <v>-5</v>
      </c>
      <c r="J23" s="1376">
        <v>-8</v>
      </c>
      <c r="K23" s="1107"/>
      <c r="L23" s="1376">
        <v>-4</v>
      </c>
      <c r="M23" s="1376">
        <v>2</v>
      </c>
      <c r="N23" s="1376">
        <v>-2</v>
      </c>
      <c r="O23" s="1107"/>
      <c r="P23" s="1376">
        <v>-2</v>
      </c>
      <c r="Q23" s="1376">
        <v>-4</v>
      </c>
      <c r="R23" s="1376">
        <v>-6</v>
      </c>
      <c r="S23" s="1376"/>
      <c r="T23" s="1376">
        <v>-5</v>
      </c>
      <c r="U23" s="1376">
        <v>-3</v>
      </c>
      <c r="V23" s="1376">
        <v>-8</v>
      </c>
      <c r="W23" s="1376"/>
      <c r="X23" s="1383">
        <f>MODEL!BD36</f>
        <v>-4</v>
      </c>
      <c r="Y23" s="1383">
        <f>MODEL!BE36</f>
        <v>-2</v>
      </c>
      <c r="Z23" s="1377">
        <f>MODEL!BF36</f>
        <v>-6</v>
      </c>
      <c r="AA23" s="1377"/>
      <c r="AB23" s="1383">
        <f>MODEL!BH36</f>
        <v>-5</v>
      </c>
      <c r="AC23" s="1383">
        <f>MODEL!BI36</f>
        <v>-5</v>
      </c>
      <c r="AD23" s="1377">
        <f>MODEL!BJ36</f>
        <v>-10</v>
      </c>
      <c r="AE23" s="1377">
        <f>MODEL!BK36</f>
        <v>0</v>
      </c>
      <c r="AF23" s="1377">
        <f>MODEL!BL36</f>
        <v>-6</v>
      </c>
      <c r="AG23" s="1377">
        <f>MODEL!BM36</f>
        <v>-6</v>
      </c>
      <c r="AH23" s="1384">
        <f>MODEL!BN36</f>
        <v>-12</v>
      </c>
      <c r="AI23" s="1377"/>
      <c r="AJ23" s="1377">
        <f>MODEL!BP36</f>
        <v>-8</v>
      </c>
      <c r="AK23" s="1377">
        <f>MODEL!BQ36</f>
        <v>-6</v>
      </c>
      <c r="AL23" s="1384">
        <f>MODEL!BR36</f>
        <v>-14</v>
      </c>
      <c r="AM23" s="1377"/>
      <c r="AN23" s="1377">
        <f>MODEL!BT36</f>
        <v>-4</v>
      </c>
      <c r="AO23" s="1377">
        <f>MODEL!BU36</f>
        <v>-7</v>
      </c>
      <c r="AP23" s="1384">
        <f>MODEL!BV36</f>
        <v>-11</v>
      </c>
      <c r="AQ23" s="1377"/>
      <c r="AR23" s="1377">
        <f>MODEL!BX36</f>
        <v>-8</v>
      </c>
      <c r="AS23" s="1377">
        <f>MODEL!BY36</f>
        <v>-7</v>
      </c>
      <c r="AT23" s="1384">
        <f>MODEL!BZ36</f>
        <v>-15</v>
      </c>
      <c r="AU23" s="1360"/>
      <c r="AV23" s="1377">
        <f>MODEL!CB36</f>
        <v>-7</v>
      </c>
      <c r="AW23" s="1377">
        <f>MODEL!CC36</f>
        <v>-9</v>
      </c>
      <c r="AX23" s="1377">
        <f>MODEL!CD36</f>
        <v>-16</v>
      </c>
      <c r="AY23" s="1360"/>
      <c r="AZ23" s="1095">
        <f>MODEL!CF36</f>
        <v>-9</v>
      </c>
      <c r="BA23" s="1377">
        <f>MODEL!CG36</f>
        <v>-6</v>
      </c>
      <c r="BB23" s="1384">
        <f>MODEL!CH36</f>
        <v>-15</v>
      </c>
      <c r="BC23" s="1377"/>
      <c r="BD23" s="1377">
        <f>MODEL!CJ36</f>
        <v>-1</v>
      </c>
      <c r="BE23" s="1377">
        <f>MODEL!CK36</f>
        <v>0</v>
      </c>
      <c r="BF23" s="1384">
        <f>MODEL!CL36</f>
        <v>-1</v>
      </c>
      <c r="BG23" s="1377"/>
      <c r="BH23" s="1377">
        <f>MODEL!CN36</f>
        <v>0</v>
      </c>
      <c r="BI23" s="1377">
        <f>MODEL!CO36</f>
        <v>-1</v>
      </c>
      <c r="BJ23" s="1384">
        <f>MODEL!CP36</f>
        <v>-1</v>
      </c>
      <c r="BK23" s="1377"/>
      <c r="BL23" s="1377">
        <f>MODEL!CR36</f>
        <v>0</v>
      </c>
      <c r="BM23" s="1377">
        <f>MODEL!CS36</f>
        <v>0</v>
      </c>
      <c r="BN23" s="1384">
        <f>MODEL!CT36</f>
        <v>0</v>
      </c>
      <c r="BO23" s="1377"/>
      <c r="BP23" s="1377">
        <f>MODEL!CV36</f>
        <v>-14</v>
      </c>
      <c r="BQ23" s="1377">
        <f>MODEL!CW36</f>
        <v>-14</v>
      </c>
      <c r="BR23" s="1384">
        <f>MODEL!CX36</f>
        <v>-28</v>
      </c>
      <c r="BS23" s="1377"/>
      <c r="BT23" s="1377">
        <f>MODEL!CZ36</f>
        <v>-14</v>
      </c>
      <c r="BU23" s="1377">
        <f>MODEL!DA36</f>
        <v>-21</v>
      </c>
      <c r="BV23" s="1384">
        <f>MODEL!DB36</f>
        <v>-35</v>
      </c>
      <c r="BW23" s="1377"/>
      <c r="BX23" s="1377">
        <f>MODEL!DD36</f>
        <v>-21</v>
      </c>
      <c r="BY23" s="1377">
        <f>MODEL!DE36</f>
        <v>-20</v>
      </c>
      <c r="BZ23" s="1384">
        <f>MODEL!DF36</f>
        <v>-41</v>
      </c>
      <c r="CA23" s="1377"/>
      <c r="CB23" s="1377">
        <f>MODEL!DH36</f>
        <v>-20</v>
      </c>
      <c r="CC23" s="1377">
        <f>MODEL!DI36</f>
        <v>-20</v>
      </c>
      <c r="CD23" s="1384">
        <f>MODEL!DJ36</f>
        <v>-40</v>
      </c>
      <c r="CE23" s="1377"/>
      <c r="CF23" s="1377">
        <f>MODEL!DL36</f>
        <v>-20</v>
      </c>
      <c r="CG23" s="1377">
        <f>MODEL!DM36</f>
        <v>-20</v>
      </c>
      <c r="CH23" s="1384">
        <f>MODEL!DN36</f>
        <v>-40</v>
      </c>
      <c r="CI23" s="1377"/>
      <c r="CJ23" s="1377">
        <f>MODEL!DP36</f>
        <v>-20</v>
      </c>
      <c r="CK23" s="1377">
        <f>MODEL!DQ36</f>
        <v>-20</v>
      </c>
      <c r="CL23" s="1377">
        <f>MODEL!DR36</f>
        <v>-40</v>
      </c>
      <c r="CM23" s="1379"/>
      <c r="CN23" s="1113"/>
      <c r="CO23" s="1343"/>
      <c r="CP23" s="1343"/>
      <c r="CQ23" s="1343"/>
      <c r="CR23" s="1343"/>
      <c r="CS23" s="1343"/>
      <c r="CT23" s="1343"/>
      <c r="CU23" s="1343"/>
      <c r="CV23" s="1343"/>
      <c r="CW23" s="1343"/>
      <c r="CX23" s="1343"/>
      <c r="CY23" s="1343"/>
      <c r="CZ23" s="1343"/>
      <c r="DA23" s="1114"/>
      <c r="DB23" s="1114"/>
      <c r="DC23" s="1114"/>
      <c r="DD23" s="1114"/>
      <c r="DE23" s="1114"/>
      <c r="DF23" s="1114"/>
      <c r="DG23" s="1114"/>
      <c r="DH23" s="1114"/>
      <c r="DI23" s="1114"/>
      <c r="DJ23" s="1114"/>
      <c r="DK23" s="1114"/>
      <c r="DL23" s="1114"/>
      <c r="DM23" s="1114"/>
      <c r="DN23" s="1114"/>
      <c r="DO23" s="1114"/>
      <c r="DP23" s="1114"/>
      <c r="DQ23" s="1114"/>
      <c r="DR23" s="1114"/>
      <c r="DS23" s="1114"/>
      <c r="DT23" s="1114"/>
      <c r="DU23" s="1114"/>
      <c r="DV23" s="1114"/>
      <c r="DW23" s="1114"/>
      <c r="DX23" s="1114"/>
      <c r="DY23" s="1114"/>
      <c r="DZ23" s="1114"/>
      <c r="EA23" s="1114"/>
      <c r="EB23" s="1114"/>
      <c r="EC23" s="1114"/>
      <c r="ED23" s="1114"/>
      <c r="EE23" s="1114"/>
      <c r="EF23" s="1114"/>
      <c r="EG23" s="1114"/>
      <c r="EH23" s="1114"/>
      <c r="EI23" s="1406"/>
      <c r="EJ23" s="1114"/>
      <c r="EK23" s="1114"/>
      <c r="EL23" s="1114"/>
      <c r="EM23" s="1406"/>
      <c r="EN23" s="1114"/>
      <c r="EO23" s="1114"/>
      <c r="EP23" s="1114"/>
      <c r="EQ23" s="1406"/>
      <c r="ER23" s="1114"/>
      <c r="ES23" s="1114"/>
      <c r="ET23" s="1114"/>
      <c r="EU23" s="1114"/>
      <c r="EV23" s="1114"/>
      <c r="EW23" s="1114"/>
      <c r="EX23" s="1114"/>
      <c r="EY23" s="1599"/>
      <c r="EZ23" s="1114"/>
      <c r="FA23" s="1114"/>
      <c r="FB23" s="1114"/>
      <c r="FC23" s="1114"/>
      <c r="FD23" s="1114"/>
      <c r="FE23" s="1114"/>
      <c r="FF23" s="1114"/>
      <c r="FG23" s="1114"/>
      <c r="FH23" s="1114"/>
      <c r="FI23" s="1114"/>
      <c r="FJ23" s="1114"/>
      <c r="FK23" s="1114"/>
      <c r="FL23" s="444"/>
      <c r="FM23" s="1077"/>
      <c r="FN23" s="444"/>
      <c r="FO23" s="444"/>
      <c r="FP23" s="444"/>
      <c r="FQ23" s="444"/>
      <c r="FR23" s="444"/>
      <c r="FS23" s="444"/>
      <c r="FT23" s="444"/>
      <c r="FU23" s="444"/>
      <c r="FV23" s="444"/>
      <c r="FW23" s="444"/>
    </row>
    <row r="24" spans="1:188" ht="13.8">
      <c r="A24" s="444"/>
      <c r="B24" s="444"/>
      <c r="C24" s="1108" t="s">
        <v>888</v>
      </c>
      <c r="D24" s="1407"/>
      <c r="E24" s="1407"/>
      <c r="F24" s="1407"/>
      <c r="G24" s="1109"/>
      <c r="H24" s="1407">
        <v>1674</v>
      </c>
      <c r="I24" s="1407">
        <v>1355</v>
      </c>
      <c r="J24" s="1407">
        <v>3029</v>
      </c>
      <c r="K24" s="1109"/>
      <c r="L24" s="1407">
        <v>954</v>
      </c>
      <c r="M24" s="1407">
        <v>2429</v>
      </c>
      <c r="N24" s="1407">
        <v>3383</v>
      </c>
      <c r="O24" s="1109"/>
      <c r="P24" s="1407">
        <v>2376</v>
      </c>
      <c r="Q24" s="1407">
        <v>2757</v>
      </c>
      <c r="R24" s="1407">
        <v>5133</v>
      </c>
      <c r="S24" s="1407"/>
      <c r="T24" s="1407">
        <v>2723</v>
      </c>
      <c r="U24" s="1407">
        <v>2744</v>
      </c>
      <c r="V24" s="1407">
        <v>5467</v>
      </c>
      <c r="W24" s="1407"/>
      <c r="X24" s="1408">
        <f t="shared" ref="X24:BR24" si="17">X21+X22+X23</f>
        <v>2896</v>
      </c>
      <c r="Y24" s="1408">
        <f t="shared" si="17"/>
        <v>2934</v>
      </c>
      <c r="Z24" s="1408">
        <f t="shared" si="17"/>
        <v>5830</v>
      </c>
      <c r="AA24" s="1408">
        <f t="shared" si="17"/>
        <v>0</v>
      </c>
      <c r="AB24" s="1408">
        <f t="shared" si="17"/>
        <v>3179</v>
      </c>
      <c r="AC24" s="1408">
        <f t="shared" si="17"/>
        <v>3313</v>
      </c>
      <c r="AD24" s="1408">
        <f t="shared" si="17"/>
        <v>6492</v>
      </c>
      <c r="AE24" s="1408">
        <f t="shared" si="17"/>
        <v>0</v>
      </c>
      <c r="AF24" s="1408">
        <f t="shared" si="17"/>
        <v>3515</v>
      </c>
      <c r="AG24" s="1408">
        <f t="shared" si="17"/>
        <v>3602</v>
      </c>
      <c r="AH24" s="1409">
        <f t="shared" si="17"/>
        <v>7117</v>
      </c>
      <c r="AI24" s="1408">
        <f t="shared" si="17"/>
        <v>0</v>
      </c>
      <c r="AJ24" s="1408">
        <f t="shared" si="17"/>
        <v>3676</v>
      </c>
      <c r="AK24" s="1408">
        <f t="shared" si="17"/>
        <v>3540</v>
      </c>
      <c r="AL24" s="1409">
        <f t="shared" si="17"/>
        <v>7216</v>
      </c>
      <c r="AM24" s="1408">
        <f t="shared" si="17"/>
        <v>0</v>
      </c>
      <c r="AN24" s="1408">
        <f t="shared" si="17"/>
        <v>2782</v>
      </c>
      <c r="AO24" s="1408">
        <f t="shared" si="17"/>
        <v>3107</v>
      </c>
      <c r="AP24" s="1408">
        <f t="shared" si="17"/>
        <v>5889</v>
      </c>
      <c r="AQ24" s="1408">
        <f t="shared" si="17"/>
        <v>0</v>
      </c>
      <c r="AR24" s="1408">
        <f t="shared" si="17"/>
        <v>3355</v>
      </c>
      <c r="AS24" s="1408">
        <f t="shared" si="17"/>
        <v>3454</v>
      </c>
      <c r="AT24" s="1408">
        <f t="shared" si="17"/>
        <v>6809</v>
      </c>
      <c r="AU24" s="1384">
        <f t="shared" si="17"/>
        <v>0</v>
      </c>
      <c r="AV24" s="1408">
        <f t="shared" si="17"/>
        <v>3493</v>
      </c>
      <c r="AW24" s="1408">
        <f t="shared" si="17"/>
        <v>2994</v>
      </c>
      <c r="AX24" s="1408">
        <f t="shared" si="17"/>
        <v>6487</v>
      </c>
      <c r="AY24" s="1384">
        <f t="shared" si="17"/>
        <v>0</v>
      </c>
      <c r="AZ24" s="1408">
        <f t="shared" si="17"/>
        <v>3564</v>
      </c>
      <c r="BA24" s="1408">
        <f t="shared" si="17"/>
        <v>2906</v>
      </c>
      <c r="BB24" s="1408">
        <f t="shared" si="17"/>
        <v>6470</v>
      </c>
      <c r="BC24" s="1408">
        <f t="shared" si="17"/>
        <v>0</v>
      </c>
      <c r="BD24" s="1408">
        <f t="shared" si="17"/>
        <v>1413</v>
      </c>
      <c r="BE24" s="1408">
        <f t="shared" si="17"/>
        <v>2345</v>
      </c>
      <c r="BF24" s="1409">
        <f t="shared" si="17"/>
        <v>3758</v>
      </c>
      <c r="BG24" s="1408">
        <f t="shared" si="17"/>
        <v>0</v>
      </c>
      <c r="BH24" s="1408">
        <f t="shared" si="17"/>
        <v>2990</v>
      </c>
      <c r="BI24" s="1408">
        <f t="shared" si="17"/>
        <v>3208</v>
      </c>
      <c r="BJ24" s="1409">
        <f t="shared" si="17"/>
        <v>6198</v>
      </c>
      <c r="BK24" s="1408">
        <f t="shared" si="17"/>
        <v>0</v>
      </c>
      <c r="BL24" s="1408">
        <f t="shared" si="17"/>
        <v>3113</v>
      </c>
      <c r="BM24" s="1408">
        <f t="shared" si="17"/>
        <v>3402</v>
      </c>
      <c r="BN24" s="1409">
        <f t="shared" si="17"/>
        <v>6515</v>
      </c>
      <c r="BO24" s="1408">
        <f t="shared" si="17"/>
        <v>0</v>
      </c>
      <c r="BP24" s="1408">
        <f t="shared" si="17"/>
        <v>3829</v>
      </c>
      <c r="BQ24" s="1408">
        <f t="shared" si="17"/>
        <v>3584</v>
      </c>
      <c r="BR24" s="1409">
        <f t="shared" si="17"/>
        <v>7413</v>
      </c>
      <c r="BS24" s="1408">
        <f t="shared" ref="BS24:BU24" si="18">SUM(BS21:BS23)</f>
        <v>0</v>
      </c>
      <c r="BT24" s="1408">
        <f t="shared" si="18"/>
        <v>3552</v>
      </c>
      <c r="BU24" s="1408">
        <f t="shared" si="18"/>
        <v>3173</v>
      </c>
      <c r="BV24" s="1409">
        <f>BV21+BV22+BV23</f>
        <v>6725</v>
      </c>
      <c r="BW24" s="1408">
        <f t="shared" ref="BW24" si="19">SUM(BW21:BW23)</f>
        <v>0</v>
      </c>
      <c r="BX24" s="1408">
        <f>SUM(BX21:BX23)</f>
        <v>3568</v>
      </c>
      <c r="BY24" s="1408">
        <f>SUM(BY21:BY23)</f>
        <v>2219</v>
      </c>
      <c r="BZ24" s="1409">
        <f>BZ21+BZ22+BZ23</f>
        <v>5787</v>
      </c>
      <c r="CA24" s="1408">
        <f t="shared" ref="CA24" si="20">SUM(CA21:CA23)</f>
        <v>0</v>
      </c>
      <c r="CB24" s="1408">
        <f ca="1">SUM(CB21:CB23)</f>
        <v>3701.5536350305647</v>
      </c>
      <c r="CC24" s="1408">
        <f ca="1">SUM(CC21:CC23)</f>
        <v>3826.2909150494493</v>
      </c>
      <c r="CD24" s="1409">
        <f ca="1">CD21+CD22+CD23</f>
        <v>7527.8445500800126</v>
      </c>
      <c r="CE24" s="1408">
        <f t="shared" ref="CE24" si="21">SUM(CE21:CE23)</f>
        <v>0</v>
      </c>
      <c r="CF24" s="1408">
        <f ca="1">SUM(CF21:CF23)</f>
        <v>3980.3177206167493</v>
      </c>
      <c r="CG24" s="1408">
        <f ca="1">SUM(CG21:CG23)</f>
        <v>3994.2697629431987</v>
      </c>
      <c r="CH24" s="1409">
        <f ca="1">CH21+CH22+CH23</f>
        <v>7974.5874835599452</v>
      </c>
      <c r="CI24" s="1408">
        <f t="shared" ref="CI24" si="22">SUM(CI21:CI23)</f>
        <v>0</v>
      </c>
      <c r="CJ24" s="1408">
        <f ca="1">SUM(CJ21:CJ23)</f>
        <v>4160.9669530092879</v>
      </c>
      <c r="CK24" s="1408">
        <f ca="1">SUM(CK21:CK23)</f>
        <v>4318.1038988617502</v>
      </c>
      <c r="CL24" s="1408">
        <f ca="1">CL21+CL22+CL23</f>
        <v>8479.0708518710398</v>
      </c>
      <c r="CM24" s="1379"/>
      <c r="CN24" s="1116" t="s">
        <v>735</v>
      </c>
      <c r="CO24" s="1343">
        <v>3.023649683504904</v>
      </c>
      <c r="CP24" s="1343">
        <v>3.0296186536374705</v>
      </c>
      <c r="CQ24" s="1343">
        <v>3.0266459052716939</v>
      </c>
      <c r="CR24" s="1343"/>
      <c r="CS24" s="1343">
        <v>3.1064404689582634</v>
      </c>
      <c r="CT24" s="1343">
        <v>2.8979319083200985</v>
      </c>
      <c r="CU24" s="1343">
        <v>2.955252724518306</v>
      </c>
      <c r="CV24" s="1343"/>
      <c r="CW24" s="1343">
        <v>2.8483700267851311</v>
      </c>
      <c r="CX24" s="1343">
        <v>2.8424669798321238</v>
      </c>
      <c r="CY24" s="1343">
        <v>2.8453457044016131</v>
      </c>
      <c r="CZ24" s="1343"/>
      <c r="DA24" s="467">
        <f>AB17/(AB58*1000)*100</f>
        <v>1.3891541469123712</v>
      </c>
      <c r="DB24" s="467">
        <f>AC17/(AC58*1000)*100</f>
        <v>1.3360766559433788</v>
      </c>
      <c r="DC24" s="467">
        <f>AD17/(AD58*1000)*100</f>
        <v>2.7233660692073496</v>
      </c>
      <c r="DD24" s="467"/>
      <c r="DE24" s="467">
        <f>AF17/(AF58*1000)*100</f>
        <v>1.3161925169799453</v>
      </c>
      <c r="DF24" s="467">
        <f>AG17/(AG58*1000)*100</f>
        <v>1.2970389294913409</v>
      </c>
      <c r="DG24" s="467">
        <f>AH17/(AH58*1000)*100</f>
        <v>2.6127200954447547</v>
      </c>
      <c r="DH24" s="467"/>
      <c r="DI24" s="467">
        <f t="shared" ref="DI24:DO24" si="23">AJ17/(AJ58*1000)*100</f>
        <v>1.2277910719898646</v>
      </c>
      <c r="DJ24" s="467">
        <f t="shared" si="23"/>
        <v>1.1865466581765822</v>
      </c>
      <c r="DK24" s="467">
        <f t="shared" si="23"/>
        <v>2.4131764108686355</v>
      </c>
      <c r="DL24" s="467" t="e">
        <f t="shared" si="23"/>
        <v>#DIV/0!</v>
      </c>
      <c r="DM24" s="467">
        <f t="shared" si="23"/>
        <v>1.1462695448671547</v>
      </c>
      <c r="DN24" s="467">
        <f t="shared" si="23"/>
        <v>1.1222092298949806</v>
      </c>
      <c r="DO24" s="467">
        <f t="shared" si="23"/>
        <v>2.2682890025321925</v>
      </c>
      <c r="DP24" s="467"/>
      <c r="DQ24" s="467">
        <f>AR17/(AR58*1000)*100</f>
        <v>1.0868357348452</v>
      </c>
      <c r="DR24" s="467">
        <f>AS17/(AS58*1000)*100</f>
        <v>1.0692525772355692</v>
      </c>
      <c r="DS24" s="467">
        <f>AT17/(AT58*1000)*100</f>
        <v>2.1560655937476709</v>
      </c>
      <c r="DT24" s="467"/>
      <c r="DU24" s="467"/>
      <c r="DV24" s="467"/>
      <c r="DW24" s="467">
        <f>AX17/(AX58*1000)*100</f>
        <v>2.0513434302885352</v>
      </c>
      <c r="DX24" s="467"/>
      <c r="DY24" s="467"/>
      <c r="DZ24" s="467"/>
      <c r="EA24" s="467">
        <f>BB17/(BB58*1000)*100</f>
        <v>1.9397968763857329</v>
      </c>
      <c r="EB24" s="467"/>
      <c r="EC24" s="467"/>
      <c r="ED24" s="467"/>
      <c r="EE24" s="467">
        <f>BF17/(BF58*1000)*100</f>
        <v>1.6865338556090645</v>
      </c>
      <c r="EF24" s="467"/>
      <c r="EG24" s="467"/>
      <c r="EH24" s="467"/>
      <c r="EI24" s="1380">
        <f>BJ17/(BJ58*1000)*100</f>
        <v>1.6838311864413325</v>
      </c>
      <c r="EJ24" s="467"/>
      <c r="EK24" s="467"/>
      <c r="EL24" s="467"/>
      <c r="EM24" s="1380">
        <f>BN17/(BN58*1000)*100</f>
        <v>1.7903045361395951</v>
      </c>
      <c r="EN24" s="467"/>
      <c r="EO24" s="467"/>
      <c r="EP24" s="467"/>
      <c r="EQ24" s="1380">
        <f>BR17/(BR58*1000)*100</f>
        <v>1.8768607002158322</v>
      </c>
      <c r="ER24" s="467"/>
      <c r="ES24" s="467"/>
      <c r="ET24" s="467"/>
      <c r="EU24" s="467">
        <f>BV17/(BV58*1000)*100</f>
        <v>1.7749682477807567</v>
      </c>
      <c r="EV24" s="467"/>
      <c r="EW24" s="467"/>
      <c r="EX24" s="467"/>
      <c r="EY24" s="1592">
        <f>BZ17/(BZ58*1000)*100</f>
        <v>1.6420781109990517</v>
      </c>
      <c r="EZ24" s="467"/>
      <c r="FA24" s="467"/>
      <c r="FB24" s="467"/>
      <c r="FC24" s="467">
        <f ca="1">CD17/(CD58*1000)*100</f>
        <v>1.6660177846065094</v>
      </c>
      <c r="FD24" s="467"/>
      <c r="FE24" s="467"/>
      <c r="FF24" s="467"/>
      <c r="FG24" s="467">
        <f ca="1">CH17/(CH58*1000)*100</f>
        <v>1.6540744553188627</v>
      </c>
      <c r="FH24" s="467"/>
      <c r="FI24" s="467"/>
      <c r="FJ24" s="467"/>
      <c r="FK24" s="467">
        <f ca="1">CL17/(CL58*1000)*100</f>
        <v>1.6444044079915663</v>
      </c>
      <c r="FL24" s="444"/>
      <c r="FM24" s="1077"/>
      <c r="FN24" s="444"/>
      <c r="FO24" s="444"/>
      <c r="FP24" s="444"/>
      <c r="FQ24" s="444"/>
      <c r="FR24" s="444"/>
      <c r="FS24" s="444"/>
      <c r="FT24" s="444"/>
      <c r="FU24" s="444"/>
      <c r="FV24" s="444"/>
      <c r="FW24" s="444"/>
    </row>
    <row r="25" spans="1:188" ht="13.8">
      <c r="A25" s="444"/>
      <c r="B25" s="444"/>
      <c r="C25" s="1106" t="s">
        <v>892</v>
      </c>
      <c r="D25" s="1357"/>
      <c r="E25" s="1357"/>
      <c r="F25" s="1357"/>
      <c r="G25" s="1112"/>
      <c r="H25" s="1357"/>
      <c r="I25" s="1357"/>
      <c r="J25" s="1357"/>
      <c r="K25" s="1112"/>
      <c r="L25" s="1357"/>
      <c r="M25" s="1357"/>
      <c r="N25" s="1357"/>
      <c r="O25" s="1112"/>
      <c r="P25" s="1357"/>
      <c r="Q25" s="1357"/>
      <c r="R25" s="1357"/>
      <c r="S25" s="1357"/>
      <c r="T25" s="1357"/>
      <c r="U25" s="1357"/>
      <c r="V25" s="1357"/>
      <c r="W25" s="1357"/>
      <c r="X25" s="1087"/>
      <c r="Y25" s="1087"/>
      <c r="Z25" s="1087"/>
      <c r="AA25" s="1087"/>
      <c r="AB25" s="1087"/>
      <c r="AC25" s="1087"/>
      <c r="AD25" s="1087"/>
      <c r="AE25" s="1087"/>
      <c r="AF25" s="1087"/>
      <c r="AG25" s="1087"/>
      <c r="AH25" s="1360"/>
      <c r="AI25" s="1087"/>
      <c r="AJ25" s="1087"/>
      <c r="AK25" s="1087"/>
      <c r="AL25" s="1360"/>
      <c r="AM25" s="1087"/>
      <c r="AN25" s="1087"/>
      <c r="AO25" s="1087"/>
      <c r="AP25" s="1360"/>
      <c r="AQ25" s="1087"/>
      <c r="AR25" s="1377">
        <f>MODEL!BX38</f>
        <v>56</v>
      </c>
      <c r="AS25" s="1377">
        <f>MODEL!BY38</f>
        <v>73</v>
      </c>
      <c r="AT25" s="1384">
        <f>MODEL!BZ38</f>
        <v>129</v>
      </c>
      <c r="AU25" s="1384"/>
      <c r="AV25" s="1377">
        <f ca="1">MODEL!CB38</f>
        <v>-617</v>
      </c>
      <c r="AW25" s="1377">
        <f>MODEL!CC38</f>
        <v>-65</v>
      </c>
      <c r="AX25" s="1377">
        <f ca="1">MODEL!CD38</f>
        <v>-682</v>
      </c>
      <c r="AY25" s="1384">
        <f>MODEL!CE38</f>
        <v>0</v>
      </c>
      <c r="AZ25" s="1095">
        <f>MODEL!CF38</f>
        <v>-50</v>
      </c>
      <c r="BA25" s="1377">
        <f>MODEL!CG38</f>
        <v>-259</v>
      </c>
      <c r="BB25" s="1384">
        <f>MODEL!CH38</f>
        <v>-309</v>
      </c>
      <c r="BC25" s="1377">
        <f>MODEL!CI38</f>
        <v>0</v>
      </c>
      <c r="BD25" s="1377">
        <f>MODEL!CJ38</f>
        <v>-90</v>
      </c>
      <c r="BE25" s="1377">
        <f>MODEL!CK38</f>
        <v>-8</v>
      </c>
      <c r="BF25" s="1384">
        <f>MODEL!CL38</f>
        <v>-98</v>
      </c>
      <c r="BG25" s="1377"/>
      <c r="BH25" s="1377">
        <f>MODEL!CN38</f>
        <v>-8</v>
      </c>
      <c r="BI25" s="1377">
        <f>MODEL!CO38</f>
        <v>-9</v>
      </c>
      <c r="BJ25" s="1384">
        <f>MODEL!CP38</f>
        <v>-17</v>
      </c>
      <c r="BK25" s="1377"/>
      <c r="BL25" s="1377">
        <f>MODEL!CR38</f>
        <v>-5</v>
      </c>
      <c r="BM25" s="1377">
        <f>MODEL!CS38</f>
        <v>-14</v>
      </c>
      <c r="BN25" s="1384">
        <f>MODEL!CT38</f>
        <v>-19</v>
      </c>
      <c r="BO25" s="1377"/>
      <c r="BP25" s="1377">
        <f>MODEL!CV38</f>
        <v>0</v>
      </c>
      <c r="BQ25" s="1377">
        <f>MODEL!CW38</f>
        <v>0</v>
      </c>
      <c r="BR25" s="1384">
        <f>MODEL!CX38</f>
        <v>0</v>
      </c>
      <c r="BS25" s="1377"/>
      <c r="BT25" s="1377">
        <f>MODEL!CZ38</f>
        <v>0</v>
      </c>
      <c r="BU25" s="1377">
        <f>MODEL!DA38</f>
        <v>0</v>
      </c>
      <c r="BV25" s="1384">
        <f>MODEL!DB38</f>
        <v>0</v>
      </c>
      <c r="BW25" s="1377"/>
      <c r="BX25" s="1377">
        <f>MODEL!DD38</f>
        <v>0</v>
      </c>
      <c r="BY25" s="1377">
        <f>MODEL!DE38</f>
        <v>0</v>
      </c>
      <c r="BZ25" s="1384">
        <f>MODEL!DF38</f>
        <v>0</v>
      </c>
      <c r="CA25" s="1377"/>
      <c r="CB25" s="1377">
        <f>MODEL!DH38</f>
        <v>0</v>
      </c>
      <c r="CC25" s="1377">
        <f>MODEL!DI38</f>
        <v>0</v>
      </c>
      <c r="CD25" s="1384">
        <f>MODEL!DJ38</f>
        <v>0</v>
      </c>
      <c r="CE25" s="1377"/>
      <c r="CF25" s="1377">
        <f>MODEL!DL38</f>
        <v>0</v>
      </c>
      <c r="CG25" s="1377">
        <f>MODEL!DM38</f>
        <v>0</v>
      </c>
      <c r="CH25" s="1384">
        <f>MODEL!DN38</f>
        <v>0</v>
      </c>
      <c r="CI25" s="1377"/>
      <c r="CJ25" s="1377">
        <f>MODEL!DP38</f>
        <v>0</v>
      </c>
      <c r="CK25" s="1377">
        <f>MODEL!DQ38</f>
        <v>0</v>
      </c>
      <c r="CL25" s="1377">
        <f>MODEL!DR38</f>
        <v>0</v>
      </c>
      <c r="CM25" s="1379"/>
      <c r="CN25" s="1120" t="s">
        <v>734</v>
      </c>
      <c r="CO25" s="1343">
        <v>1.2869285450316297</v>
      </c>
      <c r="CP25" s="1343">
        <v>1.3693876314441367</v>
      </c>
      <c r="CQ25" s="1343">
        <v>1.3296302923473449</v>
      </c>
      <c r="CR25" s="1343"/>
      <c r="CS25" s="1343">
        <v>1.4601902309429033</v>
      </c>
      <c r="CT25" s="1343">
        <v>1.3875220217483748</v>
      </c>
      <c r="CU25" s="1343">
        <v>1.4018797734766375</v>
      </c>
      <c r="CV25" s="1343"/>
      <c r="CW25" s="1343">
        <v>1.3500359312732737</v>
      </c>
      <c r="CX25" s="1343">
        <v>1.3658041382059263</v>
      </c>
      <c r="CY25" s="1343">
        <v>1.3581073540899453</v>
      </c>
      <c r="CZ25" s="1343"/>
      <c r="DA25" s="467">
        <f>-AB18/(AB58*1000)*100</f>
        <v>0.61787718545024517</v>
      </c>
      <c r="DB25" s="467">
        <f>-AC18/(AC58*1000)*100</f>
        <v>0.6053221799644537</v>
      </c>
      <c r="DC25" s="467">
        <f>-AD18/(AD58*1000)*100</f>
        <v>1.222708587539834</v>
      </c>
      <c r="DD25" s="467"/>
      <c r="DE25" s="467">
        <f>-AF18/(AF58*1000)*100</f>
        <v>0.58349204879768779</v>
      </c>
      <c r="DF25" s="467">
        <f>-AG18/(AG58*1000)*100</f>
        <v>0.58556530479760427</v>
      </c>
      <c r="DG25" s="467">
        <f>-AH18/(AH58*1000)*100</f>
        <v>1.169038105837984</v>
      </c>
      <c r="DH25" s="467"/>
      <c r="DI25" s="467">
        <f t="shared" ref="DI25:DO25" si="24">-AJ18/(AJ58*1000)*100</f>
        <v>0.55434255069831739</v>
      </c>
      <c r="DJ25" s="467">
        <f t="shared" si="24"/>
        <v>0.54783990454391618</v>
      </c>
      <c r="DK25" s="467">
        <f t="shared" si="24"/>
        <v>1.1019510337988052</v>
      </c>
      <c r="DL25" s="467" t="e">
        <f t="shared" si="24"/>
        <v>#DIV/0!</v>
      </c>
      <c r="DM25" s="467">
        <f t="shared" si="24"/>
        <v>0.60927140554294879</v>
      </c>
      <c r="DN25" s="467">
        <f t="shared" si="24"/>
        <v>0.54105150425650494</v>
      </c>
      <c r="DO25" s="467">
        <f t="shared" si="24"/>
        <v>1.1497848352643272</v>
      </c>
      <c r="DP25" s="467"/>
      <c r="DQ25" s="467">
        <f>-AR18/(AR58*1000)*100</f>
        <v>0.4888364015888545</v>
      </c>
      <c r="DR25" s="467">
        <f>-AS18/(AS58*1000)*100</f>
        <v>0.486814181505625</v>
      </c>
      <c r="DS25" s="467">
        <f>-AT18/(AT58*1000)*100</f>
        <v>0.97564797028337535</v>
      </c>
      <c r="DT25" s="467"/>
      <c r="DU25" s="467"/>
      <c r="DV25" s="467"/>
      <c r="DW25" s="467">
        <f>-AX18/(AX58*1000)*100</f>
        <v>0.9957494494832716</v>
      </c>
      <c r="DX25" s="467"/>
      <c r="DY25" s="467"/>
      <c r="DZ25" s="467"/>
      <c r="EA25" s="467">
        <f>-BB18/(BB58*1000)*100</f>
        <v>0.92468849995769531</v>
      </c>
      <c r="EB25" s="467"/>
      <c r="EC25" s="467"/>
      <c r="ED25" s="467"/>
      <c r="EE25" s="467">
        <f>-BF18/(BF58*1000)*100</f>
        <v>0.89143460833595378</v>
      </c>
      <c r="EF25" s="467"/>
      <c r="EG25" s="467"/>
      <c r="EH25" s="467"/>
      <c r="EI25" s="1380">
        <f>-BJ18/(BJ58*1000)*100</f>
        <v>0.87352301647735997</v>
      </c>
      <c r="EJ25" s="467"/>
      <c r="EK25" s="467"/>
      <c r="EL25" s="467"/>
      <c r="EM25" s="1380">
        <f>-BN18/(BN58*1000)*100</f>
        <v>0.92464156746003023</v>
      </c>
      <c r="EN25" s="467"/>
      <c r="EO25" s="467"/>
      <c r="EP25" s="467"/>
      <c r="EQ25" s="1380">
        <f>-BR18/(BR58*1000)*100</f>
        <v>0.91028417313983845</v>
      </c>
      <c r="ER25" s="467"/>
      <c r="ES25" s="467"/>
      <c r="ET25" s="467"/>
      <c r="EU25" s="467">
        <f>-BV18/(BV58*1000)*100</f>
        <v>0.91618693591297551</v>
      </c>
      <c r="EV25" s="467"/>
      <c r="EW25" s="467"/>
      <c r="EX25" s="467"/>
      <c r="EY25" s="1592">
        <f>-BZ18/(BZ58*1000)*100</f>
        <v>0.96579597560015451</v>
      </c>
      <c r="EZ25" s="467"/>
      <c r="FA25" s="467"/>
      <c r="FB25" s="467"/>
      <c r="FC25" s="467">
        <f ca="1">-CD18/(CD58*1000)*100</f>
        <v>0.83621980160659903</v>
      </c>
      <c r="FD25" s="467"/>
      <c r="FE25" s="467"/>
      <c r="FF25" s="467"/>
      <c r="FG25" s="467">
        <f ca="1">-CH18/(CH58*1000)*100</f>
        <v>0.79491987426362021</v>
      </c>
      <c r="FH25" s="467"/>
      <c r="FI25" s="467"/>
      <c r="FJ25" s="467"/>
      <c r="FK25" s="467">
        <f ca="1">-CL18/(CL58*1000)*100</f>
        <v>0.764876469155639</v>
      </c>
      <c r="FL25" s="444"/>
      <c r="FM25" s="477"/>
      <c r="FN25" s="463"/>
      <c r="FO25" s="478"/>
      <c r="FP25" s="478"/>
      <c r="FQ25" s="478"/>
      <c r="FR25" s="478"/>
      <c r="FS25" s="479"/>
      <c r="FT25" s="444"/>
      <c r="FU25" s="444"/>
      <c r="FV25" s="444"/>
      <c r="FW25" s="444"/>
    </row>
    <row r="26" spans="1:188" ht="13.8">
      <c r="A26" s="444"/>
      <c r="B26" s="444"/>
      <c r="C26" s="1108" t="s">
        <v>136</v>
      </c>
      <c r="D26" s="1407"/>
      <c r="E26" s="1407"/>
      <c r="F26" s="1407"/>
      <c r="G26" s="1109"/>
      <c r="H26" s="1407">
        <f>SUM(H24:H25)</f>
        <v>1674</v>
      </c>
      <c r="I26" s="1407">
        <f>SUM(I24:I25)</f>
        <v>1355</v>
      </c>
      <c r="J26" s="1407">
        <f>SUM(J24:J25)</f>
        <v>3029</v>
      </c>
      <c r="K26" s="1109"/>
      <c r="L26" s="1407">
        <f>SUM(L24:L25)</f>
        <v>954</v>
      </c>
      <c r="M26" s="1407">
        <f>SUM(M24:M25)</f>
        <v>2429</v>
      </c>
      <c r="N26" s="1407">
        <f>SUM(N24:N25)</f>
        <v>3383</v>
      </c>
      <c r="O26" s="1109"/>
      <c r="P26" s="1407">
        <f>SUM(P24:P25)</f>
        <v>2376</v>
      </c>
      <c r="Q26" s="1407">
        <f>SUM(Q24:Q25)</f>
        <v>2757</v>
      </c>
      <c r="R26" s="1407">
        <f>SUM(R24:R25)</f>
        <v>5133</v>
      </c>
      <c r="S26" s="1407"/>
      <c r="T26" s="1407">
        <f>SUM(T24:T25)</f>
        <v>2723</v>
      </c>
      <c r="U26" s="1407">
        <f>SUM(U24:U25)</f>
        <v>2744</v>
      </c>
      <c r="V26" s="1407">
        <f>SUM(V24:V25)</f>
        <v>5467</v>
      </c>
      <c r="W26" s="1407"/>
      <c r="X26" s="1408">
        <f t="shared" ref="X26:AL26" si="25">SUM(X24:X25)</f>
        <v>2896</v>
      </c>
      <c r="Y26" s="1408">
        <f t="shared" si="25"/>
        <v>2934</v>
      </c>
      <c r="Z26" s="1408">
        <f t="shared" si="25"/>
        <v>5830</v>
      </c>
      <c r="AA26" s="1408">
        <f t="shared" si="25"/>
        <v>0</v>
      </c>
      <c r="AB26" s="1408">
        <f t="shared" si="25"/>
        <v>3179</v>
      </c>
      <c r="AC26" s="1408">
        <f t="shared" si="25"/>
        <v>3313</v>
      </c>
      <c r="AD26" s="1408">
        <f t="shared" si="25"/>
        <v>6492</v>
      </c>
      <c r="AE26" s="1408">
        <f t="shared" si="25"/>
        <v>0</v>
      </c>
      <c r="AF26" s="1408">
        <f t="shared" si="25"/>
        <v>3515</v>
      </c>
      <c r="AG26" s="1408">
        <f t="shared" si="25"/>
        <v>3602</v>
      </c>
      <c r="AH26" s="1409">
        <f t="shared" si="25"/>
        <v>7117</v>
      </c>
      <c r="AI26" s="1408">
        <f t="shared" si="25"/>
        <v>0</v>
      </c>
      <c r="AJ26" s="1408">
        <f t="shared" si="25"/>
        <v>3676</v>
      </c>
      <c r="AK26" s="1408">
        <f t="shared" si="25"/>
        <v>3540</v>
      </c>
      <c r="AL26" s="1409">
        <f t="shared" si="25"/>
        <v>7216</v>
      </c>
      <c r="AM26" s="1408"/>
      <c r="AN26" s="1408">
        <f>SUM(AN24:AN25)</f>
        <v>2782</v>
      </c>
      <c r="AO26" s="1408">
        <f>SUM(AO24:AO25)</f>
        <v>3107</v>
      </c>
      <c r="AP26" s="1409">
        <f>SUM(AP24:AP25)</f>
        <v>5889</v>
      </c>
      <c r="AQ26" s="1408"/>
      <c r="AR26" s="1408">
        <f>SUM(AR24:AR25)</f>
        <v>3411</v>
      </c>
      <c r="AS26" s="1408">
        <f>SUM(AS24:AS25)</f>
        <v>3527</v>
      </c>
      <c r="AT26" s="1409">
        <f>SUM(AT24:AT25)</f>
        <v>6938</v>
      </c>
      <c r="AU26" s="1384"/>
      <c r="AV26" s="1408">
        <f ca="1">SUM(AV24:AV25)</f>
        <v>2876</v>
      </c>
      <c r="AW26" s="1408">
        <f>SUM(AW24:AW25)</f>
        <v>2929</v>
      </c>
      <c r="AX26" s="1408">
        <f ca="1">AX24+AX25</f>
        <v>5805</v>
      </c>
      <c r="AY26" s="1384">
        <f t="shared" ref="AY26:BR26" si="26">AY24+AY25</f>
        <v>0</v>
      </c>
      <c r="AZ26" s="1115">
        <f t="shared" si="26"/>
        <v>3514</v>
      </c>
      <c r="BA26" s="1408">
        <f t="shared" si="26"/>
        <v>2647</v>
      </c>
      <c r="BB26" s="1409">
        <f t="shared" si="26"/>
        <v>6161</v>
      </c>
      <c r="BC26" s="1408">
        <f t="shared" si="26"/>
        <v>0</v>
      </c>
      <c r="BD26" s="1408">
        <f t="shared" si="26"/>
        <v>1323</v>
      </c>
      <c r="BE26" s="1408">
        <f t="shared" si="26"/>
        <v>2337</v>
      </c>
      <c r="BF26" s="1409">
        <f t="shared" si="26"/>
        <v>3660</v>
      </c>
      <c r="BG26" s="1408">
        <f t="shared" si="26"/>
        <v>0</v>
      </c>
      <c r="BH26" s="1408">
        <f t="shared" si="26"/>
        <v>2982</v>
      </c>
      <c r="BI26" s="1408">
        <f t="shared" si="26"/>
        <v>3199</v>
      </c>
      <c r="BJ26" s="1409">
        <f t="shared" si="26"/>
        <v>6181</v>
      </c>
      <c r="BK26" s="1408">
        <f t="shared" si="26"/>
        <v>0</v>
      </c>
      <c r="BL26" s="1408">
        <f t="shared" si="26"/>
        <v>3108</v>
      </c>
      <c r="BM26" s="1408">
        <f t="shared" si="26"/>
        <v>3388</v>
      </c>
      <c r="BN26" s="1409">
        <f t="shared" si="26"/>
        <v>6496</v>
      </c>
      <c r="BO26" s="1408">
        <f t="shared" si="26"/>
        <v>0</v>
      </c>
      <c r="BP26" s="1408">
        <f t="shared" si="26"/>
        <v>3829</v>
      </c>
      <c r="BQ26" s="1408">
        <f t="shared" si="26"/>
        <v>3584</v>
      </c>
      <c r="BR26" s="1409">
        <f t="shared" si="26"/>
        <v>7413</v>
      </c>
      <c r="BS26" s="1408"/>
      <c r="BT26" s="1408">
        <f>BT24+BT25</f>
        <v>3552</v>
      </c>
      <c r="BU26" s="1408">
        <f>BU24+BU25</f>
        <v>3173</v>
      </c>
      <c r="BV26" s="1409">
        <f>BV24+BV25</f>
        <v>6725</v>
      </c>
      <c r="BW26" s="1408"/>
      <c r="BX26" s="1408">
        <f>BX24+BX25</f>
        <v>3568</v>
      </c>
      <c r="BY26" s="1408">
        <f>BY24+BY25</f>
        <v>2219</v>
      </c>
      <c r="BZ26" s="1409">
        <f>BZ24+BZ25</f>
        <v>5787</v>
      </c>
      <c r="CA26" s="1408"/>
      <c r="CB26" s="1408">
        <f ca="1">CB24+CB25</f>
        <v>3701.5536350305647</v>
      </c>
      <c r="CC26" s="1408">
        <f ca="1">CC24+CC25</f>
        <v>3826.2909150494493</v>
      </c>
      <c r="CD26" s="1409">
        <f ca="1">CD24+CD25</f>
        <v>7527.8445500800126</v>
      </c>
      <c r="CE26" s="1408"/>
      <c r="CF26" s="1408">
        <f ca="1">CF24+CF25</f>
        <v>3980.3177206167493</v>
      </c>
      <c r="CG26" s="1408">
        <f ca="1">CG24+CG25</f>
        <v>3994.2697629431987</v>
      </c>
      <c r="CH26" s="1409">
        <f ca="1">CH24+CH25</f>
        <v>7974.5874835599452</v>
      </c>
      <c r="CI26" s="1408"/>
      <c r="CJ26" s="1408">
        <f ca="1">CJ24+CJ25</f>
        <v>4160.9669530092879</v>
      </c>
      <c r="CK26" s="1408">
        <f ca="1">CK24+CK25</f>
        <v>4318.1038988617502</v>
      </c>
      <c r="CL26" s="1408">
        <f ca="1">CL24+CL25</f>
        <v>8479.0708518710398</v>
      </c>
      <c r="CM26" s="1379"/>
      <c r="CN26" s="1116" t="s">
        <v>291</v>
      </c>
      <c r="CO26" s="1343">
        <v>1.7367211384732744</v>
      </c>
      <c r="CP26" s="1343">
        <v>1.6602310221933338</v>
      </c>
      <c r="CQ26" s="1343">
        <v>1.697015612924349</v>
      </c>
      <c r="CR26" s="1343"/>
      <c r="CS26" s="1343">
        <v>1.6255769038961982</v>
      </c>
      <c r="CT26" s="1343">
        <v>1.5204769715431279</v>
      </c>
      <c r="CU26" s="1343">
        <v>1.5484804378100412</v>
      </c>
      <c r="CV26" s="1343"/>
      <c r="CW26" s="1343">
        <v>1.4983340955118574</v>
      </c>
      <c r="CX26" s="1343">
        <v>1.4766628416261975</v>
      </c>
      <c r="CY26" s="1343">
        <v>1.487238350311668</v>
      </c>
      <c r="CZ26" s="1343"/>
      <c r="DA26" s="467">
        <f>AB19/(AB58*1000)*100</f>
        <v>0.77127696146212599</v>
      </c>
      <c r="DB26" s="467">
        <f>AC19/(AC58*1000)*100</f>
        <v>0.73075447597892507</v>
      </c>
      <c r="DC26" s="467">
        <f>AD19/(AD58*1000)*100</f>
        <v>1.5006574816675156</v>
      </c>
      <c r="DD26" s="467"/>
      <c r="DE26" s="467">
        <f>AF19/(AF58*1000)*100</f>
        <v>0.73270046818225754</v>
      </c>
      <c r="DF26" s="467">
        <f>AG19/(AG58*1000)*100</f>
        <v>0.71147362469373654</v>
      </c>
      <c r="DG26" s="467">
        <f>AH19/(AH58*1000)*100</f>
        <v>1.4436819896067707</v>
      </c>
      <c r="DH26" s="467"/>
      <c r="DI26" s="467">
        <f t="shared" ref="DI26:DO26" si="27">AJ19/(AJ58*1000)*100</f>
        <v>0.67344852129154709</v>
      </c>
      <c r="DJ26" s="467">
        <f t="shared" si="27"/>
        <v>0.63870675363266616</v>
      </c>
      <c r="DK26" s="467">
        <f t="shared" si="27"/>
        <v>1.3112253770698301</v>
      </c>
      <c r="DL26" s="467" t="e">
        <f t="shared" si="27"/>
        <v>#DIV/0!</v>
      </c>
      <c r="DM26" s="467">
        <f t="shared" si="27"/>
        <v>0.53699813932420604</v>
      </c>
      <c r="DN26" s="467">
        <f t="shared" si="27"/>
        <v>0.58115772563847568</v>
      </c>
      <c r="DO26" s="467">
        <f t="shared" si="27"/>
        <v>1.1185041672678651</v>
      </c>
      <c r="DP26" s="467"/>
      <c r="DQ26" s="467">
        <f>AR19/(AR58*1000)*100</f>
        <v>0.59799933325634558</v>
      </c>
      <c r="DR26" s="467">
        <f>AS19/(AS58*1000)*100</f>
        <v>0.58243839572994416</v>
      </c>
      <c r="DS26" s="467">
        <f>AT19/(AT58*1000)*100</f>
        <v>1.1804176234642956</v>
      </c>
      <c r="DT26" s="467"/>
      <c r="DU26" s="467"/>
      <c r="DV26" s="467"/>
      <c r="DW26" s="467">
        <f>AX19/(AX58*1000)*100</f>
        <v>1.0555939808052637</v>
      </c>
      <c r="DX26" s="467"/>
      <c r="DY26" s="467"/>
      <c r="DZ26" s="467"/>
      <c r="EA26" s="467">
        <f>BB19/(BB58*1000)*100</f>
        <v>1.0151083764280378</v>
      </c>
      <c r="EB26" s="467"/>
      <c r="EC26" s="467"/>
      <c r="ED26" s="467"/>
      <c r="EE26" s="467">
        <f>BF19/(BF58*1000)*100</f>
        <v>0.79509924727311088</v>
      </c>
      <c r="EF26" s="467"/>
      <c r="EG26" s="467"/>
      <c r="EH26" s="467"/>
      <c r="EI26" s="1380">
        <f>BJ19/(BJ58*1000)*100</f>
        <v>0.81030816996397248</v>
      </c>
      <c r="EJ26" s="467"/>
      <c r="EK26" s="467"/>
      <c r="EL26" s="467"/>
      <c r="EM26" s="1380">
        <f>BN19/(BN58*1000)*100</f>
        <v>0.86566296867956471</v>
      </c>
      <c r="EN26" s="467"/>
      <c r="EO26" s="467"/>
      <c r="EP26" s="467"/>
      <c r="EQ26" s="1380">
        <f>BR19/(BR58*1000)*100</f>
        <v>0.96657652707599384</v>
      </c>
      <c r="ER26" s="467"/>
      <c r="ES26" s="467"/>
      <c r="ET26" s="467"/>
      <c r="EU26" s="467">
        <f>BV19/(BV58*1000)*100</f>
        <v>0.85878131186778106</v>
      </c>
      <c r="EV26" s="467"/>
      <c r="EW26" s="467"/>
      <c r="EX26" s="467"/>
      <c r="EY26" s="1592">
        <f>BZ19/(BZ58*1000)*100</f>
        <v>0.67628213539889692</v>
      </c>
      <c r="EZ26" s="467"/>
      <c r="FA26" s="467"/>
      <c r="FB26" s="467"/>
      <c r="FC26" s="467">
        <f ca="1">CD19/(CD58*1000)*100</f>
        <v>0.82979798299991048</v>
      </c>
      <c r="FD26" s="467"/>
      <c r="FE26" s="467"/>
      <c r="FF26" s="467"/>
      <c r="FG26" s="467">
        <f ca="1">CH19/(CH58*1000)*100</f>
        <v>0.85915458105524245</v>
      </c>
      <c r="FH26" s="467"/>
      <c r="FI26" s="467"/>
      <c r="FJ26" s="467"/>
      <c r="FK26" s="467">
        <f ca="1">CL19/(CL58*1000)*100</f>
        <v>0.87952793883592728</v>
      </c>
      <c r="FL26" s="444"/>
      <c r="FM26" s="883"/>
      <c r="FN26" s="444"/>
      <c r="FO26" s="481"/>
      <c r="FP26" s="481"/>
      <c r="FQ26" s="481"/>
      <c r="FR26" s="481"/>
      <c r="FS26" s="481"/>
      <c r="FT26" s="444"/>
      <c r="FU26" s="444"/>
      <c r="FV26" s="444"/>
      <c r="FW26" s="444"/>
    </row>
    <row r="27" spans="1:188" ht="13.8">
      <c r="A27" s="444"/>
      <c r="B27" s="444"/>
      <c r="C27" s="1117" t="s">
        <v>824</v>
      </c>
      <c r="D27" s="1410"/>
      <c r="E27" s="1410"/>
      <c r="F27" s="1410"/>
      <c r="G27" s="1118"/>
      <c r="H27" s="1410">
        <v>57</v>
      </c>
      <c r="I27" s="1410">
        <v>160</v>
      </c>
      <c r="J27" s="1410">
        <v>217</v>
      </c>
      <c r="K27" s="1118"/>
      <c r="L27" s="1410">
        <v>480</v>
      </c>
      <c r="M27" s="1410">
        <v>-707</v>
      </c>
      <c r="N27" s="1410">
        <v>-227</v>
      </c>
      <c r="O27" s="1118"/>
      <c r="P27" s="1410">
        <v>-115</v>
      </c>
      <c r="Q27" s="1410">
        <v>-5</v>
      </c>
      <c r="R27" s="1410">
        <v>-120</v>
      </c>
      <c r="S27" s="1410"/>
      <c r="T27" s="1410">
        <v>-84</v>
      </c>
      <c r="U27" s="1410">
        <v>-84</v>
      </c>
      <c r="V27" s="1410">
        <v>-168</v>
      </c>
      <c r="W27" s="1410"/>
      <c r="X27" s="1411"/>
      <c r="Y27" s="1411"/>
      <c r="Z27" s="1411"/>
      <c r="AA27" s="1411"/>
      <c r="AB27" s="1411">
        <f>MODEL!BH40</f>
        <v>-242</v>
      </c>
      <c r="AC27" s="1411">
        <f>MODEL!BI40</f>
        <v>60</v>
      </c>
      <c r="AD27" s="1411">
        <f>MODEL!BJ40</f>
        <v>-182</v>
      </c>
      <c r="AE27" s="1411">
        <f>MODEL!BK40</f>
        <v>0</v>
      </c>
      <c r="AF27" s="1411">
        <f>MODEL!BL40</f>
        <v>-123</v>
      </c>
      <c r="AG27" s="1411">
        <f>MODEL!BM40</f>
        <v>277</v>
      </c>
      <c r="AH27" s="1412">
        <f>MODEL!BN40</f>
        <v>154</v>
      </c>
      <c r="AI27" s="1411"/>
      <c r="AJ27" s="1411">
        <f>MODEL!BP40</f>
        <v>-170</v>
      </c>
      <c r="AK27" s="1411">
        <f>MODEL!BQ40</f>
        <v>447</v>
      </c>
      <c r="AL27" s="1412">
        <f>MODEL!BR40</f>
        <v>277</v>
      </c>
      <c r="AM27" s="1411"/>
      <c r="AN27" s="1411">
        <f>MODEL!BT40</f>
        <v>-44</v>
      </c>
      <c r="AO27" s="1411">
        <f>MODEL!BU40</f>
        <v>-136</v>
      </c>
      <c r="AP27" s="1412">
        <f>MODEL!BV40</f>
        <v>-180</v>
      </c>
      <c r="AQ27" s="1411"/>
      <c r="AR27" s="1411">
        <f>MODEL!BX40</f>
        <v>-500</v>
      </c>
      <c r="AS27" s="1411">
        <f>MODEL!BY40</f>
        <v>-32</v>
      </c>
      <c r="AT27" s="1412">
        <f>MODEL!BZ40</f>
        <v>-532</v>
      </c>
      <c r="AU27" s="1384"/>
      <c r="AV27" s="1411">
        <f>MODEL!CB40</f>
        <v>447</v>
      </c>
      <c r="AW27" s="1411">
        <f>MODEL!CC40</f>
        <v>148</v>
      </c>
      <c r="AX27" s="1411">
        <f>MODEL!CD40</f>
        <v>595</v>
      </c>
      <c r="AY27" s="1384"/>
      <c r="AZ27" s="1119">
        <f>MODEL!CF40</f>
        <v>-341</v>
      </c>
      <c r="BA27" s="1411">
        <f>MODEL!CG40</f>
        <v>133</v>
      </c>
      <c r="BB27" s="1412">
        <f>MODEL!CH40</f>
        <v>-208</v>
      </c>
      <c r="BC27" s="1411"/>
      <c r="BD27" s="1411">
        <f>MODEL!CJ40</f>
        <v>222</v>
      </c>
      <c r="BE27" s="1411">
        <f>MODEL!CK40</f>
        <v>-305</v>
      </c>
      <c r="BF27" s="1412">
        <f>MODEL!CL40</f>
        <v>-83</v>
      </c>
      <c r="BG27" s="1411"/>
      <c r="BH27" s="1411">
        <f>MODEL!CN40</f>
        <v>-39</v>
      </c>
      <c r="BI27" s="1411">
        <f>MODEL!CO40</f>
        <v>20</v>
      </c>
      <c r="BJ27" s="1412">
        <f>MODEL!CP40</f>
        <v>-19</v>
      </c>
      <c r="BK27" s="1411"/>
      <c r="BL27" s="1411">
        <f>MODEL!CR40</f>
        <v>422</v>
      </c>
      <c r="BM27" s="1411">
        <f>MODEL!CS40</f>
        <v>201</v>
      </c>
      <c r="BN27" s="1412">
        <f>MODEL!CT40</f>
        <v>623</v>
      </c>
      <c r="BO27" s="1411"/>
      <c r="BP27" s="1411">
        <f>MODEL!CV40</f>
        <v>-274</v>
      </c>
      <c r="BQ27" s="1411">
        <f>MODEL!CW40</f>
        <v>-33</v>
      </c>
      <c r="BR27" s="1412">
        <f>MODEL!CX40</f>
        <v>-307</v>
      </c>
      <c r="BS27" s="1411"/>
      <c r="BT27" s="1411">
        <f>MODEL!CZ40</f>
        <v>-145</v>
      </c>
      <c r="BU27" s="1411">
        <f>MODEL!DA40</f>
        <v>-45</v>
      </c>
      <c r="BV27" s="1412">
        <f>MODEL!DB40</f>
        <v>-190</v>
      </c>
      <c r="BW27" s="1411"/>
      <c r="BX27" s="1411">
        <f>MODEL!DD40</f>
        <v>74</v>
      </c>
      <c r="BY27" s="1411">
        <f>MODEL!DE40</f>
        <v>30</v>
      </c>
      <c r="BZ27" s="1412">
        <f>MODEL!DF40</f>
        <v>104</v>
      </c>
      <c r="CA27" s="1411"/>
      <c r="CB27" s="1411">
        <f>MODEL!DH40</f>
        <v>0</v>
      </c>
      <c r="CC27" s="1411">
        <f>MODEL!DI40</f>
        <v>0</v>
      </c>
      <c r="CD27" s="1412">
        <f>MODEL!DJ40</f>
        <v>0</v>
      </c>
      <c r="CE27" s="1411"/>
      <c r="CF27" s="1411">
        <f>MODEL!DL40</f>
        <v>0</v>
      </c>
      <c r="CG27" s="1411">
        <f>MODEL!DM40</f>
        <v>0</v>
      </c>
      <c r="CH27" s="1412">
        <f>MODEL!DN40</f>
        <v>0</v>
      </c>
      <c r="CI27" s="1411"/>
      <c r="CJ27" s="1411">
        <f>MODEL!DP40</f>
        <v>0</v>
      </c>
      <c r="CK27" s="1411">
        <f>MODEL!DQ40</f>
        <v>0</v>
      </c>
      <c r="CL27" s="1411">
        <f>MODEL!DR40</f>
        <v>0</v>
      </c>
      <c r="CM27" s="1352"/>
      <c r="CN27" s="1122" t="s">
        <v>290</v>
      </c>
      <c r="CO27" s="1343">
        <v>0.93673852939955859</v>
      </c>
      <c r="CP27" s="1343">
        <v>1.0106073375527658</v>
      </c>
      <c r="CQ27" s="1343">
        <v>0.97499876269192565</v>
      </c>
      <c r="CR27" s="1343"/>
      <c r="CS27" s="1343">
        <v>1.0249621442237071</v>
      </c>
      <c r="CT27" s="1343">
        <v>0.96088590347748348</v>
      </c>
      <c r="CU27" s="1343">
        <v>0.97745425063296887</v>
      </c>
      <c r="CV27" s="1343"/>
      <c r="CW27" s="1343">
        <v>0.94368589534200042</v>
      </c>
      <c r="CX27" s="1343">
        <v>0.91240449725110906</v>
      </c>
      <c r="CY27" s="1343">
        <v>0.92767070001753638</v>
      </c>
      <c r="CZ27" s="1343"/>
      <c r="DA27" s="1123">
        <f>MODEL!BH1545*100</f>
        <v>0.97317956932715699</v>
      </c>
      <c r="DB27" s="1123">
        <f>MODEL!BI1545*100</f>
        <v>0.94856019648272494</v>
      </c>
      <c r="DC27" s="1123">
        <f>MODEL!BJ1545*100</f>
        <v>0.96045632781680546</v>
      </c>
      <c r="DD27" s="1123"/>
      <c r="DE27" s="1123">
        <f>MODEL!BL1545*100</f>
        <v>0.95886785433891597</v>
      </c>
      <c r="DF27" s="1123">
        <f>MODEL!BM1545*100</f>
        <v>0.93951339880914975</v>
      </c>
      <c r="DG27" s="1123">
        <f>MODEL!BN1545*100</f>
        <v>0.94897602404268333</v>
      </c>
      <c r="DH27" s="1123"/>
      <c r="DI27" s="1123">
        <f>MODEL!BP1545*100</f>
        <v>0.88759748055252485</v>
      </c>
      <c r="DJ27" s="1123">
        <f>MODEL!BQ1545*100</f>
        <v>0.81007517599198242</v>
      </c>
      <c r="DK27" s="1123">
        <f>MODEL!BR1545*100</f>
        <v>0.84779022274028371</v>
      </c>
      <c r="DL27" s="1123">
        <f>MODEL!BS1545*100</f>
        <v>0</v>
      </c>
      <c r="DM27" s="1123">
        <f>MODEL!BT1545*100</f>
        <v>0.61770883754390793</v>
      </c>
      <c r="DN27" s="1123">
        <f>MODEL!BU1545*100</f>
        <v>0.67907373206421373</v>
      </c>
      <c r="DO27" s="1123">
        <f>MODEL!BV1545*100</f>
        <v>0.6486332881379081</v>
      </c>
      <c r="DP27" s="1123"/>
      <c r="DQ27" s="1123">
        <f>MODEL!BX1545*100</f>
        <v>0.73302952911055808</v>
      </c>
      <c r="DR27" s="1123">
        <f>MODEL!BY1545*100</f>
        <v>0.74859912515363547</v>
      </c>
      <c r="DS27" s="1123">
        <f>MODEL!BZ1545*100</f>
        <v>0.74084833608336154</v>
      </c>
      <c r="DT27" s="1123"/>
      <c r="DU27" s="1123"/>
      <c r="DV27" s="1123"/>
      <c r="DW27" s="1123">
        <f>MODEL!CD1545*100</f>
        <v>0.68709995519604117</v>
      </c>
      <c r="DX27" s="1123"/>
      <c r="DY27" s="1123"/>
      <c r="DZ27" s="1123"/>
      <c r="EA27" s="1123">
        <f>MODEL!CH1545*100</f>
        <v>0.65954520942854022</v>
      </c>
      <c r="EB27" s="1123"/>
      <c r="EC27" s="1123"/>
      <c r="ED27" s="1123"/>
      <c r="EE27" s="1123">
        <f>MODEL!CL1545*100</f>
        <v>0.35702986871219383</v>
      </c>
      <c r="EF27" s="1123"/>
      <c r="EG27" s="1123"/>
      <c r="EH27" s="1123"/>
      <c r="EI27" s="1413">
        <f>MODEL!CP1545*100</f>
        <v>0.59817651708393282</v>
      </c>
      <c r="EJ27" s="1123"/>
      <c r="EK27" s="1123"/>
      <c r="EL27" s="1123"/>
      <c r="EM27" s="1413">
        <f>MODEL!CT1545*100</f>
        <v>0.62887982169350631</v>
      </c>
      <c r="EN27" s="1123"/>
      <c r="EO27" s="1123"/>
      <c r="EP27" s="1123"/>
      <c r="EQ27" s="1413">
        <f>MODEL!CX1545*100</f>
        <v>0.6655426151973195</v>
      </c>
      <c r="ER27" s="1123"/>
      <c r="ES27" s="1123"/>
      <c r="ET27" s="1123"/>
      <c r="EU27" s="1123">
        <f>MODEL!DB1545*100</f>
        <v>0.57362974993154825</v>
      </c>
      <c r="EV27" s="1123"/>
      <c r="EW27" s="1123"/>
      <c r="EX27" s="1123"/>
      <c r="EY27" s="1600">
        <f>MODEL!DF1545*100</f>
        <v>0.4339333315837029</v>
      </c>
      <c r="EZ27" s="1123"/>
      <c r="FA27" s="1123"/>
      <c r="FB27" s="1123"/>
      <c r="FC27" s="1123">
        <f ca="1">MODEL!DJ1545*100</f>
        <v>0.5533797937715178</v>
      </c>
      <c r="FD27" s="1123"/>
      <c r="FE27" s="1123"/>
      <c r="FF27" s="1123"/>
      <c r="FG27" s="1123">
        <f ca="1">MODEL!DN1545*100</f>
        <v>0.56310167831050673</v>
      </c>
      <c r="FH27" s="1123"/>
      <c r="FI27" s="1123"/>
      <c r="FJ27" s="1123"/>
      <c r="FK27" s="1123">
        <f ca="1">MODEL!DR1545*100</f>
        <v>0.57320808425430969</v>
      </c>
      <c r="FL27" s="444"/>
      <c r="FM27" s="463"/>
      <c r="FN27" s="463"/>
      <c r="FO27" s="478"/>
      <c r="FP27" s="478"/>
      <c r="FQ27" s="478"/>
      <c r="FR27" s="478"/>
      <c r="FS27" s="479"/>
      <c r="FT27" s="444"/>
      <c r="FU27" s="444"/>
      <c r="FV27" s="444"/>
      <c r="FW27" s="444"/>
    </row>
    <row r="28" spans="1:188" ht="13.8">
      <c r="A28" s="444"/>
      <c r="B28" s="444"/>
      <c r="C28" s="1121" t="s">
        <v>710</v>
      </c>
      <c r="D28" s="1357"/>
      <c r="E28" s="1357"/>
      <c r="F28" s="1357"/>
      <c r="G28" s="1112"/>
      <c r="H28" s="1357"/>
      <c r="I28" s="1357"/>
      <c r="J28" s="1357"/>
      <c r="K28" s="1112"/>
      <c r="L28" s="1357"/>
      <c r="M28" s="1357"/>
      <c r="N28" s="1357"/>
      <c r="O28" s="1112"/>
      <c r="P28" s="1357"/>
      <c r="Q28" s="1357"/>
      <c r="R28" s="1357"/>
      <c r="S28" s="1357"/>
      <c r="T28" s="1357">
        <v>-104</v>
      </c>
      <c r="U28" s="1357">
        <v>-12</v>
      </c>
      <c r="V28" s="1357">
        <v>-116</v>
      </c>
      <c r="W28" s="1357"/>
      <c r="X28" s="1087"/>
      <c r="Y28" s="1087"/>
      <c r="Z28" s="1087"/>
      <c r="AA28" s="1087"/>
      <c r="AB28" s="1087">
        <f t="shared" ref="AB28:AH28" si="28">+AB29+SUM(AB27:AB27)</f>
        <v>2934</v>
      </c>
      <c r="AC28" s="1087">
        <f t="shared" si="28"/>
        <v>3370</v>
      </c>
      <c r="AD28" s="1087">
        <f t="shared" si="28"/>
        <v>6304</v>
      </c>
      <c r="AE28" s="1087">
        <f t="shared" si="28"/>
        <v>0</v>
      </c>
      <c r="AF28" s="1087">
        <f t="shared" si="28"/>
        <v>3389</v>
      </c>
      <c r="AG28" s="1087">
        <f t="shared" si="28"/>
        <v>3876</v>
      </c>
      <c r="AH28" s="1360">
        <f t="shared" si="28"/>
        <v>7265</v>
      </c>
      <c r="AI28" s="1087"/>
      <c r="AJ28" s="1087">
        <f>+AJ29+SUM(AJ27:AJ27)</f>
        <v>3505</v>
      </c>
      <c r="AK28" s="1087">
        <f>+AK29+SUM(AK27:AK27)</f>
        <v>3987</v>
      </c>
      <c r="AL28" s="1360">
        <f>+AL29+SUM(AL27:AL27)</f>
        <v>7492</v>
      </c>
      <c r="AM28" s="1087"/>
      <c r="AN28" s="1087">
        <f>+AN29+SUM(AN27:AN27)</f>
        <v>2738</v>
      </c>
      <c r="AO28" s="1087">
        <f>+AO29+SUM(AO27:AO27)</f>
        <v>2971</v>
      </c>
      <c r="AP28" s="1360">
        <f>+AP29+SUM(AP27:AP27)</f>
        <v>5709</v>
      </c>
      <c r="AQ28" s="1087"/>
      <c r="AR28" s="1087">
        <f>+AR26+SUM(AR27:AR27)</f>
        <v>2911</v>
      </c>
      <c r="AS28" s="1087">
        <f>+AS26+SUM(AS27:AS27)</f>
        <v>3495</v>
      </c>
      <c r="AT28" s="1360">
        <f>+AT26+SUM(AT27:AT27)</f>
        <v>6406</v>
      </c>
      <c r="AU28" s="1414"/>
      <c r="AV28" s="1087">
        <f ca="1">+AV26+SUM(AV27:AV27)</f>
        <v>3323</v>
      </c>
      <c r="AW28" s="1087">
        <f t="shared" ref="AW28:BF28" si="29">+AW26+SUM(AW27:AW27)</f>
        <v>3077</v>
      </c>
      <c r="AX28" s="1087">
        <f ca="1">+AX26+SUM(AX27:AX27)</f>
        <v>6400</v>
      </c>
      <c r="AY28" s="1414">
        <f t="shared" si="29"/>
        <v>0</v>
      </c>
      <c r="AZ28" s="1088">
        <f t="shared" si="29"/>
        <v>3173</v>
      </c>
      <c r="BA28" s="1087">
        <f t="shared" si="29"/>
        <v>2780</v>
      </c>
      <c r="BB28" s="1360">
        <f t="shared" si="29"/>
        <v>5953</v>
      </c>
      <c r="BC28" s="1087">
        <f t="shared" si="29"/>
        <v>0</v>
      </c>
      <c r="BD28" s="1087">
        <f t="shared" si="29"/>
        <v>1545</v>
      </c>
      <c r="BE28" s="1087">
        <f t="shared" si="29"/>
        <v>2032</v>
      </c>
      <c r="BF28" s="1360">
        <f t="shared" si="29"/>
        <v>3577</v>
      </c>
      <c r="BG28" s="1087"/>
      <c r="BH28" s="1087">
        <f>+BH26+SUM(BH27:BH27)</f>
        <v>2943</v>
      </c>
      <c r="BI28" s="1087">
        <f>+BI26+SUM(BI27:BI27)</f>
        <v>3219</v>
      </c>
      <c r="BJ28" s="1360">
        <f>+BJ26+SUM(BJ27:BJ27)</f>
        <v>6162</v>
      </c>
      <c r="BK28" s="1087"/>
      <c r="BL28" s="1087">
        <f>+BL26+SUM(BL27:BL27)</f>
        <v>3530</v>
      </c>
      <c r="BM28" s="1087">
        <f>+BM26+SUM(BM27:BM27)</f>
        <v>3589</v>
      </c>
      <c r="BN28" s="1360">
        <f>+BN26+SUM(BN27:BN27)</f>
        <v>7119</v>
      </c>
      <c r="BO28" s="1087"/>
      <c r="BP28" s="1087">
        <f>+BP26+SUM(BP27:BP27)</f>
        <v>3555</v>
      </c>
      <c r="BQ28" s="1087">
        <f>+BQ26+SUM(BQ27:BQ27)</f>
        <v>3551</v>
      </c>
      <c r="BR28" s="1360">
        <f>+BR26+SUM(BR27:BR27)</f>
        <v>7106</v>
      </c>
      <c r="BS28" s="1087"/>
      <c r="BT28" s="1087">
        <f>+BT26+SUM(BT27:BT27)</f>
        <v>3407</v>
      </c>
      <c r="BU28" s="1087">
        <f>+BU26+SUM(BU27:BU27)</f>
        <v>3128</v>
      </c>
      <c r="BV28" s="1360">
        <f>+BV26+SUM(BV27:BV27)</f>
        <v>6535</v>
      </c>
      <c r="BW28" s="1087"/>
      <c r="BX28" s="1087">
        <f>+BX26+SUM(BX27:BX27)</f>
        <v>3642</v>
      </c>
      <c r="BY28" s="1087">
        <f>+BY26+SUM(BY27:BY27)</f>
        <v>2249</v>
      </c>
      <c r="BZ28" s="1360">
        <f>+BZ26+SUM(BZ27:BZ27)</f>
        <v>5891</v>
      </c>
      <c r="CA28" s="1087"/>
      <c r="CB28" s="1087">
        <f ca="1">+CB26+SUM(CB27:CB27)</f>
        <v>3701.5536350305647</v>
      </c>
      <c r="CC28" s="1087">
        <f ca="1">+CC26+SUM(CC27:CC27)</f>
        <v>3826.2909150494493</v>
      </c>
      <c r="CD28" s="1360">
        <f ca="1">+CD26+SUM(CD27:CD27)</f>
        <v>7527.8445500800126</v>
      </c>
      <c r="CE28" s="1087"/>
      <c r="CF28" s="1087">
        <f ca="1">+CF26+SUM(CF27:CF27)</f>
        <v>3980.3177206167493</v>
      </c>
      <c r="CG28" s="1087">
        <f ca="1">+CG26+SUM(CG27:CG27)</f>
        <v>3994.2697629431987</v>
      </c>
      <c r="CH28" s="1360">
        <f ca="1">+CH26+SUM(CH27:CH27)</f>
        <v>7974.5874835599452</v>
      </c>
      <c r="CI28" s="1087"/>
      <c r="CJ28" s="1087">
        <f ca="1">+CJ26+SUM(CJ27:CJ27)</f>
        <v>4160.9669530092879</v>
      </c>
      <c r="CK28" s="1087">
        <f ca="1">+CK26+SUM(CK27:CK27)</f>
        <v>4318.1038988617502</v>
      </c>
      <c r="CL28" s="1087">
        <f ca="1">+CL26+SUM(CL27:CL27)</f>
        <v>8479.0708518710398</v>
      </c>
      <c r="CM28" s="1379"/>
      <c r="CN28" s="1124" t="s">
        <v>248</v>
      </c>
      <c r="CO28" s="1400"/>
      <c r="CP28" s="1400"/>
      <c r="CQ28" s="1343">
        <v>16.221522309711283</v>
      </c>
      <c r="CR28" s="1400"/>
      <c r="CS28" s="1400"/>
      <c r="CT28" s="1400"/>
      <c r="CU28" s="1343">
        <v>16.353383243799289</v>
      </c>
      <c r="CV28" s="1343"/>
      <c r="CW28" s="1400"/>
      <c r="CX28" s="1400"/>
      <c r="CY28" s="1343">
        <v>16.211459437107486</v>
      </c>
      <c r="CZ28" s="1343"/>
      <c r="DA28" s="1399"/>
      <c r="DB28" s="1399"/>
      <c r="DC28" s="1415">
        <f>+DC29/DC27</f>
        <v>15.898483849703364</v>
      </c>
      <c r="DD28" s="1415"/>
      <c r="DE28" s="1399"/>
      <c r="DF28" s="1399"/>
      <c r="DG28" s="1415">
        <f>+DG29/DG27</f>
        <v>16.200765355760705</v>
      </c>
      <c r="DH28" s="1415"/>
      <c r="DI28" s="1399"/>
      <c r="DJ28" s="1399"/>
      <c r="DK28" s="1415">
        <f>+DK29/DK27</f>
        <v>16.419994501174529</v>
      </c>
      <c r="DL28" s="1415"/>
      <c r="DM28" s="1399"/>
      <c r="DN28" s="1399"/>
      <c r="DO28" s="1415">
        <f>+DO29/DO27</f>
        <v>15.809724477491086</v>
      </c>
      <c r="DP28" s="1415"/>
      <c r="DQ28" s="1415">
        <f>+DQ29/DQ27</f>
        <v>15.782628506581153</v>
      </c>
      <c r="DR28" s="1415">
        <f>+DR29/DR27</f>
        <v>15.584308479111277</v>
      </c>
      <c r="DS28" s="1415">
        <f>+DS29/DS27</f>
        <v>15.682312040098111</v>
      </c>
      <c r="DT28" s="1415"/>
      <c r="DU28" s="1415"/>
      <c r="DV28" s="1415"/>
      <c r="DW28" s="1415">
        <f>+DW29/DW27</f>
        <v>15.882794297009715</v>
      </c>
      <c r="DX28" s="1415"/>
      <c r="DY28" s="1415"/>
      <c r="DZ28" s="1415"/>
      <c r="EA28" s="1415">
        <f>+EA29/EA27</f>
        <v>16.42025710555388</v>
      </c>
      <c r="EB28" s="1415"/>
      <c r="EC28" s="1415"/>
      <c r="ED28" s="1415"/>
      <c r="EE28" s="1415">
        <f>+EE29/EE27</f>
        <v>17.344005404692854</v>
      </c>
      <c r="EF28" s="1415"/>
      <c r="EG28" s="1415"/>
      <c r="EH28" s="1415"/>
      <c r="EI28" s="1416">
        <f>+EI29/EI27</f>
        <v>16.616668804926551</v>
      </c>
      <c r="EJ28" s="1415"/>
      <c r="EK28" s="1415"/>
      <c r="EL28" s="1415"/>
      <c r="EM28" s="1416">
        <f>+EM29/EM27</f>
        <v>16.487920168067227</v>
      </c>
      <c r="EN28" s="1415"/>
      <c r="EO28" s="1415"/>
      <c r="EP28" s="1415"/>
      <c r="EQ28" s="1416">
        <f>+EQ29/EQ27</f>
        <v>16.342811867241835</v>
      </c>
      <c r="ER28" s="1415"/>
      <c r="ES28" s="1415"/>
      <c r="ET28" s="1415"/>
      <c r="EU28" s="1415">
        <f>+EU29/EU27</f>
        <v>16.677938373118618</v>
      </c>
      <c r="EV28" s="1415"/>
      <c r="EW28" s="1415"/>
      <c r="EX28" s="1415"/>
      <c r="EY28" s="1601">
        <f>+EY29/EY27</f>
        <v>18.446084262358571</v>
      </c>
      <c r="EZ28" s="1415"/>
      <c r="FA28" s="1415"/>
      <c r="FB28" s="1415"/>
      <c r="FC28" s="1415">
        <f ca="1">+FC29/FC27</f>
        <v>18.145563642131815</v>
      </c>
      <c r="FD28" s="1415"/>
      <c r="FE28" s="1415"/>
      <c r="FF28" s="1415"/>
      <c r="FG28" s="1415">
        <f ca="1">+FG29/FG27</f>
        <v>18.224160148329961</v>
      </c>
      <c r="FH28" s="1415"/>
      <c r="FI28" s="1415"/>
      <c r="FJ28" s="1415"/>
      <c r="FK28" s="1415">
        <f ca="1">+FK29/FK27</f>
        <v>18.584031259829935</v>
      </c>
      <c r="FL28" s="444"/>
      <c r="FM28" s="480"/>
      <c r="FN28" s="444"/>
      <c r="FO28" s="481"/>
      <c r="FP28" s="481"/>
      <c r="FQ28" s="481"/>
      <c r="FR28" s="481"/>
      <c r="FS28" s="481"/>
      <c r="FT28" s="444"/>
      <c r="FU28" s="444"/>
      <c r="FV28" s="444"/>
      <c r="FW28" s="444"/>
    </row>
    <row r="29" spans="1:188" ht="13.8">
      <c r="A29" s="444"/>
      <c r="B29" s="444"/>
      <c r="C29" s="1417" t="s">
        <v>16</v>
      </c>
      <c r="D29" s="1418"/>
      <c r="E29" s="1418"/>
      <c r="F29" s="1418"/>
      <c r="G29" s="1419"/>
      <c r="H29" s="1418">
        <v>1651</v>
      </c>
      <c r="I29" s="1418">
        <v>1332</v>
      </c>
      <c r="J29" s="1418">
        <v>2983</v>
      </c>
      <c r="K29" s="1419"/>
      <c r="L29" s="1418">
        <v>930</v>
      </c>
      <c r="M29" s="1418">
        <v>2420</v>
      </c>
      <c r="N29" s="1418">
        <v>3350</v>
      </c>
      <c r="O29" s="1419"/>
      <c r="P29" s="1418">
        <v>2370</v>
      </c>
      <c r="Q29" s="1418">
        <v>2752</v>
      </c>
      <c r="R29" s="1418">
        <v>5122</v>
      </c>
      <c r="S29" s="1418"/>
      <c r="T29" s="1418">
        <v>2826</v>
      </c>
      <c r="U29" s="1418">
        <v>2768</v>
      </c>
      <c r="V29" s="1418">
        <v>5594</v>
      </c>
      <c r="W29" s="1418"/>
      <c r="X29" s="1420"/>
      <c r="Y29" s="1420"/>
      <c r="Z29" s="1420"/>
      <c r="AA29" s="1420"/>
      <c r="AB29" s="1420">
        <f>MODEL!BH45</f>
        <v>3176</v>
      </c>
      <c r="AC29" s="1420">
        <f>MODEL!BI45</f>
        <v>3310</v>
      </c>
      <c r="AD29" s="1420">
        <f>MODEL!BJ45</f>
        <v>6486</v>
      </c>
      <c r="AE29" s="1420">
        <f>MODEL!BK45</f>
        <v>0</v>
      </c>
      <c r="AF29" s="1420">
        <f>MODEL!BL45</f>
        <v>3512</v>
      </c>
      <c r="AG29" s="1420">
        <f>MODEL!BM45</f>
        <v>3599</v>
      </c>
      <c r="AH29" s="1421">
        <f>MODEL!BN45</f>
        <v>7111</v>
      </c>
      <c r="AI29" s="1420"/>
      <c r="AJ29" s="1420">
        <f>MODEL!BP45</f>
        <v>3675</v>
      </c>
      <c r="AK29" s="1420">
        <f>MODEL!BQ45</f>
        <v>3540</v>
      </c>
      <c r="AL29" s="1421">
        <f>MODEL!BR45</f>
        <v>7215</v>
      </c>
      <c r="AM29" s="1420"/>
      <c r="AN29" s="1420">
        <f>MODEL!BT45</f>
        <v>2782</v>
      </c>
      <c r="AO29" s="1420">
        <f>MODEL!BU45</f>
        <v>3107</v>
      </c>
      <c r="AP29" s="1421">
        <f>MODEL!BV45</f>
        <v>5889</v>
      </c>
      <c r="AQ29" s="1420"/>
      <c r="AR29" s="1420">
        <f>MODEL!BX45</f>
        <v>3355</v>
      </c>
      <c r="AS29" s="1420">
        <f>MODEL!BY45</f>
        <v>3454</v>
      </c>
      <c r="AT29" s="1421">
        <f>MODEL!BZ45</f>
        <v>6809</v>
      </c>
      <c r="AU29" s="1422"/>
      <c r="AV29" s="1420">
        <f>MODEL!CB45</f>
        <v>3493</v>
      </c>
      <c r="AW29" s="1420">
        <f>MODEL!CC45</f>
        <v>2994</v>
      </c>
      <c r="AX29" s="1420">
        <f>MODEL!CD45</f>
        <v>6487</v>
      </c>
      <c r="AY29" s="1422"/>
      <c r="AZ29" s="1423">
        <f>MODEL!CF45</f>
        <v>3564</v>
      </c>
      <c r="BA29" s="1420">
        <f>MODEL!CG45</f>
        <v>2906</v>
      </c>
      <c r="BB29" s="1421">
        <f>MODEL!CH45</f>
        <v>6470</v>
      </c>
      <c r="BC29" s="1420"/>
      <c r="BD29" s="1420">
        <f>MODEL!CJ45</f>
        <v>1413</v>
      </c>
      <c r="BE29" s="1420">
        <f>MODEL!CK45</f>
        <v>2345</v>
      </c>
      <c r="BF29" s="1421">
        <f>MODEL!CL45</f>
        <v>3758</v>
      </c>
      <c r="BG29" s="1420"/>
      <c r="BH29" s="1420">
        <f>MODEL!CN45</f>
        <v>2990</v>
      </c>
      <c r="BI29" s="1420">
        <f>MODEL!CO45</f>
        <v>3208</v>
      </c>
      <c r="BJ29" s="1421">
        <f>MODEL!CP45</f>
        <v>6198</v>
      </c>
      <c r="BK29" s="1420"/>
      <c r="BL29" s="1420">
        <f>MODEL!CR45</f>
        <v>3113</v>
      </c>
      <c r="BM29" s="1420">
        <f>MODEL!CS45</f>
        <v>3402</v>
      </c>
      <c r="BN29" s="1421">
        <f>MODEL!CT45</f>
        <v>6515</v>
      </c>
      <c r="BO29" s="1420"/>
      <c r="BP29" s="1420">
        <f>MODEL!CV45</f>
        <v>3829</v>
      </c>
      <c r="BQ29" s="1420">
        <f>MODEL!CW45</f>
        <v>3584</v>
      </c>
      <c r="BR29" s="1421">
        <f>MODEL!CX45</f>
        <v>7413</v>
      </c>
      <c r="BS29" s="1420"/>
      <c r="BT29" s="1420">
        <f>MODEL!CZ45</f>
        <v>3552</v>
      </c>
      <c r="BU29" s="1420">
        <f>MODEL!DA45</f>
        <v>3173</v>
      </c>
      <c r="BV29" s="1421">
        <f>MODEL!DB45</f>
        <v>6725</v>
      </c>
      <c r="BW29" s="1420"/>
      <c r="BX29" s="1420">
        <f>MODEL!DD45</f>
        <v>3568</v>
      </c>
      <c r="BY29" s="1420">
        <f>MODEL!DE45</f>
        <v>2219</v>
      </c>
      <c r="BZ29" s="1421">
        <f>MODEL!DF45</f>
        <v>5787</v>
      </c>
      <c r="CA29" s="1420"/>
      <c r="CB29" s="1420">
        <f ca="1">MODEL!DH45</f>
        <v>3701.5536350305647</v>
      </c>
      <c r="CC29" s="1420">
        <f ca="1">MODEL!DI45</f>
        <v>3826.2909150494493</v>
      </c>
      <c r="CD29" s="1421">
        <f ca="1">MODEL!DJ45</f>
        <v>7527.8445500800126</v>
      </c>
      <c r="CE29" s="1420"/>
      <c r="CF29" s="1420">
        <f ca="1">MODEL!DL45</f>
        <v>3980.3177206167493</v>
      </c>
      <c r="CG29" s="1420">
        <f ca="1">MODEL!DM45</f>
        <v>3994.2697629431987</v>
      </c>
      <c r="CH29" s="1421">
        <f ca="1">MODEL!DN45</f>
        <v>7974.5874835599489</v>
      </c>
      <c r="CI29" s="1420"/>
      <c r="CJ29" s="1420">
        <f ca="1">MODEL!DP45</f>
        <v>4160.966953009286</v>
      </c>
      <c r="CK29" s="1420">
        <f ca="1">MODEL!DQ45</f>
        <v>4318.1038988617502</v>
      </c>
      <c r="CL29" s="1420">
        <f ca="1">MODEL!DR45</f>
        <v>8479.0708518710398</v>
      </c>
      <c r="CM29" s="1379"/>
      <c r="CN29" s="1125" t="s">
        <v>167</v>
      </c>
      <c r="CO29" s="1351">
        <v>15.008073963841307</v>
      </c>
      <c r="CP29" s="1351">
        <v>16.586806497302835</v>
      </c>
      <c r="CQ29" s="1351">
        <v>15.815964180947969</v>
      </c>
      <c r="CR29" s="1351"/>
      <c r="CS29" s="1351">
        <v>16.711510599923123</v>
      </c>
      <c r="CT29" s="1351">
        <v>15.308041145890941</v>
      </c>
      <c r="CU29" s="1351">
        <v>15.984683963881585</v>
      </c>
      <c r="CV29" s="1351"/>
      <c r="CW29" s="1351">
        <v>15.428571428571427</v>
      </c>
      <c r="CX29" s="1351">
        <v>14.673844998121949</v>
      </c>
      <c r="CY29" s="1351">
        <v>15.038895924327397</v>
      </c>
      <c r="CZ29" s="1351"/>
      <c r="DA29" s="1126">
        <f>MODEL!BH1524*100</f>
        <v>15.48576633062787</v>
      </c>
      <c r="DB29" s="1126">
        <f>MODEL!BI1524*100</f>
        <v>15.068043475386888</v>
      </c>
      <c r="DC29" s="1126">
        <f>MODEL!BJ1524*100</f>
        <v>15.269799416140881</v>
      </c>
      <c r="DD29" s="1126"/>
      <c r="DE29" s="1126">
        <f>MODEL!BL1524*100</f>
        <v>15.45192554801611</v>
      </c>
      <c r="DF29" s="1126">
        <f>MODEL!BM1524*100</f>
        <v>15.297134495446732</v>
      </c>
      <c r="DG29" s="1126">
        <f>MODEL!BN1524*100</f>
        <v>15.374137893758244</v>
      </c>
      <c r="DH29" s="1126"/>
      <c r="DI29" s="1126">
        <f>MODEL!BP1524*100</f>
        <v>14.623687588428952</v>
      </c>
      <c r="DJ29" s="1126">
        <f>MODEL!BQ1524*100</f>
        <v>13.264553936642123</v>
      </c>
      <c r="DK29" s="1126">
        <f>MODEL!BR1524*100</f>
        <v>13.920710795544986</v>
      </c>
      <c r="DL29" s="1126">
        <f>MODEL!BS1524*100</f>
        <v>0</v>
      </c>
      <c r="DM29" s="1126">
        <f>MODEL!BT1524*100</f>
        <v>9.6408088298996759</v>
      </c>
      <c r="DN29" s="1126">
        <f>MODEL!BU1524*100</f>
        <v>10.875329243854843</v>
      </c>
      <c r="DO29" s="1126">
        <f>MODEL!BV1524*100</f>
        <v>10.254713572389415</v>
      </c>
      <c r="DP29" s="1126"/>
      <c r="DQ29" s="1126">
        <f>MODEL!BX1524*100</f>
        <v>11.569132742306053</v>
      </c>
      <c r="DR29" s="1126">
        <f>MODEL!BY1524*100</f>
        <v>11.666399693587085</v>
      </c>
      <c r="DS29" s="1126">
        <f>MODEL!BZ1524*100</f>
        <v>11.618214780846753</v>
      </c>
      <c r="DT29" s="1126"/>
      <c r="DU29" s="1126"/>
      <c r="DV29" s="1126"/>
      <c r="DW29" s="1126">
        <f>MODEL!CD1524*100</f>
        <v>10.913067249863314</v>
      </c>
      <c r="DX29" s="1126"/>
      <c r="DY29" s="1126"/>
      <c r="DZ29" s="1126"/>
      <c r="EA29" s="1126">
        <f>MODEL!CH1524*100</f>
        <v>10.82990191155301</v>
      </c>
      <c r="EB29" s="1126"/>
      <c r="EC29" s="1126"/>
      <c r="ED29" s="1126"/>
      <c r="EE29" s="1126">
        <f>MODEL!CL1524*100</f>
        <v>6.1923279725810705</v>
      </c>
      <c r="EF29" s="1126"/>
      <c r="EG29" s="1126"/>
      <c r="EH29" s="1126"/>
      <c r="EI29" s="1424">
        <f>MODEL!CP1524*100</f>
        <v>9.9397010712682015</v>
      </c>
      <c r="EJ29" s="1126"/>
      <c r="EK29" s="1126"/>
      <c r="EL29" s="1126"/>
      <c r="EM29" s="1424">
        <f>MODEL!CT1524*100</f>
        <v>10.368920295390884</v>
      </c>
      <c r="EN29" s="1126"/>
      <c r="EO29" s="1126"/>
      <c r="EP29" s="1126"/>
      <c r="EQ29" s="1424">
        <f>MODEL!CX1524*100</f>
        <v>10.87683774980192</v>
      </c>
      <c r="ER29" s="1126"/>
      <c r="ES29" s="1126"/>
      <c r="ET29" s="1126"/>
      <c r="EU29" s="1126">
        <f>MODEL!DB1524*100</f>
        <v>9.5669616183458057</v>
      </c>
      <c r="EV29" s="1126"/>
      <c r="EW29" s="1126"/>
      <c r="EX29" s="1126"/>
      <c r="EY29" s="1602">
        <f>MODEL!DF1524*100</f>
        <v>8.0043707986389663</v>
      </c>
      <c r="EZ29" s="1126"/>
      <c r="FA29" s="1126"/>
      <c r="FB29" s="1126"/>
      <c r="FC29" s="1126">
        <f ca="1">MODEL!DJ1524*100</f>
        <v>10.041388266150856</v>
      </c>
      <c r="FD29" s="1126"/>
      <c r="FE29" s="1126"/>
      <c r="FF29" s="1126"/>
      <c r="FG29" s="1126">
        <f ca="1">MODEL!DN1524*100</f>
        <v>10.262055165324055</v>
      </c>
      <c r="FH29" s="1126"/>
      <c r="FI29" s="1126"/>
      <c r="FJ29" s="1126"/>
      <c r="FK29" s="1126">
        <f ca="1">MODEL!DR1524*100</f>
        <v>10.652516956169322</v>
      </c>
      <c r="FL29" s="485"/>
      <c r="FM29" s="803"/>
      <c r="FN29" s="463"/>
      <c r="FO29" s="478"/>
      <c r="FP29" s="478"/>
      <c r="FQ29" s="478"/>
      <c r="FR29" s="478"/>
      <c r="FS29" s="479"/>
      <c r="FT29" s="444"/>
      <c r="FU29" s="444"/>
      <c r="FV29" s="444"/>
      <c r="FW29" s="444"/>
    </row>
    <row r="30" spans="1:188" ht="13.8">
      <c r="A30" s="444"/>
      <c r="B30" s="444"/>
      <c r="C30" s="1374" t="s">
        <v>878</v>
      </c>
      <c r="D30" s="1376"/>
      <c r="E30" s="1376"/>
      <c r="F30" s="1376"/>
      <c r="G30" s="1375"/>
      <c r="H30" s="1376"/>
      <c r="I30" s="1376"/>
      <c r="J30" s="1376"/>
      <c r="K30" s="1375"/>
      <c r="L30" s="1376"/>
      <c r="M30" s="1376"/>
      <c r="N30" s="1376"/>
      <c r="O30" s="1375"/>
      <c r="P30" s="1376"/>
      <c r="Q30" s="1376"/>
      <c r="R30" s="1376"/>
      <c r="S30" s="1376"/>
      <c r="T30" s="1376"/>
      <c r="U30" s="1376"/>
      <c r="V30" s="1376"/>
      <c r="W30" s="1376"/>
      <c r="X30" s="1383"/>
      <c r="Y30" s="1383"/>
      <c r="Z30" s="1377"/>
      <c r="AA30" s="1377"/>
      <c r="AB30" s="1383"/>
      <c r="AC30" s="1383"/>
      <c r="AD30" s="1377"/>
      <c r="AE30" s="1377"/>
      <c r="AF30" s="1377"/>
      <c r="AG30" s="1377"/>
      <c r="AH30" s="1384"/>
      <c r="AI30" s="1377"/>
      <c r="AJ30" s="1377"/>
      <c r="AK30" s="1377"/>
      <c r="AL30" s="1384"/>
      <c r="AM30" s="1377"/>
      <c r="AN30" s="1377"/>
      <c r="AO30" s="1377"/>
      <c r="AP30" s="1384"/>
      <c r="AQ30" s="1377"/>
      <c r="AR30" s="1377"/>
      <c r="AS30" s="1377"/>
      <c r="AT30" s="1384"/>
      <c r="AU30" s="1395"/>
      <c r="AV30" s="1377"/>
      <c r="AW30" s="1377"/>
      <c r="AX30" s="1377"/>
      <c r="AY30" s="1395"/>
      <c r="AZ30" s="1095">
        <f>MODEL!CF555</f>
        <v>9508</v>
      </c>
      <c r="BA30" s="1377">
        <f>MODEL!CG555</f>
        <v>9378</v>
      </c>
      <c r="BB30" s="1384">
        <f>MODEL!CH555</f>
        <v>18886</v>
      </c>
      <c r="BC30" s="1377">
        <f>MODEL!CI555</f>
        <v>0</v>
      </c>
      <c r="BD30" s="1377">
        <f>MODEL!CJ555</f>
        <v>9376</v>
      </c>
      <c r="BE30" s="1377">
        <f>MODEL!CK555</f>
        <v>9335</v>
      </c>
      <c r="BF30" s="1384">
        <f>MODEL!CL555</f>
        <v>18711</v>
      </c>
      <c r="BG30" s="1377">
        <f>MODEL!CM555</f>
        <v>0</v>
      </c>
      <c r="BH30" s="1377">
        <f>MODEL!CN555</f>
        <v>9082</v>
      </c>
      <c r="BI30" s="1377">
        <f>MODEL!CO555</f>
        <v>9092</v>
      </c>
      <c r="BJ30" s="1384">
        <f>MODEL!CP555</f>
        <v>18174</v>
      </c>
      <c r="BK30" s="1377"/>
      <c r="BL30" s="1377">
        <f>MODEL!CR555</f>
        <v>8679</v>
      </c>
      <c r="BM30" s="1377">
        <f>MODEL!CS555</f>
        <v>9581</v>
      </c>
      <c r="BN30" s="1384">
        <f>MODEL!CT555</f>
        <v>18260</v>
      </c>
      <c r="BO30" s="1377"/>
      <c r="BP30" s="1377">
        <f>MODEL!CV555</f>
        <v>10600</v>
      </c>
      <c r="BQ30" s="1377">
        <f>MODEL!CW555</f>
        <v>10330</v>
      </c>
      <c r="BR30" s="1384">
        <f>MODEL!CX555</f>
        <v>20930</v>
      </c>
      <c r="BS30" s="1377"/>
      <c r="BT30" s="1377">
        <f>MODEL!CZ555</f>
        <v>10368</v>
      </c>
      <c r="BU30" s="1377">
        <f>MODEL!DA555</f>
        <v>10462</v>
      </c>
      <c r="BV30" s="1384">
        <f>MODEL!DB555</f>
        <v>20830</v>
      </c>
      <c r="BW30" s="1377"/>
      <c r="BX30" s="1377">
        <f>MODEL!DD555</f>
        <v>10995</v>
      </c>
      <c r="BY30" s="1377">
        <f>MODEL!DE555</f>
        <v>11189</v>
      </c>
      <c r="BZ30" s="1384">
        <f>MODEL!DF555</f>
        <v>22184</v>
      </c>
      <c r="CA30" s="1377"/>
      <c r="CB30" s="1377">
        <f ca="1">MODEL!DH555</f>
        <v>11288.984147560002</v>
      </c>
      <c r="CC30" s="1377">
        <f ca="1">MODEL!DI555</f>
        <v>11374.515751326247</v>
      </c>
      <c r="CD30" s="1384">
        <f ca="1">MODEL!DJ555</f>
        <v>22663.49989888625</v>
      </c>
      <c r="CE30" s="1377"/>
      <c r="CF30" s="1377">
        <f ca="1">MODEL!DL555</f>
        <v>11626.422084593729</v>
      </c>
      <c r="CG30" s="1377">
        <f ca="1">MODEL!DM555</f>
        <v>11798.408556718041</v>
      </c>
      <c r="CH30" s="1384">
        <f ca="1">MODEL!DN555</f>
        <v>23424.830641311772</v>
      </c>
      <c r="CI30" s="1377"/>
      <c r="CJ30" s="1377">
        <f ca="1">MODEL!DP555</f>
        <v>12079.634094440931</v>
      </c>
      <c r="CK30" s="1377">
        <f ca="1">MODEL!DQ555</f>
        <v>12244.903307413953</v>
      </c>
      <c r="CL30" s="1377">
        <f ca="1">MODEL!DR555</f>
        <v>24324.537401854886</v>
      </c>
      <c r="CM30" s="1379"/>
      <c r="CN30" s="1125" t="s">
        <v>20</v>
      </c>
      <c r="CO30" s="1351">
        <v>17.906726355754518</v>
      </c>
      <c r="CP30" s="1351">
        <v>20.611530323740336</v>
      </c>
      <c r="CQ30" s="1351">
        <v>18.8850379765504</v>
      </c>
      <c r="CR30" s="1351"/>
      <c r="CS30" s="1351">
        <v>20.787054063994116</v>
      </c>
      <c r="CT30" s="1351">
        <v>18.851733297010149</v>
      </c>
      <c r="CU30" s="1351">
        <v>19.837582893010392</v>
      </c>
      <c r="CV30" s="1351"/>
      <c r="CW30" s="1351">
        <v>18.985969178194722</v>
      </c>
      <c r="CX30" s="1351">
        <v>17.83377461273928</v>
      </c>
      <c r="CY30" s="1351">
        <v>18.373855383643829</v>
      </c>
      <c r="CZ30" s="1351"/>
      <c r="DA30" s="1126">
        <f>MODEL!BH1526*100</f>
        <v>18.739740943983492</v>
      </c>
      <c r="DB30" s="1126">
        <f>MODEL!BI1526*100</f>
        <v>18.138119040348403</v>
      </c>
      <c r="DC30" s="1126">
        <f>MODEL!BJ1526*100</f>
        <v>18.427706906838651</v>
      </c>
      <c r="DD30" s="1126"/>
      <c r="DE30" s="1126">
        <f>MODEL!BL1526*100</f>
        <v>18.656504081310384</v>
      </c>
      <c r="DF30" s="1126">
        <f>MODEL!BM1526*100</f>
        <v>18.421806765640572</v>
      </c>
      <c r="DG30" s="1126">
        <f>MODEL!BN1526*100</f>
        <v>18.538264009280862</v>
      </c>
      <c r="DH30" s="1126"/>
      <c r="DI30" s="1126">
        <f>MODEL!BP1526*100</f>
        <v>17.451677182450055</v>
      </c>
      <c r="DJ30" s="1126">
        <f>MODEL!BQ1526*100</f>
        <v>15.731773086249165</v>
      </c>
      <c r="DK30" s="1126">
        <f>MODEL!BR1526*100</f>
        <v>16.558894237665459</v>
      </c>
      <c r="DL30" s="1126">
        <f>MODEL!BS1526*100</f>
        <v>0</v>
      </c>
      <c r="DM30" s="1126">
        <f>MODEL!BT1526*100</f>
        <v>11.180660912899757</v>
      </c>
      <c r="DN30" s="1126">
        <f>MODEL!BU1526*100</f>
        <v>12.550999798020602</v>
      </c>
      <c r="DO30" s="1126">
        <f>MODEL!BV1526*100</f>
        <v>11.863715343355745</v>
      </c>
      <c r="DP30" s="1126"/>
      <c r="DQ30" s="1126">
        <f>MODEL!BX1526*100</f>
        <v>13.24599194018046</v>
      </c>
      <c r="DR30" s="1126">
        <f>MODEL!BY1526*100</f>
        <v>13.238262633307601</v>
      </c>
      <c r="DS30" s="1126">
        <f>MODEL!BZ1526*100</f>
        <v>13.242122356899412</v>
      </c>
      <c r="DT30" s="1126"/>
      <c r="DU30" s="1126"/>
      <c r="DV30" s="1126"/>
      <c r="DW30" s="1126">
        <f>MODEL!CD1526*100</f>
        <v>12.057957006236233</v>
      </c>
      <c r="DX30" s="1126"/>
      <c r="DY30" s="1126"/>
      <c r="DZ30" s="1126"/>
      <c r="EA30" s="1126">
        <f>MODEL!CH1526*100</f>
        <v>11.809640280547406</v>
      </c>
      <c r="EB30" s="1126"/>
      <c r="EC30" s="1126"/>
      <c r="ED30" s="1126"/>
      <c r="EE30" s="1126">
        <f>MODEL!CL1526*100</f>
        <v>6.7227792735176521</v>
      </c>
      <c r="EF30" s="1126"/>
      <c r="EG30" s="1126"/>
      <c r="EH30" s="1126"/>
      <c r="EI30" s="1424">
        <f>MODEL!CP1526*100</f>
        <v>10.646146182683266</v>
      </c>
      <c r="EJ30" s="1126"/>
      <c r="EK30" s="1126"/>
      <c r="EL30" s="1126"/>
      <c r="EM30" s="1424">
        <f>MODEL!CT1526*100</f>
        <v>11.0803559660021</v>
      </c>
      <c r="EN30" s="1126"/>
      <c r="EO30" s="1126"/>
      <c r="EP30" s="1126"/>
      <c r="EQ30" s="1424">
        <f>MODEL!CX1526*100</f>
        <v>11.555413531197512</v>
      </c>
      <c r="ER30" s="1126"/>
      <c r="ES30" s="1126"/>
      <c r="ET30" s="1126"/>
      <c r="EU30" s="1126">
        <f>MODEL!DB1526*100</f>
        <v>10.204430012404641</v>
      </c>
      <c r="EV30" s="1126"/>
      <c r="EW30" s="1126"/>
      <c r="EX30" s="1126"/>
      <c r="EY30" s="1602">
        <f>MODEL!DF1526*100</f>
        <v>8.6961748551764551</v>
      </c>
      <c r="EZ30" s="1126"/>
      <c r="FA30" s="1126"/>
      <c r="FB30" s="1126"/>
      <c r="FC30" s="1126">
        <f ca="1">MODEL!DJ1526*100</f>
        <v>10.870985013255156</v>
      </c>
      <c r="FD30" s="1126"/>
      <c r="FE30" s="1126"/>
      <c r="FF30" s="1126"/>
      <c r="FG30" s="1126">
        <f ca="1">MODEL!DN1526*100</f>
        <v>11.068518493202063</v>
      </c>
      <c r="FH30" s="1126"/>
      <c r="FI30" s="1126"/>
      <c r="FJ30" s="1126"/>
      <c r="FK30" s="1126">
        <f ca="1">MODEL!DR1526*100</f>
        <v>11.462390424892289</v>
      </c>
      <c r="FL30" s="485"/>
      <c r="FM30" s="803"/>
      <c r="FN30" s="444"/>
      <c r="FO30" s="481"/>
      <c r="FP30" s="481"/>
      <c r="FQ30" s="481"/>
      <c r="FR30" s="481"/>
      <c r="FS30" s="481"/>
      <c r="FT30" s="444"/>
      <c r="FU30" s="444"/>
      <c r="FV30" s="444"/>
      <c r="FW30" s="444"/>
    </row>
    <row r="31" spans="1:188" ht="13.8">
      <c r="A31" s="444"/>
      <c r="B31" s="444"/>
      <c r="C31" s="1374" t="s">
        <v>789</v>
      </c>
      <c r="D31" s="1376"/>
      <c r="E31" s="1376"/>
      <c r="F31" s="1376"/>
      <c r="G31" s="1375"/>
      <c r="H31" s="1376"/>
      <c r="I31" s="1376"/>
      <c r="J31" s="1376"/>
      <c r="K31" s="1375"/>
      <c r="L31" s="1376"/>
      <c r="M31" s="1376"/>
      <c r="N31" s="1376"/>
      <c r="O31" s="1375"/>
      <c r="P31" s="1376"/>
      <c r="Q31" s="1376"/>
      <c r="R31" s="1376"/>
      <c r="S31" s="1376"/>
      <c r="T31" s="1376"/>
      <c r="U31" s="1376"/>
      <c r="V31" s="1376"/>
      <c r="W31" s="1376"/>
      <c r="X31" s="1383"/>
      <c r="Y31" s="1383"/>
      <c r="Z31" s="1377"/>
      <c r="AA31" s="1377"/>
      <c r="AB31" s="1383"/>
      <c r="AC31" s="1383"/>
      <c r="AD31" s="1377"/>
      <c r="AE31" s="1377"/>
      <c r="AF31" s="1377"/>
      <c r="AG31" s="1377"/>
      <c r="AH31" s="1384"/>
      <c r="AI31" s="1377"/>
      <c r="AJ31" s="1377"/>
      <c r="AK31" s="1377"/>
      <c r="AL31" s="1384"/>
      <c r="AM31" s="1377"/>
      <c r="AN31" s="1377"/>
      <c r="AO31" s="1377"/>
      <c r="AP31" s="1384"/>
      <c r="AQ31" s="1377"/>
      <c r="AR31" s="1377"/>
      <c r="AS31" s="1377"/>
      <c r="AT31" s="1384"/>
      <c r="AU31" s="1395"/>
      <c r="AV31" s="1377"/>
      <c r="AW31" s="1377"/>
      <c r="AX31" s="1377"/>
      <c r="AY31" s="1395"/>
      <c r="AZ31" s="1095">
        <f>MODEL!CF847</f>
        <v>-4240</v>
      </c>
      <c r="BA31" s="1377">
        <f>MODEL!CG847</f>
        <v>-4322</v>
      </c>
      <c r="BB31" s="1384">
        <f>MODEL!CH847</f>
        <v>-8562</v>
      </c>
      <c r="BC31" s="1377">
        <f>MODEL!CI847</f>
        <v>-1.1678150181015923E-4</v>
      </c>
      <c r="BD31" s="1377">
        <f>MODEL!CJ847</f>
        <v>-4361</v>
      </c>
      <c r="BE31" s="1377">
        <f>MODEL!CK847</f>
        <v>-4288</v>
      </c>
      <c r="BF31" s="1384">
        <f>MODEL!CL847</f>
        <v>-8649</v>
      </c>
      <c r="BG31" s="1377">
        <f>MODEL!CM847</f>
        <v>1.0161177295024526E-2</v>
      </c>
      <c r="BH31" s="1377">
        <f>MODEL!CN847</f>
        <v>-4216</v>
      </c>
      <c r="BI31" s="1377">
        <f>MODEL!CO847</f>
        <v>-4454</v>
      </c>
      <c r="BJ31" s="1384">
        <f>MODEL!CP847</f>
        <v>-8670</v>
      </c>
      <c r="BK31" s="1377"/>
      <c r="BL31" s="1377">
        <f>MODEL!CR847</f>
        <v>-4544</v>
      </c>
      <c r="BM31" s="1377">
        <f>MODEL!CS847</f>
        <v>-4626</v>
      </c>
      <c r="BN31" s="1384">
        <f>MODEL!CT847</f>
        <v>-9170</v>
      </c>
      <c r="BO31" s="1377"/>
      <c r="BP31" s="1377">
        <f>MODEL!CV847</f>
        <v>-4844</v>
      </c>
      <c r="BQ31" s="1377">
        <f>MODEL!CW847</f>
        <v>-4874</v>
      </c>
      <c r="BR31" s="1384">
        <f>MODEL!CX847</f>
        <v>-9718</v>
      </c>
      <c r="BS31" s="1377"/>
      <c r="BT31" s="1377">
        <f>MODEL!CZ847</f>
        <v>-5074</v>
      </c>
      <c r="BU31" s="1377">
        <f>MODEL!DA847</f>
        <v>-5526</v>
      </c>
      <c r="BV31" s="1384">
        <f>MODEL!DB847</f>
        <v>-10600</v>
      </c>
      <c r="BW31" s="1377"/>
      <c r="BX31" s="1377">
        <f>MODEL!DD847</f>
        <v>-5742</v>
      </c>
      <c r="BY31" s="1377">
        <f>MODEL!DE847</f>
        <v>-6107</v>
      </c>
      <c r="BZ31" s="1384">
        <f>MODEL!DF847</f>
        <v>-11849</v>
      </c>
      <c r="CA31" s="1377"/>
      <c r="CB31" s="1377">
        <f>MODEL!DH847</f>
        <v>-5800.8062475343522</v>
      </c>
      <c r="CC31" s="1377">
        <f>MODEL!DI847</f>
        <v>-5574.622973129075</v>
      </c>
      <c r="CD31" s="1384">
        <f>MODEL!DJ847</f>
        <v>-11375.429220663427</v>
      </c>
      <c r="CE31" s="1377"/>
      <c r="CF31" s="1377">
        <f>MODEL!DL847</f>
        <v>-5558.5700572482638</v>
      </c>
      <c r="CG31" s="1377">
        <f>MODEL!DM847</f>
        <v>-5699.0026403776892</v>
      </c>
      <c r="CH31" s="1384">
        <f>MODEL!DN847</f>
        <v>-11257.572697625954</v>
      </c>
      <c r="CI31" s="1377"/>
      <c r="CJ31" s="1377">
        <f>MODEL!DP847</f>
        <v>-5690.9196519848028</v>
      </c>
      <c r="CK31" s="1377">
        <f>MODEL!DQ847</f>
        <v>-5623.3690907090013</v>
      </c>
      <c r="CL31" s="1377">
        <f>MODEL!DR847</f>
        <v>-11314.288742693803</v>
      </c>
      <c r="CM31" s="1379"/>
      <c r="CN31" s="1072" t="s">
        <v>1028</v>
      </c>
      <c r="CO31" s="1343">
        <v>2.4516818953123884</v>
      </c>
      <c r="CP31" s="1343">
        <v>2.4970433186508378</v>
      </c>
      <c r="CQ31" s="1343">
        <v>2.4749759263517097</v>
      </c>
      <c r="CR31" s="1343"/>
      <c r="CS31" s="1343">
        <v>2.4712433031556928</v>
      </c>
      <c r="CT31" s="1343">
        <v>2.448755894114214</v>
      </c>
      <c r="CU31" s="1343">
        <v>2.4241938680418804</v>
      </c>
      <c r="CV31" s="1343"/>
      <c r="CW31" s="1343">
        <v>2.3523769463914364</v>
      </c>
      <c r="CX31" s="1343">
        <v>2.2766421201090381</v>
      </c>
      <c r="CY31" s="1343">
        <v>2.313448375332642</v>
      </c>
      <c r="CZ31" s="1343"/>
      <c r="DA31" s="467">
        <f>AB8*100</f>
        <v>2.2482604907496686</v>
      </c>
      <c r="DB31" s="467">
        <f>AC8*100</f>
        <v>2.1873033387705099</v>
      </c>
      <c r="DC31" s="467">
        <f>AD8*100</f>
        <v>2.2199086104018675</v>
      </c>
      <c r="DD31" s="467"/>
      <c r="DE31" s="467">
        <f>AF8*100</f>
        <v>2.1450292275719223</v>
      </c>
      <c r="DF31" s="467">
        <f>AG8*100</f>
        <v>2.12052157638314</v>
      </c>
      <c r="DG31" s="467">
        <f>AH8*100</f>
        <v>2.132467383929137</v>
      </c>
      <c r="DH31" s="467"/>
      <c r="DI31" s="467">
        <f t="shared" ref="DI31:DO31" si="30">AJ8*100</f>
        <v>2.038615582704685</v>
      </c>
      <c r="DJ31" s="467">
        <f t="shared" si="30"/>
        <v>2.0383137446578434</v>
      </c>
      <c r="DK31" s="467">
        <f t="shared" si="30"/>
        <v>2.038576176721234</v>
      </c>
      <c r="DL31" s="467">
        <f t="shared" si="30"/>
        <v>0</v>
      </c>
      <c r="DM31" s="467">
        <f t="shared" si="30"/>
        <v>2.069469985438785</v>
      </c>
      <c r="DN31" s="467">
        <f t="shared" si="30"/>
        <v>2.0614152202937253</v>
      </c>
      <c r="DO31" s="467">
        <f t="shared" si="30"/>
        <v>2.0654456888353732</v>
      </c>
      <c r="DP31" s="467"/>
      <c r="DQ31" s="467">
        <f>AR8*100</f>
        <v>2.0000865346245003</v>
      </c>
      <c r="DR31" s="467">
        <f>AS8*100</f>
        <v>1.9773687967259952</v>
      </c>
      <c r="DS31" s="467">
        <f>AT8*100</f>
        <v>1.9886642793782532</v>
      </c>
      <c r="DT31" s="467"/>
      <c r="DU31" s="467"/>
      <c r="DV31" s="467"/>
      <c r="DW31" s="467">
        <f>AX8*100</f>
        <v>1.8730545475193705</v>
      </c>
      <c r="DX31" s="467"/>
      <c r="DY31" s="467"/>
      <c r="DZ31" s="467"/>
      <c r="EA31" s="467">
        <f>BB8*100</f>
        <v>1.7632396685271741</v>
      </c>
      <c r="EB31" s="467"/>
      <c r="EC31" s="467"/>
      <c r="ED31" s="467"/>
      <c r="EE31" s="467">
        <f>BF8*100</f>
        <v>1.6281484606238166</v>
      </c>
      <c r="EF31" s="467"/>
      <c r="EG31" s="467"/>
      <c r="EH31" s="467"/>
      <c r="EI31" s="1380">
        <f>BJ8*100</f>
        <v>1.6395910111370851</v>
      </c>
      <c r="EJ31" s="467"/>
      <c r="EK31" s="467"/>
      <c r="EL31" s="467"/>
      <c r="EM31" s="1380">
        <f>BN8*100</f>
        <v>1.6344390392918091</v>
      </c>
      <c r="EN31" s="467"/>
      <c r="EO31" s="467"/>
      <c r="EP31" s="467"/>
      <c r="EQ31" s="1380">
        <f>BR8*100</f>
        <v>1.6997597117771996</v>
      </c>
      <c r="ER31" s="467"/>
      <c r="ES31" s="467"/>
      <c r="ET31" s="467"/>
      <c r="EU31" s="467">
        <f>BV8*100</f>
        <v>1.5698269663623858</v>
      </c>
      <c r="EV31" s="467"/>
      <c r="EW31" s="467"/>
      <c r="EX31" s="467"/>
      <c r="EY31" s="1592">
        <f>BZ8*100</f>
        <v>1.5487786370127137</v>
      </c>
      <c r="EZ31" s="467"/>
      <c r="FA31" s="467"/>
      <c r="FB31" s="467"/>
      <c r="FC31" s="467">
        <f ca="1">CD8*100</f>
        <v>1.5453664481681915</v>
      </c>
      <c r="FD31" s="467"/>
      <c r="FE31" s="467"/>
      <c r="FF31" s="467"/>
      <c r="FG31" s="467">
        <f ca="1">CH8*100</f>
        <v>1.5350070568405902</v>
      </c>
      <c r="FH31" s="467"/>
      <c r="FI31" s="467"/>
      <c r="FJ31" s="467"/>
      <c r="FK31" s="467">
        <f ca="1">CL8*100</f>
        <v>1.5299304220094794</v>
      </c>
      <c r="FL31" s="572"/>
      <c r="FM31" s="803"/>
      <c r="FN31" s="463"/>
      <c r="FO31" s="478"/>
      <c r="FP31" s="478"/>
      <c r="FQ31" s="478"/>
      <c r="FR31" s="478"/>
      <c r="FS31" s="479"/>
      <c r="FT31" s="444"/>
      <c r="FU31" s="444"/>
      <c r="FV31" s="444"/>
      <c r="FW31" s="444"/>
    </row>
    <row r="32" spans="1:188" ht="13.8">
      <c r="A32" s="444"/>
      <c r="B32" s="444"/>
      <c r="C32" s="1356" t="s">
        <v>974</v>
      </c>
      <c r="D32" s="1357"/>
      <c r="E32" s="1357"/>
      <c r="F32" s="1357"/>
      <c r="G32" s="1358"/>
      <c r="H32" s="1357"/>
      <c r="I32" s="1357"/>
      <c r="J32" s="1357"/>
      <c r="K32" s="1358"/>
      <c r="L32" s="1357"/>
      <c r="M32" s="1357"/>
      <c r="N32" s="1357"/>
      <c r="O32" s="1358"/>
      <c r="P32" s="1357"/>
      <c r="Q32" s="1357"/>
      <c r="R32" s="1357"/>
      <c r="S32" s="1357"/>
      <c r="T32" s="1357"/>
      <c r="U32" s="1357"/>
      <c r="V32" s="1357"/>
      <c r="W32" s="1357"/>
      <c r="X32" s="1359"/>
      <c r="Y32" s="1359"/>
      <c r="Z32" s="1087"/>
      <c r="AA32" s="1087"/>
      <c r="AB32" s="1359"/>
      <c r="AC32" s="1359"/>
      <c r="AD32" s="1087"/>
      <c r="AE32" s="1087"/>
      <c r="AF32" s="1087"/>
      <c r="AG32" s="1087"/>
      <c r="AH32" s="1360"/>
      <c r="AI32" s="1087"/>
      <c r="AJ32" s="1087"/>
      <c r="AK32" s="1087"/>
      <c r="AL32" s="1360"/>
      <c r="AM32" s="1087"/>
      <c r="AN32" s="1087"/>
      <c r="AO32" s="1087"/>
      <c r="AP32" s="1360"/>
      <c r="AQ32" s="1087"/>
      <c r="AR32" s="1087"/>
      <c r="AS32" s="1087"/>
      <c r="AT32" s="1360"/>
      <c r="AU32" s="1360"/>
      <c r="AV32" s="1087"/>
      <c r="AW32" s="1087"/>
      <c r="AX32" s="1087"/>
      <c r="AY32" s="1360"/>
      <c r="AZ32" s="1088">
        <f t="shared" ref="AZ32:BJ32" si="31">AZ30+AZ31</f>
        <v>5268</v>
      </c>
      <c r="BA32" s="1087">
        <f t="shared" si="31"/>
        <v>5056</v>
      </c>
      <c r="BB32" s="1360">
        <f t="shared" si="31"/>
        <v>10324</v>
      </c>
      <c r="BC32" s="1087">
        <f t="shared" si="31"/>
        <v>-1.1678150181015923E-4</v>
      </c>
      <c r="BD32" s="1087">
        <f t="shared" si="31"/>
        <v>5015</v>
      </c>
      <c r="BE32" s="1087">
        <f t="shared" si="31"/>
        <v>5047</v>
      </c>
      <c r="BF32" s="1360">
        <f t="shared" si="31"/>
        <v>10062</v>
      </c>
      <c r="BG32" s="1087">
        <f t="shared" si="31"/>
        <v>1.0161177295024526E-2</v>
      </c>
      <c r="BH32" s="1087">
        <f t="shared" si="31"/>
        <v>4866</v>
      </c>
      <c r="BI32" s="1087">
        <f t="shared" si="31"/>
        <v>4638</v>
      </c>
      <c r="BJ32" s="1360">
        <f t="shared" si="31"/>
        <v>9504</v>
      </c>
      <c r="BK32" s="1087"/>
      <c r="BL32" s="1087">
        <f>BL30+BL31</f>
        <v>4135</v>
      </c>
      <c r="BM32" s="1087">
        <f>BM30+BM31</f>
        <v>4955</v>
      </c>
      <c r="BN32" s="1360">
        <f>BN30+BN31</f>
        <v>9090</v>
      </c>
      <c r="BO32" s="1087"/>
      <c r="BP32" s="1087">
        <f>BP30+BP31</f>
        <v>5756</v>
      </c>
      <c r="BQ32" s="1087">
        <f>BQ30+BQ31</f>
        <v>5456</v>
      </c>
      <c r="BR32" s="1360">
        <f>BR30+BR31</f>
        <v>11212</v>
      </c>
      <c r="BS32" s="1087"/>
      <c r="BT32" s="1087">
        <f>BT30+BT31</f>
        <v>5294</v>
      </c>
      <c r="BU32" s="1087">
        <f>BU30+BU31</f>
        <v>4936</v>
      </c>
      <c r="BV32" s="1360">
        <f>BV30+BV31</f>
        <v>10230</v>
      </c>
      <c r="BW32" s="1087"/>
      <c r="BX32" s="1087">
        <f>BX30+BX31</f>
        <v>5253</v>
      </c>
      <c r="BY32" s="1087">
        <f>BY30+BY31</f>
        <v>5082</v>
      </c>
      <c r="BZ32" s="1360">
        <f>BZ30+BZ31</f>
        <v>10335</v>
      </c>
      <c r="CA32" s="1087"/>
      <c r="CB32" s="1087">
        <f ca="1">CB30+CB31</f>
        <v>5488.1779000256502</v>
      </c>
      <c r="CC32" s="1087">
        <f ca="1">CC30+CC31</f>
        <v>5799.8927781971724</v>
      </c>
      <c r="CD32" s="1360">
        <f ca="1">CD30+CD31</f>
        <v>11288.070678222823</v>
      </c>
      <c r="CE32" s="1087"/>
      <c r="CF32" s="1087">
        <f ca="1">CF30+CF31</f>
        <v>6067.8520273454651</v>
      </c>
      <c r="CG32" s="1087">
        <f ca="1">CG30+CG31</f>
        <v>6099.4059163403517</v>
      </c>
      <c r="CH32" s="1360">
        <f ca="1">CH30+CH31</f>
        <v>12167.257943685818</v>
      </c>
      <c r="CI32" s="1087"/>
      <c r="CJ32" s="1087">
        <f ca="1">CJ30+CJ31</f>
        <v>6388.7144424561284</v>
      </c>
      <c r="CK32" s="1087">
        <f ca="1">CK30+CK31</f>
        <v>6621.5342167049521</v>
      </c>
      <c r="CL32" s="1087">
        <f ca="1">CL30+CL31</f>
        <v>13010.248659161083</v>
      </c>
      <c r="CM32" s="1379"/>
      <c r="CN32" s="1072" t="s">
        <v>783</v>
      </c>
      <c r="CO32" s="1343">
        <v>31.503267973856207</v>
      </c>
      <c r="CP32" s="1343">
        <v>31.733333333333334</v>
      </c>
      <c r="CQ32" s="1343">
        <v>31.622641509433961</v>
      </c>
      <c r="CR32" s="1343"/>
      <c r="CS32" s="1343">
        <v>33.568406205923836</v>
      </c>
      <c r="CT32" s="1343">
        <v>30.189805419601289</v>
      </c>
      <c r="CU32" s="1343">
        <v>31.892212022505184</v>
      </c>
      <c r="CV32" s="1343"/>
      <c r="CW32" s="1343">
        <v>31.376146788990827</v>
      </c>
      <c r="CX32" s="1343">
        <v>32.887817703768626</v>
      </c>
      <c r="CY32" s="1343">
        <v>32.149260421335725</v>
      </c>
      <c r="CZ32" s="1343"/>
      <c r="DA32" s="464">
        <f>AB14/AB17*100</f>
        <v>24.879014518257808</v>
      </c>
      <c r="DB32" s="464">
        <f>AC14/AC17*100</f>
        <v>23.023981073233681</v>
      </c>
      <c r="DC32" s="464">
        <f>AD14/AD17*100</f>
        <v>23.94105812625741</v>
      </c>
      <c r="DD32" s="464"/>
      <c r="DE32" s="464">
        <f>AF14/AF17*100</f>
        <v>23.655357881671492</v>
      </c>
      <c r="DF32" s="464">
        <f>AG14/AG17*100</f>
        <v>22.310797174571139</v>
      </c>
      <c r="DG32" s="464">
        <f>AH14/AH17*100</f>
        <v>22.974767596281538</v>
      </c>
      <c r="DH32" s="464"/>
      <c r="DI32" s="464">
        <f>AJ14/AJ17*100</f>
        <v>22.805296714075528</v>
      </c>
      <c r="DJ32" s="464">
        <f>AK14/AK17*100</f>
        <v>20.228195706826533</v>
      </c>
      <c r="DK32" s="464">
        <f>AL14/AL17*100</f>
        <v>21.507523007255198</v>
      </c>
      <c r="DL32" s="464"/>
      <c r="DM32" s="464">
        <f>AN14/AN17*100</f>
        <v>19.234866828087167</v>
      </c>
      <c r="DN32" s="464">
        <f>AO14/AO17*100</f>
        <v>19.427402862985684</v>
      </c>
      <c r="DO32" s="464">
        <f>AP14/AP17*100</f>
        <v>19.330873069826161</v>
      </c>
      <c r="DP32" s="464"/>
      <c r="DQ32" s="464">
        <f>AR14/AR17*100</f>
        <v>22.173215717722535</v>
      </c>
      <c r="DR32" s="464">
        <f>AS14/AS17*100</f>
        <v>20.945121951219512</v>
      </c>
      <c r="DS32" s="464">
        <f>AT14/AT17*100</f>
        <v>21.563383124747677</v>
      </c>
      <c r="DT32" s="464"/>
      <c r="DU32" s="464"/>
      <c r="DV32" s="464"/>
      <c r="DW32" s="464">
        <f>AX14/AX17*100</f>
        <v>23.751742655031755</v>
      </c>
      <c r="DX32" s="464"/>
      <c r="DY32" s="464"/>
      <c r="DZ32" s="464"/>
      <c r="EA32" s="464">
        <f>BB14/BB17*100</f>
        <v>24.021230753061118</v>
      </c>
      <c r="EB32" s="464"/>
      <c r="EC32" s="464"/>
      <c r="ED32" s="464"/>
      <c r="EE32" s="464">
        <f>BF14/BF17*100</f>
        <v>20.4202343397927</v>
      </c>
      <c r="EF32" s="464"/>
      <c r="EG32" s="464"/>
      <c r="EH32" s="464"/>
      <c r="EI32" s="1370">
        <f>BJ14/BJ17*100</f>
        <v>18.203702642288071</v>
      </c>
      <c r="EJ32" s="464"/>
      <c r="EK32" s="464"/>
      <c r="EL32" s="464"/>
      <c r="EM32" s="1370">
        <f>BN14/BN17*100</f>
        <v>19.048902787512805</v>
      </c>
      <c r="EN32" s="464"/>
      <c r="EO32" s="464"/>
      <c r="EP32" s="464"/>
      <c r="EQ32" s="1370">
        <f>BR14/BR17*100</f>
        <v>20.200908873475246</v>
      </c>
      <c r="ER32" s="464"/>
      <c r="ES32" s="464"/>
      <c r="ET32" s="464"/>
      <c r="EU32" s="464">
        <f>BV14/BV17*100</f>
        <v>22.192320630496422</v>
      </c>
      <c r="EV32" s="464"/>
      <c r="EW32" s="464"/>
      <c r="EX32" s="464"/>
      <c r="EY32" s="1590">
        <f>BZ14/BZ17*100</f>
        <v>17.548746518105848</v>
      </c>
      <c r="EZ32" s="464"/>
      <c r="FA32" s="464"/>
      <c r="FB32" s="464"/>
      <c r="FC32" s="464">
        <f ca="1">CD14/CD17*100</f>
        <v>17.972393770479233</v>
      </c>
      <c r="FD32" s="464"/>
      <c r="FE32" s="464"/>
      <c r="FF32" s="464"/>
      <c r="FG32" s="464">
        <f ca="1">CH14/CH17*100</f>
        <v>17.922597671094611</v>
      </c>
      <c r="FH32" s="464"/>
      <c r="FI32" s="464"/>
      <c r="FJ32" s="464"/>
      <c r="FK32" s="464">
        <f ca="1">CL14/CL17*100</f>
        <v>17.704162556791264</v>
      </c>
      <c r="FL32" s="572"/>
      <c r="FM32" s="883"/>
      <c r="FN32" s="444"/>
      <c r="FO32" s="481"/>
      <c r="FP32" s="481"/>
      <c r="FQ32" s="481"/>
      <c r="FR32" s="481"/>
      <c r="FS32" s="481"/>
      <c r="FT32" s="444"/>
      <c r="FU32" s="444"/>
      <c r="FV32" s="444"/>
      <c r="FW32" s="444"/>
    </row>
    <row r="33" spans="1:179" ht="13.8">
      <c r="A33" s="444"/>
      <c r="B33" s="444"/>
      <c r="C33" s="1374" t="s">
        <v>1057</v>
      </c>
      <c r="D33" s="1376"/>
      <c r="E33" s="1376"/>
      <c r="F33" s="1376"/>
      <c r="G33" s="1400"/>
      <c r="H33" s="1376">
        <v>-681</v>
      </c>
      <c r="I33" s="1376">
        <v>-1267</v>
      </c>
      <c r="J33" s="1376">
        <v>-1948</v>
      </c>
      <c r="K33" s="1400"/>
      <c r="L33" s="1376">
        <v>-1373</v>
      </c>
      <c r="M33" s="1376">
        <v>-1632</v>
      </c>
      <c r="N33" s="1376">
        <v>-3005</v>
      </c>
      <c r="O33" s="1400"/>
      <c r="P33" s="1376">
        <v>-1082</v>
      </c>
      <c r="Q33" s="1376">
        <v>-705</v>
      </c>
      <c r="R33" s="1376">
        <v>-1787</v>
      </c>
      <c r="S33" s="1376"/>
      <c r="T33" s="1376">
        <v>-660</v>
      </c>
      <c r="U33" s="1376">
        <v>-560</v>
      </c>
      <c r="V33" s="1376">
        <v>-1220</v>
      </c>
      <c r="W33" s="1376"/>
      <c r="X33" s="1383">
        <f>MODEL!BD66</f>
        <v>0</v>
      </c>
      <c r="Y33" s="1383">
        <f>MODEL!BE66</f>
        <v>0</v>
      </c>
      <c r="Z33" s="1377">
        <f>MODEL!BF66</f>
        <v>0</v>
      </c>
      <c r="AA33" s="1377"/>
      <c r="AB33" s="1383">
        <f>MODEL!BH66</f>
        <v>0</v>
      </c>
      <c r="AC33" s="1383">
        <f>MODEL!BI66</f>
        <v>0</v>
      </c>
      <c r="AD33" s="1377">
        <f>MODEL!BJ66</f>
        <v>0</v>
      </c>
      <c r="AE33" s="1377">
        <f>MODEL!BK66</f>
        <v>0</v>
      </c>
      <c r="AF33" s="1377">
        <f>MODEL!BL66</f>
        <v>0</v>
      </c>
      <c r="AG33" s="1377">
        <f>MODEL!BM66</f>
        <v>0</v>
      </c>
      <c r="AH33" s="1384">
        <f>MODEL!BN66</f>
        <v>0</v>
      </c>
      <c r="AI33" s="1377"/>
      <c r="AJ33" s="1377">
        <f>MODEL!BP66</f>
        <v>0</v>
      </c>
      <c r="AK33" s="1377">
        <f>MODEL!BQ66</f>
        <v>0</v>
      </c>
      <c r="AL33" s="1384">
        <f>MODEL!BR66</f>
        <v>0</v>
      </c>
      <c r="AM33" s="1377"/>
      <c r="AN33" s="1377">
        <f>MODEL!BT66</f>
        <v>0</v>
      </c>
      <c r="AO33" s="1377">
        <f>MODEL!BU66</f>
        <v>0</v>
      </c>
      <c r="AP33" s="1384">
        <f>MODEL!BV66</f>
        <v>0</v>
      </c>
      <c r="AQ33" s="1377"/>
      <c r="AR33" s="1377">
        <f>MODEL!BX66</f>
        <v>0</v>
      </c>
      <c r="AS33" s="1377">
        <f>MODEL!BY66</f>
        <v>0</v>
      </c>
      <c r="AT33" s="1384">
        <f>MODEL!BZ66</f>
        <v>0</v>
      </c>
      <c r="AU33" s="1360"/>
      <c r="AV33" s="1377">
        <f>MODEL!CB66</f>
        <v>-408</v>
      </c>
      <c r="AW33" s="1377">
        <f>MODEL!CC66</f>
        <v>-252</v>
      </c>
      <c r="AX33" s="1377">
        <f>MODEL!CD66</f>
        <v>-660</v>
      </c>
      <c r="AY33" s="1360"/>
      <c r="AZ33" s="1095">
        <f>MODEL!CF66</f>
        <v>-394</v>
      </c>
      <c r="BA33" s="1377">
        <f>MODEL!CG66</f>
        <v>-400</v>
      </c>
      <c r="BB33" s="1384">
        <f>MODEL!CH66</f>
        <v>-794</v>
      </c>
      <c r="BC33" s="1377"/>
      <c r="BD33" s="1377">
        <f>MODEL!CJ66</f>
        <v>-1654</v>
      </c>
      <c r="BE33" s="1377">
        <f>MODEL!CK66</f>
        <v>-1061</v>
      </c>
      <c r="BF33" s="1384">
        <f>MODEL!CL66</f>
        <v>-2715</v>
      </c>
      <c r="BG33" s="1377"/>
      <c r="BH33" s="1377">
        <f>MODEL!CN66</f>
        <v>491</v>
      </c>
      <c r="BI33" s="1377">
        <f>MODEL!CO66</f>
        <v>76</v>
      </c>
      <c r="BJ33" s="1384">
        <f>MODEL!CP66</f>
        <v>567</v>
      </c>
      <c r="BK33" s="1377"/>
      <c r="BL33" s="1377">
        <f>MODEL!CR66</f>
        <v>288</v>
      </c>
      <c r="BM33" s="1377">
        <f>MODEL!CS66</f>
        <v>-52</v>
      </c>
      <c r="BN33" s="1384">
        <f>MODEL!CT66</f>
        <v>236</v>
      </c>
      <c r="BO33" s="1377"/>
      <c r="BP33" s="1377">
        <f>MODEL!CV66</f>
        <v>-133</v>
      </c>
      <c r="BQ33" s="1377">
        <f>MODEL!CW66</f>
        <v>-112</v>
      </c>
      <c r="BR33" s="1384">
        <f>MODEL!CX66</f>
        <v>-245</v>
      </c>
      <c r="BS33" s="1377"/>
      <c r="BT33" s="1377">
        <f>MODEL!CZ66</f>
        <v>-70</v>
      </c>
      <c r="BU33" s="1377">
        <f>MODEL!DA66</f>
        <v>-336</v>
      </c>
      <c r="BV33" s="1384">
        <f>MODEL!DB66</f>
        <v>-406</v>
      </c>
      <c r="BW33" s="1377"/>
      <c r="BX33" s="1377">
        <f>MODEL!DD66</f>
        <v>-145</v>
      </c>
      <c r="BY33" s="1377">
        <f>MODEL!DE66</f>
        <v>-296</v>
      </c>
      <c r="BZ33" s="1384">
        <f>MODEL!DF66</f>
        <v>-441</v>
      </c>
      <c r="CA33" s="1377"/>
      <c r="CB33" s="1377">
        <f>MODEL!DH66</f>
        <v>-209.3784177127927</v>
      </c>
      <c r="CC33" s="1377">
        <f>MODEL!DI66</f>
        <v>-344.16098380079086</v>
      </c>
      <c r="CD33" s="1384">
        <f>MODEL!DJ66</f>
        <v>-553.53940151358358</v>
      </c>
      <c r="CE33" s="1377"/>
      <c r="CF33" s="1377">
        <f>MODEL!DL66</f>
        <v>-393.64249455575055</v>
      </c>
      <c r="CG33" s="1377">
        <f>MODEL!DM66</f>
        <v>-405.40625259113426</v>
      </c>
      <c r="CH33" s="1384">
        <f>MODEL!DN66</f>
        <v>-799.04874714688481</v>
      </c>
      <c r="CI33" s="1377"/>
      <c r="CJ33" s="1377">
        <f>MODEL!DP66</f>
        <v>-458.2648637195523</v>
      </c>
      <c r="CK33" s="1377">
        <f>MODEL!DQ66</f>
        <v>-468.19535307126404</v>
      </c>
      <c r="CL33" s="1377">
        <f>MODEL!DR66</f>
        <v>-926.46021679081628</v>
      </c>
      <c r="CM33" s="1379"/>
      <c r="CN33" s="1711" t="s">
        <v>733</v>
      </c>
      <c r="CO33" s="1456">
        <v>42.562091503267972</v>
      </c>
      <c r="CP33" s="1456">
        <v>45.2</v>
      </c>
      <c r="CQ33" s="1456">
        <v>43.930817610062896</v>
      </c>
      <c r="CR33" s="1456"/>
      <c r="CS33" s="1456">
        <v>47.320169252468261</v>
      </c>
      <c r="CT33" s="1456">
        <v>47.713978751342964</v>
      </c>
      <c r="CU33" s="1456">
        <v>47.515546342907903</v>
      </c>
      <c r="CV33" s="1456"/>
      <c r="CW33" s="1456">
        <v>47.396788990825691</v>
      </c>
      <c r="CX33" s="1456">
        <v>48.049956178790538</v>
      </c>
      <c r="CY33" s="1456">
        <v>47.730838189152848</v>
      </c>
      <c r="CZ33" s="1456"/>
      <c r="DA33" s="462">
        <f>-AB18/AB17*100</f>
        <v>44.478662560492744</v>
      </c>
      <c r="DB33" s="462">
        <f>-AC18/AC17*100</f>
        <v>45.305946876008171</v>
      </c>
      <c r="DC33" s="462">
        <f>-AD18/AD17*100</f>
        <v>44.896960469795012</v>
      </c>
      <c r="DD33" s="462"/>
      <c r="DE33" s="462">
        <f>-AF18/AF17*100</f>
        <v>44.331816301199837</v>
      </c>
      <c r="DF33" s="462">
        <f>-AG18/AG17*100</f>
        <v>45.146316851664984</v>
      </c>
      <c r="DG33" s="462">
        <f>-AH18/AH17*100</f>
        <v>44.744100520992951</v>
      </c>
      <c r="DH33" s="462"/>
      <c r="DI33" s="462">
        <f>-AJ18/AJ17*100</f>
        <v>45.149583128984794</v>
      </c>
      <c r="DJ33" s="462">
        <f>-AK18/AK17*100</f>
        <v>46.170953393927675</v>
      </c>
      <c r="DK33" s="462">
        <f>-AL18/AL17*100</f>
        <v>45.663923649997571</v>
      </c>
      <c r="DL33" s="462"/>
      <c r="DM33" s="462">
        <f>-AN18/AN17*100</f>
        <v>53.152542372881349</v>
      </c>
      <c r="DN33" s="462">
        <f>-AO18/AO17*100</f>
        <v>48.213068458467234</v>
      </c>
      <c r="DO33" s="462">
        <f>-AP18/AP17*100</f>
        <v>50.68952121977275</v>
      </c>
      <c r="DP33" s="462"/>
      <c r="DQ33" s="462">
        <f>-AR18/AR17*100</f>
        <v>44.977947072975141</v>
      </c>
      <c r="DR33" s="462">
        <f>-AS18/AS17*100</f>
        <v>45.528455284552841</v>
      </c>
      <c r="DS33" s="462">
        <f>-AT18/AT17*100</f>
        <v>45.251312071053697</v>
      </c>
      <c r="DT33" s="462"/>
      <c r="DU33" s="462"/>
      <c r="DV33" s="462"/>
      <c r="DW33" s="462">
        <f>-AX18/AX17*100</f>
        <v>48.541333195642075</v>
      </c>
      <c r="DX33" s="462"/>
      <c r="DY33" s="462"/>
      <c r="DZ33" s="462"/>
      <c r="EA33" s="462">
        <f>-BB18/BB17*100</f>
        <v>47.669346786483793</v>
      </c>
      <c r="EB33" s="462"/>
      <c r="EC33" s="462"/>
      <c r="ED33" s="462"/>
      <c r="EE33" s="462">
        <f>-BF18/BF17*100</f>
        <v>52.856016223524108</v>
      </c>
      <c r="EF33" s="462"/>
      <c r="EG33" s="462"/>
      <c r="EH33" s="462"/>
      <c r="EI33" s="1362">
        <f>-BJ18/BJ17*100</f>
        <v>51.877113543875744</v>
      </c>
      <c r="EJ33" s="462"/>
      <c r="EK33" s="462"/>
      <c r="EL33" s="462"/>
      <c r="EM33" s="1362">
        <f>-BN18/BN17*100</f>
        <v>51.647166657680486</v>
      </c>
      <c r="EN33" s="462"/>
      <c r="EO33" s="462"/>
      <c r="EP33" s="462"/>
      <c r="EQ33" s="1362">
        <f>-BR18/BR17*100</f>
        <v>48.50035876584549</v>
      </c>
      <c r="ER33" s="462"/>
      <c r="ES33" s="462"/>
      <c r="ET33" s="462"/>
      <c r="EU33" s="462">
        <f>-BV18/BV17*100</f>
        <v>51.61708875967129</v>
      </c>
      <c r="EV33" s="462"/>
      <c r="EW33" s="462"/>
      <c r="EX33" s="462"/>
      <c r="EY33" s="1589">
        <f>-BZ18/BZ17*100</f>
        <v>58.815471026074249</v>
      </c>
      <c r="EZ33" s="462"/>
      <c r="FA33" s="462"/>
      <c r="FB33" s="462"/>
      <c r="FC33" s="462">
        <f ca="1">-CD18/CD17*100</f>
        <v>50.192729593466048</v>
      </c>
      <c r="FD33" s="462"/>
      <c r="FE33" s="462"/>
      <c r="FF33" s="462"/>
      <c r="FG33" s="462">
        <f ca="1">-CH18/CH17*100</f>
        <v>48.058288531538942</v>
      </c>
      <c r="FH33" s="462"/>
      <c r="FI33" s="462"/>
      <c r="FJ33" s="462"/>
      <c r="FK33" s="462">
        <f ca="1">-CL18/CL17*100</f>
        <v>46.513890709514676</v>
      </c>
      <c r="FL33" s="444"/>
      <c r="FM33" s="1227"/>
      <c r="FN33" s="463"/>
      <c r="FO33" s="478"/>
      <c r="FP33" s="478"/>
      <c r="FQ33" s="478"/>
      <c r="FR33" s="478"/>
      <c r="FS33" s="479"/>
      <c r="FT33" s="444"/>
      <c r="FU33" s="444"/>
      <c r="FV33" s="444"/>
      <c r="FW33" s="444"/>
    </row>
    <row r="34" spans="1:179" ht="13.8">
      <c r="A34" s="463"/>
      <c r="B34" s="444"/>
      <c r="C34" s="1356" t="s">
        <v>1109</v>
      </c>
      <c r="D34" s="1357"/>
      <c r="E34" s="1357"/>
      <c r="F34" s="1357"/>
      <c r="G34" s="1425"/>
      <c r="H34" s="1357">
        <v>-681</v>
      </c>
      <c r="I34" s="1357">
        <v>-1267</v>
      </c>
      <c r="J34" s="1357">
        <v>-1948</v>
      </c>
      <c r="K34" s="1425"/>
      <c r="L34" s="1357">
        <v>-1373</v>
      </c>
      <c r="M34" s="1357">
        <v>-1632</v>
      </c>
      <c r="N34" s="1357">
        <v>-3005</v>
      </c>
      <c r="O34" s="1425"/>
      <c r="P34" s="1357">
        <v>-1082</v>
      </c>
      <c r="Q34" s="1357">
        <v>-705</v>
      </c>
      <c r="R34" s="1357">
        <v>-1787</v>
      </c>
      <c r="S34" s="1357"/>
      <c r="T34" s="1357">
        <v>-660</v>
      </c>
      <c r="U34" s="1357">
        <v>-560</v>
      </c>
      <c r="V34" s="1357">
        <v>-1220</v>
      </c>
      <c r="W34" s="1357"/>
      <c r="X34" s="1359">
        <f>MODEL!BD67</f>
        <v>0</v>
      </c>
      <c r="Y34" s="1359">
        <f>MODEL!BE67</f>
        <v>0</v>
      </c>
      <c r="Z34" s="1087">
        <f>MODEL!BF67</f>
        <v>0</v>
      </c>
      <c r="AA34" s="1087"/>
      <c r="AB34" s="1359">
        <f>MODEL!BH67</f>
        <v>0</v>
      </c>
      <c r="AC34" s="1359">
        <f>MODEL!BI67</f>
        <v>0</v>
      </c>
      <c r="AD34" s="1087">
        <f>MODEL!BJ67</f>
        <v>0</v>
      </c>
      <c r="AE34" s="1087">
        <f>MODEL!BK67</f>
        <v>0</v>
      </c>
      <c r="AF34" s="1087">
        <f>MODEL!BL67</f>
        <v>0</v>
      </c>
      <c r="AG34" s="1087">
        <f>MODEL!BM67</f>
        <v>0</v>
      </c>
      <c r="AH34" s="1360">
        <f>MODEL!BN67</f>
        <v>0</v>
      </c>
      <c r="AI34" s="1087"/>
      <c r="AJ34" s="1087">
        <f>MODEL!BP67</f>
        <v>0</v>
      </c>
      <c r="AK34" s="1087">
        <f>MODEL!BQ67</f>
        <v>0</v>
      </c>
      <c r="AL34" s="1360">
        <f>MODEL!BR67</f>
        <v>0</v>
      </c>
      <c r="AM34" s="1087"/>
      <c r="AN34" s="1087">
        <f>MODEL!BT67</f>
        <v>0</v>
      </c>
      <c r="AO34" s="1087">
        <f>MODEL!BU67</f>
        <v>0</v>
      </c>
      <c r="AP34" s="1360">
        <f>MODEL!BV67</f>
        <v>0</v>
      </c>
      <c r="AQ34" s="1087"/>
      <c r="AR34" s="1087">
        <f>MODEL!BX67</f>
        <v>0</v>
      </c>
      <c r="AS34" s="1087">
        <f>MODEL!BY67</f>
        <v>0</v>
      </c>
      <c r="AT34" s="1360">
        <f>MODEL!BZ67</f>
        <v>0</v>
      </c>
      <c r="AU34" s="1360"/>
      <c r="AV34" s="1087">
        <f>MODEL!CB67</f>
        <v>4772</v>
      </c>
      <c r="AW34" s="1087">
        <f>MODEL!CC67</f>
        <v>4985</v>
      </c>
      <c r="AX34" s="1087">
        <f>MODEL!CD67</f>
        <v>9757</v>
      </c>
      <c r="AY34" s="1360"/>
      <c r="AZ34" s="1088">
        <f>MODEL!CF67</f>
        <v>4874</v>
      </c>
      <c r="BA34" s="1087">
        <f>MODEL!CG67</f>
        <v>4656</v>
      </c>
      <c r="BB34" s="1360">
        <f>MODEL!CH67</f>
        <v>9530</v>
      </c>
      <c r="BC34" s="1087"/>
      <c r="BD34" s="1087">
        <f>MODEL!CJ67</f>
        <v>3361</v>
      </c>
      <c r="BE34" s="1087">
        <f>MODEL!CK67</f>
        <v>3986</v>
      </c>
      <c r="BF34" s="1360">
        <f>MODEL!CL67</f>
        <v>7347</v>
      </c>
      <c r="BG34" s="1087"/>
      <c r="BH34" s="1087">
        <f>MODEL!CN67</f>
        <v>5357</v>
      </c>
      <c r="BI34" s="1087">
        <f>MODEL!CO67</f>
        <v>4714</v>
      </c>
      <c r="BJ34" s="1360">
        <f>MODEL!CP67</f>
        <v>10071</v>
      </c>
      <c r="BK34" s="1087"/>
      <c r="BL34" s="1087">
        <f>MODEL!CR67</f>
        <v>4423</v>
      </c>
      <c r="BM34" s="1087">
        <f>MODEL!CS67</f>
        <v>4903</v>
      </c>
      <c r="BN34" s="1360">
        <f>MODEL!CT67</f>
        <v>9326</v>
      </c>
      <c r="BO34" s="1087"/>
      <c r="BP34" s="1087">
        <f>MODEL!CV67</f>
        <v>5623</v>
      </c>
      <c r="BQ34" s="1087">
        <f>MODEL!CW67</f>
        <v>5344</v>
      </c>
      <c r="BR34" s="1360">
        <f>MODEL!CX67</f>
        <v>10967</v>
      </c>
      <c r="BS34" s="1087"/>
      <c r="BT34" s="1087">
        <f>MODEL!CZ67</f>
        <v>5224</v>
      </c>
      <c r="BU34" s="1087">
        <f>MODEL!DA67</f>
        <v>4600</v>
      </c>
      <c r="BV34" s="1360">
        <f>MODEL!DB67</f>
        <v>9824</v>
      </c>
      <c r="BW34" s="1087"/>
      <c r="BX34" s="1087">
        <f>MODEL!DD67</f>
        <v>5108</v>
      </c>
      <c r="BY34" s="1087">
        <f>MODEL!DE67</f>
        <v>4786</v>
      </c>
      <c r="BZ34" s="1360">
        <f>MODEL!DF67</f>
        <v>9894</v>
      </c>
      <c r="CA34" s="1087"/>
      <c r="CB34" s="1087">
        <f ca="1">MODEL!DH67</f>
        <v>5278.7994823128574</v>
      </c>
      <c r="CC34" s="1087">
        <f ca="1">MODEL!DI67</f>
        <v>5455.7317943963817</v>
      </c>
      <c r="CD34" s="1360">
        <f ca="1">MODEL!DJ67</f>
        <v>10734.531276709238</v>
      </c>
      <c r="CE34" s="1087"/>
      <c r="CF34" s="1087">
        <f ca="1">MODEL!DL67</f>
        <v>5674.209532789715</v>
      </c>
      <c r="CG34" s="1087">
        <f ca="1">MODEL!DM67</f>
        <v>5693.9996637492177</v>
      </c>
      <c r="CH34" s="1360">
        <f ca="1">MODEL!DN67</f>
        <v>11368.209196538934</v>
      </c>
      <c r="CI34" s="1087"/>
      <c r="CJ34" s="1087">
        <f ca="1">MODEL!DP67</f>
        <v>5930.4495787365759</v>
      </c>
      <c r="CK34" s="1087">
        <f ca="1">MODEL!DQ67</f>
        <v>6153.3388636336877</v>
      </c>
      <c r="CL34" s="1087">
        <f ca="1">MODEL!DR67</f>
        <v>12083.788442370267</v>
      </c>
      <c r="CM34" s="1379"/>
      <c r="CN34" s="1577" t="s">
        <v>1261</v>
      </c>
      <c r="CO34" s="1578">
        <v>9.9930046954084624</v>
      </c>
      <c r="CP34" s="1578">
        <v>10.388088577735012</v>
      </c>
      <c r="CQ34" s="1578">
        <v>10.388088577735012</v>
      </c>
      <c r="CR34" s="1578"/>
      <c r="CS34" s="1578">
        <v>10.613437671240233</v>
      </c>
      <c r="CT34" s="1578">
        <v>11.438041340200421</v>
      </c>
      <c r="CU34" s="1578">
        <v>11.438041340200421</v>
      </c>
      <c r="CV34" s="1578"/>
      <c r="CW34" s="1578">
        <v>11.738304016277459</v>
      </c>
      <c r="CX34" s="1578">
        <v>12.224378495998414</v>
      </c>
      <c r="CY34" s="1578">
        <v>12.224378495998414</v>
      </c>
      <c r="CZ34" s="1578"/>
      <c r="DA34" s="1579">
        <f>MODEL!BH902</f>
        <v>0</v>
      </c>
      <c r="DB34" s="1579">
        <f>MODEL!BI902</f>
        <v>0</v>
      </c>
      <c r="DC34" s="1579">
        <f>MODEL!BJ902</f>
        <v>0</v>
      </c>
      <c r="DD34" s="1579"/>
      <c r="DE34" s="1579">
        <f>MODEL!BL902</f>
        <v>0</v>
      </c>
      <c r="DF34" s="1579">
        <f>MODEL!BM902</f>
        <v>0</v>
      </c>
      <c r="DG34" s="1579">
        <f>MODEL!BN902</f>
        <v>0</v>
      </c>
      <c r="DH34" s="1579"/>
      <c r="DI34" s="1579">
        <f>MODEL!BP902</f>
        <v>0</v>
      </c>
      <c r="DJ34" s="1579">
        <f>MODEL!BQ902</f>
        <v>0</v>
      </c>
      <c r="DK34" s="1579">
        <f>MODEL!BR902</f>
        <v>0</v>
      </c>
      <c r="DL34" s="1579">
        <f>MODEL!BS902</f>
        <v>0</v>
      </c>
      <c r="DM34" s="1579">
        <f>MODEL!BT902</f>
        <v>0</v>
      </c>
      <c r="DN34" s="1579">
        <f>MODEL!BU902</f>
        <v>0</v>
      </c>
      <c r="DO34" s="1579">
        <f>MODEL!BV902</f>
        <v>0</v>
      </c>
      <c r="DP34" s="1579"/>
      <c r="DQ34" s="1579"/>
      <c r="DR34" s="1579"/>
      <c r="DS34" s="1579">
        <f>MODEL!BZ902</f>
        <v>0</v>
      </c>
      <c r="DT34" s="1579"/>
      <c r="DU34" s="1579"/>
      <c r="DV34" s="1579"/>
      <c r="DW34" s="1579">
        <f>MODEL!CD902</f>
        <v>0.45115911485774501</v>
      </c>
      <c r="DX34" s="1579"/>
      <c r="DY34" s="1579"/>
      <c r="DZ34" s="1579"/>
      <c r="EA34" s="1579">
        <f>MODEL!CH902</f>
        <v>0.45335168908185958</v>
      </c>
      <c r="EB34" s="1579"/>
      <c r="EC34" s="1579"/>
      <c r="ED34" s="1579"/>
      <c r="EE34" s="1579">
        <f>MODEL!CL902</f>
        <v>0.46224146224146223</v>
      </c>
      <c r="EF34" s="1579"/>
      <c r="EG34" s="1579"/>
      <c r="EH34" s="1579"/>
      <c r="EI34" s="1580">
        <f>MODEL!CP902</f>
        <v>0.47705513370749425</v>
      </c>
      <c r="EJ34" s="1579"/>
      <c r="EK34" s="1579"/>
      <c r="EL34" s="1579"/>
      <c r="EM34" s="1580">
        <f>MODEL!CT902</f>
        <v>0.50219058050383347</v>
      </c>
      <c r="EN34" s="1579"/>
      <c r="EO34" s="1579"/>
      <c r="EP34" s="1579"/>
      <c r="EQ34" s="1580">
        <f>MODEL!CX902</f>
        <v>0.46430960344003824</v>
      </c>
      <c r="ER34" s="1579"/>
      <c r="ES34" s="1579"/>
      <c r="ET34" s="1579"/>
      <c r="EU34" s="1579">
        <f>MODEL!DB902</f>
        <v>0.50888142102736433</v>
      </c>
      <c r="EV34" s="1579"/>
      <c r="EW34" s="1579"/>
      <c r="EX34" s="1579"/>
      <c r="EY34" s="1603">
        <f>MODEL!DF902*100</f>
        <v>53.41236927515326</v>
      </c>
      <c r="EZ34" s="1579">
        <f>MODEL!DG902*100</f>
        <v>0</v>
      </c>
      <c r="FA34" s="1579">
        <f ca="1">MODEL!DH902*100</f>
        <v>51.384661114863349</v>
      </c>
      <c r="FB34" s="1579">
        <f ca="1">MODEL!DI902*100</f>
        <v>49.009760898868016</v>
      </c>
      <c r="FC34" s="1579">
        <f ca="1">MODEL!DJ902*100</f>
        <v>50.192729593466048</v>
      </c>
      <c r="FD34" s="1579">
        <f>MODEL!DK902*100</f>
        <v>0</v>
      </c>
      <c r="FE34" s="1579">
        <f ca="1">MODEL!DL902*100</f>
        <v>47.809807839455374</v>
      </c>
      <c r="FF34" s="1579">
        <f ca="1">MODEL!DM902*100</f>
        <v>48.303147098026741</v>
      </c>
      <c r="FG34" s="1579">
        <f ca="1">MODEL!DN902*100</f>
        <v>48.058288531538935</v>
      </c>
      <c r="FH34" s="1579">
        <f>MODEL!DO902*100</f>
        <v>0</v>
      </c>
      <c r="FI34" s="1579">
        <f ca="1">MODEL!DP902*100</f>
        <v>47.111689042003135</v>
      </c>
      <c r="FJ34" s="1579">
        <f ca="1">MODEL!DQ902*100</f>
        <v>45.924160849062858</v>
      </c>
      <c r="FK34" s="1579">
        <f ca="1">MODEL!DR902*100</f>
        <v>46.513890709514676</v>
      </c>
      <c r="FL34" s="444"/>
      <c r="FM34" s="1712"/>
      <c r="FN34" s="444"/>
      <c r="FO34" s="481"/>
      <c r="FP34" s="481"/>
      <c r="FQ34" s="481"/>
      <c r="FR34" s="481"/>
      <c r="FS34" s="481"/>
      <c r="FT34" s="444"/>
      <c r="FU34" s="444"/>
      <c r="FV34" s="444"/>
      <c r="FW34" s="444"/>
    </row>
    <row r="35" spans="1:179" ht="13.8">
      <c r="A35" s="444"/>
      <c r="B35" s="463"/>
      <c r="C35" s="1374" t="s">
        <v>959</v>
      </c>
      <c r="D35" s="1376"/>
      <c r="E35" s="1376"/>
      <c r="F35" s="1376"/>
      <c r="G35" s="1400"/>
      <c r="H35" s="1376">
        <v>-681</v>
      </c>
      <c r="I35" s="1376">
        <v>-1269</v>
      </c>
      <c r="J35" s="1376">
        <v>-1948</v>
      </c>
      <c r="K35" s="1400"/>
      <c r="L35" s="1376">
        <v>-1373</v>
      </c>
      <c r="M35" s="1376">
        <v>-1632</v>
      </c>
      <c r="N35" s="1376">
        <v>-3005</v>
      </c>
      <c r="O35" s="1400"/>
      <c r="P35" s="1376">
        <v>-1082</v>
      </c>
      <c r="Q35" s="1376">
        <v>-705</v>
      </c>
      <c r="R35" s="1376">
        <v>-1787</v>
      </c>
      <c r="S35" s="1376"/>
      <c r="T35" s="1376">
        <v>-660</v>
      </c>
      <c r="U35" s="1376">
        <v>-560</v>
      </c>
      <c r="V35" s="1376">
        <v>-1220</v>
      </c>
      <c r="W35" s="1376"/>
      <c r="X35" s="1383">
        <f>MODEL!BD69</f>
        <v>0</v>
      </c>
      <c r="Y35" s="1383">
        <f>MODEL!BE69</f>
        <v>0</v>
      </c>
      <c r="Z35" s="1377">
        <f>MODEL!BF69</f>
        <v>0</v>
      </c>
      <c r="AA35" s="1377"/>
      <c r="AB35" s="1383">
        <f>MODEL!BH69</f>
        <v>0</v>
      </c>
      <c r="AC35" s="1383">
        <f>MODEL!BI69</f>
        <v>0</v>
      </c>
      <c r="AD35" s="1377">
        <f>MODEL!BJ69</f>
        <v>0</v>
      </c>
      <c r="AE35" s="1377">
        <f>MODEL!BK69</f>
        <v>0</v>
      </c>
      <c r="AF35" s="1377">
        <f>MODEL!BL69</f>
        <v>0</v>
      </c>
      <c r="AG35" s="1377">
        <f>MODEL!BM69</f>
        <v>0</v>
      </c>
      <c r="AH35" s="1384">
        <f>MODEL!BN69</f>
        <v>0</v>
      </c>
      <c r="AI35" s="1377"/>
      <c r="AJ35" s="1377">
        <f>MODEL!BP69</f>
        <v>0</v>
      </c>
      <c r="AK35" s="1377">
        <f>MODEL!BQ69</f>
        <v>0</v>
      </c>
      <c r="AL35" s="1384">
        <f>MODEL!BR69</f>
        <v>0</v>
      </c>
      <c r="AM35" s="1377"/>
      <c r="AN35" s="1377">
        <f>MODEL!BT69</f>
        <v>0</v>
      </c>
      <c r="AO35" s="1377">
        <f>MODEL!BU69</f>
        <v>0</v>
      </c>
      <c r="AP35" s="1384">
        <f>MODEL!BV69</f>
        <v>0</v>
      </c>
      <c r="AQ35" s="1377"/>
      <c r="AR35" s="1377">
        <f>MODEL!BX69</f>
        <v>0</v>
      </c>
      <c r="AS35" s="1377">
        <f>MODEL!BY69</f>
        <v>0</v>
      </c>
      <c r="AT35" s="1384">
        <f>MODEL!BZ69</f>
        <v>0</v>
      </c>
      <c r="AU35" s="1360"/>
      <c r="AV35" s="1377">
        <f>MODEL!CB69</f>
        <v>-1445</v>
      </c>
      <c r="AW35" s="1377">
        <f>MODEL!CC69</f>
        <v>-1428</v>
      </c>
      <c r="AX35" s="1377">
        <f>MODEL!CD69</f>
        <v>-2873</v>
      </c>
      <c r="AY35" s="1360"/>
      <c r="AZ35" s="1095">
        <f>MODEL!CF69</f>
        <v>-1398</v>
      </c>
      <c r="BA35" s="1377">
        <f>MODEL!CG69</f>
        <v>-1345</v>
      </c>
      <c r="BB35" s="1384">
        <f>MODEL!CH69</f>
        <v>-2743</v>
      </c>
      <c r="BC35" s="1377"/>
      <c r="BD35" s="1377">
        <f>MODEL!CJ69</f>
        <v>-960</v>
      </c>
      <c r="BE35" s="1377">
        <f>MODEL!CK69</f>
        <v>-1127</v>
      </c>
      <c r="BF35" s="1384">
        <f>MODEL!CL69</f>
        <v>-2087</v>
      </c>
      <c r="BG35" s="1377"/>
      <c r="BH35" s="1377">
        <f>MODEL!CN69</f>
        <v>-1550</v>
      </c>
      <c r="BI35" s="1377">
        <f>MODEL!CO69</f>
        <v>-1376</v>
      </c>
      <c r="BJ35" s="1384">
        <f>MODEL!CP69</f>
        <v>-2926</v>
      </c>
      <c r="BK35" s="1377"/>
      <c r="BL35" s="1377">
        <f>MODEL!CR69</f>
        <v>-1269</v>
      </c>
      <c r="BM35" s="1377">
        <f>MODEL!CS69</f>
        <v>-1388</v>
      </c>
      <c r="BN35" s="1384">
        <f>MODEL!CT69</f>
        <v>-2657</v>
      </c>
      <c r="BO35" s="1377"/>
      <c r="BP35" s="1377">
        <f>MODEL!CV69</f>
        <v>-1619</v>
      </c>
      <c r="BQ35" s="1377">
        <f>MODEL!CW69</f>
        <v>-1600</v>
      </c>
      <c r="BR35" s="1384">
        <f>MODEL!CX69</f>
        <v>-3219</v>
      </c>
      <c r="BS35" s="1377"/>
      <c r="BT35" s="1377">
        <f>MODEL!CZ69</f>
        <v>-1496</v>
      </c>
      <c r="BU35" s="1377">
        <f>MODEL!DA69</f>
        <v>-1406</v>
      </c>
      <c r="BV35" s="1384">
        <f>MODEL!DB69</f>
        <v>-2902</v>
      </c>
      <c r="BW35" s="1377"/>
      <c r="BX35" s="1377">
        <f>MODEL!DD69</f>
        <v>-1519</v>
      </c>
      <c r="BY35" s="1377">
        <f>MODEL!DE69</f>
        <v>-1438</v>
      </c>
      <c r="BZ35" s="1384">
        <f>MODEL!DF69</f>
        <v>-2957</v>
      </c>
      <c r="CA35" s="1377"/>
      <c r="CB35" s="1377">
        <f ca="1">MODEL!DH69</f>
        <v>-1557.245847282293</v>
      </c>
      <c r="CC35" s="1377">
        <f ca="1">MODEL!DI69</f>
        <v>-1609.4408793469324</v>
      </c>
      <c r="CD35" s="1384">
        <f ca="1">MODEL!DJ69</f>
        <v>-3166.6867266292256</v>
      </c>
      <c r="CE35" s="1377"/>
      <c r="CF35" s="1377">
        <f ca="1">MODEL!DL69</f>
        <v>-1673.8918121729657</v>
      </c>
      <c r="CG35" s="1377">
        <f ca="1">MODEL!DM69</f>
        <v>-1679.729900806019</v>
      </c>
      <c r="CH35" s="1384">
        <f ca="1">MODEL!DN69</f>
        <v>-3353.6217129789848</v>
      </c>
      <c r="CI35" s="1377"/>
      <c r="CJ35" s="1377">
        <f ca="1">MODEL!DP69</f>
        <v>-1749.4826257272898</v>
      </c>
      <c r="CK35" s="1377">
        <f ca="1">MODEL!DQ69</f>
        <v>-1815.2349647719377</v>
      </c>
      <c r="CL35" s="1377">
        <f ca="1">MODEL!DR69</f>
        <v>-3564.7175904992273</v>
      </c>
      <c r="CM35" s="1379"/>
      <c r="CN35" s="1120" t="s">
        <v>416</v>
      </c>
      <c r="CO35" s="1343">
        <v>28.251663641863278</v>
      </c>
      <c r="CP35" s="1343">
        <v>27.683022828653897</v>
      </c>
      <c r="CQ35" s="1343">
        <v>27.947168750878177</v>
      </c>
      <c r="CR35" s="1343"/>
      <c r="CS35" s="1343">
        <v>28.347253859782334</v>
      </c>
      <c r="CT35" s="1343">
        <v>28.112033195020746</v>
      </c>
      <c r="CU35" s="1343">
        <v>28.231074676572305</v>
      </c>
      <c r="CV35" s="1343"/>
      <c r="CW35" s="1343">
        <v>27.855361596009974</v>
      </c>
      <c r="CX35" s="1343">
        <v>27.60493827160494</v>
      </c>
      <c r="CY35" s="1343">
        <v>27.729528535980148</v>
      </c>
      <c r="CZ35" s="1343"/>
      <c r="DA35" s="1127">
        <f>-AB22/AB21*100</f>
        <v>28.433355810294447</v>
      </c>
      <c r="DB35" s="1127">
        <f>-AC22/AC21*100</f>
        <v>26.069518716577537</v>
      </c>
      <c r="DC35" s="1127">
        <f>-AD22/AD21*100</f>
        <v>27.246279512140536</v>
      </c>
      <c r="DD35" s="1127"/>
      <c r="DE35" s="1127">
        <f>-AF22/AF21*100</f>
        <v>27.461887103419858</v>
      </c>
      <c r="DF35" s="1127">
        <f>-AG22/AG21*100</f>
        <v>27.477386934673365</v>
      </c>
      <c r="DG35" s="1127">
        <f>-AH22/AH21*100</f>
        <v>27.469732424458236</v>
      </c>
      <c r="DH35" s="1127"/>
      <c r="DI35" s="1127">
        <f t="shared" ref="DI35:DO35" si="32">-AJ22/AJ21*100</f>
        <v>27.508854781582055</v>
      </c>
      <c r="DJ35" s="1127">
        <f t="shared" si="32"/>
        <v>27.216748768472904</v>
      </c>
      <c r="DK35" s="1127">
        <f t="shared" si="32"/>
        <v>27.365883062085594</v>
      </c>
      <c r="DL35" s="1127" t="e">
        <f t="shared" si="32"/>
        <v>#DIV/0!</v>
      </c>
      <c r="DM35" s="1127">
        <f t="shared" si="32"/>
        <v>28.91043633579995</v>
      </c>
      <c r="DN35" s="1127">
        <f t="shared" si="32"/>
        <v>27.242990654205606</v>
      </c>
      <c r="DO35" s="1127">
        <f t="shared" si="32"/>
        <v>28.040004878643739</v>
      </c>
      <c r="DP35" s="1127"/>
      <c r="DQ35" s="1127">
        <f>-AR22/AR21*100</f>
        <v>29.482071713147413</v>
      </c>
      <c r="DR35" s="1127">
        <f>-AS22/AS21*100</f>
        <v>29.092399098545378</v>
      </c>
      <c r="DS35" s="1127">
        <f>-AT22/AT21*100</f>
        <v>29.28497409326425</v>
      </c>
      <c r="DT35" s="1127"/>
      <c r="DU35" s="1127"/>
      <c r="DV35" s="1127"/>
      <c r="DW35" s="1127">
        <f>-AX22/AX21*100</f>
        <v>29.909463246389308</v>
      </c>
      <c r="DX35" s="1127"/>
      <c r="DY35" s="1127"/>
      <c r="DZ35" s="1127"/>
      <c r="EA35" s="1127">
        <f>-BB22/BB21*100</f>
        <v>29.226235948925023</v>
      </c>
      <c r="EB35" s="1127"/>
      <c r="EC35" s="1127"/>
      <c r="ED35" s="1127"/>
      <c r="EE35" s="1127">
        <f>-BF22/BF21*100</f>
        <v>33.24453915823122</v>
      </c>
      <c r="EF35" s="1127"/>
      <c r="EG35" s="1127"/>
      <c r="EH35" s="1127"/>
      <c r="EI35" s="1426">
        <f>-BJ22/BJ21*100</f>
        <v>30.83788909963182</v>
      </c>
      <c r="EJ35" s="1127"/>
      <c r="EK35" s="1127"/>
      <c r="EL35" s="1127"/>
      <c r="EM35" s="1426">
        <f>-BN22/BN21*100</f>
        <v>29.184782608695652</v>
      </c>
      <c r="EN35" s="1127"/>
      <c r="EO35" s="1127"/>
      <c r="EP35" s="1127"/>
      <c r="EQ35" s="1426">
        <f>-BR22/BR21*100</f>
        <v>29.274783765801732</v>
      </c>
      <c r="ER35" s="1127"/>
      <c r="ES35" s="1127"/>
      <c r="ET35" s="1127"/>
      <c r="EU35" s="1127">
        <f>-BV22/BV21*100</f>
        <v>30.035189401780173</v>
      </c>
      <c r="EV35" s="1127"/>
      <c r="EW35" s="1127"/>
      <c r="EX35" s="1127"/>
      <c r="EY35" s="1604">
        <f>-BZ22/BZ21*100</f>
        <v>32.058754954534855</v>
      </c>
      <c r="EZ35" s="1127"/>
      <c r="FA35" s="1127"/>
      <c r="FB35" s="1127"/>
      <c r="FC35" s="1127">
        <f ca="1">-CD22/CD21*100</f>
        <v>29.500000000000004</v>
      </c>
      <c r="FD35" s="1127"/>
      <c r="FE35" s="1127"/>
      <c r="FF35" s="1127"/>
      <c r="FG35" s="1127">
        <f ca="1">-CH22/CH21*100</f>
        <v>29.500000000000004</v>
      </c>
      <c r="FH35" s="1127"/>
      <c r="FI35" s="1127"/>
      <c r="FJ35" s="1127"/>
      <c r="FK35" s="1127">
        <f ca="1">-CL22/CL21*100</f>
        <v>29.499999999999986</v>
      </c>
      <c r="FL35" s="444"/>
      <c r="FM35" s="463"/>
      <c r="FN35" s="463"/>
      <c r="FO35" s="478"/>
      <c r="FP35" s="478"/>
      <c r="FQ35" s="478"/>
      <c r="FR35" s="478"/>
      <c r="FS35" s="479"/>
      <c r="FT35" s="444"/>
      <c r="FU35" s="444"/>
      <c r="FV35" s="444"/>
      <c r="FW35" s="444"/>
    </row>
    <row r="36" spans="1:179" ht="13.8">
      <c r="A36" s="444"/>
      <c r="B36" s="444"/>
      <c r="C36" s="1374" t="s">
        <v>712</v>
      </c>
      <c r="D36" s="1376"/>
      <c r="E36" s="1376"/>
      <c r="F36" s="1376"/>
      <c r="G36" s="1107"/>
      <c r="H36" s="1376">
        <v>-3</v>
      </c>
      <c r="I36" s="1376">
        <v>-5</v>
      </c>
      <c r="J36" s="1376">
        <v>-8</v>
      </c>
      <c r="K36" s="1107"/>
      <c r="L36" s="1376">
        <v>-4</v>
      </c>
      <c r="M36" s="1376">
        <v>2</v>
      </c>
      <c r="N36" s="1376">
        <v>-2</v>
      </c>
      <c r="O36" s="1107"/>
      <c r="P36" s="1376">
        <v>-2</v>
      </c>
      <c r="Q36" s="1376">
        <v>-4</v>
      </c>
      <c r="R36" s="1376">
        <v>-6</v>
      </c>
      <c r="S36" s="1376"/>
      <c r="T36" s="1376">
        <v>-5</v>
      </c>
      <c r="U36" s="1376">
        <v>-3</v>
      </c>
      <c r="V36" s="1376">
        <v>-8</v>
      </c>
      <c r="W36" s="1376"/>
      <c r="X36" s="1383">
        <f>MODEL!BD36</f>
        <v>-4</v>
      </c>
      <c r="Y36" s="1383">
        <f>MODEL!BE36</f>
        <v>-2</v>
      </c>
      <c r="Z36" s="1377">
        <f>MODEL!BF36</f>
        <v>-6</v>
      </c>
      <c r="AA36" s="1377"/>
      <c r="AB36" s="1383">
        <f>MODEL!BH36</f>
        <v>-5</v>
      </c>
      <c r="AC36" s="1383">
        <f>MODEL!BI36</f>
        <v>-5</v>
      </c>
      <c r="AD36" s="1377">
        <f>MODEL!BJ36</f>
        <v>-10</v>
      </c>
      <c r="AE36" s="1377">
        <f>MODEL!BK36</f>
        <v>0</v>
      </c>
      <c r="AF36" s="1377">
        <f>MODEL!BL36</f>
        <v>-6</v>
      </c>
      <c r="AG36" s="1377">
        <f>MODEL!BM36</f>
        <v>-6</v>
      </c>
      <c r="AH36" s="1384">
        <f>MODEL!BN36</f>
        <v>-12</v>
      </c>
      <c r="AI36" s="1377"/>
      <c r="AJ36" s="1377">
        <f>MODEL!BP36</f>
        <v>-8</v>
      </c>
      <c r="AK36" s="1377">
        <f>MODEL!BQ36</f>
        <v>-6</v>
      </c>
      <c r="AL36" s="1384">
        <f>MODEL!BR36</f>
        <v>-14</v>
      </c>
      <c r="AM36" s="1377"/>
      <c r="AN36" s="1377">
        <f>MODEL!BT36</f>
        <v>-4</v>
      </c>
      <c r="AO36" s="1377">
        <f>MODEL!BU36</f>
        <v>-7</v>
      </c>
      <c r="AP36" s="1384">
        <f>MODEL!BV36</f>
        <v>-11</v>
      </c>
      <c r="AQ36" s="1377"/>
      <c r="AR36" s="1377">
        <f>MODEL!BX36</f>
        <v>-8</v>
      </c>
      <c r="AS36" s="1377">
        <f>MODEL!BY36</f>
        <v>-7</v>
      </c>
      <c r="AT36" s="1384">
        <f>MODEL!BZ36</f>
        <v>-15</v>
      </c>
      <c r="AU36" s="1360"/>
      <c r="AV36" s="1377">
        <f>MODEL!CB36</f>
        <v>-7</v>
      </c>
      <c r="AW36" s="1377">
        <f>MODEL!CC36</f>
        <v>-9</v>
      </c>
      <c r="AX36" s="1377">
        <f>MODEL!CD36</f>
        <v>-16</v>
      </c>
      <c r="AY36" s="1360"/>
      <c r="AZ36" s="1095">
        <f>MODEL!CF36</f>
        <v>-9</v>
      </c>
      <c r="BA36" s="1377">
        <f>MODEL!CG36</f>
        <v>-6</v>
      </c>
      <c r="BB36" s="1384">
        <f>MODEL!CH36</f>
        <v>-15</v>
      </c>
      <c r="BC36" s="1377"/>
      <c r="BD36" s="1377">
        <f>MODEL!CJ36</f>
        <v>-1</v>
      </c>
      <c r="BE36" s="1377">
        <f>MODEL!CK36</f>
        <v>0</v>
      </c>
      <c r="BF36" s="1384">
        <f>MODEL!CL36</f>
        <v>-1</v>
      </c>
      <c r="BG36" s="1377"/>
      <c r="BH36" s="1377">
        <f>MODEL!CN36</f>
        <v>0</v>
      </c>
      <c r="BI36" s="1377">
        <f>MODEL!CO36</f>
        <v>-1</v>
      </c>
      <c r="BJ36" s="1384">
        <f>MODEL!CP36</f>
        <v>-1</v>
      </c>
      <c r="BK36" s="1377"/>
      <c r="BL36" s="1377">
        <f>MODEL!CR36</f>
        <v>0</v>
      </c>
      <c r="BM36" s="1377">
        <f>MODEL!CS36</f>
        <v>0</v>
      </c>
      <c r="BN36" s="1384">
        <f>MODEL!CT36</f>
        <v>0</v>
      </c>
      <c r="BO36" s="1377"/>
      <c r="BP36" s="1377">
        <f>MODEL!CV36</f>
        <v>-14</v>
      </c>
      <c r="BQ36" s="1377">
        <f>MODEL!CW36</f>
        <v>-14</v>
      </c>
      <c r="BR36" s="1384">
        <f>MODEL!CX36</f>
        <v>-28</v>
      </c>
      <c r="BS36" s="1377"/>
      <c r="BT36" s="1377">
        <f>MODEL!CZ36</f>
        <v>-14</v>
      </c>
      <c r="BU36" s="1377">
        <f>MODEL!DA36</f>
        <v>-21</v>
      </c>
      <c r="BV36" s="1384">
        <f>MODEL!DB36</f>
        <v>-35</v>
      </c>
      <c r="BW36" s="1377"/>
      <c r="BX36" s="1377">
        <f>MODEL!DD36</f>
        <v>-21</v>
      </c>
      <c r="BY36" s="1377">
        <f>MODEL!DE36</f>
        <v>-20</v>
      </c>
      <c r="BZ36" s="1384">
        <f>MODEL!DF36</f>
        <v>-41</v>
      </c>
      <c r="CA36" s="1377"/>
      <c r="CB36" s="1377">
        <f>MODEL!DH36</f>
        <v>-20</v>
      </c>
      <c r="CC36" s="1377">
        <f>MODEL!DI36</f>
        <v>-20</v>
      </c>
      <c r="CD36" s="1384">
        <f>MODEL!DJ36</f>
        <v>-40</v>
      </c>
      <c r="CE36" s="1377"/>
      <c r="CF36" s="1377">
        <f>MODEL!DL36</f>
        <v>-20</v>
      </c>
      <c r="CG36" s="1377">
        <f>MODEL!DM36</f>
        <v>-20</v>
      </c>
      <c r="CH36" s="1384">
        <f>MODEL!DN36</f>
        <v>-40</v>
      </c>
      <c r="CI36" s="1377"/>
      <c r="CJ36" s="1377">
        <f>MODEL!DP36</f>
        <v>-20</v>
      </c>
      <c r="CK36" s="1377">
        <f>MODEL!DQ36</f>
        <v>-20</v>
      </c>
      <c r="CL36" s="1377">
        <f>MODEL!DR36</f>
        <v>-40</v>
      </c>
      <c r="CM36" s="1379"/>
      <c r="EY36" s="1588"/>
      <c r="FL36" s="485"/>
      <c r="FM36" s="480"/>
      <c r="FN36" s="444"/>
      <c r="FO36" s="481"/>
      <c r="FP36" s="481"/>
      <c r="FQ36" s="481"/>
      <c r="FR36" s="481"/>
      <c r="FS36" s="481"/>
      <c r="FT36" s="444"/>
      <c r="FU36" s="444"/>
      <c r="FV36" s="444"/>
      <c r="FW36" s="444"/>
    </row>
    <row r="37" spans="1:179" ht="13.5" customHeight="1">
      <c r="A37" s="444"/>
      <c r="B37" s="444"/>
      <c r="C37" s="1108" t="s">
        <v>955</v>
      </c>
      <c r="D37" s="1407"/>
      <c r="E37" s="1407"/>
      <c r="F37" s="1407"/>
      <c r="G37" s="1109"/>
      <c r="H37" s="1407"/>
      <c r="I37" s="1407"/>
      <c r="J37" s="1407"/>
      <c r="K37" s="1109"/>
      <c r="L37" s="1407"/>
      <c r="M37" s="1407"/>
      <c r="N37" s="1407"/>
      <c r="O37" s="1109"/>
      <c r="P37" s="1407"/>
      <c r="Q37" s="1407"/>
      <c r="R37" s="1407"/>
      <c r="S37" s="1407"/>
      <c r="T37" s="1407"/>
      <c r="U37" s="1407"/>
      <c r="V37" s="1407"/>
      <c r="W37" s="1407"/>
      <c r="X37" s="1408"/>
      <c r="Y37" s="1408"/>
      <c r="Z37" s="1408"/>
      <c r="AA37" s="1408"/>
      <c r="AB37" s="1408"/>
      <c r="AC37" s="1408"/>
      <c r="AD37" s="1408"/>
      <c r="AE37" s="1408"/>
      <c r="AF37" s="1408"/>
      <c r="AG37" s="1408"/>
      <c r="AH37" s="1409"/>
      <c r="AI37" s="1408"/>
      <c r="AJ37" s="1408"/>
      <c r="AK37" s="1408"/>
      <c r="AL37" s="1409"/>
      <c r="AM37" s="1408"/>
      <c r="AN37" s="1408"/>
      <c r="AO37" s="1408"/>
      <c r="AP37" s="1409"/>
      <c r="AQ37" s="1408"/>
      <c r="AR37" s="1408"/>
      <c r="AS37" s="1408"/>
      <c r="AT37" s="1409"/>
      <c r="AU37" s="1384"/>
      <c r="AV37" s="1408"/>
      <c r="AW37" s="1408"/>
      <c r="AX37" s="1408"/>
      <c r="AY37" s="1384"/>
      <c r="AZ37" s="1115">
        <f>MODEL!CF538</f>
        <v>3467</v>
      </c>
      <c r="BA37" s="1408">
        <f>MODEL!CG538</f>
        <v>3305</v>
      </c>
      <c r="BB37" s="1409">
        <f>MODEL!CH538</f>
        <v>6772</v>
      </c>
      <c r="BC37" s="1408"/>
      <c r="BD37" s="1408">
        <f>MODEL!CJ538</f>
        <v>2400</v>
      </c>
      <c r="BE37" s="1408">
        <f>MODEL!CK538</f>
        <v>2859</v>
      </c>
      <c r="BF37" s="1409">
        <f>MODEL!CL538</f>
        <v>5259</v>
      </c>
      <c r="BG37" s="1408">
        <f>MODEL!CM538</f>
        <v>0</v>
      </c>
      <c r="BH37" s="1408">
        <f>MODEL!CN538</f>
        <v>3807</v>
      </c>
      <c r="BI37" s="1408">
        <f>MODEL!CO538</f>
        <v>3337</v>
      </c>
      <c r="BJ37" s="1409">
        <f>MODEL!CP538</f>
        <v>7144</v>
      </c>
      <c r="BK37" s="1408"/>
      <c r="BL37" s="1408">
        <f>MODEL!CR538</f>
        <v>3154</v>
      </c>
      <c r="BM37" s="1408">
        <f>MODEL!CS538</f>
        <v>3515</v>
      </c>
      <c r="BN37" s="1409">
        <f>MODEL!CT538</f>
        <v>6669</v>
      </c>
      <c r="BO37" s="1408"/>
      <c r="BP37" s="1408">
        <f>MODEL!CV538</f>
        <v>3990</v>
      </c>
      <c r="BQ37" s="1408">
        <f>MODEL!CW538</f>
        <v>3730</v>
      </c>
      <c r="BR37" s="1409">
        <f>MODEL!CX538</f>
        <v>7720</v>
      </c>
      <c r="BS37" s="1408"/>
      <c r="BT37" s="1408">
        <f>MODEL!CZ538</f>
        <v>3714</v>
      </c>
      <c r="BU37" s="1408">
        <f>MODEL!DA538</f>
        <v>3173</v>
      </c>
      <c r="BV37" s="1409">
        <f>MODEL!DB538</f>
        <v>6887</v>
      </c>
      <c r="BW37" s="1408"/>
      <c r="BX37" s="1408">
        <f>MODEL!DD538</f>
        <v>3568</v>
      </c>
      <c r="BY37" s="1408">
        <f>MODEL!DE538</f>
        <v>3328</v>
      </c>
      <c r="BZ37" s="1409">
        <f>MODEL!DF538</f>
        <v>6896</v>
      </c>
      <c r="CA37" s="1408"/>
      <c r="CB37" s="1408">
        <f ca="1">MODEL!DH538</f>
        <v>3701.5536350305647</v>
      </c>
      <c r="CC37" s="1408">
        <f ca="1">MODEL!DI538</f>
        <v>3826.2909150494493</v>
      </c>
      <c r="CD37" s="1409">
        <f ca="1">MODEL!DJ538</f>
        <v>7527.8445500800135</v>
      </c>
      <c r="CE37" s="1408"/>
      <c r="CF37" s="1408">
        <f ca="1">MODEL!DL538</f>
        <v>3980.3177206167493</v>
      </c>
      <c r="CG37" s="1408">
        <f ca="1">MODEL!DM538</f>
        <v>3994.2697629431987</v>
      </c>
      <c r="CH37" s="1409">
        <f ca="1">MODEL!DN538</f>
        <v>7974.5874835599479</v>
      </c>
      <c r="CI37" s="1408"/>
      <c r="CJ37" s="1408">
        <f ca="1">MODEL!DP538</f>
        <v>4160.966953009286</v>
      </c>
      <c r="CK37" s="1408">
        <f ca="1">MODEL!DQ538</f>
        <v>4318.1038988617502</v>
      </c>
      <c r="CL37" s="1408">
        <f ca="1">MODEL!DR538</f>
        <v>8479.0708518710362</v>
      </c>
      <c r="CM37" s="1403"/>
      <c r="CN37" s="1110" t="s">
        <v>443</v>
      </c>
      <c r="CO37" s="1404"/>
      <c r="CP37" s="1404"/>
      <c r="CQ37" s="1404"/>
      <c r="CR37" s="1404"/>
      <c r="CS37" s="1404"/>
      <c r="CT37" s="1404"/>
      <c r="CU37" s="1404"/>
      <c r="CV37" s="1404"/>
      <c r="CW37" s="1404"/>
      <c r="CX37" s="1404"/>
      <c r="CY37" s="1404"/>
      <c r="CZ37" s="1404"/>
      <c r="DA37" s="1111"/>
      <c r="DB37" s="1111"/>
      <c r="DC37" s="1111"/>
      <c r="DD37" s="1111"/>
      <c r="DE37" s="1111"/>
      <c r="DF37" s="1111"/>
      <c r="DG37" s="1111"/>
      <c r="DH37" s="1111"/>
      <c r="DI37" s="1111"/>
      <c r="DJ37" s="1111"/>
      <c r="DK37" s="1111"/>
      <c r="DL37" s="1111"/>
      <c r="DM37" s="1111"/>
      <c r="DN37" s="1111"/>
      <c r="DO37" s="1111"/>
      <c r="DP37" s="1111"/>
      <c r="DQ37" s="1111"/>
      <c r="DR37" s="1111"/>
      <c r="DS37" s="1111"/>
      <c r="DT37" s="1111"/>
      <c r="DU37" s="1111"/>
      <c r="DV37" s="1111"/>
      <c r="DW37" s="1111"/>
      <c r="DX37" s="1111"/>
      <c r="DY37" s="1111"/>
      <c r="DZ37" s="1111"/>
      <c r="EA37" s="1111"/>
      <c r="EB37" s="1111"/>
      <c r="EC37" s="1111"/>
      <c r="ED37" s="1111"/>
      <c r="EE37" s="1111"/>
      <c r="EF37" s="1111"/>
      <c r="EG37" s="1111"/>
      <c r="EH37" s="1111"/>
      <c r="EI37" s="1405"/>
      <c r="EJ37" s="1111"/>
      <c r="EK37" s="1111"/>
      <c r="EL37" s="1111"/>
      <c r="EM37" s="1405"/>
      <c r="EN37" s="1111"/>
      <c r="EO37" s="1111"/>
      <c r="EP37" s="1111"/>
      <c r="EQ37" s="1405"/>
      <c r="ER37" s="1111"/>
      <c r="ES37" s="1111"/>
      <c r="ET37" s="1111"/>
      <c r="EU37" s="1111"/>
      <c r="EV37" s="1111"/>
      <c r="EW37" s="1111"/>
      <c r="EX37" s="1111"/>
      <c r="EY37" s="1598"/>
      <c r="EZ37" s="1111"/>
      <c r="FA37" s="1111"/>
      <c r="FB37" s="1111"/>
      <c r="FC37" s="1111"/>
      <c r="FD37" s="1111"/>
      <c r="FE37" s="1111"/>
      <c r="FF37" s="1111"/>
      <c r="FG37" s="1111"/>
      <c r="FH37" s="1111"/>
      <c r="FI37" s="1111"/>
      <c r="FJ37" s="1111"/>
      <c r="FK37" s="1111"/>
      <c r="FL37" s="444"/>
      <c r="FM37" s="463"/>
      <c r="FN37" s="463"/>
      <c r="FO37" s="478"/>
      <c r="FP37" s="478"/>
      <c r="FQ37" s="478"/>
      <c r="FR37" s="478"/>
      <c r="FS37" s="479"/>
      <c r="FT37" s="444"/>
      <c r="FU37" s="444"/>
      <c r="FV37" s="444"/>
      <c r="FW37" s="444"/>
    </row>
    <row r="38" spans="1:179" ht="13.5" customHeight="1">
      <c r="A38" s="444"/>
      <c r="B38" s="444"/>
      <c r="C38" s="1428" t="s">
        <v>1091</v>
      </c>
      <c r="D38" s="1429"/>
      <c r="E38" s="1429"/>
      <c r="F38" s="1429"/>
      <c r="G38" s="1430"/>
      <c r="H38" s="1429">
        <v>0.46764860599684377</v>
      </c>
      <c r="I38" s="1429">
        <v>0.47945441988950277</v>
      </c>
      <c r="J38" s="1429">
        <v>0.47359721618094824</v>
      </c>
      <c r="K38" s="1430"/>
      <c r="L38" s="1429">
        <v>0.52107409925220938</v>
      </c>
      <c r="M38" s="1429">
        <v>0.38915094339622641</v>
      </c>
      <c r="N38" s="1429">
        <v>0.44483500717360114</v>
      </c>
      <c r="O38" s="1430"/>
      <c r="P38" s="1429">
        <v>0.42562091503267974</v>
      </c>
      <c r="Q38" s="1429">
        <v>0.45200000000000001</v>
      </c>
      <c r="R38" s="1429">
        <v>0.43930817610062894</v>
      </c>
      <c r="S38" s="1431"/>
      <c r="T38" s="1429">
        <v>0.47320169252468264</v>
      </c>
      <c r="U38" s="1429">
        <v>0.47713978751342961</v>
      </c>
      <c r="V38" s="1429">
        <v>0.47515546342907905</v>
      </c>
      <c r="W38" s="1431"/>
      <c r="X38" s="1432">
        <f>-X18/X17</f>
        <v>0.47396788990825689</v>
      </c>
      <c r="Y38" s="1432">
        <f>-Y18/Y17</f>
        <v>0.48049956178790537</v>
      </c>
      <c r="Z38" s="1433">
        <f>-Z18/Z17</f>
        <v>0.47730838189152847</v>
      </c>
      <c r="AA38" s="1434"/>
      <c r="AB38" s="1432">
        <f>-AB18/AB17</f>
        <v>0.44478662560492743</v>
      </c>
      <c r="AC38" s="1432">
        <f>-AC18/AC17</f>
        <v>0.45305946876008174</v>
      </c>
      <c r="AD38" s="1433">
        <f>-AD18/AD17</f>
        <v>0.44896960469795011</v>
      </c>
      <c r="AE38" s="1434"/>
      <c r="AF38" s="1433">
        <f>-AF18/AF17</f>
        <v>0.44331816301199833</v>
      </c>
      <c r="AG38" s="1433">
        <f>-AG18/AG17</f>
        <v>0.45146316851664986</v>
      </c>
      <c r="AH38" s="1435">
        <f>-AH18/AH17</f>
        <v>0.44744100520992952</v>
      </c>
      <c r="AI38" s="1434"/>
      <c r="AJ38" s="1433">
        <f>-AJ18/AJ17</f>
        <v>0.45149583128984794</v>
      </c>
      <c r="AK38" s="1433">
        <f>-AK18/AK17</f>
        <v>0.46170953393927672</v>
      </c>
      <c r="AL38" s="1435">
        <f>-AL18/AL17</f>
        <v>0.45663923649997568</v>
      </c>
      <c r="AM38" s="1434"/>
      <c r="AN38" s="1433">
        <f>-AN18/AN17</f>
        <v>0.53152542372881351</v>
      </c>
      <c r="AO38" s="1433">
        <f>-AO18/AO17</f>
        <v>0.48213068458467234</v>
      </c>
      <c r="AP38" s="1435">
        <f>-AP18/AP17</f>
        <v>0.50689521219772748</v>
      </c>
      <c r="AQ38" s="1433"/>
      <c r="AR38" s="1433">
        <f>-AR18/AR17</f>
        <v>0.44977947072975138</v>
      </c>
      <c r="AS38" s="1433">
        <f>-AS18/AS17</f>
        <v>0.45528455284552843</v>
      </c>
      <c r="AT38" s="1435">
        <f>-AT18/AT17</f>
        <v>0.45251312071053695</v>
      </c>
      <c r="AU38" s="1421"/>
      <c r="AV38" s="1433">
        <f>-AV18/AV17</f>
        <v>0.45319148936170212</v>
      </c>
      <c r="AW38" s="1433">
        <f>-AW18/AW17</f>
        <v>0.51890070548594291</v>
      </c>
      <c r="AX38" s="1433">
        <f>-AX18/AX17</f>
        <v>0.48541333195642072</v>
      </c>
      <c r="AY38" s="1421"/>
      <c r="AZ38" s="1436">
        <f>-AZ18/AZ17</f>
        <v>0.44787605171352352</v>
      </c>
      <c r="BA38" s="1433">
        <f>-BA18/BA17</f>
        <v>0.50694818485403426</v>
      </c>
      <c r="BB38" s="1435">
        <f>-BB18/BB17</f>
        <v>0.47669346786483791</v>
      </c>
      <c r="BC38" s="1433"/>
      <c r="BD38" s="1433">
        <f>-BD18/BD17</f>
        <v>0.53677584800093248</v>
      </c>
      <c r="BE38" s="1433">
        <f>-BE18/BE17</f>
        <v>0.52087648533740327</v>
      </c>
      <c r="BF38" s="1435">
        <f t="shared" ref="BF38:BN38" si="33">-BF31/BF30</f>
        <v>0.46224146224146223</v>
      </c>
      <c r="BG38" s="1433" t="e">
        <f t="shared" si="33"/>
        <v>#DIV/0!</v>
      </c>
      <c r="BH38" s="1433">
        <f t="shared" si="33"/>
        <v>0.46421493063201935</v>
      </c>
      <c r="BI38" s="1433">
        <f t="shared" si="33"/>
        <v>0.48988121425428949</v>
      </c>
      <c r="BJ38" s="1435">
        <f t="shared" si="33"/>
        <v>0.47705513370749425</v>
      </c>
      <c r="BK38" s="1433" t="e">
        <f t="shared" si="33"/>
        <v>#DIV/0!</v>
      </c>
      <c r="BL38" s="1433">
        <f t="shared" si="33"/>
        <v>0.52356262242193796</v>
      </c>
      <c r="BM38" s="1433">
        <f t="shared" si="33"/>
        <v>0.48283060223358731</v>
      </c>
      <c r="BN38" s="1435">
        <f t="shared" si="33"/>
        <v>0.50219058050383347</v>
      </c>
      <c r="BO38" s="1433"/>
      <c r="BP38" s="1433">
        <f>-BP31/BP30</f>
        <v>0.4569811320754717</v>
      </c>
      <c r="BQ38" s="1433">
        <f>-BQ31/BQ30</f>
        <v>0.47182962245885768</v>
      </c>
      <c r="BR38" s="1435">
        <f>-BR31/BR30</f>
        <v>0.46430960344003824</v>
      </c>
      <c r="BS38" s="1433"/>
      <c r="BT38" s="1433">
        <f>-BT31/BT30</f>
        <v>0.48939043209876543</v>
      </c>
      <c r="BU38" s="1433">
        <f>-BU31/BU30</f>
        <v>0.52819728541387878</v>
      </c>
      <c r="BV38" s="1435">
        <f>-BV31/BV30</f>
        <v>0.50888142102736433</v>
      </c>
      <c r="BW38" s="1433"/>
      <c r="BX38" s="1433">
        <f>-BX31/BX30</f>
        <v>0.52223738062755798</v>
      </c>
      <c r="BY38" s="1433">
        <f>-BY31/BY30</f>
        <v>0.54580391455894184</v>
      </c>
      <c r="BZ38" s="1435">
        <f>-BZ31/BZ30</f>
        <v>0.5341236927515326</v>
      </c>
      <c r="CA38" s="1433"/>
      <c r="CB38" s="1433">
        <f ca="1">-CB31/CB30</f>
        <v>0.5138466111486335</v>
      </c>
      <c r="CC38" s="1433">
        <f ca="1">-CC31/CC30</f>
        <v>0.49009760898868016</v>
      </c>
      <c r="CD38" s="1435">
        <f ca="1">-CD31/CD30</f>
        <v>0.50192729593466046</v>
      </c>
      <c r="CE38" s="1433"/>
      <c r="CF38" s="1433">
        <f ca="1">-CF31/CF30</f>
        <v>0.47809807839455376</v>
      </c>
      <c r="CG38" s="1433">
        <f ca="1">-CG31/CG30</f>
        <v>0.48303147098026744</v>
      </c>
      <c r="CH38" s="1435">
        <f ca="1">-CH31/CH30</f>
        <v>0.48058288531538934</v>
      </c>
      <c r="CI38" s="1433"/>
      <c r="CJ38" s="1433">
        <f ca="1">-CJ31/CJ30</f>
        <v>0.47111689042003135</v>
      </c>
      <c r="CK38" s="1433">
        <f ca="1">-CK31/CK30</f>
        <v>0.45924160849062856</v>
      </c>
      <c r="CL38" s="1433">
        <f ca="1">-CL31/CL30</f>
        <v>0.46513890709514677</v>
      </c>
      <c r="CM38" s="1379"/>
      <c r="CN38" s="1124"/>
      <c r="CO38" s="1343"/>
      <c r="CP38" s="1343"/>
      <c r="CQ38" s="1400"/>
      <c r="CR38" s="1343"/>
      <c r="CS38" s="1343"/>
      <c r="CT38" s="1343"/>
      <c r="CU38" s="1343"/>
      <c r="CV38" s="1343"/>
      <c r="CW38" s="1343"/>
      <c r="CX38" s="1343"/>
      <c r="CY38" s="1343"/>
      <c r="CZ38" s="1343"/>
      <c r="DA38" s="1128"/>
      <c r="DB38" s="1128"/>
      <c r="DC38" s="1128"/>
      <c r="DD38" s="1128"/>
      <c r="DE38" s="1128"/>
      <c r="DF38" s="1128"/>
      <c r="DG38" s="1128"/>
      <c r="DH38" s="1128"/>
      <c r="DI38" s="1128"/>
      <c r="DJ38" s="1128"/>
      <c r="DK38" s="1128"/>
      <c r="DL38" s="1128"/>
      <c r="DM38" s="1128"/>
      <c r="DN38" s="1128"/>
      <c r="DO38" s="1128"/>
      <c r="DP38" s="1128"/>
      <c r="DQ38" s="1128"/>
      <c r="DR38" s="1128"/>
      <c r="DS38" s="1128"/>
      <c r="DT38" s="1128"/>
      <c r="DU38" s="1128"/>
      <c r="DV38" s="1128"/>
      <c r="DW38" s="1128"/>
      <c r="DX38" s="1128"/>
      <c r="DY38" s="1128"/>
      <c r="DZ38" s="1128"/>
      <c r="EA38" s="1128"/>
      <c r="EB38" s="1128"/>
      <c r="EC38" s="1128"/>
      <c r="ED38" s="1128"/>
      <c r="EE38" s="1129"/>
      <c r="EF38" s="1128"/>
      <c r="EG38" s="1128"/>
      <c r="EH38" s="1128"/>
      <c r="EI38" s="1427"/>
      <c r="EJ38" s="1128"/>
      <c r="EK38" s="1128"/>
      <c r="EL38" s="1128"/>
      <c r="EM38" s="1427"/>
      <c r="EN38" s="1128"/>
      <c r="EO38" s="1128"/>
      <c r="EP38" s="1128"/>
      <c r="EQ38" s="1427"/>
      <c r="ER38" s="1128"/>
      <c r="ES38" s="1128"/>
      <c r="ET38" s="1128"/>
      <c r="EU38" s="1128"/>
      <c r="EV38" s="1128"/>
      <c r="EW38" s="1128"/>
      <c r="EX38" s="1128"/>
      <c r="EY38" s="1605"/>
      <c r="EZ38" s="1128"/>
      <c r="FA38" s="1128"/>
      <c r="FB38" s="1128"/>
      <c r="FC38" s="1128"/>
      <c r="FD38" s="1128"/>
      <c r="FE38" s="1128"/>
      <c r="FF38" s="1128"/>
      <c r="FG38" s="1128"/>
      <c r="FH38" s="1128"/>
      <c r="FI38" s="1128"/>
      <c r="FJ38" s="1128"/>
      <c r="FK38" s="1128"/>
      <c r="FL38" s="749"/>
      <c r="FM38" s="463"/>
      <c r="FN38" s="444"/>
      <c r="FO38" s="481"/>
      <c r="FP38" s="481"/>
      <c r="FQ38" s="481"/>
      <c r="FR38" s="481"/>
      <c r="FS38" s="597"/>
      <c r="FT38" s="444"/>
      <c r="FU38" s="444"/>
      <c r="FV38" s="444"/>
      <c r="FW38" s="444"/>
    </row>
    <row r="39" spans="1:179" ht="13.5" customHeight="1">
      <c r="A39" s="444"/>
      <c r="B39" s="444"/>
      <c r="C39" s="1374" t="s">
        <v>1089</v>
      </c>
      <c r="D39" s="1376"/>
      <c r="E39" s="1376"/>
      <c r="F39" s="1376"/>
      <c r="G39" s="1400"/>
      <c r="H39" s="1376">
        <v>-681</v>
      </c>
      <c r="I39" s="1376">
        <v>-1269</v>
      </c>
      <c r="J39" s="1376">
        <v>-1948</v>
      </c>
      <c r="K39" s="1400"/>
      <c r="L39" s="1376">
        <v>-1373</v>
      </c>
      <c r="M39" s="1376">
        <v>-1632</v>
      </c>
      <c r="N39" s="1376">
        <v>-3005</v>
      </c>
      <c r="O39" s="1400"/>
      <c r="P39" s="1376">
        <v>-1082</v>
      </c>
      <c r="Q39" s="1376">
        <v>-705</v>
      </c>
      <c r="R39" s="1376">
        <v>-1787</v>
      </c>
      <c r="S39" s="1376"/>
      <c r="T39" s="1376">
        <v>-660</v>
      </c>
      <c r="U39" s="1376">
        <v>-560</v>
      </c>
      <c r="V39" s="1376">
        <v>-1220</v>
      </c>
      <c r="W39" s="1376"/>
      <c r="X39" s="1383">
        <f>MODEL!BD520</f>
        <v>0</v>
      </c>
      <c r="Y39" s="1383">
        <f>MODEL!BE520</f>
        <v>0</v>
      </c>
      <c r="Z39" s="1377">
        <f>MODEL!BF520</f>
        <v>0</v>
      </c>
      <c r="AA39" s="1377"/>
      <c r="AB39" s="1383">
        <f>MODEL!BH520</f>
        <v>0</v>
      </c>
      <c r="AC39" s="1383">
        <f>MODEL!BI520</f>
        <v>0</v>
      </c>
      <c r="AD39" s="1377">
        <f>MODEL!BJ520</f>
        <v>0</v>
      </c>
      <c r="AE39" s="1377">
        <f>MODEL!BK520</f>
        <v>0</v>
      </c>
      <c r="AF39" s="1377">
        <f>MODEL!BL520</f>
        <v>0</v>
      </c>
      <c r="AG39" s="1377">
        <f>MODEL!BM520</f>
        <v>0</v>
      </c>
      <c r="AH39" s="1384">
        <f>MODEL!BN520</f>
        <v>0</v>
      </c>
      <c r="AI39" s="1377"/>
      <c r="AJ39" s="1377">
        <f>MODEL!BP520</f>
        <v>0</v>
      </c>
      <c r="AK39" s="1377">
        <f>MODEL!BQ520</f>
        <v>0</v>
      </c>
      <c r="AL39" s="1384">
        <f>MODEL!BR520</f>
        <v>0</v>
      </c>
      <c r="AM39" s="1377"/>
      <c r="AN39" s="1377">
        <f>MODEL!BT520</f>
        <v>0</v>
      </c>
      <c r="AO39" s="1377">
        <f>MODEL!BU520</f>
        <v>0</v>
      </c>
      <c r="AP39" s="1384">
        <f>MODEL!BV520</f>
        <v>0</v>
      </c>
      <c r="AQ39" s="1377"/>
      <c r="AR39" s="1377">
        <f>MODEL!BX520</f>
        <v>0</v>
      </c>
      <c r="AS39" s="1377">
        <f>MODEL!BY520</f>
        <v>0</v>
      </c>
      <c r="AT39" s="1384">
        <f>MODEL!BZ520</f>
        <v>0</v>
      </c>
      <c r="AU39" s="1360"/>
      <c r="AV39" s="1377">
        <f>MODEL!CB520</f>
        <v>406</v>
      </c>
      <c r="AW39" s="1377">
        <f>MODEL!CC520</f>
        <v>-19</v>
      </c>
      <c r="AX39" s="1377">
        <f>MODEL!CD520</f>
        <v>387</v>
      </c>
      <c r="AY39" s="1360"/>
      <c r="AZ39" s="1095">
        <f>MODEL!CF520</f>
        <v>238</v>
      </c>
      <c r="BA39" s="1377">
        <f>MODEL!CG520</f>
        <v>-95</v>
      </c>
      <c r="BB39" s="1384">
        <f>MODEL!CH520</f>
        <v>143</v>
      </c>
      <c r="BC39" s="1377"/>
      <c r="BD39" s="1377">
        <f>MODEL!CJ520</f>
        <v>-797</v>
      </c>
      <c r="BE39" s="1377">
        <f>MODEL!CK520</f>
        <v>-162</v>
      </c>
      <c r="BF39" s="1384">
        <f>MODEL!CL520</f>
        <v>-959</v>
      </c>
      <c r="BG39" s="1377"/>
      <c r="BH39" s="1377">
        <f>MODEL!CN520</f>
        <v>-659</v>
      </c>
      <c r="BI39" s="1377">
        <f>MODEL!CO520</f>
        <v>-68</v>
      </c>
      <c r="BJ39" s="1384">
        <f>MODEL!CP520</f>
        <v>-727</v>
      </c>
      <c r="BK39" s="1377"/>
      <c r="BL39" s="1377">
        <f>MODEL!CR520</f>
        <v>269</v>
      </c>
      <c r="BM39" s="1377">
        <f>MODEL!CS520</f>
        <v>18</v>
      </c>
      <c r="BN39" s="1384">
        <f>MODEL!CT520</f>
        <v>287</v>
      </c>
      <c r="BO39" s="1377"/>
      <c r="BP39" s="1377">
        <f>MODEL!CV520</f>
        <v>-60</v>
      </c>
      <c r="BQ39" s="1377">
        <f>MODEL!CW520</f>
        <v>35</v>
      </c>
      <c r="BR39" s="1384">
        <f>MODEL!CX520</f>
        <v>-25</v>
      </c>
      <c r="BS39" s="1377"/>
      <c r="BT39" s="1377">
        <f>MODEL!CZ520</f>
        <v>-21</v>
      </c>
      <c r="BU39" s="1377">
        <f>MODEL!DA520</f>
        <v>0</v>
      </c>
      <c r="BV39" s="1384">
        <f>MODEL!DB520</f>
        <v>-21</v>
      </c>
      <c r="BW39" s="1377"/>
      <c r="BX39" s="1377">
        <f>MODEL!DD520</f>
        <v>0</v>
      </c>
      <c r="BY39" s="1377">
        <f>MODEL!DE520</f>
        <v>-285</v>
      </c>
      <c r="BZ39" s="1384">
        <f>MODEL!DF520</f>
        <v>-285</v>
      </c>
      <c r="CA39" s="1377"/>
      <c r="CB39" s="1377">
        <f>MODEL!DH520</f>
        <v>0</v>
      </c>
      <c r="CC39" s="1377">
        <f>MODEL!DI520</f>
        <v>0</v>
      </c>
      <c r="CD39" s="1384">
        <f>MODEL!DJ520</f>
        <v>0</v>
      </c>
      <c r="CE39" s="1377"/>
      <c r="CF39" s="1377">
        <f>MODEL!DL520</f>
        <v>0</v>
      </c>
      <c r="CG39" s="1377">
        <f>MODEL!DM520</f>
        <v>0</v>
      </c>
      <c r="CH39" s="1384">
        <f>MODEL!DN520</f>
        <v>0</v>
      </c>
      <c r="CI39" s="1377"/>
      <c r="CJ39" s="1377">
        <f>MODEL!DP520</f>
        <v>0</v>
      </c>
      <c r="CK39" s="1377">
        <f>MODEL!DQ520</f>
        <v>0</v>
      </c>
      <c r="CL39" s="1377">
        <f>MODEL!DR520</f>
        <v>0</v>
      </c>
      <c r="CM39" s="1379"/>
      <c r="CN39" s="1399" t="s">
        <v>202</v>
      </c>
      <c r="CO39" s="1351">
        <v>220375</v>
      </c>
      <c r="CP39" s="1351">
        <v>233517</v>
      </c>
      <c r="CQ39" s="1351">
        <v>233517</v>
      </c>
      <c r="CR39" s="1343"/>
      <c r="CS39" s="1351">
        <v>233246</v>
      </c>
      <c r="CT39" s="1351">
        <v>248828</v>
      </c>
      <c r="CU39" s="1351">
        <v>248828</v>
      </c>
      <c r="CV39" s="1343"/>
      <c r="CW39" s="1351">
        <v>250165</v>
      </c>
      <c r="CX39" s="1351">
        <v>254875</v>
      </c>
      <c r="CY39" s="1351">
        <v>254875</v>
      </c>
      <c r="CZ39" s="1343"/>
      <c r="DA39" s="1130">
        <f>MODEL!BH1402/1000</f>
        <v>274.97800000000001</v>
      </c>
      <c r="DB39" s="1130">
        <f>MODEL!BI1402/1000</f>
        <v>287.65100000000001</v>
      </c>
      <c r="DC39" s="1130">
        <f>MODEL!BJ1402/1000</f>
        <v>287.65100000000001</v>
      </c>
      <c r="DD39" s="1130"/>
      <c r="DE39" s="1130">
        <f>MODEL!BL1402/1000</f>
        <v>305.32799999999997</v>
      </c>
      <c r="DF39" s="1130">
        <f>MODEL!BM1402/1000</f>
        <v>308.88499999999999</v>
      </c>
      <c r="DG39" s="1130">
        <f>MODEL!BN1402/1000</f>
        <v>308.88499999999999</v>
      </c>
      <c r="DH39" s="1130"/>
      <c r="DI39" s="1130">
        <f>MODEL!BP1402/1000</f>
        <v>339.697</v>
      </c>
      <c r="DJ39" s="1130">
        <f>MODEL!BQ1402/1000</f>
        <v>349.75099999999998</v>
      </c>
      <c r="DK39" s="1130">
        <f>MODEL!BR1402/1000</f>
        <v>349.75099999999998</v>
      </c>
      <c r="DL39" s="1130">
        <f>MODEL!BS1402/1000</f>
        <v>1.3230166566845258E-4</v>
      </c>
      <c r="DM39" s="1130">
        <f>MODEL!BT1402/1000</f>
        <v>334.30799999999999</v>
      </c>
      <c r="DN39" s="1130">
        <f>MODEL!BU1402/1000</f>
        <v>352.03300000000002</v>
      </c>
      <c r="DO39" s="1130">
        <f>MODEL!BV1402/1000</f>
        <v>352.03300000000002</v>
      </c>
      <c r="DP39" s="1130"/>
      <c r="DQ39" s="1130">
        <f>MODEL!BX1402/1000</f>
        <v>341.80900000000003</v>
      </c>
      <c r="DR39" s="1130">
        <f>MODEL!BY1402/1000</f>
        <v>336.834</v>
      </c>
      <c r="DS39" s="1130">
        <f>MODEL!BZ1402/1000</f>
        <v>336.834</v>
      </c>
      <c r="DT39" s="1130"/>
      <c r="DU39" s="1130">
        <f>MODEL!CB1402/1000</f>
        <v>342.822</v>
      </c>
      <c r="DV39" s="1130">
        <f>MODEL!CC1402/1000</f>
        <v>337.58</v>
      </c>
      <c r="DW39" s="1130">
        <f>MODEL!CD1402/1000</f>
        <v>337.58</v>
      </c>
      <c r="DX39" s="1130"/>
      <c r="DY39" s="1130"/>
      <c r="DZ39" s="1130"/>
      <c r="EA39" s="1130">
        <f>MODEL!CH1402/1000</f>
        <v>358.10599999999999</v>
      </c>
      <c r="EB39" s="1130"/>
      <c r="EC39" s="1130"/>
      <c r="ED39" s="1130"/>
      <c r="EE39" s="1130">
        <f>MODEL!CL1402/1000</f>
        <v>360.03699999999998</v>
      </c>
      <c r="EF39" s="1130"/>
      <c r="EG39" s="1437">
        <f>MODEL!CN1402/1000</f>
        <v>341.86200000000002</v>
      </c>
      <c r="EH39" s="1437">
        <f>MODEL!CO1402/1000</f>
        <v>342.49799999999999</v>
      </c>
      <c r="EI39" s="1437">
        <f>MODEL!CP1402/1000</f>
        <v>342.49799999999999</v>
      </c>
      <c r="EJ39" s="1130"/>
      <c r="EK39" s="1130">
        <f>MODEL!CR1402/1000</f>
        <v>348.81700000000001</v>
      </c>
      <c r="EL39" s="1130">
        <f>MODEL!CS1402/1000</f>
        <v>359.44200000000001</v>
      </c>
      <c r="EM39" s="1437">
        <f>MODEL!CT1402/1000</f>
        <v>359.44200000000001</v>
      </c>
      <c r="EN39" s="1130"/>
      <c r="EO39" s="1130"/>
      <c r="EP39" s="1130"/>
      <c r="EQ39" s="1437">
        <f>MODEL!CX1402/1000</f>
        <v>349.041</v>
      </c>
      <c r="ER39" s="1130"/>
      <c r="ES39" s="1130"/>
      <c r="ET39" s="1130"/>
      <c r="EU39" s="1130">
        <f>MODEL!DB1402/1000</f>
        <v>361.185</v>
      </c>
      <c r="EV39" s="1130"/>
      <c r="EW39" s="1130"/>
      <c r="EX39" s="1130"/>
      <c r="EY39" s="1606">
        <f>MODEL!DF1402/1000</f>
        <v>369.58300000000003</v>
      </c>
      <c r="EZ39" s="1130"/>
      <c r="FA39" s="1130"/>
      <c r="FB39" s="1130"/>
      <c r="FC39" s="1130">
        <f ca="1">MODEL!DJ1402/1000</f>
        <v>378.92984977178673</v>
      </c>
      <c r="FD39" s="1130"/>
      <c r="FE39" s="1130"/>
      <c r="FF39" s="1130"/>
      <c r="FG39" s="1130">
        <f ca="1">MODEL!DN1402/1000</f>
        <v>395.1038208602651</v>
      </c>
      <c r="FH39" s="1130"/>
      <c r="FI39" s="1130"/>
      <c r="FJ39" s="1130"/>
      <c r="FK39" s="1130">
        <f ca="1">MODEL!DR1402/1000</f>
        <v>411.01957472677429</v>
      </c>
      <c r="FL39" s="749"/>
      <c r="FM39" s="463"/>
      <c r="FN39" s="463"/>
      <c r="FO39" s="478"/>
      <c r="FP39" s="478"/>
      <c r="FQ39" s="478"/>
      <c r="FR39" s="478"/>
      <c r="FS39" s="479"/>
      <c r="FT39" s="444"/>
      <c r="FU39" s="444"/>
      <c r="FV39" s="444"/>
      <c r="FW39" s="444"/>
    </row>
    <row r="40" spans="1:179" ht="13.5" customHeight="1">
      <c r="A40" s="444"/>
      <c r="B40" s="444"/>
      <c r="C40" s="1374" t="s">
        <v>1090</v>
      </c>
      <c r="D40" s="1376"/>
      <c r="E40" s="1376"/>
      <c r="F40" s="1376"/>
      <c r="G40" s="1400"/>
      <c r="H40" s="1376">
        <v>-681</v>
      </c>
      <c r="I40" s="1376">
        <v>-1269</v>
      </c>
      <c r="J40" s="1376">
        <v>-1948</v>
      </c>
      <c r="K40" s="1400"/>
      <c r="L40" s="1376">
        <v>-1373</v>
      </c>
      <c r="M40" s="1376">
        <v>-1632</v>
      </c>
      <c r="N40" s="1376">
        <v>-3005</v>
      </c>
      <c r="O40" s="1400"/>
      <c r="P40" s="1376">
        <v>-1082</v>
      </c>
      <c r="Q40" s="1376">
        <v>-705</v>
      </c>
      <c r="R40" s="1376">
        <v>-1787</v>
      </c>
      <c r="S40" s="1376"/>
      <c r="T40" s="1376">
        <v>-660</v>
      </c>
      <c r="U40" s="1376">
        <v>-560</v>
      </c>
      <c r="V40" s="1376">
        <v>-1220</v>
      </c>
      <c r="W40" s="1376"/>
      <c r="X40" s="1383">
        <f>MODEL!BD521</f>
        <v>0</v>
      </c>
      <c r="Y40" s="1383">
        <f>MODEL!BE521</f>
        <v>0</v>
      </c>
      <c r="Z40" s="1377">
        <f>MODEL!BF521</f>
        <v>0</v>
      </c>
      <c r="AA40" s="1377"/>
      <c r="AB40" s="1383">
        <f>MODEL!BH521</f>
        <v>0</v>
      </c>
      <c r="AC40" s="1383">
        <f>MODEL!BI521</f>
        <v>0</v>
      </c>
      <c r="AD40" s="1377">
        <f>MODEL!BJ521</f>
        <v>0</v>
      </c>
      <c r="AE40" s="1377">
        <f>MODEL!BK521</f>
        <v>0</v>
      </c>
      <c r="AF40" s="1377">
        <f>MODEL!BL521</f>
        <v>0</v>
      </c>
      <c r="AG40" s="1377">
        <f>MODEL!BM521</f>
        <v>0</v>
      </c>
      <c r="AH40" s="1384">
        <f>MODEL!BN521</f>
        <v>0</v>
      </c>
      <c r="AI40" s="1377"/>
      <c r="AJ40" s="1377">
        <f>MODEL!BP521</f>
        <v>0</v>
      </c>
      <c r="AK40" s="1377">
        <f>MODEL!BQ521</f>
        <v>0</v>
      </c>
      <c r="AL40" s="1384">
        <f>MODEL!BR521</f>
        <v>0</v>
      </c>
      <c r="AM40" s="1377"/>
      <c r="AN40" s="1377">
        <f>MODEL!BT521</f>
        <v>0</v>
      </c>
      <c r="AO40" s="1377">
        <f>MODEL!BU521</f>
        <v>0</v>
      </c>
      <c r="AP40" s="1384">
        <f>MODEL!BV521</f>
        <v>0</v>
      </c>
      <c r="AQ40" s="1377"/>
      <c r="AR40" s="1377">
        <f>MODEL!BX521</f>
        <v>0</v>
      </c>
      <c r="AS40" s="1377">
        <f>MODEL!BY521</f>
        <v>0</v>
      </c>
      <c r="AT40" s="1384">
        <f>MODEL!BZ521</f>
        <v>0</v>
      </c>
      <c r="AU40" s="1360"/>
      <c r="AV40" s="1377">
        <f>MODEL!CB521</f>
        <v>-189</v>
      </c>
      <c r="AW40" s="1377">
        <f>MODEL!CC521</f>
        <v>-649</v>
      </c>
      <c r="AX40" s="1377">
        <f>MODEL!CD521</f>
        <v>-838</v>
      </c>
      <c r="AY40" s="1360"/>
      <c r="AZ40" s="1095">
        <f>MODEL!CF521</f>
        <v>-125</v>
      </c>
      <c r="BA40" s="1377">
        <f>MODEL!CG521</f>
        <v>-384</v>
      </c>
      <c r="BB40" s="1384">
        <f>MODEL!CH521</f>
        <v>-509</v>
      </c>
      <c r="BC40" s="1377"/>
      <c r="BD40" s="1377">
        <f>MODEL!CJ521</f>
        <v>-244</v>
      </c>
      <c r="BE40" s="1377">
        <f>MODEL!CK521</f>
        <v>-490</v>
      </c>
      <c r="BF40" s="1384">
        <f>MODEL!CL521</f>
        <v>-734</v>
      </c>
      <c r="BG40" s="1377"/>
      <c r="BH40" s="1377">
        <f>MODEL!CN521</f>
        <v>-266</v>
      </c>
      <c r="BI40" s="1377">
        <f>MODEL!CO521</f>
        <v>-115</v>
      </c>
      <c r="BJ40" s="1384">
        <f>MODEL!CP521</f>
        <v>-381</v>
      </c>
      <c r="BK40" s="1377"/>
      <c r="BL40" s="1377">
        <f>MODEL!CR521</f>
        <v>-247</v>
      </c>
      <c r="BM40" s="1377">
        <f>MODEL!CS521</f>
        <v>-162</v>
      </c>
      <c r="BN40" s="1384">
        <f>MODEL!CT521</f>
        <v>-409</v>
      </c>
      <c r="BO40" s="1377"/>
      <c r="BP40" s="1377">
        <f>MODEL!CV521</f>
        <v>-153</v>
      </c>
      <c r="BQ40" s="1377">
        <f>MODEL!CW521</f>
        <v>-268</v>
      </c>
      <c r="BR40" s="1384">
        <f>MODEL!CX521</f>
        <v>-421</v>
      </c>
      <c r="BS40" s="1377"/>
      <c r="BT40" s="1377">
        <f>MODEL!CZ521</f>
        <v>-141</v>
      </c>
      <c r="BU40" s="1377">
        <f>MODEL!DA521</f>
        <v>0</v>
      </c>
      <c r="BV40" s="1384">
        <f>MODEL!DB521</f>
        <v>-141</v>
      </c>
      <c r="BW40" s="1377"/>
      <c r="BX40" s="1377">
        <f>MODEL!DD521</f>
        <v>0</v>
      </c>
      <c r="BY40" s="1377">
        <f>MODEL!DE521</f>
        <v>-1031</v>
      </c>
      <c r="BZ40" s="1384">
        <f>MODEL!DF521</f>
        <v>-1031</v>
      </c>
      <c r="CA40" s="1377"/>
      <c r="CB40" s="1377">
        <f>MODEL!DH521</f>
        <v>0</v>
      </c>
      <c r="CC40" s="1377">
        <f>MODEL!DI521</f>
        <v>0</v>
      </c>
      <c r="CD40" s="1384">
        <f>MODEL!DJ521</f>
        <v>0</v>
      </c>
      <c r="CE40" s="1377"/>
      <c r="CF40" s="1377">
        <f>MODEL!DL521</f>
        <v>0</v>
      </c>
      <c r="CG40" s="1377">
        <f>MODEL!DM521</f>
        <v>0</v>
      </c>
      <c r="CH40" s="1384">
        <f>MODEL!DN521</f>
        <v>0</v>
      </c>
      <c r="CI40" s="1377"/>
      <c r="CJ40" s="1377">
        <f>MODEL!DP521</f>
        <v>0</v>
      </c>
      <c r="CK40" s="1377">
        <f>MODEL!DQ521</f>
        <v>0</v>
      </c>
      <c r="CL40" s="1377">
        <f>MODEL!DR521</f>
        <v>0</v>
      </c>
      <c r="CM40" s="1379"/>
      <c r="CN40" s="1399" t="s">
        <v>203</v>
      </c>
      <c r="CO40" s="1343">
        <v>248961</v>
      </c>
      <c r="CP40" s="1343">
        <v>264242</v>
      </c>
      <c r="CQ40" s="1343">
        <v>264242</v>
      </c>
      <c r="CR40" s="1343"/>
      <c r="CS40" s="1343">
        <v>264236</v>
      </c>
      <c r="CT40" s="1343">
        <v>279964</v>
      </c>
      <c r="CU40" s="1343">
        <v>279964</v>
      </c>
      <c r="CV40" s="1343"/>
      <c r="CW40" s="1343">
        <v>284836</v>
      </c>
      <c r="CX40" s="1343">
        <v>300119</v>
      </c>
      <c r="CY40" s="1343">
        <v>300119</v>
      </c>
      <c r="CZ40" s="1343"/>
      <c r="DA40" s="1130">
        <f>MODEL!BH1407/1000</f>
        <v>322.58199999999999</v>
      </c>
      <c r="DB40" s="1130">
        <f>MODEL!BI1407/1000</f>
        <v>339.26499999999999</v>
      </c>
      <c r="DC40" s="1130">
        <f>MODEL!BJ1407/1000</f>
        <v>339.26499999999999</v>
      </c>
      <c r="DD40" s="1130"/>
      <c r="DE40" s="1130">
        <f>MODEL!BL1407/1000</f>
        <v>360.74</v>
      </c>
      <c r="DF40" s="1130">
        <f>MODEL!BM1407/1000</f>
        <v>361.529</v>
      </c>
      <c r="DG40" s="1130">
        <f>MODEL!BN1407/1000</f>
        <v>361.529</v>
      </c>
      <c r="DH40" s="1130"/>
      <c r="DI40" s="1130">
        <f>MODEL!BP1407/1000</f>
        <v>386.863</v>
      </c>
      <c r="DJ40" s="1130">
        <f>MODEL!BQ1407/1000</f>
        <v>401.93700000000001</v>
      </c>
      <c r="DK40" s="1130">
        <f>MODEL!BR1407/1000</f>
        <v>401.93700000000001</v>
      </c>
      <c r="DL40" s="1130">
        <f>MODEL!BS1407/1000</f>
        <v>1.1176973354834607E-4</v>
      </c>
      <c r="DM40" s="1130">
        <f>MODEL!BT1407/1000</f>
        <v>388.33499999999998</v>
      </c>
      <c r="DN40" s="1130">
        <f>MODEL!BU1407/1000</f>
        <v>408.58199999999999</v>
      </c>
      <c r="DO40" s="1130">
        <f>MODEL!BV1407/1000</f>
        <v>408.58199999999999</v>
      </c>
      <c r="DP40" s="1130"/>
      <c r="DQ40" s="1130">
        <f>MODEL!BX1407/1000</f>
        <v>397.04</v>
      </c>
      <c r="DR40" s="1130">
        <f>MODEL!BY1407/1000</f>
        <v>391.113</v>
      </c>
      <c r="DS40" s="1130">
        <f>MODEL!BZ1407/1000</f>
        <v>391.113</v>
      </c>
      <c r="DT40" s="1130"/>
      <c r="DU40" s="1130">
        <f>MODEL!CB1407/1000</f>
        <v>395.77699999999999</v>
      </c>
      <c r="DV40" s="1130">
        <f>MODEL!CC1407/1000</f>
        <v>390.82</v>
      </c>
      <c r="DW40" s="1130">
        <f>MODEL!CD1407/1000</f>
        <v>390.82</v>
      </c>
      <c r="DX40" s="1130"/>
      <c r="DY40" s="1130"/>
      <c r="DZ40" s="1130"/>
      <c r="EA40" s="1130">
        <f>MODEL!CH1407/1000</f>
        <v>416.96100000000001</v>
      </c>
      <c r="EB40" s="1130"/>
      <c r="EC40" s="1130"/>
      <c r="ED40" s="1130"/>
      <c r="EE40" s="1130">
        <f>MODEL!CL1407/1000</f>
        <v>429.38400000000001</v>
      </c>
      <c r="EF40" s="1130"/>
      <c r="EG40" s="1130"/>
      <c r="EH40" s="1130"/>
      <c r="EI40" s="1437">
        <f>MODEL!CP1407/1000</f>
        <v>416.08600000000001</v>
      </c>
      <c r="EJ40" s="1130"/>
      <c r="EK40" s="1130"/>
      <c r="EL40" s="1130"/>
      <c r="EM40" s="1437">
        <f>MODEL!CT1407/1000</f>
        <v>454.71800000000002</v>
      </c>
      <c r="EN40" s="1130"/>
      <c r="EO40" s="1130"/>
      <c r="EP40" s="1130"/>
      <c r="EQ40" s="1437">
        <f>MODEL!CX1407/1000</f>
        <v>433.327</v>
      </c>
      <c r="ER40" s="1130"/>
      <c r="ES40" s="1130"/>
      <c r="ET40" s="1130"/>
      <c r="EU40" s="1130">
        <f>MODEL!DB1407/1000</f>
        <v>446.58199999999999</v>
      </c>
      <c r="EV40" s="1130"/>
      <c r="EW40" s="1130"/>
      <c r="EX40" s="1130"/>
      <c r="EY40" s="1606">
        <f>MODEL!DF1407/1000</f>
        <v>458.54700000000003</v>
      </c>
      <c r="EZ40" s="1130"/>
      <c r="FA40" s="1130"/>
      <c r="FB40" s="1130"/>
      <c r="FC40" s="1130">
        <f ca="1">MODEL!DJ1407/1000</f>
        <v>477.05798778344376</v>
      </c>
      <c r="FD40" s="1130"/>
      <c r="FE40" s="1130"/>
      <c r="FF40" s="1130"/>
      <c r="FG40" s="1130">
        <f ca="1">MODEL!DN1407/1000</f>
        <v>492.89087738192205</v>
      </c>
      <c r="FH40" s="1130"/>
      <c r="FI40" s="1130"/>
      <c r="FJ40" s="1130"/>
      <c r="FK40" s="1130">
        <f ca="1">MODEL!DR1407/1000</f>
        <v>512.77217145862096</v>
      </c>
      <c r="FL40" s="1259"/>
      <c r="FM40" s="597"/>
      <c r="FN40" s="444"/>
      <c r="FO40" s="481"/>
      <c r="FP40" s="481"/>
      <c r="FQ40" s="481"/>
      <c r="FR40" s="481"/>
      <c r="FS40" s="481"/>
      <c r="FT40" s="444"/>
      <c r="FU40" s="444"/>
      <c r="FV40" s="444"/>
      <c r="FW40" s="444"/>
    </row>
    <row r="41" spans="1:179" ht="13.5" customHeight="1">
      <c r="A41" s="444"/>
      <c r="B41" s="444"/>
      <c r="C41" s="1374" t="s">
        <v>1108</v>
      </c>
      <c r="D41" s="1376"/>
      <c r="E41" s="1376"/>
      <c r="F41" s="1376"/>
      <c r="G41" s="1400"/>
      <c r="H41" s="1376">
        <v>-681</v>
      </c>
      <c r="I41" s="1376">
        <v>-1269</v>
      </c>
      <c r="J41" s="1376">
        <v>-1948</v>
      </c>
      <c r="K41" s="1400"/>
      <c r="L41" s="1376">
        <v>-1373</v>
      </c>
      <c r="M41" s="1376">
        <v>-1632</v>
      </c>
      <c r="N41" s="1376">
        <v>-3005</v>
      </c>
      <c r="O41" s="1400"/>
      <c r="P41" s="1376">
        <v>-1082</v>
      </c>
      <c r="Q41" s="1376">
        <v>-705</v>
      </c>
      <c r="R41" s="1376">
        <v>-1787</v>
      </c>
      <c r="S41" s="1376"/>
      <c r="T41" s="1376">
        <v>-660</v>
      </c>
      <c r="U41" s="1376">
        <v>-560</v>
      </c>
      <c r="V41" s="1376">
        <v>-1220</v>
      </c>
      <c r="W41" s="1376"/>
      <c r="X41" s="1383">
        <f>MODEL!BD523</f>
        <v>0</v>
      </c>
      <c r="Y41" s="1383">
        <f>MODEL!BE523</f>
        <v>0</v>
      </c>
      <c r="Z41" s="1377">
        <f>MODEL!BF523</f>
        <v>0</v>
      </c>
      <c r="AA41" s="1377"/>
      <c r="AB41" s="1383">
        <f>MODEL!BH523</f>
        <v>0</v>
      </c>
      <c r="AC41" s="1383">
        <f>MODEL!BI523</f>
        <v>0</v>
      </c>
      <c r="AD41" s="1377">
        <f>MODEL!BJ523</f>
        <v>0</v>
      </c>
      <c r="AE41" s="1377">
        <f>MODEL!BK523</f>
        <v>0</v>
      </c>
      <c r="AF41" s="1377">
        <f>MODEL!BL523</f>
        <v>0</v>
      </c>
      <c r="AG41" s="1377">
        <f>MODEL!BM523</f>
        <v>0</v>
      </c>
      <c r="AH41" s="1384">
        <f>MODEL!BN523</f>
        <v>0</v>
      </c>
      <c r="AI41" s="1377"/>
      <c r="AJ41" s="1377">
        <f>MODEL!BP523</f>
        <v>0</v>
      </c>
      <c r="AK41" s="1377">
        <f>MODEL!BQ523</f>
        <v>0</v>
      </c>
      <c r="AL41" s="1384">
        <f>MODEL!BR523</f>
        <v>0</v>
      </c>
      <c r="AM41" s="1377"/>
      <c r="AN41" s="1377">
        <f>MODEL!BT523</f>
        <v>0</v>
      </c>
      <c r="AO41" s="1377">
        <f>MODEL!BU523</f>
        <v>0</v>
      </c>
      <c r="AP41" s="1384">
        <f>MODEL!BV523</f>
        <v>0</v>
      </c>
      <c r="AQ41" s="1377"/>
      <c r="AR41" s="1377">
        <f>MODEL!BX523</f>
        <v>0</v>
      </c>
      <c r="AS41" s="1377">
        <f>MODEL!BY523</f>
        <v>0</v>
      </c>
      <c r="AT41" s="1384">
        <f>MODEL!BZ523</f>
        <v>0</v>
      </c>
      <c r="AU41" s="1360"/>
      <c r="AV41" s="1377">
        <f>MODEL!CB523</f>
        <v>0</v>
      </c>
      <c r="AW41" s="1377">
        <f>MODEL!CC523</f>
        <v>-28</v>
      </c>
      <c r="AX41" s="1377">
        <f>MODEL!CD523</f>
        <v>-28</v>
      </c>
      <c r="AY41" s="1360"/>
      <c r="AZ41" s="1095">
        <f>MODEL!CF523</f>
        <v>1</v>
      </c>
      <c r="BA41" s="1377">
        <f>MODEL!CG523</f>
        <v>-2</v>
      </c>
      <c r="BB41" s="1384">
        <f>MODEL!CH523</f>
        <v>-1</v>
      </c>
      <c r="BC41" s="1377"/>
      <c r="BD41" s="1377">
        <f>MODEL!CJ523</f>
        <v>-20</v>
      </c>
      <c r="BE41" s="1377">
        <f>MODEL!CK523</f>
        <v>-3</v>
      </c>
      <c r="BF41" s="1384">
        <f>MODEL!CL523</f>
        <v>-23</v>
      </c>
      <c r="BG41" s="1377"/>
      <c r="BH41" s="1377">
        <f>MODEL!CN523</f>
        <v>0</v>
      </c>
      <c r="BI41" s="1377">
        <f>MODEL!CO523</f>
        <v>0</v>
      </c>
      <c r="BJ41" s="1384">
        <f>MODEL!CP523</f>
        <v>0</v>
      </c>
      <c r="BK41" s="1377"/>
      <c r="BL41" s="1377">
        <f>MODEL!CR523</f>
        <v>-4</v>
      </c>
      <c r="BM41" s="1377">
        <f>MODEL!CS523</f>
        <v>0</v>
      </c>
      <c r="BN41" s="1384">
        <f>MODEL!CT523</f>
        <v>-4</v>
      </c>
      <c r="BO41" s="1377"/>
      <c r="BP41" s="1377">
        <f>MODEL!CV523</f>
        <v>0</v>
      </c>
      <c r="BQ41" s="1377">
        <f>MODEL!CW523</f>
        <v>0</v>
      </c>
      <c r="BR41" s="1384">
        <f>MODEL!CX523</f>
        <v>0</v>
      </c>
      <c r="BS41" s="1377"/>
      <c r="BT41" s="1377">
        <f>MODEL!CZ523</f>
        <v>0</v>
      </c>
      <c r="BU41" s="1377">
        <f>MODEL!DA523</f>
        <v>0</v>
      </c>
      <c r="BV41" s="1384">
        <f>MODEL!DB523</f>
        <v>0</v>
      </c>
      <c r="BW41" s="1377"/>
      <c r="BX41" s="1377">
        <f>MODEL!DD523</f>
        <v>0</v>
      </c>
      <c r="BY41" s="1377">
        <f>MODEL!DE523</f>
        <v>0</v>
      </c>
      <c r="BZ41" s="1384">
        <f>MODEL!DF523</f>
        <v>0</v>
      </c>
      <c r="CA41" s="1377"/>
      <c r="CB41" s="1377">
        <f>MODEL!DH523</f>
        <v>0</v>
      </c>
      <c r="CC41" s="1377">
        <f>MODEL!DI523</f>
        <v>0</v>
      </c>
      <c r="CD41" s="1384">
        <f>MODEL!DJ523</f>
        <v>0</v>
      </c>
      <c r="CE41" s="1377"/>
      <c r="CF41" s="1377">
        <f>MODEL!DL523</f>
        <v>0</v>
      </c>
      <c r="CG41" s="1377">
        <f>MODEL!DM523</f>
        <v>0</v>
      </c>
      <c r="CH41" s="1384">
        <f>MODEL!DN523</f>
        <v>0</v>
      </c>
      <c r="CI41" s="1377"/>
      <c r="CJ41" s="1377">
        <f>MODEL!DP523</f>
        <v>0</v>
      </c>
      <c r="CK41" s="1377">
        <f>MODEL!DQ523</f>
        <v>0</v>
      </c>
      <c r="CL41" s="1377">
        <f>MODEL!DR523</f>
        <v>0</v>
      </c>
      <c r="CM41" s="1379"/>
      <c r="CN41" s="1399" t="s">
        <v>826</v>
      </c>
      <c r="CO41" s="1352"/>
      <c r="CP41" s="1352"/>
      <c r="CQ41" s="1352"/>
      <c r="CR41" s="1352"/>
      <c r="CS41" s="1352"/>
      <c r="CT41" s="1352"/>
      <c r="CU41" s="1352"/>
      <c r="CV41" s="1352"/>
      <c r="CW41" s="1352"/>
      <c r="CX41" s="1352"/>
      <c r="CY41" s="1352"/>
      <c r="CZ41" s="1352"/>
      <c r="DA41" s="1352"/>
      <c r="DB41" s="1352"/>
      <c r="DC41" s="1352"/>
      <c r="DD41" s="1352"/>
      <c r="DE41" s="1352"/>
      <c r="DF41" s="1352"/>
      <c r="DG41" s="1352"/>
      <c r="DH41" s="1352"/>
      <c r="DI41" s="1352"/>
      <c r="DJ41" s="1352"/>
      <c r="DK41" s="1352"/>
      <c r="DL41" s="1352"/>
      <c r="DM41" s="1352"/>
      <c r="DN41" s="1352"/>
      <c r="DO41" s="1130">
        <f>MODEL!BV1468*100</f>
        <v>24.424833565567425</v>
      </c>
      <c r="DP41" s="1130"/>
      <c r="DQ41" s="1130"/>
      <c r="DR41" s="1130"/>
      <c r="DS41" s="1130">
        <f>MODEL!BZ1468*100</f>
        <v>26.337719476480359</v>
      </c>
      <c r="DT41" s="1130"/>
      <c r="DU41" s="1130">
        <f>MODEL!CB1468*100</f>
        <v>26.510299578249459</v>
      </c>
      <c r="DV41" s="1130">
        <f>MODEL!CC1468*100</f>
        <v>25.99972964161611</v>
      </c>
      <c r="DW41" s="1130">
        <f>MODEL!CD1468*100</f>
        <v>25.99972964161611</v>
      </c>
      <c r="DX41" s="1130"/>
      <c r="DY41" s="1130"/>
      <c r="DZ41" s="1130"/>
      <c r="EA41" s="1130">
        <f>MODEL!CH1468*100</f>
        <v>28.277437597138739</v>
      </c>
      <c r="EB41" s="1130"/>
      <c r="EC41" s="1130"/>
      <c r="ED41" s="1130"/>
      <c r="EE41" s="1130">
        <f>MODEL!CL1468*100</f>
        <v>28.151201664175669</v>
      </c>
      <c r="EF41" s="1130"/>
      <c r="EG41" s="1130"/>
      <c r="EH41" s="1130"/>
      <c r="EI41" s="1437">
        <f>MODEL!CP1468*100</f>
        <v>26.985730982760298</v>
      </c>
      <c r="EJ41" s="1130"/>
      <c r="EK41" s="1130"/>
      <c r="EL41" s="1130"/>
      <c r="EM41" s="1437">
        <f>MODEL!CT1468*100</f>
        <v>27.454168274797375</v>
      </c>
      <c r="EN41" s="1130"/>
      <c r="EO41" s="1130"/>
      <c r="EP41" s="1130"/>
      <c r="EQ41" s="1437">
        <f>MODEL!CX1468*100</f>
        <v>26.525587452150486</v>
      </c>
      <c r="ER41" s="1130"/>
      <c r="ES41" s="1130"/>
      <c r="ET41" s="1130"/>
      <c r="EU41" s="1130">
        <f>MODEL!DB1468*100</f>
        <v>25.85565372147715</v>
      </c>
      <c r="EV41" s="1130"/>
      <c r="EW41" s="1130"/>
      <c r="EX41" s="1130"/>
      <c r="EY41" s="1606">
        <f>MODEL!DF1468*100</f>
        <v>26.575188052209569</v>
      </c>
      <c r="EZ41" s="1130"/>
      <c r="FA41" s="1130"/>
      <c r="FB41" s="1130"/>
      <c r="FC41" s="1130">
        <f>MODEL!DJ1468*100</f>
        <v>26.575426382724409</v>
      </c>
      <c r="FD41" s="1130"/>
      <c r="FE41" s="1130"/>
      <c r="FF41" s="1130"/>
      <c r="FG41" s="1130">
        <f>MODEL!DN1468*100</f>
        <v>26.575683092487324</v>
      </c>
      <c r="FH41" s="1130"/>
      <c r="FI41" s="1130"/>
      <c r="FJ41" s="1130"/>
      <c r="FK41" s="1130">
        <f>MODEL!DR1468*100</f>
        <v>26.575937460013744</v>
      </c>
      <c r="FL41" s="1259"/>
      <c r="FM41" s="463"/>
      <c r="FN41" s="463"/>
      <c r="FO41" s="478"/>
      <c r="FP41" s="478"/>
      <c r="FQ41" s="478"/>
      <c r="FR41" s="478"/>
      <c r="FS41" s="479"/>
      <c r="FT41" s="444"/>
      <c r="FU41" s="444"/>
      <c r="FV41" s="444"/>
      <c r="FW41" s="444"/>
    </row>
    <row r="42" spans="1:179" ht="13.8">
      <c r="A42" s="444"/>
      <c r="B42" s="444"/>
      <c r="C42" s="1356" t="s">
        <v>1021</v>
      </c>
      <c r="D42" s="1357"/>
      <c r="E42" s="1357"/>
      <c r="F42" s="1357"/>
      <c r="G42" s="1425"/>
      <c r="H42" s="1357">
        <v>-681</v>
      </c>
      <c r="I42" s="1357">
        <v>-1269</v>
      </c>
      <c r="J42" s="1357">
        <v>-1948</v>
      </c>
      <c r="K42" s="1425"/>
      <c r="L42" s="1357">
        <v>-1373</v>
      </c>
      <c r="M42" s="1357">
        <v>-1632</v>
      </c>
      <c r="N42" s="1357">
        <v>-3005</v>
      </c>
      <c r="O42" s="1425"/>
      <c r="P42" s="1357">
        <v>-1082</v>
      </c>
      <c r="Q42" s="1357">
        <v>-705</v>
      </c>
      <c r="R42" s="1357">
        <v>-1787</v>
      </c>
      <c r="S42" s="1357"/>
      <c r="T42" s="1357">
        <v>-660</v>
      </c>
      <c r="U42" s="1357">
        <v>-560</v>
      </c>
      <c r="V42" s="1357">
        <v>-1220</v>
      </c>
      <c r="W42" s="1357"/>
      <c r="X42" s="1359">
        <f>MODEL!BD524</f>
        <v>0</v>
      </c>
      <c r="Y42" s="1359">
        <f>MODEL!BE524</f>
        <v>0</v>
      </c>
      <c r="Z42" s="1087">
        <f>MODEL!BF524</f>
        <v>0</v>
      </c>
      <c r="AA42" s="1087"/>
      <c r="AB42" s="1359">
        <f>MODEL!BH524</f>
        <v>0</v>
      </c>
      <c r="AC42" s="1359">
        <f>MODEL!BI524</f>
        <v>0</v>
      </c>
      <c r="AD42" s="1087">
        <f>MODEL!BJ524</f>
        <v>0</v>
      </c>
      <c r="AE42" s="1087">
        <f>MODEL!BK524</f>
        <v>0</v>
      </c>
      <c r="AF42" s="1087">
        <f>MODEL!BL524</f>
        <v>0</v>
      </c>
      <c r="AG42" s="1087">
        <f>MODEL!BM524</f>
        <v>0</v>
      </c>
      <c r="AH42" s="1087">
        <f>MODEL!BN524</f>
        <v>0</v>
      </c>
      <c r="AI42" s="1087"/>
      <c r="AJ42" s="1087">
        <f>MODEL!BP524</f>
        <v>0</v>
      </c>
      <c r="AK42" s="1087">
        <f>MODEL!BQ524</f>
        <v>0</v>
      </c>
      <c r="AL42" s="1087">
        <f>MODEL!BR524</f>
        <v>0</v>
      </c>
      <c r="AM42" s="1087"/>
      <c r="AN42" s="1087">
        <f>MODEL!BT524</f>
        <v>0</v>
      </c>
      <c r="AO42" s="1087">
        <f>MODEL!BU524</f>
        <v>0</v>
      </c>
      <c r="AP42" s="1087">
        <f>MODEL!BV524</f>
        <v>0</v>
      </c>
      <c r="AQ42" s="1087"/>
      <c r="AR42" s="1087">
        <f>MODEL!BX524</f>
        <v>0</v>
      </c>
      <c r="AS42" s="1087">
        <f>MODEL!BY524</f>
        <v>0</v>
      </c>
      <c r="AT42" s="1087">
        <f>MODEL!BZ524</f>
        <v>0</v>
      </c>
      <c r="AU42" s="1087"/>
      <c r="AV42" s="1087">
        <f>MODEL!CB524</f>
        <v>217</v>
      </c>
      <c r="AW42" s="1087">
        <f>MODEL!CC524</f>
        <v>-696</v>
      </c>
      <c r="AX42" s="1087">
        <f>MODEL!CD524</f>
        <v>-479</v>
      </c>
      <c r="AY42" s="1087"/>
      <c r="AZ42" s="1087">
        <f>MODEL!CF524</f>
        <v>114</v>
      </c>
      <c r="BA42" s="1087">
        <f>MODEL!CG524</f>
        <v>-481</v>
      </c>
      <c r="BB42" s="1087">
        <f>MODEL!CH524</f>
        <v>-367</v>
      </c>
      <c r="BC42" s="1087"/>
      <c r="BD42" s="1087">
        <f>MODEL!CJ524</f>
        <v>-1061</v>
      </c>
      <c r="BE42" s="1087">
        <f>MODEL!CK524</f>
        <v>-655</v>
      </c>
      <c r="BF42" s="1360">
        <f>MODEL!CL524</f>
        <v>-1716</v>
      </c>
      <c r="BG42" s="1087"/>
      <c r="BH42" s="1087">
        <f>MODEL!CN524</f>
        <v>-925</v>
      </c>
      <c r="BI42" s="1087">
        <f>MODEL!CO524</f>
        <v>-183</v>
      </c>
      <c r="BJ42" s="1360">
        <f>MODEL!CP524</f>
        <v>-1108</v>
      </c>
      <c r="BK42" s="1087"/>
      <c r="BL42" s="1087">
        <f>MODEL!CR524</f>
        <v>18</v>
      </c>
      <c r="BM42" s="1087">
        <f>MODEL!CS524</f>
        <v>-144</v>
      </c>
      <c r="BN42" s="1360">
        <f>MODEL!CT524</f>
        <v>-126</v>
      </c>
      <c r="BO42" s="1087"/>
      <c r="BP42" s="1087">
        <f>MODEL!CV524</f>
        <v>-213</v>
      </c>
      <c r="BQ42" s="1087">
        <f>MODEL!CW524</f>
        <v>-233</v>
      </c>
      <c r="BR42" s="1360">
        <f>MODEL!CX524</f>
        <v>-446</v>
      </c>
      <c r="BS42" s="1087"/>
      <c r="BT42" s="1087">
        <f>MODEL!CZ524</f>
        <v>-162</v>
      </c>
      <c r="BU42" s="1087">
        <f>MODEL!DA524</f>
        <v>0</v>
      </c>
      <c r="BV42" s="1360">
        <f>MODEL!DB524</f>
        <v>-162</v>
      </c>
      <c r="BW42" s="1087"/>
      <c r="BX42" s="1087">
        <f>MODEL!DD524</f>
        <v>0</v>
      </c>
      <c r="BY42" s="1087">
        <f>MODEL!DE524</f>
        <v>-1316</v>
      </c>
      <c r="BZ42" s="1360">
        <f>MODEL!DF524</f>
        <v>-1316</v>
      </c>
      <c r="CA42" s="1087"/>
      <c r="CB42" s="1087">
        <f>MODEL!DH524</f>
        <v>0</v>
      </c>
      <c r="CC42" s="1087">
        <f>MODEL!DI524</f>
        <v>0</v>
      </c>
      <c r="CD42" s="1360">
        <f>MODEL!DJ524</f>
        <v>0</v>
      </c>
      <c r="CE42" s="1087"/>
      <c r="CF42" s="1087">
        <f>MODEL!DL524</f>
        <v>0</v>
      </c>
      <c r="CG42" s="1087">
        <f>MODEL!DM524</f>
        <v>0</v>
      </c>
      <c r="CH42" s="1360">
        <f>MODEL!DN524</f>
        <v>0</v>
      </c>
      <c r="CI42" s="1087"/>
      <c r="CJ42" s="1087">
        <f>MODEL!DP524</f>
        <v>0</v>
      </c>
      <c r="CK42" s="1087">
        <f>MODEL!DQ524</f>
        <v>0</v>
      </c>
      <c r="CL42" s="1087">
        <f>MODEL!DR524</f>
        <v>0</v>
      </c>
      <c r="CM42" s="1379"/>
      <c r="CN42" s="1399" t="s">
        <v>1013</v>
      </c>
      <c r="CO42" s="1343">
        <v>62.19923512228165</v>
      </c>
      <c r="CP42" s="1343">
        <v>63.098718662350507</v>
      </c>
      <c r="CQ42" s="1343">
        <v>63.098718662350507</v>
      </c>
      <c r="CR42" s="1343"/>
      <c r="CS42" s="1343">
        <v>60.450385774672341</v>
      </c>
      <c r="CT42" s="1343">
        <v>61.626631200667717</v>
      </c>
      <c r="CU42" s="1343">
        <v>61.626631200667717</v>
      </c>
      <c r="CV42" s="1343"/>
      <c r="CW42" s="1343">
        <v>59.716367247363465</v>
      </c>
      <c r="CX42" s="1343">
        <v>58.889107103660997</v>
      </c>
      <c r="CY42" s="1343">
        <v>58.889107103660997</v>
      </c>
      <c r="CZ42" s="1343"/>
      <c r="DA42" s="1130">
        <f>MODEL!BH1483*100</f>
        <v>59.814885309376464</v>
      </c>
      <c r="DB42" s="1130">
        <f>MODEL!BI1483*100</f>
        <v>58.875987318117531</v>
      </c>
      <c r="DC42" s="1130">
        <f>MODEL!BJ1483*100</f>
        <v>58.875987318117531</v>
      </c>
      <c r="DD42" s="1130"/>
      <c r="DE42" s="1130">
        <f>MODEL!BL1483*100</f>
        <v>59.346336627890025</v>
      </c>
      <c r="DF42" s="1130">
        <f>MODEL!BM1483*100</f>
        <v>58.659037519678982</v>
      </c>
      <c r="DG42" s="1130">
        <f>MODEL!BN1483*100</f>
        <v>58.659037519678982</v>
      </c>
      <c r="DH42" s="1130"/>
      <c r="DI42" s="1130">
        <f>MODEL!BP1483*100</f>
        <v>60.333301363683191</v>
      </c>
      <c r="DJ42" s="1130">
        <f>MODEL!BQ1483*100</f>
        <v>60.826895584997409</v>
      </c>
      <c r="DK42" s="1130">
        <f>MODEL!BR1483*100</f>
        <v>60.826895584997409</v>
      </c>
      <c r="DL42" s="1130">
        <f>MODEL!BS1483*100</f>
        <v>0</v>
      </c>
      <c r="DM42" s="1130">
        <f>MODEL!BT1483*100</f>
        <v>59.016636538244271</v>
      </c>
      <c r="DN42" s="1130">
        <f>MODEL!BU1483*100</f>
        <v>60.63481455581411</v>
      </c>
      <c r="DO42" s="1130">
        <f>MODEL!BV1483*100</f>
        <v>60.63481455581411</v>
      </c>
      <c r="DP42" s="1130"/>
      <c r="DQ42" s="1130">
        <f>MODEL!BX1483*100</f>
        <v>58.849790639376323</v>
      </c>
      <c r="DR42" s="1130">
        <f>MODEL!BY1483*100</f>
        <v>57.627518810885157</v>
      </c>
      <c r="DS42" s="1130">
        <f>MODEL!BZ1483*100</f>
        <v>57.627518810885157</v>
      </c>
      <c r="DT42" s="1130"/>
      <c r="DU42" s="1130">
        <f>MODEL!CB1483*100</f>
        <v>57.522110529998336</v>
      </c>
      <c r="DV42" s="1130">
        <f>MODEL!CC1483*100</f>
        <v>55.449154908756427</v>
      </c>
      <c r="DW42" s="1130">
        <f>MODEL!CD1483*100</f>
        <v>55.449154908756427</v>
      </c>
      <c r="DX42" s="1130"/>
      <c r="DY42" s="1130"/>
      <c r="DZ42" s="1130"/>
      <c r="EA42" s="1130">
        <f>MODEL!CH1484*100</f>
        <v>36.645494296558489</v>
      </c>
      <c r="EB42" s="1130">
        <f>MODEL!CI1484*100</f>
        <v>0</v>
      </c>
      <c r="EC42" s="1130">
        <f>MODEL!CJ1484*100</f>
        <v>35.904593498241496</v>
      </c>
      <c r="ED42" s="1130">
        <f>MODEL!CK1484*100</f>
        <v>0</v>
      </c>
      <c r="EE42" s="1130">
        <f>MODEL!CL1484*100</f>
        <v>35.632516079994694</v>
      </c>
      <c r="EF42" s="1130">
        <f>MODEL!CM1484*100</f>
        <v>0</v>
      </c>
      <c r="EG42" s="1130">
        <f>MODEL!CN1484*100</f>
        <v>32.708088760810227</v>
      </c>
      <c r="EH42" s="1130">
        <f>MODEL!CO1484*100</f>
        <v>0</v>
      </c>
      <c r="EI42" s="1437">
        <f>MODEL!CP1484*100</f>
        <v>31.70931324170137</v>
      </c>
      <c r="EJ42" s="1130">
        <f>MODEL!CQ1484*100</f>
        <v>0</v>
      </c>
      <c r="EK42" s="1130">
        <f>MODEL!CR1484*100</f>
        <v>31.636348465376301</v>
      </c>
      <c r="EL42" s="1130">
        <f>MODEL!CS1484*100</f>
        <v>0</v>
      </c>
      <c r="EM42" s="1437">
        <f>MODEL!CT1484*100</f>
        <v>31.193195575145211</v>
      </c>
      <c r="EN42" s="1130">
        <f>MODEL!CU1484*100</f>
        <v>0</v>
      </c>
      <c r="EO42" s="1130">
        <f>MODEL!CV1484*100</f>
        <v>28.932398565169411</v>
      </c>
      <c r="EP42" s="1130">
        <f>MODEL!CW1484*100</f>
        <v>30.018834821198205</v>
      </c>
      <c r="EQ42" s="1437">
        <f>MODEL!CX1484*100</f>
        <v>30.018834821198205</v>
      </c>
      <c r="ER42" s="1130">
        <f>MODEL!CY1484*100</f>
        <v>0</v>
      </c>
      <c r="ES42" s="1130">
        <f>MODEL!CZ1484*100</f>
        <v>30.279280868491465</v>
      </c>
      <c r="ET42" s="1130">
        <f>MODEL!DA1484*100</f>
        <v>28.672189123644028</v>
      </c>
      <c r="EU42" s="1130">
        <f>MODEL!DB1484*100</f>
        <v>28.672189123644028</v>
      </c>
      <c r="EV42" s="1130">
        <f>MODEL!DC1484*100</f>
        <v>0</v>
      </c>
      <c r="EW42" s="1130">
        <f>MODEL!DD1484*100</f>
        <v>30.115873479892404</v>
      </c>
      <c r="EX42" s="1130">
        <f>MODEL!DE1484*100</f>
        <v>28.017815177014633</v>
      </c>
      <c r="EY42" s="1606">
        <f>MODEL!DF1484*100</f>
        <v>28.017815177014633</v>
      </c>
      <c r="EZ42" s="1130">
        <f>MODEL!DG1484*100</f>
        <v>0</v>
      </c>
      <c r="FA42" s="1130">
        <f ca="1">MODEL!DH1484*100</f>
        <v>28.020684988269323</v>
      </c>
      <c r="FB42" s="1130">
        <f ca="1">MODEL!DI1484*100</f>
        <v>28.022959827039841</v>
      </c>
      <c r="FC42" s="1130">
        <f ca="1">MODEL!DJ1484*100</f>
        <v>28.022959827039841</v>
      </c>
      <c r="FD42" s="1130">
        <f>MODEL!DK1484*100</f>
        <v>0</v>
      </c>
      <c r="FE42" s="1130">
        <f ca="1">MODEL!DL1484*100</f>
        <v>28.027157759765654</v>
      </c>
      <c r="FF42" s="1130">
        <f ca="1">MODEL!DM1484*100</f>
        <v>28.029762991603995</v>
      </c>
      <c r="FG42" s="1130">
        <f ca="1">MODEL!DN1484*100</f>
        <v>28.029762991603995</v>
      </c>
      <c r="FH42" s="1130">
        <f>MODEL!DO1484*100</f>
        <v>0</v>
      </c>
      <c r="FI42" s="1130">
        <f ca="1">MODEL!DP1484*100</f>
        <v>28.031792406456489</v>
      </c>
      <c r="FJ42" s="1130">
        <f ca="1">MODEL!DQ1484*100</f>
        <v>28.032656302014558</v>
      </c>
      <c r="FK42" s="1130">
        <f ca="1">MODEL!DR1484*100</f>
        <v>28.032656302014558</v>
      </c>
      <c r="FL42" s="444"/>
      <c r="FM42" s="480"/>
      <c r="FN42" s="444"/>
      <c r="FO42" s="481"/>
      <c r="FP42" s="481"/>
      <c r="FQ42" s="481"/>
      <c r="FR42" s="481"/>
      <c r="FS42" s="481"/>
      <c r="FT42" s="444"/>
      <c r="FU42" s="444"/>
      <c r="FV42" s="444"/>
      <c r="FW42" s="444"/>
    </row>
    <row r="43" spans="1:179" ht="13.8">
      <c r="A43" s="444"/>
      <c r="B43" s="444"/>
      <c r="C43" s="1330" t="s">
        <v>1022</v>
      </c>
      <c r="D43" s="1418"/>
      <c r="E43" s="1418"/>
      <c r="F43" s="1418"/>
      <c r="G43" s="1438"/>
      <c r="H43" s="1418">
        <v>-681</v>
      </c>
      <c r="I43" s="1418">
        <v>-1269</v>
      </c>
      <c r="J43" s="1418">
        <v>-1948</v>
      </c>
      <c r="K43" s="1438"/>
      <c r="L43" s="1418">
        <v>-1373</v>
      </c>
      <c r="M43" s="1418">
        <v>-1632</v>
      </c>
      <c r="N43" s="1418">
        <v>-3005</v>
      </c>
      <c r="O43" s="1438"/>
      <c r="P43" s="1418">
        <v>-1082</v>
      </c>
      <c r="Q43" s="1418">
        <v>-705</v>
      </c>
      <c r="R43" s="1418">
        <v>-1787</v>
      </c>
      <c r="S43" s="1418"/>
      <c r="T43" s="1418">
        <v>-660</v>
      </c>
      <c r="U43" s="1418">
        <v>-560</v>
      </c>
      <c r="V43" s="1418">
        <v>-1220</v>
      </c>
      <c r="W43" s="1418"/>
      <c r="X43" s="1439">
        <f>MODEL!BD526</f>
        <v>0</v>
      </c>
      <c r="Y43" s="1439">
        <f>MODEL!BE526</f>
        <v>0</v>
      </c>
      <c r="Z43" s="1420">
        <f>MODEL!BF526</f>
        <v>0</v>
      </c>
      <c r="AA43" s="1420"/>
      <c r="AB43" s="1439">
        <f>MODEL!BH526</f>
        <v>0</v>
      </c>
      <c r="AC43" s="1439">
        <f>MODEL!BI526</f>
        <v>0</v>
      </c>
      <c r="AD43" s="1420">
        <f>MODEL!BJ526</f>
        <v>0</v>
      </c>
      <c r="AE43" s="1420">
        <f>MODEL!BK526</f>
        <v>0</v>
      </c>
      <c r="AF43" s="1420">
        <f>MODEL!BL526</f>
        <v>0</v>
      </c>
      <c r="AG43" s="1420">
        <f>MODEL!BM526</f>
        <v>0</v>
      </c>
      <c r="AH43" s="1420">
        <f>MODEL!BN526</f>
        <v>0</v>
      </c>
      <c r="AI43" s="1420"/>
      <c r="AJ43" s="1420">
        <f>MODEL!BP526</f>
        <v>0</v>
      </c>
      <c r="AK43" s="1420">
        <f>MODEL!BQ526</f>
        <v>0</v>
      </c>
      <c r="AL43" s="1420">
        <f>MODEL!BR526</f>
        <v>0</v>
      </c>
      <c r="AM43" s="1420"/>
      <c r="AN43" s="1420">
        <f>MODEL!BT526</f>
        <v>0</v>
      </c>
      <c r="AO43" s="1420">
        <f>MODEL!BU526</f>
        <v>0</v>
      </c>
      <c r="AP43" s="1420">
        <f>MODEL!BV526</f>
        <v>0</v>
      </c>
      <c r="AQ43" s="1420"/>
      <c r="AR43" s="1420">
        <f>MODEL!BX526</f>
        <v>0</v>
      </c>
      <c r="AS43" s="1420">
        <f>MODEL!BY526</f>
        <v>0</v>
      </c>
      <c r="AT43" s="1420">
        <f>MODEL!BZ526</f>
        <v>0</v>
      </c>
      <c r="AU43" s="1420"/>
      <c r="AV43" s="1420">
        <f>MODEL!CB526</f>
        <v>173</v>
      </c>
      <c r="AW43" s="1420">
        <f>MODEL!CC526</f>
        <v>-554</v>
      </c>
      <c r="AX43" s="1420">
        <f>MODEL!CD526</f>
        <v>-381</v>
      </c>
      <c r="AY43" s="1420"/>
      <c r="AZ43" s="1420">
        <f>MODEL!CF526</f>
        <v>97</v>
      </c>
      <c r="BA43" s="1420">
        <f>MODEL!CG526</f>
        <v>-399</v>
      </c>
      <c r="BB43" s="1420">
        <f>MODEL!CH526</f>
        <v>-302</v>
      </c>
      <c r="BC43" s="1420"/>
      <c r="BD43" s="1420">
        <f>MODEL!CJ526</f>
        <v>-987</v>
      </c>
      <c r="BE43" s="1420">
        <f>MODEL!CK526</f>
        <v>-514</v>
      </c>
      <c r="BF43" s="1421">
        <f>MODEL!CL526</f>
        <v>-1501</v>
      </c>
      <c r="BG43" s="1420"/>
      <c r="BH43" s="1420">
        <f>MODEL!CN526</f>
        <v>-817</v>
      </c>
      <c r="BI43" s="1420">
        <f>MODEL!CO526</f>
        <v>-129</v>
      </c>
      <c r="BJ43" s="1421">
        <f>MODEL!CP526</f>
        <v>-946</v>
      </c>
      <c r="BK43" s="1420"/>
      <c r="BL43" s="1420">
        <f>MODEL!CR526</f>
        <v>-41</v>
      </c>
      <c r="BM43" s="1420">
        <f>MODEL!CS526</f>
        <v>-113</v>
      </c>
      <c r="BN43" s="1421">
        <f>MODEL!CT526</f>
        <v>-154</v>
      </c>
      <c r="BO43" s="1420"/>
      <c r="BP43" s="1420">
        <f>MODEL!CV526</f>
        <v>-161</v>
      </c>
      <c r="BQ43" s="1420">
        <f>MODEL!CW526</f>
        <v>-146</v>
      </c>
      <c r="BR43" s="1421">
        <f>MODEL!CX526</f>
        <v>-307</v>
      </c>
      <c r="BS43" s="1420"/>
      <c r="BT43" s="1420">
        <f>MODEL!CZ526</f>
        <v>-162</v>
      </c>
      <c r="BU43" s="1420">
        <f>MODEL!DA526</f>
        <v>0</v>
      </c>
      <c r="BV43" s="1421">
        <f>MODEL!DB526</f>
        <v>-162</v>
      </c>
      <c r="BW43" s="1420"/>
      <c r="BX43" s="1420">
        <f>MODEL!DD526</f>
        <v>0</v>
      </c>
      <c r="BY43" s="1420">
        <f>MODEL!DE526</f>
        <v>-1109</v>
      </c>
      <c r="BZ43" s="1421">
        <f>MODEL!DF526</f>
        <v>-1109</v>
      </c>
      <c r="CA43" s="1420"/>
      <c r="CB43" s="1420">
        <f>MODEL!DH526</f>
        <v>0</v>
      </c>
      <c r="CC43" s="1420">
        <f>MODEL!DI526</f>
        <v>0</v>
      </c>
      <c r="CD43" s="1421">
        <f>MODEL!DJ526</f>
        <v>0</v>
      </c>
      <c r="CE43" s="1420"/>
      <c r="CF43" s="1420">
        <f>MODEL!DL526</f>
        <v>0</v>
      </c>
      <c r="CG43" s="1420">
        <f>MODEL!DM526</f>
        <v>0</v>
      </c>
      <c r="CH43" s="1421">
        <f>MODEL!DN526</f>
        <v>0</v>
      </c>
      <c r="CI43" s="1420"/>
      <c r="CJ43" s="1420">
        <f>MODEL!DP526</f>
        <v>0</v>
      </c>
      <c r="CK43" s="1420">
        <f>MODEL!DQ526</f>
        <v>0</v>
      </c>
      <c r="CL43" s="1420">
        <f>MODEL!DR526</f>
        <v>0</v>
      </c>
      <c r="CM43" s="1379"/>
      <c r="CN43" s="1399" t="s">
        <v>827</v>
      </c>
      <c r="CO43" s="1352"/>
      <c r="CP43" s="1352"/>
      <c r="CQ43" s="1352"/>
      <c r="CR43" s="1352"/>
      <c r="CS43" s="1352"/>
      <c r="CT43" s="1352"/>
      <c r="CU43" s="1352"/>
      <c r="CV43" s="1352"/>
      <c r="CW43" s="1352"/>
      <c r="CX43" s="1352"/>
      <c r="CY43" s="1352"/>
      <c r="CZ43" s="1352"/>
      <c r="DA43" s="1352"/>
      <c r="DB43" s="1352"/>
      <c r="DC43" s="1352"/>
      <c r="DD43" s="1352"/>
      <c r="DE43" s="1352"/>
      <c r="DF43" s="1352"/>
      <c r="DG43" s="1352"/>
      <c r="DH43" s="1352"/>
      <c r="DI43" s="1352"/>
      <c r="DJ43" s="1352"/>
      <c r="DK43" s="1352"/>
      <c r="DL43" s="1352"/>
      <c r="DM43" s="1352"/>
      <c r="DN43" s="1352"/>
      <c r="DO43" s="1130">
        <f>MODEL!BV1490*100</f>
        <v>44.660164460704209</v>
      </c>
      <c r="DP43" s="1352"/>
      <c r="DQ43" s="1352"/>
      <c r="DR43" s="1352"/>
      <c r="DS43" s="1130">
        <f>MODEL!BZ1490*100</f>
        <v>43.586500335441073</v>
      </c>
      <c r="DT43" s="1352"/>
      <c r="DU43" s="1130">
        <f>MODEL!CB1490*100</f>
        <v>42.298780552972737</v>
      </c>
      <c r="DV43" s="1130">
        <f>MODEL!CC1490*100</f>
        <v>41.436329361671447</v>
      </c>
      <c r="DW43" s="1130">
        <f>MODEL!CD1490*100</f>
        <v>41.436329361671447</v>
      </c>
      <c r="DX43" s="1352"/>
      <c r="DY43" s="1352"/>
      <c r="DZ43" s="1352"/>
      <c r="EA43" s="1130">
        <f>MODEL!CH1490*100</f>
        <v>42.49773477098509</v>
      </c>
      <c r="EB43" s="1352"/>
      <c r="EC43" s="1352"/>
      <c r="ED43" s="1352"/>
      <c r="EE43" s="1130">
        <f>MODEL!CL1490*100</f>
        <v>41.196370286082704</v>
      </c>
      <c r="EF43" s="1352"/>
      <c r="EG43" s="1352"/>
      <c r="EH43" s="1352"/>
      <c r="EI43" s="1437">
        <f>MODEL!CP1490*100</f>
        <v>42.50733253171812</v>
      </c>
      <c r="EJ43" s="1352"/>
      <c r="EK43" s="1352"/>
      <c r="EL43" s="1352"/>
      <c r="EM43" s="1437">
        <f>MODEL!CT1490*100</f>
        <v>41.881353450078237</v>
      </c>
      <c r="EN43" s="1352"/>
      <c r="EO43" s="1352"/>
      <c r="EP43" s="1352"/>
      <c r="EQ43" s="1437">
        <f>MODEL!CX1490*100</f>
        <v>39.192307100935835</v>
      </c>
      <c r="ER43" s="1352"/>
      <c r="ES43" s="1352"/>
      <c r="ET43" s="1352"/>
      <c r="EU43" s="1130">
        <f>MODEL!DB1490*100</f>
        <v>36.333622159033126</v>
      </c>
      <c r="EV43" s="1352"/>
      <c r="EW43" s="1352"/>
      <c r="EX43" s="1352"/>
      <c r="EY43" s="1606">
        <f>MODEL!DF1490*100</f>
        <v>35.351489621527278</v>
      </c>
      <c r="EZ43" s="1352"/>
      <c r="FA43" s="1352"/>
      <c r="FB43" s="1352"/>
      <c r="FC43" s="1130">
        <f ca="1">MODEL!DJ1490*100</f>
        <v>35.762544950754815</v>
      </c>
      <c r="FD43" s="1352"/>
      <c r="FE43" s="1352"/>
      <c r="FF43" s="1352"/>
      <c r="FG43" s="1130">
        <f ca="1">MODEL!DN1490*100</f>
        <v>35.294270634624695</v>
      </c>
      <c r="FH43" s="1352"/>
      <c r="FI43" s="1352"/>
      <c r="FJ43" s="1352"/>
      <c r="FK43" s="1130">
        <f ca="1">MODEL!DR1490*100</f>
        <v>35.237549451314059</v>
      </c>
      <c r="FL43" s="444"/>
      <c r="FM43" s="1587"/>
      <c r="FN43" s="463"/>
      <c r="FO43" s="478"/>
      <c r="FP43" s="478"/>
      <c r="FQ43" s="478"/>
      <c r="FR43" s="478"/>
      <c r="FS43" s="479"/>
      <c r="FT43" s="444"/>
      <c r="FU43" s="444"/>
      <c r="FV43" s="444"/>
      <c r="FW43" s="444"/>
    </row>
    <row r="44" spans="1:179" ht="13.8">
      <c r="A44" s="444"/>
      <c r="B44" s="444"/>
      <c r="C44" s="1131" t="s">
        <v>901</v>
      </c>
      <c r="D44" s="1132"/>
      <c r="E44" s="1132"/>
      <c r="F44" s="1132"/>
      <c r="G44" s="1133"/>
      <c r="H44" s="1132"/>
      <c r="I44" s="1132"/>
      <c r="J44" s="1132"/>
      <c r="K44" s="1133"/>
      <c r="L44" s="1132"/>
      <c r="M44" s="1132"/>
      <c r="N44" s="1132"/>
      <c r="O44" s="1133"/>
      <c r="P44" s="1132"/>
      <c r="Q44" s="1132"/>
      <c r="R44" s="1132"/>
      <c r="S44" s="1132"/>
      <c r="T44" s="1132"/>
      <c r="U44" s="1132"/>
      <c r="V44" s="1132"/>
      <c r="W44" s="1132"/>
      <c r="X44" s="1132"/>
      <c r="Y44" s="1132"/>
      <c r="Z44" s="1132"/>
      <c r="AA44" s="1126"/>
      <c r="AB44" s="1126"/>
      <c r="AC44" s="1126"/>
      <c r="AD44" s="1126"/>
      <c r="AE44" s="1126"/>
      <c r="AF44" s="1126">
        <f>MODEL!BL1244</f>
        <v>127.83106671554252</v>
      </c>
      <c r="AG44" s="1126">
        <f>MODEL!BM1244</f>
        <v>130.57858734972777</v>
      </c>
      <c r="AH44" s="1424">
        <f>MODEL!BN1244</f>
        <v>258.42821535758731</v>
      </c>
      <c r="AI44" s="1126">
        <f>MODEL!BO1244</f>
        <v>0</v>
      </c>
      <c r="AJ44" s="1126">
        <f>MODEL!BP1244</f>
        <v>132.61671272727273</v>
      </c>
      <c r="AK44" s="1126">
        <f>MODEL!BQ1244</f>
        <v>125.7576538833387</v>
      </c>
      <c r="AL44" s="1424">
        <f>MODEL!BR1244</f>
        <v>258.31686512232085</v>
      </c>
      <c r="AM44" s="1126">
        <f>MODEL!BS1244</f>
        <v>0</v>
      </c>
      <c r="AN44" s="1126">
        <f>MODEL!BT1244</f>
        <v>95.127255807541175</v>
      </c>
      <c r="AO44" s="1126">
        <f>MODEL!BU1244</f>
        <v>105.86806910289877</v>
      </c>
      <c r="AP44" s="1424">
        <f>MODEL!BV1244</f>
        <v>201.03492189112933</v>
      </c>
      <c r="AQ44" s="1126"/>
      <c r="AR44" s="559">
        <f>MODEL!BX1244</f>
        <v>115.74556555050108</v>
      </c>
      <c r="AS44" s="1126">
        <f>MODEL!BY1244</f>
        <v>119.45707701761575</v>
      </c>
      <c r="AT44" s="1424">
        <f>MODEL!BZ1244</f>
        <v>235.21014898851828</v>
      </c>
      <c r="AU44" s="1362"/>
      <c r="AV44" s="1126">
        <f ca="1">MODEL!CB1244</f>
        <v>97.561362237570947</v>
      </c>
      <c r="AW44" s="1126">
        <f>MODEL!CC1244</f>
        <v>100.82093192700022</v>
      </c>
      <c r="AX44" s="1126">
        <f ca="1">MODEL!CD1244</f>
        <v>198.36532566389968</v>
      </c>
      <c r="AY44" s="1362">
        <f>MODEL!CE1244</f>
        <v>0</v>
      </c>
      <c r="AZ44" s="1134">
        <f>MODEL!CF1244</f>
        <v>122.02875144387274</v>
      </c>
      <c r="BA44" s="1126">
        <f>MODEL!CG1244</f>
        <v>92.817612130208872</v>
      </c>
      <c r="BB44" s="1424">
        <f>MODEL!CH1244</f>
        <v>214.98815025852065</v>
      </c>
      <c r="BC44" s="1126">
        <f>MODEL!CI1244</f>
        <v>0</v>
      </c>
      <c r="BD44" s="1126">
        <f>MODEL!CJ1244</f>
        <v>46.369967498056944</v>
      </c>
      <c r="BE44" s="1126">
        <f>MODEL!CK1244</f>
        <v>81.8924025148347</v>
      </c>
      <c r="BF44" s="1424">
        <f>MODEL!CL1244</f>
        <v>128.26613444487617</v>
      </c>
      <c r="BG44" s="1126"/>
      <c r="BH44" s="1126">
        <f>MODEL!CN1244</f>
        <v>104.21820551660971</v>
      </c>
      <c r="BI44" s="1126">
        <f>MODEL!CO1244</f>
        <v>111.81397618376549</v>
      </c>
      <c r="BJ44" s="1424">
        <f>MODEL!CP1244</f>
        <v>216.02797505812723</v>
      </c>
      <c r="BK44" s="1126"/>
      <c r="BL44" s="1126">
        <f>MODEL!CR1244</f>
        <v>109.78199166874356</v>
      </c>
      <c r="BM44" s="1126">
        <f>MODEL!CS1244</f>
        <v>118.35807860262008</v>
      </c>
      <c r="BN44" s="1424">
        <f>MODEL!CT1244</f>
        <v>228.12993854258119</v>
      </c>
      <c r="BO44" s="1126"/>
      <c r="BP44" s="1126">
        <f>MODEL!CV1244</f>
        <v>127.88484018569855</v>
      </c>
      <c r="BQ44" s="1126">
        <f>MODEL!CW1244</f>
        <v>119.45870275314981</v>
      </c>
      <c r="BR44" s="1424">
        <f>MODEL!CX1244</f>
        <v>247.33084211931134</v>
      </c>
      <c r="BS44" s="1126"/>
      <c r="BT44" s="1126">
        <f>MODEL!CZ1244</f>
        <v>118.34871555659214</v>
      </c>
      <c r="BU44" s="1126">
        <f>MODEL!DA1244</f>
        <v>105.9255549991654</v>
      </c>
      <c r="BV44" s="1424">
        <f>MODEL!DB1244</f>
        <v>224.28628601921025</v>
      </c>
      <c r="BW44" s="1126"/>
      <c r="BX44" s="1126">
        <f>MODEL!DD1244</f>
        <v>120.05787543322452</v>
      </c>
      <c r="BY44" s="1126">
        <f>MODEL!DE1244</f>
        <v>74.630881512124574</v>
      </c>
      <c r="BZ44" s="1424">
        <f>MODEL!DF1244</f>
        <v>194.67805961111486</v>
      </c>
      <c r="CA44" s="1126"/>
      <c r="CB44" s="1126">
        <f ca="1">MODEL!DH1244</f>
        <v>123.81251788781024</v>
      </c>
      <c r="CC44" s="1126">
        <f ca="1">MODEL!DI1244</f>
        <v>127.53141029010044</v>
      </c>
      <c r="CD44" s="1424">
        <f ca="1">MODEL!DJ1244</f>
        <v>251.350527440484</v>
      </c>
      <c r="CE44" s="1126"/>
      <c r="CF44" s="1126">
        <f ca="1">MODEL!DL1244</f>
        <v>132.63453164788251</v>
      </c>
      <c r="CG44" s="1126">
        <f ca="1">MODEL!DM1244</f>
        <v>133.33777037700403</v>
      </c>
      <c r="CH44" s="1424">
        <f ca="1">MODEL!DN1244</f>
        <v>265.97167299810718</v>
      </c>
      <c r="CI44" s="1126"/>
      <c r="CJ44" s="1126">
        <f ca="1">MODEL!DP1244</f>
        <v>139.40345718289035</v>
      </c>
      <c r="CK44" s="1126">
        <f ca="1">MODEL!DQ1244</f>
        <v>145.1822225312423</v>
      </c>
      <c r="CL44" s="1126">
        <f ca="1">MODEL!DR1244</f>
        <v>284.57542687658724</v>
      </c>
      <c r="CN44" s="1399" t="s">
        <v>204</v>
      </c>
      <c r="CO44" s="1351">
        <v>21146.880320236596</v>
      </c>
      <c r="CP44" s="1351">
        <v>21257.899262899264</v>
      </c>
      <c r="CQ44" s="1351">
        <v>21257.899262899264</v>
      </c>
      <c r="CR44" s="1351"/>
      <c r="CS44" s="1351">
        <v>22421.519095869058</v>
      </c>
      <c r="CT44" s="1351">
        <v>23864.192695819318</v>
      </c>
      <c r="CU44" s="1351">
        <v>23864.192695819318</v>
      </c>
      <c r="CV44" s="1351"/>
      <c r="CW44" s="1351">
        <v>25414.755760368666</v>
      </c>
      <c r="CX44" s="1351">
        <v>26524</v>
      </c>
      <c r="CY44" s="1351">
        <v>26524</v>
      </c>
      <c r="CZ44" s="1351"/>
      <c r="DA44" s="1130">
        <f>MODEL!BH1301/1000</f>
        <v>26.375</v>
      </c>
      <c r="DB44" s="1130">
        <f>MODEL!BI1301/1000</f>
        <v>28.779</v>
      </c>
      <c r="DC44" s="1130">
        <f>MODEL!BJ1301/1000</f>
        <v>28.779</v>
      </c>
      <c r="DD44" s="1130"/>
      <c r="DE44" s="1130">
        <f>MODEL!BL1301/1000</f>
        <v>30.02</v>
      </c>
      <c r="DF44" s="1130">
        <f>MODEL!BM1301/1000</f>
        <v>31.776</v>
      </c>
      <c r="DG44" s="1130">
        <f>MODEL!BN1301/1000</f>
        <v>31.776</v>
      </c>
      <c r="DH44" s="1130"/>
      <c r="DI44" s="1130">
        <f>MODEL!BP1301/1000</f>
        <v>33.735999999999997</v>
      </c>
      <c r="DJ44" s="1130">
        <f>MODEL!BQ1301/1000</f>
        <v>38.526000000000003</v>
      </c>
      <c r="DK44" s="1130">
        <f>MODEL!BR1301/1000</f>
        <v>38.526000000000003</v>
      </c>
      <c r="DL44" s="1130">
        <f>MODEL!BS1301/1000</f>
        <v>2.124244712990937E-4</v>
      </c>
      <c r="DM44" s="1130">
        <f>MODEL!BT1301/1000</f>
        <v>38.101999999999997</v>
      </c>
      <c r="DN44" s="1130">
        <f>MODEL!BU1301/1000</f>
        <v>39.267000000000003</v>
      </c>
      <c r="DO44" s="1130">
        <f>MODEL!BV1301/1000</f>
        <v>39.267000000000003</v>
      </c>
      <c r="DP44" s="1130"/>
      <c r="DQ44" s="1130">
        <f>MODEL!BX1301/1000</f>
        <v>40.216999999999999</v>
      </c>
      <c r="DR44" s="1130">
        <f>MODEL!BY1301/1000</f>
        <v>41.335999999999999</v>
      </c>
      <c r="DS44" s="1130">
        <f>MODEL!BZ1301/1000</f>
        <v>41.335999999999999</v>
      </c>
      <c r="DT44" s="1130"/>
      <c r="DU44" s="1130">
        <f>MODEL!CB1301/1000</f>
        <v>43.707000000000001</v>
      </c>
      <c r="DV44" s="1130">
        <f>MODEL!CC1301/1000</f>
        <v>44.691000000000003</v>
      </c>
      <c r="DW44" s="1130">
        <f>MODEL!CD1301/1000</f>
        <v>44.691000000000003</v>
      </c>
      <c r="DX44" s="1130"/>
      <c r="DY44" s="1130"/>
      <c r="DZ44" s="1130"/>
      <c r="EA44" s="1130">
        <f>MODEL!CH1301/1000</f>
        <v>47.354999999999997</v>
      </c>
      <c r="EB44" s="1130"/>
      <c r="EC44" s="1130"/>
      <c r="ED44" s="1130"/>
      <c r="EE44" s="1130">
        <f>MODEL!CL1301/1000</f>
        <v>48.701999999999998</v>
      </c>
      <c r="EF44" s="1130"/>
      <c r="EG44" s="1130"/>
      <c r="EH44" s="1130"/>
      <c r="EI44" s="1437">
        <f>MODEL!CP1301/1000</f>
        <v>51.359000000000002</v>
      </c>
      <c r="EJ44" s="1130"/>
      <c r="EK44" s="1130"/>
      <c r="EL44" s="1130"/>
      <c r="EM44" s="1437">
        <f>MODEL!CT1301/1000</f>
        <v>55.872</v>
      </c>
      <c r="EN44" s="1130"/>
      <c r="EO44" s="1130"/>
      <c r="EP44" s="1130"/>
      <c r="EQ44" s="1437">
        <f>MODEL!CX1301/1000</f>
        <v>57.793999999999997</v>
      </c>
      <c r="ER44" s="1130"/>
      <c r="ES44" s="1130"/>
      <c r="ET44" s="1130"/>
      <c r="EU44" s="1130">
        <f>MODEL!DB1301/1000</f>
        <v>54.469000000000001</v>
      </c>
      <c r="EV44" s="1130"/>
      <c r="EW44" s="1130"/>
      <c r="EX44" s="1130"/>
      <c r="EY44" s="1606">
        <f>MODEL!DF1301/1000</f>
        <v>55.183999999999997</v>
      </c>
      <c r="EZ44" s="1130"/>
      <c r="FA44" s="1130"/>
      <c r="FB44" s="1130"/>
      <c r="FC44" s="1130">
        <f ca="1">MODEL!DJ1301/1000</f>
        <v>59.231745524052023</v>
      </c>
      <c r="FD44" s="1130"/>
      <c r="FE44" s="1130"/>
      <c r="FF44" s="1130"/>
      <c r="FG44" s="1130">
        <f ca="1">MODEL!DN1301/1000</f>
        <v>61.105177994769164</v>
      </c>
      <c r="FH44" s="1130"/>
      <c r="FI44" s="1130"/>
      <c r="FJ44" s="1130"/>
      <c r="FK44" s="1130">
        <f ca="1">MODEL!DR1301/1000</f>
        <v>62.744437929616907</v>
      </c>
      <c r="FM44" s="1288"/>
      <c r="FS44" s="1292"/>
    </row>
    <row r="45" spans="1:179" ht="13.8">
      <c r="A45" s="444"/>
      <c r="B45" s="444"/>
      <c r="C45" s="1135" t="s">
        <v>1211</v>
      </c>
      <c r="D45" s="1136"/>
      <c r="E45" s="1136"/>
      <c r="F45" s="1136"/>
      <c r="G45" s="1137"/>
      <c r="H45" s="1136">
        <v>84.467203121189954</v>
      </c>
      <c r="I45" s="1136">
        <v>65.866865838857251</v>
      </c>
      <c r="J45" s="1136">
        <v>148.49286591703677</v>
      </c>
      <c r="K45" s="1137"/>
      <c r="L45" s="1136">
        <v>43.361838127321413</v>
      </c>
      <c r="M45" s="1136">
        <v>100.39721141374838</v>
      </c>
      <c r="N45" s="1136">
        <v>148.32964036134308</v>
      </c>
      <c r="O45" s="1137"/>
      <c r="P45" s="1136">
        <v>92.482484377958713</v>
      </c>
      <c r="Q45" s="1136">
        <v>105.67730548610091</v>
      </c>
      <c r="R45" s="1136">
        <v>198.07193177604742</v>
      </c>
      <c r="S45" s="1136"/>
      <c r="T45" s="1136">
        <v>107.26631008259653</v>
      </c>
      <c r="U45" s="1136">
        <v>102.23732653639198</v>
      </c>
      <c r="V45" s="1136">
        <v>207.71640091116174</v>
      </c>
      <c r="W45" s="1136"/>
      <c r="X45" s="1136">
        <v>105.35794687077893</v>
      </c>
      <c r="Y45" s="1136">
        <v>105.75927076859332</v>
      </c>
      <c r="Z45" s="1136">
        <v>211.42124948053745</v>
      </c>
      <c r="AA45" s="1138"/>
      <c r="AB45" s="1138">
        <f>MODEL!BH1240</f>
        <v>112.24489051094891</v>
      </c>
      <c r="AC45" s="1138">
        <f>MODEL!BI1240</f>
        <v>116.51747273101461</v>
      </c>
      <c r="AD45" s="1138">
        <f>MODEL!BJ1240</f>
        <v>229.14582917340863</v>
      </c>
      <c r="AE45" s="1138">
        <f>MODEL!BK1240</f>
        <v>0</v>
      </c>
      <c r="AF45" s="1138">
        <f>MODEL!BL1240</f>
        <v>123.31570508428121</v>
      </c>
      <c r="AG45" s="1138">
        <f>MODEL!BM1240</f>
        <v>125.51149667255197</v>
      </c>
      <c r="AH45" s="1442">
        <f>MODEL!BN1240</f>
        <v>248.63356733914941</v>
      </c>
      <c r="AI45" s="1138"/>
      <c r="AJ45" s="1138">
        <f>MODEL!BP1240</f>
        <v>128.87673226732267</v>
      </c>
      <c r="AK45" s="1138">
        <f>MODEL!BQ1240</f>
        <v>118.86243907194383</v>
      </c>
      <c r="AL45" s="1442">
        <f>MODEL!BR1240</f>
        <v>245.03122815117737</v>
      </c>
      <c r="AM45" s="1138"/>
      <c r="AN45" s="1138">
        <f>MODEL!BT1240</f>
        <v>89.978662331630275</v>
      </c>
      <c r="AO45" s="1138">
        <f>MODEL!BU1240</f>
        <v>101.21122909227589</v>
      </c>
      <c r="AP45" s="1442">
        <f>MODEL!BV1240</f>
        <v>192.56763727643551</v>
      </c>
      <c r="AQ45" s="1138"/>
      <c r="AR45" s="1138">
        <f>MODEL!BX1240</f>
        <v>109.25950389839034</v>
      </c>
      <c r="AS45" s="1138">
        <f>MODEL!BY1240</f>
        <v>111.9957093947294</v>
      </c>
      <c r="AT45" s="1442">
        <f>MODEL!BZ1240</f>
        <v>220.60136291004792</v>
      </c>
      <c r="AU45" s="1362"/>
      <c r="AV45" s="1138">
        <f>MODEL!CB1240</f>
        <v>112.51416534032393</v>
      </c>
      <c r="AW45" s="1138">
        <f>MODEL!CC1240</f>
        <v>99.200498036586538</v>
      </c>
      <c r="AX45" s="1138">
        <f>MODEL!CD1240</f>
        <v>212.17399247716284</v>
      </c>
      <c r="AY45" s="1362"/>
      <c r="AZ45" s="1139">
        <f>MODEL!CF1240</f>
        <v>117.46631582314926</v>
      </c>
      <c r="BA45" s="1138">
        <f>MODEL!CG1240</f>
        <v>97.968060477971051</v>
      </c>
      <c r="BB45" s="1442">
        <f>MODEL!CH1240</f>
        <v>216.34959544307074</v>
      </c>
      <c r="BC45" s="1138"/>
      <c r="BD45" s="1138">
        <f>MODEL!CJ1240</f>
        <v>47.083854134502559</v>
      </c>
      <c r="BE45" s="1138">
        <f>MODEL!CK1240</f>
        <v>75.476098978348489</v>
      </c>
      <c r="BF45" s="1442">
        <f>MODEL!CL1240</f>
        <v>122.69919402705321</v>
      </c>
      <c r="BG45" s="1138"/>
      <c r="BH45" s="1138">
        <f>MODEL!CN1240</f>
        <v>99.132803786798078</v>
      </c>
      <c r="BI45" s="1138">
        <f>MODEL!CO1240</f>
        <v>105.51944292384479</v>
      </c>
      <c r="BJ45" s="1442">
        <f>MODEL!CP1240</f>
        <v>204.41972699109331</v>
      </c>
      <c r="BK45" s="1138"/>
      <c r="BL45" s="1138">
        <f>MODEL!CR1240</f>
        <v>103.33031652151308</v>
      </c>
      <c r="BM45" s="1138">
        <f>MODEL!CS1240</f>
        <v>111.55619138451756</v>
      </c>
      <c r="BN45" s="1442">
        <f>MODEL!CT1240</f>
        <v>213.95111691788026</v>
      </c>
      <c r="BO45" s="1138"/>
      <c r="BP45" s="1138">
        <f>MODEL!CV1240</f>
        <v>121.12985388768568</v>
      </c>
      <c r="BQ45" s="1138">
        <f>MODEL!CW1240</f>
        <v>114.76109215017065</v>
      </c>
      <c r="BR45" s="1442">
        <f>MODEL!CX1240</f>
        <v>236.81394282219844</v>
      </c>
      <c r="BS45" s="1138"/>
      <c r="BT45" s="1138">
        <f>MODEL!CZ1240</f>
        <v>115.99064442666338</v>
      </c>
      <c r="BU45" s="1138">
        <f>MODEL!DA1240</f>
        <v>104.51365240542383</v>
      </c>
      <c r="BV45" s="1442">
        <f>MODEL!DB1240</f>
        <v>220.93382807668522</v>
      </c>
      <c r="BW45" s="1138"/>
      <c r="BX45" s="1138">
        <f>MODEL!DD1240</f>
        <v>117.04012182614912</v>
      </c>
      <c r="BY45" s="1138">
        <f>MODEL!DE1240</f>
        <v>74.420632525069593</v>
      </c>
      <c r="BZ45" s="1442">
        <f>MODEL!DF1240</f>
        <v>193.21362306990787</v>
      </c>
      <c r="CA45" s="1138"/>
      <c r="CB45" s="1138">
        <f ca="1">MODEL!DH1240</f>
        <v>123.46561666959414</v>
      </c>
      <c r="CC45" s="1138">
        <f ca="1">MODEL!DI1240</f>
        <v>127.17535174800247</v>
      </c>
      <c r="CD45" s="1442">
        <f ca="1">MODEL!DJ1240</f>
        <v>250.64753301845991</v>
      </c>
      <c r="CE45" s="1138"/>
      <c r="CF45" s="1138">
        <f ca="1">MODEL!DL1240</f>
        <v>132.26431083717105</v>
      </c>
      <c r="CG45" s="1138">
        <f ca="1">MODEL!DM1240</f>
        <v>132.96492207850559</v>
      </c>
      <c r="CH45" s="1442">
        <f ca="1">MODEL!DN1240</f>
        <v>265.22860798990268</v>
      </c>
      <c r="CI45" s="1138"/>
      <c r="CJ45" s="1138">
        <f ca="1">MODEL!DP1240</f>
        <v>139.01224567365534</v>
      </c>
      <c r="CK45" s="1138">
        <f ca="1">MODEL!DQ1240</f>
        <v>144.77334969219825</v>
      </c>
      <c r="CL45" s="1138">
        <f ca="1">MODEL!DR1240</f>
        <v>283.77540259911973</v>
      </c>
      <c r="CM45" s="1443"/>
      <c r="CN45" s="1440" t="s">
        <v>280</v>
      </c>
      <c r="CO45" s="1343"/>
      <c r="CP45" s="1343"/>
      <c r="CQ45" s="1343"/>
      <c r="CR45" s="1343"/>
      <c r="CS45" s="1343">
        <v>7.3253806299879303</v>
      </c>
      <c r="CT45" s="1343">
        <v>7.4787615745520171</v>
      </c>
      <c r="CU45" s="1343">
        <v>7.4787615745520171</v>
      </c>
      <c r="CV45" s="1343"/>
      <c r="CW45" s="1343">
        <v>7.771469886058946</v>
      </c>
      <c r="CX45" s="1343">
        <v>8.0001456808654972</v>
      </c>
      <c r="CY45" s="1343">
        <v>8.02</v>
      </c>
      <c r="CZ45" s="1343"/>
      <c r="DA45" s="1143">
        <f>MODEL!BH1252*100</f>
        <v>8.176215659894229</v>
      </c>
      <c r="DB45" s="1143">
        <f>MODEL!BI1252*100</f>
        <v>8.4827494731257289</v>
      </c>
      <c r="DC45" s="1143">
        <f>MODEL!BJ1252*100</f>
        <v>8.4827494731257289</v>
      </c>
      <c r="DD45" s="1143"/>
      <c r="DE45" s="1143">
        <f>MODEL!BL1252*100</f>
        <v>8.3217830016078054</v>
      </c>
      <c r="DF45" s="1143">
        <f>MODEL!BM1252*100</f>
        <v>8.78933640178243</v>
      </c>
      <c r="DG45" s="1143">
        <f>MODEL!BN1252*100</f>
        <v>8.78933640178243</v>
      </c>
      <c r="DH45" s="1143"/>
      <c r="DI45" s="1143">
        <f>MODEL!BP1252*100</f>
        <v>8.7203997280691095</v>
      </c>
      <c r="DJ45" s="1143">
        <f>MODEL!BQ1252*100</f>
        <v>9.585084229618074</v>
      </c>
      <c r="DK45" s="1143">
        <f>MODEL!BR1252*100</f>
        <v>9.585084229618074</v>
      </c>
      <c r="DL45" s="1143">
        <f>MODEL!BS1252*100</f>
        <v>0</v>
      </c>
      <c r="DM45" s="1143">
        <f>MODEL!BT1252*100</f>
        <v>9.8116317097351509</v>
      </c>
      <c r="DN45" s="1143">
        <f>MODEL!BU1252*100</f>
        <v>9.6105555310806636</v>
      </c>
      <c r="DO45" s="1143">
        <f>MODEL!BV1252*100</f>
        <v>9.6105555310806636</v>
      </c>
      <c r="DP45" s="1143"/>
      <c r="DQ45" s="1143">
        <f>MODEL!BX1252*100</f>
        <v>10.129206125327423</v>
      </c>
      <c r="DR45" s="1143">
        <f>MODEL!BY1252*100</f>
        <v>10.568812593802814</v>
      </c>
      <c r="DS45" s="1143">
        <f>MODEL!BZ1252*100</f>
        <v>10.568812593802814</v>
      </c>
      <c r="DT45" s="1143"/>
      <c r="DU45" s="1143">
        <f>MODEL!CB1252*100</f>
        <v>11.043340062712083</v>
      </c>
      <c r="DV45" s="1143">
        <f>MODEL!CC1252*100</f>
        <v>11.435187554372856</v>
      </c>
      <c r="DW45" s="1143">
        <f>MODEL!CD1252*100</f>
        <v>11.435187554372856</v>
      </c>
      <c r="DX45" s="1143"/>
      <c r="DY45" s="1143">
        <f>MODEL!CF1252*100</f>
        <v>11.488527370038684</v>
      </c>
      <c r="DZ45" s="1143">
        <f>MODEL!CG1252*100</f>
        <v>11.357177289962371</v>
      </c>
      <c r="EA45" s="1143">
        <f>MODEL!CH1252*100</f>
        <v>11.357177289962371</v>
      </c>
      <c r="EB45" s="1143"/>
      <c r="EC45" s="1143">
        <f>MODEL!CJ1252*100</f>
        <v>10.76385486356712</v>
      </c>
      <c r="ED45" s="1143">
        <f>MODEL!CK1252*100</f>
        <v>11.342295008663573</v>
      </c>
      <c r="EE45" s="1143">
        <f>MODEL!CL1252*100</f>
        <v>11.342295008663573</v>
      </c>
      <c r="EF45" s="1143"/>
      <c r="EG45" s="1143">
        <f>MODEL!CN1252*100</f>
        <v>12.442486635339543</v>
      </c>
      <c r="EH45" s="1143">
        <f>MODEL!CO1252*100</f>
        <v>12.343361708877492</v>
      </c>
      <c r="EI45" s="1441">
        <f>MODEL!CP1252*100</f>
        <v>12.343361708877492</v>
      </c>
      <c r="EJ45" s="1143"/>
      <c r="EK45" s="1143">
        <f>MODEL!CR1252*100</f>
        <v>11.534561896280056</v>
      </c>
      <c r="EL45" s="1143">
        <f>MODEL!CS1252*100</f>
        <v>12.287175788070847</v>
      </c>
      <c r="EM45" s="1441">
        <f>MODEL!CT1252*100</f>
        <v>12.287175788070847</v>
      </c>
      <c r="EN45" s="1143"/>
      <c r="EO45" s="1143">
        <f>MODEL!CV1252*100</f>
        <v>13.175235860659138</v>
      </c>
      <c r="EP45" s="1143">
        <f>MODEL!CW1252*100</f>
        <v>13.337271852434766</v>
      </c>
      <c r="EQ45" s="1441">
        <f>MODEL!CX1252*100</f>
        <v>13.337271852434766</v>
      </c>
      <c r="ER45" s="1143"/>
      <c r="ES45" s="1143">
        <f>MODEL!CZ1252*100</f>
        <v>13.496958031697471</v>
      </c>
      <c r="ET45" s="1143">
        <f>MODEL!DA1252*100</f>
        <v>12.196864181718027</v>
      </c>
      <c r="EU45" s="1143">
        <f>MODEL!DB1252*100</f>
        <v>12.196864181718027</v>
      </c>
      <c r="EV45" s="1143"/>
      <c r="EW45" s="1143">
        <f>MODEL!DD1252*100</f>
        <v>11.775931291964376</v>
      </c>
      <c r="EX45" s="1143">
        <f>MODEL!DE1252*100</f>
        <v>12.034535173057506</v>
      </c>
      <c r="EY45" s="1607">
        <f>MODEL!DF1252*100</f>
        <v>12.034535173057506</v>
      </c>
      <c r="EZ45" s="1143"/>
      <c r="FA45" s="1143">
        <f ca="1">MODEL!DH1252*100</f>
        <v>12.423791116115316</v>
      </c>
      <c r="FB45" s="1143">
        <f ca="1">MODEL!DI1252*100</f>
        <v>12.416047323567664</v>
      </c>
      <c r="FC45" s="1143">
        <f ca="1">MODEL!DJ1252*100</f>
        <v>12.416047323567664</v>
      </c>
      <c r="FD45" s="1143"/>
      <c r="FE45" s="1143">
        <f ca="1">MODEL!DL1252*100</f>
        <v>12.491467520708401</v>
      </c>
      <c r="FF45" s="1143">
        <f ca="1">MODEL!DM1252*100</f>
        <v>12.397303500389423</v>
      </c>
      <c r="FG45" s="1143">
        <f ca="1">MODEL!DN1252*100</f>
        <v>12.397303500389423</v>
      </c>
      <c r="FH45" s="1143"/>
      <c r="FI45" s="1143">
        <f ca="1">MODEL!DP1252*100</f>
        <v>12.277347526778618</v>
      </c>
      <c r="FJ45" s="1143">
        <f ca="1">MODEL!DQ1252*100</f>
        <v>12.23631886089594</v>
      </c>
      <c r="FK45" s="1143">
        <f ca="1">MODEL!DR1252*100</f>
        <v>12.23631886089594</v>
      </c>
      <c r="FL45" s="444"/>
      <c r="FM45" s="1289"/>
      <c r="FN45" s="463"/>
      <c r="FO45" s="478"/>
      <c r="FP45" s="478"/>
      <c r="FQ45" s="478"/>
      <c r="FR45" s="478"/>
      <c r="FS45" s="1291"/>
      <c r="FT45" s="444"/>
      <c r="FU45" s="444"/>
      <c r="FV45" s="444"/>
      <c r="FW45" s="1259"/>
    </row>
    <row r="46" spans="1:179" ht="13.8">
      <c r="A46" s="444"/>
      <c r="B46" s="444"/>
      <c r="C46" s="1135" t="s">
        <v>1210</v>
      </c>
      <c r="D46" s="1140"/>
      <c r="E46" s="1140"/>
      <c r="F46" s="1140"/>
      <c r="G46" s="1141"/>
      <c r="H46" s="1140"/>
      <c r="I46" s="1140"/>
      <c r="J46" s="1140"/>
      <c r="K46" s="1141"/>
      <c r="L46" s="1140"/>
      <c r="M46" s="1140"/>
      <c r="N46" s="1140"/>
      <c r="O46" s="1141"/>
      <c r="P46" s="1140"/>
      <c r="Q46" s="1140"/>
      <c r="R46" s="1140"/>
      <c r="S46" s="1140"/>
      <c r="T46" s="1140"/>
      <c r="U46" s="1140"/>
      <c r="V46" s="1140"/>
      <c r="W46" s="1140"/>
      <c r="X46" s="1140">
        <v>110.83200121793408</v>
      </c>
      <c r="Y46" s="1140">
        <v>102.64292408622306</v>
      </c>
      <c r="Z46" s="1140">
        <v>213.4169373725164</v>
      </c>
      <c r="AA46" s="1127"/>
      <c r="AB46" s="1127">
        <f>MODEL!BH1244</f>
        <v>116.09680851063831</v>
      </c>
      <c r="AC46" s="1127">
        <f>MODEL!BI1244</f>
        <v>120.50695875343722</v>
      </c>
      <c r="AD46" s="1127">
        <f>MODEL!BJ1244</f>
        <v>236.60825098269723</v>
      </c>
      <c r="AE46" s="1127">
        <f>MODEL!BK1244</f>
        <v>0</v>
      </c>
      <c r="AF46" s="1127">
        <f>MODEL!BL1244</f>
        <v>127.83106671554252</v>
      </c>
      <c r="AG46" s="1127">
        <f>MODEL!BM1244</f>
        <v>130.57858734972777</v>
      </c>
      <c r="AH46" s="1426">
        <f>MODEL!BN1244</f>
        <v>258.42821535758731</v>
      </c>
      <c r="AI46" s="1127"/>
      <c r="AJ46" s="1127">
        <f>MODEL!BP1244</f>
        <v>132.61671272727273</v>
      </c>
      <c r="AK46" s="1127">
        <f>MODEL!BQ1244</f>
        <v>125.7576538833387</v>
      </c>
      <c r="AL46" s="1426">
        <f>MODEL!BR1244</f>
        <v>258.31686512232085</v>
      </c>
      <c r="AM46" s="1127"/>
      <c r="AN46" s="1127">
        <f>MODEL!BT1244</f>
        <v>95.127255807541175</v>
      </c>
      <c r="AO46" s="1127">
        <f>MODEL!BU1244</f>
        <v>105.86806910289877</v>
      </c>
      <c r="AP46" s="1426">
        <f>MODEL!BV1244</f>
        <v>201.03492189112933</v>
      </c>
      <c r="AQ46" s="1127"/>
      <c r="AR46" s="1127">
        <f>MODEL!BX1244</f>
        <v>115.74556555050108</v>
      </c>
      <c r="AS46" s="1127">
        <f>MODEL!BY1244</f>
        <v>119.45707701761575</v>
      </c>
      <c r="AT46" s="1426">
        <f>MODEL!BZ1244</f>
        <v>235.21014898851828</v>
      </c>
      <c r="AU46" s="1370"/>
      <c r="AV46" s="1127">
        <f ca="1">MODEL!CB1244</f>
        <v>97.561362237570947</v>
      </c>
      <c r="AW46" s="1127">
        <f>MODEL!CC1244</f>
        <v>100.82093192700022</v>
      </c>
      <c r="AX46" s="1127">
        <f ca="1">MODEL!CD1244</f>
        <v>198.36532566389968</v>
      </c>
      <c r="AY46" s="1370"/>
      <c r="AZ46" s="1142">
        <f>MODEL!CF1244</f>
        <v>122.02875144387274</v>
      </c>
      <c r="BA46" s="1127">
        <f>MODEL!CG1244</f>
        <v>92.817612130208872</v>
      </c>
      <c r="BB46" s="1426">
        <f>MODEL!CH1244</f>
        <v>214.98815025852065</v>
      </c>
      <c r="BC46" s="1127"/>
      <c r="BD46" s="1127">
        <f>MODEL!CJ1244</f>
        <v>46.369967498056944</v>
      </c>
      <c r="BE46" s="1127">
        <f>MODEL!CK1244</f>
        <v>81.8924025148347</v>
      </c>
      <c r="BF46" s="1426">
        <f>MODEL!CL1244</f>
        <v>128.26613444487617</v>
      </c>
      <c r="BG46" s="1127"/>
      <c r="BH46" s="1127">
        <f>MODEL!CN1244</f>
        <v>104.21820551660971</v>
      </c>
      <c r="BI46" s="1127">
        <f>MODEL!CO1244</f>
        <v>111.81397618376549</v>
      </c>
      <c r="BJ46" s="1426">
        <f>MODEL!CP1244</f>
        <v>216.02797505812723</v>
      </c>
      <c r="BK46" s="1127"/>
      <c r="BL46" s="1127">
        <f>MODEL!CR1244</f>
        <v>109.78199166874356</v>
      </c>
      <c r="BM46" s="1127">
        <f>MODEL!CS1244</f>
        <v>118.35807860262008</v>
      </c>
      <c r="BN46" s="1426">
        <f>MODEL!CT1244</f>
        <v>228.12993854258119</v>
      </c>
      <c r="BO46" s="1127"/>
      <c r="BP46" s="1127">
        <f>MODEL!CV1244</f>
        <v>127.88484018569855</v>
      </c>
      <c r="BQ46" s="1127">
        <f>MODEL!CW1244</f>
        <v>119.45870275314981</v>
      </c>
      <c r="BR46" s="1426">
        <f>MODEL!CX1244</f>
        <v>247.33084211931134</v>
      </c>
      <c r="BS46" s="1127"/>
      <c r="BT46" s="1127">
        <f>MODEL!CZ1244</f>
        <v>118.34871555659214</v>
      </c>
      <c r="BU46" s="1127">
        <f>MODEL!DA1244</f>
        <v>105.9255549991654</v>
      </c>
      <c r="BV46" s="1426">
        <f>MODEL!DB1244</f>
        <v>224.28628601921025</v>
      </c>
      <c r="BW46" s="1127"/>
      <c r="BX46" s="1127">
        <f>MODEL!DD1244</f>
        <v>120.05787543322452</v>
      </c>
      <c r="BY46" s="1127">
        <f>MODEL!DE1244</f>
        <v>74.630881512124574</v>
      </c>
      <c r="BZ46" s="1426">
        <f>MODEL!DF1244</f>
        <v>194.67805961111486</v>
      </c>
      <c r="CA46" s="1127"/>
      <c r="CB46" s="1127">
        <f ca="1">MODEL!DH1244</f>
        <v>123.81251788781024</v>
      </c>
      <c r="CC46" s="1127">
        <f ca="1">MODEL!DI1244</f>
        <v>127.53141029010044</v>
      </c>
      <c r="CD46" s="1426">
        <f ca="1">MODEL!DJ1244</f>
        <v>251.350527440484</v>
      </c>
      <c r="CE46" s="1127"/>
      <c r="CF46" s="1127">
        <f ca="1">MODEL!DL1244</f>
        <v>132.63453164788251</v>
      </c>
      <c r="CG46" s="1127">
        <f ca="1">MODEL!DM1244</f>
        <v>133.33777037700403</v>
      </c>
      <c r="CH46" s="1426">
        <f ca="1">MODEL!DN1244</f>
        <v>265.97167299810718</v>
      </c>
      <c r="CI46" s="1127"/>
      <c r="CJ46" s="1127">
        <f ca="1">MODEL!DP1244</f>
        <v>139.40345718289035</v>
      </c>
      <c r="CK46" s="1127">
        <f ca="1">MODEL!DQ1244</f>
        <v>145.1822225312423</v>
      </c>
      <c r="CL46" s="1127">
        <f ca="1">MODEL!DR1244</f>
        <v>284.57542687658724</v>
      </c>
      <c r="CM46" s="1396"/>
      <c r="CN46" s="1440" t="s">
        <v>772</v>
      </c>
      <c r="CO46" s="1343"/>
      <c r="CP46" s="1343"/>
      <c r="CQ46" s="1343"/>
      <c r="CR46" s="1343"/>
      <c r="CS46" s="1343"/>
      <c r="CT46" s="1343"/>
      <c r="CU46" s="1343"/>
      <c r="CV46" s="1343"/>
      <c r="CW46" s="1343"/>
      <c r="CX46" s="1343"/>
      <c r="CY46" s="1343"/>
      <c r="CZ46" s="1343"/>
      <c r="DA46" s="1143"/>
      <c r="DB46" s="1143"/>
      <c r="DC46" s="1143"/>
      <c r="DD46" s="1143"/>
      <c r="DE46" s="1143"/>
      <c r="DF46" s="1143"/>
      <c r="DG46" s="1143">
        <f>MODEL!BN1277*100</f>
        <v>11.899336401782429</v>
      </c>
      <c r="DH46" s="1143"/>
      <c r="DI46" s="1143"/>
      <c r="DJ46" s="1143"/>
      <c r="DK46" s="1143">
        <f>MODEL!BR1277*100</f>
        <v>13.185084229618074</v>
      </c>
      <c r="DL46" s="1143"/>
      <c r="DM46" s="1143"/>
      <c r="DN46" s="1143"/>
      <c r="DO46" s="1143">
        <f>MODEL!BV1277*100</f>
        <v>14.510555531080666</v>
      </c>
      <c r="DP46" s="1143"/>
      <c r="DQ46" s="1143">
        <f>MODEL!BX1277*100</f>
        <v>15.229206125327421</v>
      </c>
      <c r="DR46" s="1143">
        <f>MODEL!BY1277*100</f>
        <v>15.768812593802814</v>
      </c>
      <c r="DS46" s="1143">
        <f>MODEL!BZ1277*100</f>
        <v>15.768812593802814</v>
      </c>
      <c r="DT46" s="1143"/>
      <c r="DU46" s="1143">
        <f>MODEL!CB1277*100</f>
        <v>16.34334006271208</v>
      </c>
      <c r="DV46" s="1143">
        <f>MODEL!CC1277*100</f>
        <v>16.835187554372858</v>
      </c>
      <c r="DW46" s="1143">
        <f>MODEL!CD1277*100</f>
        <v>16.835187554372858</v>
      </c>
      <c r="DX46" s="1143"/>
      <c r="DY46" s="1143"/>
      <c r="DZ46" s="1143"/>
      <c r="EA46" s="1143">
        <f>MODEL!CH1277*100</f>
        <v>16.357177289962372</v>
      </c>
      <c r="EB46" s="1143"/>
      <c r="EC46" s="1143"/>
      <c r="ED46" s="1143"/>
      <c r="EE46" s="1143">
        <f>MODEL!CL1277*100</f>
        <v>16.742295008663575</v>
      </c>
      <c r="EF46" s="1143"/>
      <c r="EG46" s="1143"/>
      <c r="EH46" s="1143"/>
      <c r="EI46" s="1441">
        <f>MODEL!CP1277*100</f>
        <v>18.343361708877492</v>
      </c>
      <c r="EJ46" s="1143"/>
      <c r="EK46" s="1143"/>
      <c r="EL46" s="1143"/>
      <c r="EM46" s="1441">
        <f>MODEL!CT1277*100</f>
        <v>19.187175788070849</v>
      </c>
      <c r="EN46" s="1143"/>
      <c r="EO46" s="1143"/>
      <c r="EP46" s="1143"/>
      <c r="EQ46" s="1441">
        <f>MODEL!CX1277*100</f>
        <v>19.737271852434766</v>
      </c>
      <c r="ER46" s="1143"/>
      <c r="ES46" s="1143"/>
      <c r="ET46" s="1143"/>
      <c r="EU46" s="1143">
        <f>MODEL!DB1277*100</f>
        <v>17.606864181718027</v>
      </c>
      <c r="EV46" s="1143"/>
      <c r="EW46" s="1143"/>
      <c r="EX46" s="1143"/>
      <c r="EY46" s="1607">
        <f>MODEL!DF1277*100</f>
        <v>17.614535173057504</v>
      </c>
      <c r="EZ46" s="1143"/>
      <c r="FA46" s="1143"/>
      <c r="FB46" s="1143"/>
      <c r="FC46" s="1143">
        <f ca="1">MODEL!DJ1277*100</f>
        <v>18.052671051147964</v>
      </c>
      <c r="FD46" s="1143"/>
      <c r="FE46" s="1143"/>
      <c r="FF46" s="1143"/>
      <c r="FG46" s="1143">
        <f ca="1">MODEL!DN1277*100</f>
        <v>18.038040608005335</v>
      </c>
      <c r="FH46" s="1143"/>
      <c r="FI46" s="1143"/>
      <c r="FJ46" s="1143"/>
      <c r="FK46" s="1143">
        <f ca="1">MODEL!DR1277*100</f>
        <v>17.881132237072052</v>
      </c>
      <c r="FL46" s="444"/>
      <c r="FM46" s="597"/>
      <c r="FN46" s="597"/>
      <c r="FO46" s="597"/>
      <c r="FP46" s="597"/>
      <c r="FQ46" s="597"/>
      <c r="FR46" s="597"/>
      <c r="FS46" s="597"/>
      <c r="FT46" s="444"/>
      <c r="FU46" s="444"/>
      <c r="FV46" s="444"/>
      <c r="FW46" s="444"/>
    </row>
    <row r="47" spans="1:179" ht="13.8">
      <c r="A47" s="444"/>
      <c r="B47" s="444"/>
      <c r="C47" s="1444" t="s">
        <v>1172</v>
      </c>
      <c r="D47" s="1250"/>
      <c r="E47" s="1250"/>
      <c r="F47" s="1250"/>
      <c r="G47" s="1445"/>
      <c r="H47" s="1250">
        <v>62</v>
      </c>
      <c r="I47" s="1250">
        <v>74</v>
      </c>
      <c r="J47" s="1250">
        <v>136</v>
      </c>
      <c r="K47" s="1445"/>
      <c r="L47" s="1250">
        <v>46</v>
      </c>
      <c r="M47" s="1250">
        <v>56</v>
      </c>
      <c r="N47" s="1250">
        <v>102</v>
      </c>
      <c r="O47" s="1445"/>
      <c r="P47" s="1250">
        <v>52</v>
      </c>
      <c r="Q47" s="1250">
        <v>74</v>
      </c>
      <c r="R47" s="1250">
        <v>126</v>
      </c>
      <c r="S47" s="1250"/>
      <c r="T47" s="1250">
        <v>64</v>
      </c>
      <c r="U47" s="1250">
        <v>76</v>
      </c>
      <c r="V47" s="1250">
        <v>140</v>
      </c>
      <c r="W47" s="1250"/>
      <c r="X47" s="1250">
        <v>66</v>
      </c>
      <c r="Y47" s="1250">
        <v>79</v>
      </c>
      <c r="Z47" s="1250">
        <v>145</v>
      </c>
      <c r="AA47" s="1251"/>
      <c r="AB47" s="1251">
        <f>MODEL!BH1125</f>
        <v>73</v>
      </c>
      <c r="AC47" s="1251">
        <f>MODEL!BI1125</f>
        <v>91</v>
      </c>
      <c r="AD47" s="1251">
        <f>MODEL!BJ1125</f>
        <v>164</v>
      </c>
      <c r="AE47" s="1251">
        <f>MODEL!BK1125</f>
        <v>0.13103448275862073</v>
      </c>
      <c r="AF47" s="1251">
        <f>MODEL!BL1125</f>
        <v>83</v>
      </c>
      <c r="AG47" s="1251">
        <f>MODEL!BM1125</f>
        <v>95</v>
      </c>
      <c r="AH47" s="1446">
        <f>MODEL!BN1125</f>
        <v>178</v>
      </c>
      <c r="AI47" s="1251"/>
      <c r="AJ47" s="1251">
        <f>MODEL!BP1125</f>
        <v>86</v>
      </c>
      <c r="AK47" s="1251">
        <f>MODEL!BQ1125</f>
        <v>95</v>
      </c>
      <c r="AL47" s="1446">
        <f>MODEL!BR1125</f>
        <v>181</v>
      </c>
      <c r="AM47" s="1251"/>
      <c r="AN47" s="1251">
        <f>MODEL!BT1125</f>
        <v>80</v>
      </c>
      <c r="AO47" s="1251">
        <f>MODEL!BU1125</f>
        <v>80</v>
      </c>
      <c r="AP47" s="1446">
        <f>MODEL!BV1125</f>
        <v>160</v>
      </c>
      <c r="AQ47" s="1251"/>
      <c r="AR47" s="1251">
        <f>MODEL!BX1125</f>
        <v>80</v>
      </c>
      <c r="AS47" s="1251">
        <f>MODEL!BY1125</f>
        <v>80</v>
      </c>
      <c r="AT47" s="1446">
        <f>MODEL!BZ1125</f>
        <v>160</v>
      </c>
      <c r="AU47" s="1361"/>
      <c r="AV47" s="1251">
        <f>MODEL!CB1125</f>
        <v>80</v>
      </c>
      <c r="AW47" s="1251">
        <f>MODEL!CC1125</f>
        <v>80</v>
      </c>
      <c r="AX47" s="1251">
        <f>MODEL!CD1125</f>
        <v>160</v>
      </c>
      <c r="AY47" s="1361"/>
      <c r="AZ47" s="1447">
        <f>MODEL!CF1125</f>
        <v>80</v>
      </c>
      <c r="BA47" s="1251">
        <f>MODEL!CG1125</f>
        <v>80</v>
      </c>
      <c r="BB47" s="1446">
        <f>MODEL!CH1125</f>
        <v>160</v>
      </c>
      <c r="BC47" s="1251"/>
      <c r="BD47" s="1251">
        <f>MODEL!CJ1125</f>
        <v>25</v>
      </c>
      <c r="BE47" s="1251">
        <f>MODEL!CK1125</f>
        <v>35</v>
      </c>
      <c r="BF47" s="1446">
        <f>MODEL!CL1125</f>
        <v>60</v>
      </c>
      <c r="BG47" s="1251"/>
      <c r="BH47" s="1251">
        <f>MODEL!CN1125</f>
        <v>70</v>
      </c>
      <c r="BI47" s="1251">
        <f>MODEL!CO1125</f>
        <v>72</v>
      </c>
      <c r="BJ47" s="1446">
        <f>MODEL!CP1125</f>
        <v>142</v>
      </c>
      <c r="BK47" s="1251"/>
      <c r="BL47" s="1251">
        <f>MODEL!CR1125</f>
        <v>72</v>
      </c>
      <c r="BM47" s="1251">
        <f>MODEL!CS1125</f>
        <v>74</v>
      </c>
      <c r="BN47" s="1446">
        <f>MODEL!CT1125</f>
        <v>146</v>
      </c>
      <c r="BO47" s="1251"/>
      <c r="BP47" s="1251">
        <f>MODEL!CV1125</f>
        <v>81</v>
      </c>
      <c r="BQ47" s="1251">
        <f>MODEL!CW1125</f>
        <v>81</v>
      </c>
      <c r="BR47" s="1446">
        <f>MODEL!CX1125</f>
        <v>162</v>
      </c>
      <c r="BS47" s="1251"/>
      <c r="BT47" s="1251">
        <f>MODEL!CZ1125</f>
        <v>83</v>
      </c>
      <c r="BU47" s="1251">
        <f>MODEL!DA1125</f>
        <v>83</v>
      </c>
      <c r="BV47" s="1446">
        <f>MODEL!DB1125</f>
        <v>166</v>
      </c>
      <c r="BW47" s="1251"/>
      <c r="BX47" s="1251">
        <f>MODEL!DD1125</f>
        <v>83</v>
      </c>
      <c r="BY47" s="1251">
        <f>MODEL!DE1125</f>
        <v>83</v>
      </c>
      <c r="BZ47" s="1446">
        <f>MODEL!DF1125</f>
        <v>166</v>
      </c>
      <c r="CA47" s="1251"/>
      <c r="CB47" s="1251">
        <f ca="1">MODEL!DH1125</f>
        <v>85</v>
      </c>
      <c r="CC47" s="1251">
        <f ca="1">MODEL!DI1125</f>
        <v>87</v>
      </c>
      <c r="CD47" s="1446">
        <f ca="1">MODEL!DJ1125</f>
        <v>172</v>
      </c>
      <c r="CE47" s="1251"/>
      <c r="CF47" s="1251">
        <f ca="1">MODEL!DL1125</f>
        <v>90</v>
      </c>
      <c r="CG47" s="1251">
        <f ca="1">MODEL!DM1125</f>
        <v>92</v>
      </c>
      <c r="CH47" s="1446">
        <f ca="1">MODEL!DN1125</f>
        <v>182</v>
      </c>
      <c r="CI47" s="1251"/>
      <c r="CJ47" s="1251">
        <f ca="1">MODEL!DP1125</f>
        <v>94</v>
      </c>
      <c r="CK47" s="1251">
        <f ca="1">MODEL!DQ1125</f>
        <v>96</v>
      </c>
      <c r="CL47" s="1251">
        <f ca="1">MODEL!DR1125</f>
        <v>190</v>
      </c>
      <c r="CM47" s="1443"/>
      <c r="CN47" s="1350" t="s">
        <v>257</v>
      </c>
      <c r="CO47" s="1343">
        <v>10.695651126079989</v>
      </c>
      <c r="CP47" s="1343">
        <v>10.100968052012927</v>
      </c>
      <c r="CQ47" s="1343">
        <v>10.100968052012927</v>
      </c>
      <c r="CR47" s="1343"/>
      <c r="CS47" s="1343">
        <v>10.509544498100183</v>
      </c>
      <c r="CT47" s="1343">
        <v>10.935691731794089</v>
      </c>
      <c r="CU47" s="1343">
        <v>10.935691731794089</v>
      </c>
      <c r="CV47" s="1343"/>
      <c r="CW47" s="1343">
        <v>11.265429931609768</v>
      </c>
      <c r="CX47" s="1343">
        <v>10.829371016163588</v>
      </c>
      <c r="CY47" s="1343">
        <v>10.829371016163588</v>
      </c>
      <c r="CZ47" s="1343"/>
      <c r="DA47" s="1128">
        <f>MODEL!BH1254*100</f>
        <v>9.8393586746935657</v>
      </c>
      <c r="DB47" s="1128">
        <f>MODEL!BI1254*100</f>
        <v>10.36947518901154</v>
      </c>
      <c r="DC47" s="1128">
        <f>MODEL!BJ1254*100</f>
        <v>10.36947518901154</v>
      </c>
      <c r="DD47" s="1128"/>
      <c r="DE47" s="1128">
        <f>MODEL!BL1254*100</f>
        <v>10.339579752730499</v>
      </c>
      <c r="DF47" s="1128">
        <f>MODEL!BM1254*100</f>
        <v>10.677151763758925</v>
      </c>
      <c r="DG47" s="1128">
        <f>MODEL!BN1254*100</f>
        <v>10.677151763758925</v>
      </c>
      <c r="DH47" s="1128"/>
      <c r="DI47" s="1128">
        <f>MODEL!BP1254*100</f>
        <v>10.62081408664049</v>
      </c>
      <c r="DJ47" s="1128">
        <f>MODEL!BQ1254*100</f>
        <v>11.316201295227859</v>
      </c>
      <c r="DK47" s="1128">
        <f>MODEL!BR1254*100</f>
        <v>11.316201295227859</v>
      </c>
      <c r="DL47" s="1128">
        <f>MODEL!BS1254*100</f>
        <v>0</v>
      </c>
      <c r="DM47" s="1128">
        <f>MODEL!BT1254*100</f>
        <v>11.603898695713752</v>
      </c>
      <c r="DN47" s="1128">
        <f>MODEL!BU1254*100</f>
        <v>11.817701220318076</v>
      </c>
      <c r="DO47" s="1128">
        <f>MODEL!BV1254*100</f>
        <v>11.817701220318076</v>
      </c>
      <c r="DP47" s="1128"/>
      <c r="DQ47" s="1128">
        <f>MODEL!BX1254*100</f>
        <v>12.112381624017733</v>
      </c>
      <c r="DR47" s="1128">
        <f>MODEL!BY1254*100</f>
        <v>12.611189093689038</v>
      </c>
      <c r="DS47" s="1128">
        <f>MODEL!BZ1254*100</f>
        <v>12.611189093689038</v>
      </c>
      <c r="DT47" s="1128"/>
      <c r="DU47" s="1128">
        <f>MODEL!CB1254*100</f>
        <v>12.917627856090677</v>
      </c>
      <c r="DV47" s="1128">
        <f>MODEL!CC1254*100</f>
        <v>13.361138119850571</v>
      </c>
      <c r="DW47" s="1128">
        <f>MODEL!CD1254*100</f>
        <v>13.361138119850571</v>
      </c>
      <c r="DX47" s="1128"/>
      <c r="DY47" s="1128"/>
      <c r="DZ47" s="1128"/>
      <c r="EA47" s="1128">
        <f>MODEL!CH1254*100</f>
        <v>13.243684661155362</v>
      </c>
      <c r="EB47" s="1128"/>
      <c r="EC47" s="1128"/>
      <c r="ED47" s="1128"/>
      <c r="EE47" s="1128">
        <f>MODEL!CL1254*100</f>
        <v>13.1539600916662</v>
      </c>
      <c r="EF47" s="1128"/>
      <c r="EG47" s="1128"/>
      <c r="EH47" s="1128"/>
      <c r="EI47" s="1427">
        <f>MODEL!CP1254*100</f>
        <v>14.293439337060127</v>
      </c>
      <c r="EJ47" s="1128"/>
      <c r="EK47" s="1128"/>
      <c r="EL47" s="1128"/>
      <c r="EM47" s="1427">
        <f>MODEL!CT1254*100</f>
        <v>13.97745415840147</v>
      </c>
      <c r="EN47" s="1128"/>
      <c r="EO47" s="1128"/>
      <c r="EP47" s="1128"/>
      <c r="EQ47" s="1427">
        <f>MODEL!CX1254*100</f>
        <v>15.236991925266599</v>
      </c>
      <c r="ER47" s="1128"/>
      <c r="ES47" s="1128"/>
      <c r="ET47" s="1128"/>
      <c r="EU47" s="1128">
        <f>MODEL!DB1254*100</f>
        <v>14.034600588469754</v>
      </c>
      <c r="EV47" s="1128"/>
      <c r="EW47" s="1128"/>
      <c r="EX47" s="1128"/>
      <c r="EY47" s="1605">
        <f>MODEL!DF1254*100</f>
        <v>13.638950859999083</v>
      </c>
      <c r="EZ47" s="1128"/>
      <c r="FA47" s="1128"/>
      <c r="FB47" s="1128"/>
      <c r="FC47" s="1128">
        <f ca="1">MODEL!DJ1254*100</f>
        <v>13.978121576767835</v>
      </c>
      <c r="FD47" s="1128"/>
      <c r="FE47" s="1128"/>
      <c r="FF47" s="1128"/>
      <c r="FG47" s="1128">
        <f ca="1">MODEL!DN1254*100</f>
        <v>13.909200015817467</v>
      </c>
      <c r="FH47" s="1128"/>
      <c r="FI47" s="1128"/>
      <c r="FJ47" s="1128"/>
      <c r="FK47" s="1128">
        <f ca="1">MODEL!DR1254*100</f>
        <v>13.689595855004688</v>
      </c>
      <c r="FL47" s="444"/>
      <c r="FM47" s="597"/>
      <c r="FN47" s="463"/>
      <c r="FO47" s="478"/>
      <c r="FP47" s="478"/>
      <c r="FQ47" s="478"/>
      <c r="FR47" s="478"/>
      <c r="FS47" s="479"/>
      <c r="FT47" s="444"/>
      <c r="FU47" s="444"/>
      <c r="FV47" s="444"/>
      <c r="FW47" s="444"/>
    </row>
    <row r="48" spans="1:179" ht="13.8">
      <c r="A48" s="444"/>
      <c r="B48" s="444"/>
      <c r="C48" s="1448" t="s">
        <v>1171</v>
      </c>
      <c r="D48" s="1252"/>
      <c r="E48" s="1252"/>
      <c r="F48" s="1252"/>
      <c r="G48" s="1449"/>
      <c r="H48" s="1252">
        <v>62</v>
      </c>
      <c r="I48" s="1252">
        <v>74</v>
      </c>
      <c r="J48" s="1252">
        <v>136</v>
      </c>
      <c r="K48" s="1449"/>
      <c r="L48" s="1252">
        <v>46</v>
      </c>
      <c r="M48" s="1252">
        <v>56</v>
      </c>
      <c r="N48" s="1252">
        <v>102</v>
      </c>
      <c r="O48" s="1449"/>
      <c r="P48" s="1252">
        <v>52</v>
      </c>
      <c r="Q48" s="1252">
        <v>74</v>
      </c>
      <c r="R48" s="1252">
        <v>126</v>
      </c>
      <c r="S48" s="1252"/>
      <c r="T48" s="1252">
        <v>64</v>
      </c>
      <c r="U48" s="1252">
        <v>76</v>
      </c>
      <c r="V48" s="1252">
        <v>140</v>
      </c>
      <c r="W48" s="1252"/>
      <c r="X48" s="1252">
        <v>66</v>
      </c>
      <c r="Y48" s="1252">
        <v>79</v>
      </c>
      <c r="Z48" s="1252">
        <v>145</v>
      </c>
      <c r="AA48" s="1253"/>
      <c r="AB48" s="1253">
        <f>MODEL!BH1126</f>
        <v>0</v>
      </c>
      <c r="AC48" s="1253">
        <f>MODEL!BI1126</f>
        <v>0</v>
      </c>
      <c r="AD48" s="1253">
        <f>MODEL!BJ1126</f>
        <v>0</v>
      </c>
      <c r="AE48" s="1253">
        <f>MODEL!BK1126</f>
        <v>0</v>
      </c>
      <c r="AF48" s="1253">
        <f>MODEL!BL1126</f>
        <v>0</v>
      </c>
      <c r="AG48" s="1253">
        <f>MODEL!BM1126</f>
        <v>0</v>
      </c>
      <c r="AH48" s="1361">
        <f>MODEL!BN1126</f>
        <v>0</v>
      </c>
      <c r="AI48" s="1253"/>
      <c r="AJ48" s="1253">
        <f>MODEL!BP1126</f>
        <v>0</v>
      </c>
      <c r="AK48" s="1253">
        <f>MODEL!BQ1126</f>
        <v>0</v>
      </c>
      <c r="AL48" s="1361">
        <f>MODEL!BR1126</f>
        <v>0</v>
      </c>
      <c r="AM48" s="1253"/>
      <c r="AN48" s="1253">
        <f>MODEL!BT1126</f>
        <v>0</v>
      </c>
      <c r="AO48" s="1253">
        <f>MODEL!BU1126</f>
        <v>0</v>
      </c>
      <c r="AP48" s="1361">
        <f>MODEL!BV1126</f>
        <v>0</v>
      </c>
      <c r="AQ48" s="1253"/>
      <c r="AR48" s="1253">
        <f>MODEL!BX1126</f>
        <v>0</v>
      </c>
      <c r="AS48" s="1253">
        <f>MODEL!BY1126</f>
        <v>0</v>
      </c>
      <c r="AT48" s="1361">
        <f>MODEL!BZ1126</f>
        <v>0</v>
      </c>
      <c r="AU48" s="1361"/>
      <c r="AV48" s="1253">
        <f>MODEL!CB1126</f>
        <v>0</v>
      </c>
      <c r="AW48" s="1253">
        <f>MODEL!CC1126</f>
        <v>0</v>
      </c>
      <c r="AX48" s="1253">
        <f>MODEL!CD1126</f>
        <v>0</v>
      </c>
      <c r="AY48" s="1361"/>
      <c r="AZ48" s="1450">
        <f>MODEL!CF1126</f>
        <v>0</v>
      </c>
      <c r="BA48" s="1253">
        <f>MODEL!CG1126</f>
        <v>0</v>
      </c>
      <c r="BB48" s="1361">
        <f>MODEL!CH1126</f>
        <v>0</v>
      </c>
      <c r="BC48" s="1253"/>
      <c r="BD48" s="1253">
        <f>MODEL!CJ1126</f>
        <v>0</v>
      </c>
      <c r="BE48" s="1253">
        <f>MODEL!CK1126</f>
        <v>0</v>
      </c>
      <c r="BF48" s="1361">
        <f>MODEL!CL1126</f>
        <v>0</v>
      </c>
      <c r="BG48" s="1253"/>
      <c r="BH48" s="1253">
        <f>MODEL!CN1126</f>
        <v>0</v>
      </c>
      <c r="BI48" s="1253">
        <f>MODEL!CO1126</f>
        <v>0</v>
      </c>
      <c r="BJ48" s="1361">
        <f>MODEL!CP1126</f>
        <v>0</v>
      </c>
      <c r="BK48" s="1253"/>
      <c r="BL48" s="1253">
        <f>MODEL!CR1126</f>
        <v>0</v>
      </c>
      <c r="BM48" s="1253">
        <f>MODEL!CS1126</f>
        <v>0</v>
      </c>
      <c r="BN48" s="1361">
        <f>MODEL!CT1126</f>
        <v>0</v>
      </c>
      <c r="BO48" s="1253"/>
      <c r="BP48" s="1253">
        <f>MODEL!CV1126</f>
        <v>0</v>
      </c>
      <c r="BQ48" s="1253">
        <f>MODEL!CW1126</f>
        <v>13</v>
      </c>
      <c r="BR48" s="1361">
        <f>MODEL!CX1126</f>
        <v>13</v>
      </c>
      <c r="BS48" s="1253"/>
      <c r="BT48" s="1253">
        <f>MODEL!CZ1126</f>
        <v>0</v>
      </c>
      <c r="BU48" s="1253">
        <f>MODEL!DA1126</f>
        <v>0</v>
      </c>
      <c r="BV48" s="1361">
        <f>MODEL!DB1126</f>
        <v>0</v>
      </c>
      <c r="BW48" s="1253"/>
      <c r="BX48" s="1253">
        <f>MODEL!DD1126</f>
        <v>0</v>
      </c>
      <c r="BY48" s="1253">
        <f>MODEL!DE1126</f>
        <v>0</v>
      </c>
      <c r="BZ48" s="1361">
        <f>MODEL!DF1126</f>
        <v>0</v>
      </c>
      <c r="CA48" s="1253"/>
      <c r="CB48" s="1253">
        <f ca="1">MODEL!DH1126</f>
        <v>0</v>
      </c>
      <c r="CC48" s="1253">
        <f ca="1">MODEL!DI1126</f>
        <v>0</v>
      </c>
      <c r="CD48" s="1361">
        <f ca="1">MODEL!DJ1126</f>
        <v>0</v>
      </c>
      <c r="CE48" s="1253"/>
      <c r="CF48" s="1253">
        <f ca="1">MODEL!DL1126</f>
        <v>0</v>
      </c>
      <c r="CG48" s="1253">
        <f ca="1">MODEL!DM1126</f>
        <v>0</v>
      </c>
      <c r="CH48" s="1361">
        <f ca="1">MODEL!DN1126</f>
        <v>0</v>
      </c>
      <c r="CI48" s="1253"/>
      <c r="CJ48" s="1253">
        <f ca="1">MODEL!DP1126</f>
        <v>0</v>
      </c>
      <c r="CK48" s="1253">
        <f ca="1">MODEL!DQ1126</f>
        <v>0</v>
      </c>
      <c r="CL48" s="1253">
        <f ca="1">MODEL!DR1126</f>
        <v>0</v>
      </c>
      <c r="CM48" s="1443"/>
      <c r="CN48" s="1350" t="s">
        <v>537</v>
      </c>
      <c r="CO48" s="1343">
        <v>12.957852836388028</v>
      </c>
      <c r="CP48" s="1343">
        <v>11.923539785499656</v>
      </c>
      <c r="CQ48" s="1343">
        <v>11.923539785499656</v>
      </c>
      <c r="CR48" s="1343"/>
      <c r="CS48" s="1343">
        <v>12.131957795304197</v>
      </c>
      <c r="CT48" s="1343">
        <v>12.069408924004515</v>
      </c>
      <c r="CU48" s="1343">
        <v>12.069408924004515</v>
      </c>
      <c r="CV48" s="1343"/>
      <c r="CW48" s="1343">
        <v>12.568987066241627</v>
      </c>
      <c r="CX48" s="1343">
        <v>12.17117210173298</v>
      </c>
      <c r="CY48" s="1343">
        <v>12.17117210173298</v>
      </c>
      <c r="CZ48" s="1343"/>
      <c r="DA48" s="1128">
        <f>MODEL!BH1256*100</f>
        <v>11.718570782002717</v>
      </c>
      <c r="DB48" s="1128">
        <f>MODEL!BI1256*100</f>
        <v>12.194007634150296</v>
      </c>
      <c r="DC48" s="1128">
        <f>MODEL!BJ1256*100</f>
        <v>12.194007634150296</v>
      </c>
      <c r="DD48" s="1128"/>
      <c r="DE48" s="1128">
        <f>MODEL!BL1256*100</f>
        <v>12.095692188279648</v>
      </c>
      <c r="DF48" s="1128">
        <f>MODEL!BM1256*100</f>
        <v>12.651543859552069</v>
      </c>
      <c r="DG48" s="1128">
        <f>MODEL!BN1256*100</f>
        <v>12.651543859552069</v>
      </c>
      <c r="DH48" s="1128"/>
      <c r="DI48" s="1128">
        <f>MODEL!BP1256*100</f>
        <v>12.615318601158549</v>
      </c>
      <c r="DJ48" s="1128">
        <f>MODEL!BQ1256*100</f>
        <v>13.310705809745919</v>
      </c>
      <c r="DK48" s="1128">
        <f>MODEL!BR1256*100</f>
        <v>13.310705809745919</v>
      </c>
      <c r="DL48" s="1128">
        <f>MODEL!BS1256*100</f>
        <v>0</v>
      </c>
      <c r="DM48" s="1128">
        <f>MODEL!BT1256*100</f>
        <v>13.683546422547543</v>
      </c>
      <c r="DN48" s="1128">
        <f>MODEL!BU1256*100</f>
        <v>14.34546798439481</v>
      </c>
      <c r="DO48" s="1128">
        <f>MODEL!BV1256*100</f>
        <v>14.34546798439481</v>
      </c>
      <c r="DP48" s="1128"/>
      <c r="DQ48" s="1128">
        <f>MODEL!BX1256*100</f>
        <v>14.542363489824703</v>
      </c>
      <c r="DR48" s="1128">
        <f>MODEL!BY1256*100</f>
        <v>14.827684070843977</v>
      </c>
      <c r="DS48" s="1128">
        <f>MODEL!BZ1256*100</f>
        <v>14.827684070843977</v>
      </c>
      <c r="DT48" s="1128"/>
      <c r="DU48" s="1128">
        <f>MODEL!CB1256*100</f>
        <v>14.949074857811343</v>
      </c>
      <c r="DV48" s="1128">
        <f>MODEL!CC1256*100</f>
        <v>15.226702829947293</v>
      </c>
      <c r="DW48" s="1128">
        <f>MODEL!CD1256*100</f>
        <v>15.226702829947293</v>
      </c>
      <c r="DX48" s="1128"/>
      <c r="DY48" s="1128"/>
      <c r="DZ48" s="1128"/>
      <c r="EA48" s="1128">
        <f>MODEL!CH1256*100</f>
        <v>15.293996320998849</v>
      </c>
      <c r="EB48" s="1128"/>
      <c r="EC48" s="1128"/>
      <c r="ED48" s="1128"/>
      <c r="EE48" s="1128">
        <f>MODEL!CL1256*100</f>
        <v>16.404430533042685</v>
      </c>
      <c r="EF48" s="1128"/>
      <c r="EG48" s="1128"/>
      <c r="EH48" s="1128"/>
      <c r="EI48" s="1427">
        <f>MODEL!CP1256*100</f>
        <v>18.409175026316674</v>
      </c>
      <c r="EJ48" s="1128"/>
      <c r="EK48" s="1128"/>
      <c r="EL48" s="1128"/>
      <c r="EM48" s="1427">
        <f>MODEL!CT1256*100</f>
        <v>18.216784908448751</v>
      </c>
      <c r="EN48" s="1128"/>
      <c r="EO48" s="1128"/>
      <c r="EP48" s="1128"/>
      <c r="EQ48" s="1427">
        <f>MODEL!CX1256*100</f>
        <v>20.996845338508795</v>
      </c>
      <c r="ER48" s="1128"/>
      <c r="ES48" s="1128"/>
      <c r="ET48" s="1128"/>
      <c r="EU48" s="1128">
        <f>MODEL!DB1256*100</f>
        <v>20.570690265169667</v>
      </c>
      <c r="EV48" s="1128"/>
      <c r="EW48" s="1128"/>
      <c r="EX48" s="1128"/>
      <c r="EY48" s="1605">
        <f>MODEL!DF1256*100</f>
        <v>21.012240838997965</v>
      </c>
      <c r="EZ48" s="1128"/>
      <c r="FA48" s="1128"/>
      <c r="FB48" s="1128"/>
      <c r="FC48" s="1128">
        <f ca="1">MODEL!DJ1256*100</f>
        <v>21.351411555766717</v>
      </c>
      <c r="FD48" s="1128"/>
      <c r="FE48" s="1128"/>
      <c r="FF48" s="1128"/>
      <c r="FG48" s="1128">
        <f ca="1">MODEL!DN1256*100</f>
        <v>21.282489994816348</v>
      </c>
      <c r="FH48" s="1128"/>
      <c r="FI48" s="1128"/>
      <c r="FJ48" s="1128"/>
      <c r="FK48" s="1128">
        <f ca="1">MODEL!DR1256*100</f>
        <v>21.06288583400357</v>
      </c>
      <c r="FL48" s="444"/>
      <c r="FM48" s="1290"/>
      <c r="FN48" s="444"/>
      <c r="FO48" s="481"/>
      <c r="FP48" s="481"/>
      <c r="FQ48" s="481"/>
      <c r="FR48" s="481"/>
      <c r="FS48" s="481"/>
      <c r="FT48" s="444"/>
      <c r="FU48" s="444"/>
      <c r="FV48" s="444"/>
      <c r="FW48" s="444"/>
    </row>
    <row r="49" spans="1:179" ht="15.6">
      <c r="A49" s="444"/>
      <c r="B49" s="444"/>
      <c r="C49" s="1326" t="s">
        <v>196</v>
      </c>
      <c r="D49" s="1144"/>
      <c r="E49" s="1144"/>
      <c r="F49" s="1144"/>
      <c r="G49" s="1452"/>
      <c r="H49" s="1144"/>
      <c r="I49" s="1144"/>
      <c r="J49" s="1144"/>
      <c r="K49" s="1452"/>
      <c r="L49" s="1144"/>
      <c r="M49" s="1144"/>
      <c r="N49" s="1144"/>
      <c r="O49" s="1452"/>
      <c r="P49" s="1144"/>
      <c r="Q49" s="1144"/>
      <c r="R49" s="1144"/>
      <c r="S49" s="1144"/>
      <c r="T49" s="1144"/>
      <c r="U49" s="1144"/>
      <c r="V49" s="1144"/>
      <c r="W49" s="1144"/>
      <c r="X49" s="1144"/>
      <c r="Y49" s="1144"/>
      <c r="Z49" s="1144"/>
      <c r="AA49" s="1145"/>
      <c r="AB49" s="1145"/>
      <c r="AC49" s="1145"/>
      <c r="AD49" s="1145"/>
      <c r="AE49" s="1145"/>
      <c r="AF49" s="1145"/>
      <c r="AG49" s="1145"/>
      <c r="AH49" s="1453"/>
      <c r="AI49" s="1145"/>
      <c r="AJ49" s="1145"/>
      <c r="AK49" s="1145"/>
      <c r="AL49" s="1453"/>
      <c r="AM49" s="1145"/>
      <c r="AN49" s="1145"/>
      <c r="AO49" s="1145"/>
      <c r="AP49" s="1453"/>
      <c r="AQ49" s="1145"/>
      <c r="AR49" s="1145"/>
      <c r="AS49" s="1145"/>
      <c r="AT49" s="1453"/>
      <c r="AU49" s="1451"/>
      <c r="AV49" s="1145"/>
      <c r="AW49" s="1145"/>
      <c r="AX49" s="1145"/>
      <c r="AY49" s="1451"/>
      <c r="AZ49" s="1146"/>
      <c r="BA49" s="1145"/>
      <c r="BB49" s="1453"/>
      <c r="BC49" s="1145"/>
      <c r="BD49" s="1145"/>
      <c r="BE49" s="1145"/>
      <c r="BF49" s="1453"/>
      <c r="BG49" s="1145"/>
      <c r="BH49" s="1145"/>
      <c r="BI49" s="1145"/>
      <c r="BJ49" s="1453"/>
      <c r="BK49" s="1145"/>
      <c r="BL49" s="1145"/>
      <c r="BM49" s="1145"/>
      <c r="BN49" s="1453"/>
      <c r="BO49" s="1145"/>
      <c r="BP49" s="1145"/>
      <c r="BQ49" s="1145"/>
      <c r="BR49" s="1453"/>
      <c r="BS49" s="1145"/>
      <c r="BT49" s="1145"/>
      <c r="BU49" s="1145"/>
      <c r="BV49" s="1453"/>
      <c r="BW49" s="1145"/>
      <c r="BX49" s="1145"/>
      <c r="BY49" s="1145"/>
      <c r="BZ49" s="1453"/>
      <c r="CA49" s="1145"/>
      <c r="CB49" s="1145"/>
      <c r="CC49" s="1145"/>
      <c r="CD49" s="1453"/>
      <c r="CE49" s="1145"/>
      <c r="CF49" s="1145"/>
      <c r="CG49" s="1145"/>
      <c r="CH49" s="1453"/>
      <c r="CI49" s="1145"/>
      <c r="CJ49" s="1145"/>
      <c r="CK49" s="1145"/>
      <c r="CL49" s="1145"/>
      <c r="CM49" s="1443"/>
      <c r="CN49" s="1385" t="s">
        <v>21</v>
      </c>
      <c r="CO49" s="1343">
        <v>6.2454115585307513</v>
      </c>
      <c r="CP49" s="1343">
        <v>6.2478488930850489</v>
      </c>
      <c r="CQ49" s="1343">
        <v>6.2478488930850489</v>
      </c>
      <c r="CR49" s="1343"/>
      <c r="CS49" s="1343">
        <v>6.3613714468589464</v>
      </c>
      <c r="CT49" s="1343">
        <v>6.1294609682347119</v>
      </c>
      <c r="CU49" s="1343">
        <v>6.1294609682347119</v>
      </c>
      <c r="CV49" s="1343"/>
      <c r="CW49" s="1343">
        <v>6.2924281131372783</v>
      </c>
      <c r="CX49" s="1343">
        <v>6.2760170495867644</v>
      </c>
      <c r="CY49" s="1343">
        <v>6.2760170495867644</v>
      </c>
      <c r="CZ49" s="1343"/>
      <c r="DA49" s="1152">
        <f>AB54/AB50*100</f>
        <v>6.1815559817433066</v>
      </c>
      <c r="DB49" s="1152">
        <f>AC54/AC50*100</f>
        <v>6.3542414953164679</v>
      </c>
      <c r="DC49" s="1152">
        <f>AD54/AD50*100</f>
        <v>6.3542414953164679</v>
      </c>
      <c r="DD49" s="1152"/>
      <c r="DE49" s="1152">
        <f>AF54/AF50*100</f>
        <v>6.2481787439940906</v>
      </c>
      <c r="DF49" s="1152">
        <f>AG54/AG50*100</f>
        <v>6.2603938390761726</v>
      </c>
      <c r="DG49" s="1152">
        <f>AH54/AH50*100</f>
        <v>6.2603938390761726</v>
      </c>
      <c r="DH49" s="1152"/>
      <c r="DI49" s="1152">
        <f t="shared" ref="DI49:DO49" si="34">AJ54/AJ50*100</f>
        <v>6.0407842462448569</v>
      </c>
      <c r="DJ49" s="1152">
        <f t="shared" si="34"/>
        <v>6.4329699966288345</v>
      </c>
      <c r="DK49" s="1152">
        <f t="shared" si="34"/>
        <v>6.4329699966288345</v>
      </c>
      <c r="DL49" s="1152" t="e">
        <f t="shared" si="34"/>
        <v>#DIV/0!</v>
      </c>
      <c r="DM49" s="1152">
        <f t="shared" si="34"/>
        <v>6.295586398861583</v>
      </c>
      <c r="DN49" s="1152">
        <f t="shared" si="34"/>
        <v>6.3198119074971384</v>
      </c>
      <c r="DO49" s="1152">
        <f t="shared" si="34"/>
        <v>6.3198119074971384</v>
      </c>
      <c r="DP49" s="1152"/>
      <c r="DQ49" s="1152"/>
      <c r="DR49" s="1152"/>
      <c r="DS49" s="1152">
        <f>AT54/AT50*100</f>
        <v>6.5705217501777504</v>
      </c>
      <c r="DT49" s="1152"/>
      <c r="DU49" s="1152">
        <f>AV54/AV50*100</f>
        <v>6.3456133038357549</v>
      </c>
      <c r="DV49" s="1152">
        <f>AW54/AW50*100</f>
        <v>6.2811843313379603</v>
      </c>
      <c r="DW49" s="1152">
        <f>AX54/AX50*100</f>
        <v>6.2811843313379603</v>
      </c>
      <c r="DX49" s="1152"/>
      <c r="DY49" s="1152"/>
      <c r="DZ49" s="1152"/>
      <c r="EA49" s="1152">
        <f>BB54/BB50*100</f>
        <v>6.195159289681258</v>
      </c>
      <c r="EB49" s="1152"/>
      <c r="EC49" s="1152"/>
      <c r="ED49" s="1152"/>
      <c r="EE49" s="1152">
        <f>BF54/BF50*100</f>
        <v>5.8800559539320298</v>
      </c>
      <c r="EF49" s="1152"/>
      <c r="EG49" s="1152"/>
      <c r="EH49" s="1152"/>
      <c r="EI49" s="1451">
        <f>BJ54/BJ50*100</f>
        <v>6.5040143759507254</v>
      </c>
      <c r="EJ49" s="1152"/>
      <c r="EK49" s="1152"/>
      <c r="EL49" s="1152"/>
      <c r="EM49" s="1451">
        <f>BN54/BN50*100</f>
        <v>6.0702993104172398</v>
      </c>
      <c r="EN49" s="1152"/>
      <c r="EO49" s="1152"/>
      <c r="EP49" s="1152"/>
      <c r="EQ49" s="1451">
        <f>BR54/BR50*100</f>
        <v>6.285482746239067</v>
      </c>
      <c r="ER49" s="1152"/>
      <c r="ES49" s="1152"/>
      <c r="ET49" s="1152"/>
      <c r="EU49" s="1152">
        <f>BV54/BV50*100</f>
        <v>5.6835202564446776</v>
      </c>
      <c r="EV49" s="1152"/>
      <c r="EW49" s="1152"/>
      <c r="EX49" s="1152"/>
      <c r="EY49" s="1608">
        <f>BZ54/BZ50*100</f>
        <v>5.4835834795560592</v>
      </c>
      <c r="EZ49" s="1152"/>
      <c r="FA49" s="1152"/>
      <c r="FB49" s="1152"/>
      <c r="FC49" s="1152">
        <f ca="1">CD54/CD50*100</f>
        <v>5.5762923376949178</v>
      </c>
      <c r="FD49" s="1152"/>
      <c r="FE49" s="1152"/>
      <c r="FF49" s="1152"/>
      <c r="FG49" s="1152">
        <f ca="1">CH54/CH50*100</f>
        <v>5.4817931299001854</v>
      </c>
      <c r="FH49" s="1152"/>
      <c r="FI49" s="1152"/>
      <c r="FJ49" s="1152"/>
      <c r="FK49" s="1152">
        <f ca="1">CL54/CL50*100</f>
        <v>5.3920372318828322</v>
      </c>
      <c r="FL49" s="444"/>
      <c r="FM49" s="463"/>
      <c r="FN49" s="463"/>
      <c r="FO49" s="478"/>
      <c r="FP49" s="478"/>
      <c r="FQ49" s="478"/>
      <c r="FR49" s="478"/>
      <c r="FS49" s="479"/>
      <c r="FT49" s="444"/>
      <c r="FU49" s="444"/>
      <c r="FV49" s="444"/>
      <c r="FW49" s="444"/>
    </row>
    <row r="50" spans="1:179" ht="13.8">
      <c r="A50" s="444"/>
      <c r="B50" s="444"/>
      <c r="C50" s="1147" t="s">
        <v>186</v>
      </c>
      <c r="D50" s="1148"/>
      <c r="E50" s="1148"/>
      <c r="F50" s="1148"/>
      <c r="G50" s="1149"/>
      <c r="H50" s="1148">
        <v>437759</v>
      </c>
      <c r="I50" s="1148">
        <v>470293</v>
      </c>
      <c r="J50" s="1148">
        <v>470293</v>
      </c>
      <c r="K50" s="1149"/>
      <c r="L50" s="1148">
        <v>502798</v>
      </c>
      <c r="M50" s="1148">
        <v>476987</v>
      </c>
      <c r="N50" s="1148">
        <v>476987</v>
      </c>
      <c r="O50" s="1149"/>
      <c r="P50" s="1148">
        <v>506708</v>
      </c>
      <c r="Q50" s="1148">
        <v>531703</v>
      </c>
      <c r="R50" s="1148">
        <v>531703</v>
      </c>
      <c r="S50" s="1148"/>
      <c r="T50" s="1148">
        <v>537447</v>
      </c>
      <c r="U50" s="1148">
        <v>604213</v>
      </c>
      <c r="V50" s="1148">
        <v>604213</v>
      </c>
      <c r="W50" s="1148"/>
      <c r="X50" s="1148">
        <v>612212</v>
      </c>
      <c r="Y50" s="1148">
        <v>642127</v>
      </c>
      <c r="Z50" s="1148">
        <v>642127</v>
      </c>
      <c r="AA50" s="1150"/>
      <c r="AB50" s="1130">
        <f>MODEL!BH370/1000</f>
        <v>672.63</v>
      </c>
      <c r="AC50" s="1130">
        <f>MODEL!BI370/1000</f>
        <v>702.995</v>
      </c>
      <c r="AD50" s="1130">
        <f>MODEL!BJ370/1000</f>
        <v>702.995</v>
      </c>
      <c r="AE50" s="1114">
        <f>MODEL!BK370/1000</f>
        <v>0</v>
      </c>
      <c r="AF50" s="1130">
        <f>MODEL!BL370/1000</f>
        <v>737.81500000000005</v>
      </c>
      <c r="AG50" s="1130">
        <f>MODEL!BM370/1000</f>
        <v>772.09199999999998</v>
      </c>
      <c r="AH50" s="1437">
        <f>MODEL!BN370/1000</f>
        <v>772.09199999999998</v>
      </c>
      <c r="AI50" s="1114"/>
      <c r="AJ50" s="1114">
        <f>MODEL!BP370/1000</f>
        <v>860.08699999999999</v>
      </c>
      <c r="AK50" s="1114">
        <f>MODEL!BQ370/1000</f>
        <v>889.9</v>
      </c>
      <c r="AL50" s="1454">
        <f>MODEL!BR370/1000</f>
        <v>889.9</v>
      </c>
      <c r="AM50" s="1114"/>
      <c r="AN50" s="1114">
        <f>MODEL!BT370/1000</f>
        <v>895.27800000000002</v>
      </c>
      <c r="AO50" s="1114">
        <f>MODEL!BU370/1000</f>
        <v>914.86900000000003</v>
      </c>
      <c r="AP50" s="1437">
        <f>MODEL!BV370/1000</f>
        <v>914.86900000000003</v>
      </c>
      <c r="AQ50" s="1150"/>
      <c r="AR50" s="1114">
        <f>MODEL!BX370/1000</f>
        <v>896.51099999999997</v>
      </c>
      <c r="AS50" s="1114">
        <f>MODEL!BY370/1000</f>
        <v>897.32600000000002</v>
      </c>
      <c r="AT50" s="1437">
        <f>MODEL!BZ370/1000</f>
        <v>897.32600000000002</v>
      </c>
      <c r="AU50" s="1455"/>
      <c r="AV50" s="1114">
        <f>MODEL!CB370/1000</f>
        <v>935.67</v>
      </c>
      <c r="AW50" s="1114">
        <f>MODEL!CC370/1000</f>
        <v>943.18200000000002</v>
      </c>
      <c r="AX50" s="1130">
        <f>MODEL!CD370/1000</f>
        <v>943.18200000000002</v>
      </c>
      <c r="AY50" s="1455"/>
      <c r="AZ50" s="1151">
        <f>MODEL!CF370/1000</f>
        <v>980.27</v>
      </c>
      <c r="BA50" s="1114">
        <f>MODEL!CG370/1000</f>
        <v>981.13699999999994</v>
      </c>
      <c r="BB50" s="1437">
        <f>MODEL!CH370/1000</f>
        <v>981.13699999999994</v>
      </c>
      <c r="BC50" s="1130"/>
      <c r="BD50" s="1114">
        <f>MODEL!CJ370/1000</f>
        <v>1149.9549999999999</v>
      </c>
      <c r="BE50" s="1114">
        <f>MODEL!CK370/1000</f>
        <v>1042.2860000000001</v>
      </c>
      <c r="BF50" s="1437">
        <f>MODEL!CL370/1000</f>
        <v>1042.2860000000001</v>
      </c>
      <c r="BG50" s="1130"/>
      <c r="BH50" s="1114">
        <f>MODEL!CN370/1000</f>
        <v>1018.3390000000001</v>
      </c>
      <c r="BI50" s="1114">
        <f>MODEL!CO370/1000</f>
        <v>978.85699999999997</v>
      </c>
      <c r="BJ50" s="1437">
        <f>MODEL!CP370/1000</f>
        <v>978.85699999999997</v>
      </c>
      <c r="BK50" s="1130"/>
      <c r="BL50" s="1114">
        <f>MODEL!CR370/1000</f>
        <v>1017.361</v>
      </c>
      <c r="BM50" s="1114">
        <f>MODEL!CS370/1000</f>
        <v>1085.729</v>
      </c>
      <c r="BN50" s="1437">
        <f>MODEL!CT370/1000</f>
        <v>1085.729</v>
      </c>
      <c r="BO50" s="1130"/>
      <c r="BP50" s="1114">
        <f>MODEL!CV370/1000</f>
        <v>1111.2370000000001</v>
      </c>
      <c r="BQ50" s="1114">
        <f>MODEL!CW370/1000</f>
        <v>1105.643</v>
      </c>
      <c r="BR50" s="1437">
        <f>MODEL!CX370/1000</f>
        <v>1105.643</v>
      </c>
      <c r="BS50" s="1130"/>
      <c r="BT50" s="1114">
        <f>MODEL!CZ370/1000</f>
        <v>1089.6990000000001</v>
      </c>
      <c r="BU50" s="1114">
        <f>MODEL!DA370/1000</f>
        <v>1229.115</v>
      </c>
      <c r="BV50" s="1437">
        <f>MODEL!DB370/1000</f>
        <v>1229.115</v>
      </c>
      <c r="BW50" s="1130"/>
      <c r="BX50" s="1114">
        <f>MODEL!DD370/1000</f>
        <v>1302.6089999999999</v>
      </c>
      <c r="BY50" s="1114">
        <f>MODEL!DE370/1000</f>
        <v>1297.1079999999999</v>
      </c>
      <c r="BZ50" s="1437">
        <f>MODEL!DF370/1000</f>
        <v>1297.1079999999999</v>
      </c>
      <c r="CA50" s="1130"/>
      <c r="CB50" s="1114">
        <f ca="1">MODEL!DH370/1000</f>
        <v>1305.6961052797078</v>
      </c>
      <c r="CC50" s="1114">
        <f ca="1">MODEL!DI370/1000</f>
        <v>1333.959841058165</v>
      </c>
      <c r="CD50" s="1437">
        <f ca="1">MODEL!DJ370/1000</f>
        <v>1333.959841058165</v>
      </c>
      <c r="CE50" s="1130"/>
      <c r="CF50" s="1114">
        <f ca="1">MODEL!DL370/1000</f>
        <v>1363.6080766438829</v>
      </c>
      <c r="CG50" s="1114">
        <f ca="1">MODEL!DM370/1000</f>
        <v>1396.5180991681464</v>
      </c>
      <c r="CH50" s="1437">
        <f ca="1">MODEL!DN370/1000</f>
        <v>1396.5180991681464</v>
      </c>
      <c r="CI50" s="1130"/>
      <c r="CJ50" s="1114">
        <f ca="1">MODEL!DP370/1000</f>
        <v>1424.4683741539925</v>
      </c>
      <c r="CK50" s="1114">
        <f ca="1">MODEL!DQ370/1000</f>
        <v>1455.1868090801613</v>
      </c>
      <c r="CL50" s="1130">
        <f ca="1">MODEL!DR370/1000</f>
        <v>1455.1868090801613</v>
      </c>
      <c r="CM50" s="1443"/>
      <c r="CN50" s="1385" t="s">
        <v>828</v>
      </c>
      <c r="CO50" s="1343"/>
      <c r="CP50" s="1343"/>
      <c r="CQ50" s="1343"/>
      <c r="CR50" s="1343"/>
      <c r="CS50" s="1343"/>
      <c r="CT50" s="1343"/>
      <c r="CU50" s="1343"/>
      <c r="CV50" s="1343"/>
      <c r="CW50" s="1343"/>
      <c r="CX50" s="1343"/>
      <c r="CY50" s="1343"/>
      <c r="CZ50" s="1343"/>
      <c r="DA50" s="1152"/>
      <c r="DB50" s="1152"/>
      <c r="DC50" s="1152"/>
      <c r="DD50" s="1152"/>
      <c r="DE50" s="1152"/>
      <c r="DF50" s="1152"/>
      <c r="DG50" s="1152"/>
      <c r="DH50" s="1152"/>
      <c r="DI50" s="1152"/>
      <c r="DJ50" s="1152"/>
      <c r="DK50" s="1152"/>
      <c r="DL50" s="1152"/>
      <c r="DM50" s="1152"/>
      <c r="DN50" s="1152"/>
      <c r="DO50" s="1152">
        <f>(MODEL!BV1171+MODEL!BV1061)/1000</f>
        <v>0.39682843486000002</v>
      </c>
      <c r="DP50" s="1152"/>
      <c r="DQ50" s="1152"/>
      <c r="DR50" s="1152"/>
      <c r="DS50" s="1152">
        <f>(MODEL!BZ1171+MODEL!BZ1061)/1000</f>
        <v>0.27286541707040007</v>
      </c>
      <c r="DT50" s="1152"/>
      <c r="DU50" s="1152"/>
      <c r="DV50" s="1152"/>
      <c r="DW50" s="1152">
        <f ca="1">(MODEL!CD1171+MODEL!CD1061)/1000</f>
        <v>3.8755092005599977E-2</v>
      </c>
      <c r="DX50" s="1152"/>
      <c r="DY50" s="1152"/>
      <c r="DZ50" s="1152"/>
      <c r="EA50" s="1152">
        <f>(MODEL!CH1060+MODEL!CH1061)/1000</f>
        <v>0</v>
      </c>
      <c r="EB50" s="1152"/>
      <c r="EC50" s="1152"/>
      <c r="ED50" s="1152"/>
      <c r="EE50" s="1152">
        <f>(MODEL!CL1060+MODEL!CL1061)/1000</f>
        <v>6.0999999999999999E-2</v>
      </c>
      <c r="EF50" s="1152"/>
      <c r="EG50" s="1152"/>
      <c r="EH50" s="1152"/>
      <c r="EI50" s="1451">
        <f>(MODEL!CP1060+MODEL!CP1061)/1000</f>
        <v>0</v>
      </c>
      <c r="EJ50" s="1152"/>
      <c r="EK50" s="1152"/>
      <c r="EL50" s="1152"/>
      <c r="EM50" s="1451">
        <f>(MODEL!CT1060+MODEL!CT1061)/1000</f>
        <v>0.18361915615999999</v>
      </c>
      <c r="EN50" s="1152"/>
      <c r="EO50" s="1152"/>
      <c r="EP50" s="1152"/>
      <c r="EQ50" s="1451">
        <f>(MODEL!CX1060+MODEL!CX1061)/1000</f>
        <v>0.20605503078000004</v>
      </c>
      <c r="ER50" s="1152"/>
      <c r="ES50" s="1152"/>
      <c r="ET50" s="1152"/>
      <c r="EU50" s="1152">
        <f>(MODEL!DB1060+MODEL!DB1061)/1000</f>
        <v>0</v>
      </c>
      <c r="EV50" s="1152"/>
      <c r="EW50" s="1152"/>
      <c r="EX50" s="1152"/>
      <c r="EY50" s="1608">
        <f>(MODEL!DF1060+MODEL!DF1061)/1000</f>
        <v>0.192</v>
      </c>
      <c r="EZ50" s="1152"/>
      <c r="FA50" s="1152"/>
      <c r="FB50" s="1152"/>
      <c r="FC50" s="1152">
        <f ca="1">(MODEL!DJ1060+MODEL!DJ1061)/1000</f>
        <v>0.74289652482000001</v>
      </c>
      <c r="FD50" s="1152"/>
      <c r="FE50" s="1152"/>
      <c r="FF50" s="1152"/>
      <c r="FG50" s="1152">
        <f ca="1">(MODEL!DN1060+MODEL!DN1061)/1000</f>
        <v>0</v>
      </c>
      <c r="FH50" s="1152"/>
      <c r="FI50" s="1152"/>
      <c r="FJ50" s="1152"/>
      <c r="FK50" s="1152">
        <f ca="1">(MODEL!DR1060+MODEL!DR1061)/1000</f>
        <v>0</v>
      </c>
      <c r="FL50" s="444"/>
      <c r="FM50" s="444"/>
      <c r="FN50" s="444"/>
      <c r="FO50" s="444"/>
      <c r="FP50" s="444"/>
      <c r="FQ50" s="444"/>
      <c r="FR50" s="444"/>
      <c r="FS50" s="444"/>
      <c r="FT50" s="444"/>
      <c r="FU50" s="444"/>
      <c r="FV50" s="444"/>
      <c r="FW50" s="444"/>
    </row>
    <row r="51" spans="1:179" ht="12.75" customHeight="1">
      <c r="A51" s="444"/>
      <c r="B51" s="444"/>
      <c r="C51" s="1147" t="s">
        <v>500</v>
      </c>
      <c r="D51" s="1148"/>
      <c r="E51" s="1148"/>
      <c r="F51" s="1148"/>
      <c r="G51" s="1149"/>
      <c r="H51" s="1148">
        <v>167450</v>
      </c>
      <c r="I51" s="1148">
        <v>175826</v>
      </c>
      <c r="J51" s="1148">
        <v>175826</v>
      </c>
      <c r="K51" s="1149"/>
      <c r="L51" s="1148">
        <v>184879</v>
      </c>
      <c r="M51" s="1148">
        <v>188090</v>
      </c>
      <c r="N51" s="1148">
        <v>188090</v>
      </c>
      <c r="O51" s="1149"/>
      <c r="P51" s="1148">
        <v>192836</v>
      </c>
      <c r="Q51" s="1148">
        <v>202658</v>
      </c>
      <c r="R51" s="1148">
        <v>202658</v>
      </c>
      <c r="S51" s="1148"/>
      <c r="T51" s="1148">
        <v>207775</v>
      </c>
      <c r="U51" s="1148">
        <v>215382</v>
      </c>
      <c r="V51" s="1148">
        <v>215382</v>
      </c>
      <c r="W51" s="1148"/>
      <c r="X51" s="1148">
        <v>224541</v>
      </c>
      <c r="Y51" s="1148">
        <v>230706</v>
      </c>
      <c r="Z51" s="1148">
        <v>230706</v>
      </c>
      <c r="AA51" s="1150"/>
      <c r="AB51" s="1130">
        <f>MODEL!BH149/1000</f>
        <v>238.28200000000001</v>
      </c>
      <c r="AC51" s="1130">
        <f>MODEL!BI149/1000</f>
        <v>253.27699999999999</v>
      </c>
      <c r="AD51" s="1130">
        <f>MODEL!BJ149/1000</f>
        <v>253.27699999999999</v>
      </c>
      <c r="AE51" s="1114">
        <f>MODEL!BK149/1000</f>
        <v>0</v>
      </c>
      <c r="AF51" s="1130">
        <f>MODEL!BL149/1000</f>
        <v>264.71300000000002</v>
      </c>
      <c r="AG51" s="1130">
        <f>MODEL!BM149/1000</f>
        <v>271.38799999999998</v>
      </c>
      <c r="AH51" s="1437">
        <f>MODEL!BN149/1000</f>
        <v>271.38799999999998</v>
      </c>
      <c r="AI51" s="1114"/>
      <c r="AJ51" s="1114">
        <f>MODEL!BP149/1000</f>
        <v>288.49700000000001</v>
      </c>
      <c r="AK51" s="1114">
        <f>MODEL!BQ149/1000</f>
        <v>300.46800000000002</v>
      </c>
      <c r="AL51" s="1454">
        <f>MODEL!BR149/1000</f>
        <v>300.46800000000002</v>
      </c>
      <c r="AM51" s="1114"/>
      <c r="AN51" s="1114">
        <f>MODEL!BT149/1000</f>
        <v>313.30099999999999</v>
      </c>
      <c r="AO51" s="1114">
        <f>MODEL!BU149/1000</f>
        <v>323.14400000000001</v>
      </c>
      <c r="AP51" s="1437">
        <f>MODEL!BV149/1000</f>
        <v>323.14400000000001</v>
      </c>
      <c r="AQ51" s="1150"/>
      <c r="AR51" s="1114">
        <f>MODEL!BX149/1000</f>
        <v>330.81400000000002</v>
      </c>
      <c r="AS51" s="1114">
        <f>MODEL!BY149/1000</f>
        <v>337.30900000000003</v>
      </c>
      <c r="AT51" s="1437">
        <f>MODEL!BZ149/1000</f>
        <v>337.30900000000003</v>
      </c>
      <c r="AU51" s="1455"/>
      <c r="AV51" s="1114">
        <f>MODEL!CB149/1000</f>
        <v>345.11099999999999</v>
      </c>
      <c r="AW51" s="1114">
        <f>MODEL!CC149/1000</f>
        <v>346.154</v>
      </c>
      <c r="AX51" s="1130">
        <f>MODEL!CD149/1000</f>
        <v>346.154</v>
      </c>
      <c r="AY51" s="1455"/>
      <c r="AZ51" s="1151">
        <f>MODEL!CF149/1000</f>
        <v>348.94600000000003</v>
      </c>
      <c r="BA51" s="1114">
        <f>MODEL!CG149/1000</f>
        <v>343.80799999999999</v>
      </c>
      <c r="BB51" s="1437">
        <f>MODEL!CH149/1000</f>
        <v>343.80799999999999</v>
      </c>
      <c r="BC51" s="1130"/>
      <c r="BD51" s="1114">
        <f>MODEL!CJ149/1000</f>
        <v>349.428</v>
      </c>
      <c r="BE51" s="1114">
        <f>MODEL!CK149/1000</f>
        <v>358.35</v>
      </c>
      <c r="BF51" s="1437">
        <f>MODEL!CL149/1000</f>
        <v>358.35</v>
      </c>
      <c r="BG51" s="1130"/>
      <c r="BH51" s="1114">
        <f>MODEL!CN149/1000</f>
        <v>368.57799999999997</v>
      </c>
      <c r="BI51" s="1114">
        <f>MODEL!CO149/1000</f>
        <v>372.572</v>
      </c>
      <c r="BJ51" s="1437">
        <f>MODEL!CP149/1000</f>
        <v>372.572</v>
      </c>
      <c r="BK51" s="1130"/>
      <c r="BL51" s="1114">
        <f>MODEL!CR149/1000</f>
        <v>374.15199999999999</v>
      </c>
      <c r="BM51" s="1114">
        <f>MODEL!CS149/1000</f>
        <v>374.625</v>
      </c>
      <c r="BN51" s="1437">
        <f>MODEL!CT149/1000</f>
        <v>374.625</v>
      </c>
      <c r="BO51" s="1130"/>
      <c r="BP51" s="1114">
        <f>MODEL!CV149/1000</f>
        <v>391.01100000000002</v>
      </c>
      <c r="BQ51" s="1114">
        <f>MODEL!CW149/1000</f>
        <v>404.49099999999999</v>
      </c>
      <c r="BR51" s="1437">
        <f>MODEL!CX149/1000</f>
        <v>404.49099999999999</v>
      </c>
      <c r="BS51" s="1130"/>
      <c r="BT51" s="1114">
        <f>MODEL!CZ149/1000</f>
        <v>414.94099999999997</v>
      </c>
      <c r="BU51" s="1114">
        <f>MODEL!DA149/1000</f>
        <v>484.55399999999997</v>
      </c>
      <c r="BV51" s="1437">
        <f>MODEL!DB149/1000</f>
        <v>484.55399999999997</v>
      </c>
      <c r="BW51" s="1130"/>
      <c r="BX51" s="1114">
        <f>MODEL!DD149/1000</f>
        <v>495.26299999999998</v>
      </c>
      <c r="BY51" s="1114">
        <f>MODEL!DE149/1000</f>
        <v>503.99700000000001</v>
      </c>
      <c r="BZ51" s="1437">
        <f>MODEL!DF149/1000</f>
        <v>503.99700000000001</v>
      </c>
      <c r="CA51" s="1130"/>
      <c r="CB51" s="1114">
        <f>MODEL!DH149/1000</f>
        <v>509.70954213481997</v>
      </c>
      <c r="CC51" s="1114">
        <f>MODEL!DI149/1000</f>
        <v>522.4459170565849</v>
      </c>
      <c r="CD51" s="1437">
        <f>MODEL!DJ149/1000</f>
        <v>522.4459170565849</v>
      </c>
      <c r="CE51" s="1130"/>
      <c r="CF51" s="1114">
        <f>MODEL!DL149/1000</f>
        <v>537.06800990493548</v>
      </c>
      <c r="CG51" s="1114">
        <f>MODEL!DM149/1000</f>
        <v>552.10782554237517</v>
      </c>
      <c r="CH51" s="1437">
        <f>MODEL!DN149/1000</f>
        <v>552.10782554237517</v>
      </c>
      <c r="CI51" s="1130"/>
      <c r="CJ51" s="1114">
        <f>MODEL!DP149/1000</f>
        <v>564.81912406724234</v>
      </c>
      <c r="CK51" s="1114">
        <f>MODEL!DQ149/1000</f>
        <v>577.83186688080593</v>
      </c>
      <c r="CL51" s="1130">
        <f>MODEL!DR149/1000</f>
        <v>577.83186688080593</v>
      </c>
      <c r="CM51" s="1443"/>
      <c r="CN51" s="1448" t="s">
        <v>829</v>
      </c>
      <c r="CO51" s="1456"/>
      <c r="CP51" s="1456"/>
      <c r="CQ51" s="1456"/>
      <c r="CR51" s="1456"/>
      <c r="CS51" s="1456"/>
      <c r="CT51" s="1456"/>
      <c r="CU51" s="1456"/>
      <c r="CV51" s="1456"/>
      <c r="CW51" s="1456"/>
      <c r="CX51" s="1456"/>
      <c r="CY51" s="1456"/>
      <c r="CZ51" s="1456"/>
      <c r="DA51" s="1153"/>
      <c r="DB51" s="1153"/>
      <c r="DC51" s="1153"/>
      <c r="DD51" s="1153"/>
      <c r="DE51" s="1153"/>
      <c r="DF51" s="1153"/>
      <c r="DG51" s="1153"/>
      <c r="DH51" s="1153"/>
      <c r="DI51" s="1153"/>
      <c r="DJ51" s="1153"/>
      <c r="DK51" s="1153"/>
      <c r="DL51" s="1153"/>
      <c r="DM51" s="1153"/>
      <c r="DN51" s="1153"/>
      <c r="DO51" s="1153">
        <f>+(MODEL!BV1059+MODEL!BV1062)/1000</f>
        <v>0</v>
      </c>
      <c r="DP51" s="1153"/>
      <c r="DQ51" s="1153"/>
      <c r="DR51" s="1153"/>
      <c r="DS51" s="1153">
        <f>+(MODEL!BZ1059+MODEL!BZ1062)/1000</f>
        <v>0</v>
      </c>
      <c r="DT51" s="1153"/>
      <c r="DU51" s="1153"/>
      <c r="DV51" s="1153"/>
      <c r="DW51" s="1153">
        <f>+(MODEL!CD1059+MODEL!CD1062)/1000</f>
        <v>-1.88</v>
      </c>
      <c r="DX51" s="1153"/>
      <c r="DY51" s="1153">
        <f>+(MODEL!CF1059+MODEL!CF1062)/1000</f>
        <v>-1.1200000000000001</v>
      </c>
      <c r="DZ51" s="1153">
        <f>+(MODEL!CG1059+MODEL!CG1062)/1000</f>
        <v>0</v>
      </c>
      <c r="EA51" s="1153">
        <f>+(MODEL!CH1059+MODEL!CH1062)/1000</f>
        <v>-1.1200000000000001</v>
      </c>
      <c r="EB51" s="1153"/>
      <c r="EC51" s="1153">
        <f>+(MODEL!CJ1059+MODEL!CJ1062)/1000</f>
        <v>0</v>
      </c>
      <c r="ED51" s="1153">
        <f>+(MODEL!CK1059+MODEL!CK1062)/1000</f>
        <v>0</v>
      </c>
      <c r="EE51" s="1153">
        <f>+(MODEL!CL1059+MODEL!CL1062)/1000</f>
        <v>0</v>
      </c>
      <c r="EF51" s="1153"/>
      <c r="EG51" s="1153">
        <f>+(MODEL!CN1059+MODEL!CN1062)/1000</f>
        <v>0</v>
      </c>
      <c r="EH51" s="1153">
        <f>+(MODEL!CO1059+MODEL!CO1062)/1000</f>
        <v>-0.65400000000000003</v>
      </c>
      <c r="EI51" s="1457">
        <f>+(MODEL!CP1059+MODEL!CP1062)/1000</f>
        <v>-0.65400000000000003</v>
      </c>
      <c r="EJ51" s="1153"/>
      <c r="EK51" s="1153">
        <f>+(MODEL!CR1059+MODEL!CR1062)/1000</f>
        <v>-0.84599999999999997</v>
      </c>
      <c r="EL51" s="1153">
        <f>+(MODEL!CS1059+MODEL!CS1062)/1000</f>
        <v>3.4969999999999999</v>
      </c>
      <c r="EM51" s="1457">
        <f>+(MODEL!CT1059+MODEL!CT1062)/1000</f>
        <v>2.6509999999999998</v>
      </c>
      <c r="EN51" s="1153"/>
      <c r="EO51" s="1153">
        <f>+(MODEL!CV1059+MODEL!CV1062)/1000</f>
        <v>0</v>
      </c>
      <c r="EP51" s="1153">
        <f>+(MODEL!CW1059+MODEL!CW1062)/1000</f>
        <v>0</v>
      </c>
      <c r="EQ51" s="1457">
        <f>+(MODEL!CX1059+MODEL!CX1062)/1000</f>
        <v>0</v>
      </c>
      <c r="ER51" s="1153"/>
      <c r="ES51" s="1153">
        <f>+(MODEL!CZ1059+MODEL!CZ1062)/1000</f>
        <v>0</v>
      </c>
      <c r="ET51" s="1153">
        <f>+(MODEL!DA1059+MODEL!DA1062)/1000</f>
        <v>-0.88300000000000001</v>
      </c>
      <c r="EU51" s="1153">
        <f>+(MODEL!DB1059+MODEL!DB1062)/1000</f>
        <v>-0.88300000000000001</v>
      </c>
      <c r="EV51" s="1153"/>
      <c r="EW51" s="1153">
        <f>+(MODEL!DD1059+MODEL!DD1062)/1000</f>
        <v>-0.28499999999999998</v>
      </c>
      <c r="EX51" s="1153">
        <f>+(MODEL!DE1059+MODEL!DE1062)/1000</f>
        <v>-6.0000000000000001E-3</v>
      </c>
      <c r="EY51" s="1609">
        <f>+(MODEL!DF1059+MODEL!DF1062)/1000</f>
        <v>-0.29099999999999998</v>
      </c>
      <c r="EZ51" s="1153"/>
      <c r="FA51" s="1153">
        <f>+(MODEL!DH1059+MODEL!DH1062)/1000</f>
        <v>0</v>
      </c>
      <c r="FB51" s="1153">
        <f ca="1">+(MODEL!DI1059+MODEL!DI1062)/1000</f>
        <v>0</v>
      </c>
      <c r="FC51" s="1153">
        <f ca="1">+(MODEL!DJ1059+MODEL!DJ1062)/1000</f>
        <v>0</v>
      </c>
      <c r="FD51" s="1153"/>
      <c r="FE51" s="1153">
        <f ca="1">+(MODEL!DL1059+MODEL!DL1062)/1000</f>
        <v>0</v>
      </c>
      <c r="FF51" s="1153">
        <f ca="1">+(MODEL!DM1059+MODEL!DM1062)/1000</f>
        <v>-0.51537188842286563</v>
      </c>
      <c r="FG51" s="1153">
        <f ca="1">+(MODEL!DN1059+MODEL!DN1062)/1000</f>
        <v>-0.51537188842286563</v>
      </c>
      <c r="FH51" s="1153"/>
      <c r="FI51" s="1153">
        <f ca="1">+(MODEL!DP1059+MODEL!DP1062)/1000</f>
        <v>-0.4796000767927544</v>
      </c>
      <c r="FJ51" s="1153">
        <f ca="1">+(MODEL!DQ1059+MODEL!DQ1062)/1000</f>
        <v>-0.54140693556868791</v>
      </c>
      <c r="FK51" s="1153">
        <f ca="1">+(MODEL!DR1059+MODEL!DR1062)/1000</f>
        <v>-1.0210070123614423</v>
      </c>
      <c r="FL51" s="444"/>
      <c r="FM51" s="444"/>
      <c r="FN51" s="444"/>
      <c r="FO51" s="444"/>
      <c r="FP51" s="444"/>
      <c r="FQ51" s="444"/>
      <c r="FR51" s="444"/>
      <c r="FS51" s="444"/>
      <c r="FT51" s="444"/>
      <c r="FU51" s="444"/>
      <c r="FV51" s="444"/>
      <c r="FW51" s="444"/>
    </row>
    <row r="52" spans="1:179" ht="15.75" customHeight="1">
      <c r="A52" s="444"/>
      <c r="B52" s="444"/>
      <c r="C52" s="1458" t="s">
        <v>1056</v>
      </c>
      <c r="D52" s="1148"/>
      <c r="E52" s="1148"/>
      <c r="F52" s="1148"/>
      <c r="G52" s="1459"/>
      <c r="H52" s="1148">
        <v>170279</v>
      </c>
      <c r="I52" s="1148">
        <v>179521</v>
      </c>
      <c r="J52" s="1148">
        <v>179521</v>
      </c>
      <c r="K52" s="1459"/>
      <c r="L52" s="1148">
        <v>177933</v>
      </c>
      <c r="M52" s="1148">
        <v>164017</v>
      </c>
      <c r="N52" s="1148">
        <v>164017</v>
      </c>
      <c r="O52" s="1459"/>
      <c r="P52" s="1148">
        <v>161469</v>
      </c>
      <c r="Q52" s="1148">
        <v>167424</v>
      </c>
      <c r="R52" s="1148">
        <v>167424</v>
      </c>
      <c r="S52" s="1148"/>
      <c r="T52" s="1148">
        <v>178072</v>
      </c>
      <c r="U52" s="1148">
        <v>188385</v>
      </c>
      <c r="V52" s="1148">
        <v>188385</v>
      </c>
      <c r="W52" s="1148"/>
      <c r="X52" s="1148">
        <v>194381</v>
      </c>
      <c r="Y52" s="1148">
        <v>202099</v>
      </c>
      <c r="Z52" s="1148">
        <v>202099</v>
      </c>
      <c r="AA52" s="1150"/>
      <c r="AB52" s="1130">
        <f>AB53-AB51</f>
        <v>221.43299999999996</v>
      </c>
      <c r="AC52" s="1130">
        <f t="shared" ref="AC52:AP52" si="35">AC53-AC51</f>
        <v>235.29400000000004</v>
      </c>
      <c r="AD52" s="1130">
        <f t="shared" si="35"/>
        <v>235.29400000000004</v>
      </c>
      <c r="AE52" s="1114">
        <f t="shared" si="35"/>
        <v>0</v>
      </c>
      <c r="AF52" s="1130">
        <f t="shared" si="35"/>
        <v>249.77199999999999</v>
      </c>
      <c r="AG52" s="1130">
        <f t="shared" si="35"/>
        <v>255.18900000000002</v>
      </c>
      <c r="AH52" s="1437">
        <f t="shared" si="35"/>
        <v>255.18900000000002</v>
      </c>
      <c r="AI52" s="1114"/>
      <c r="AJ52" s="1114">
        <f t="shared" si="35"/>
        <v>274.53699999999998</v>
      </c>
      <c r="AK52" s="1114">
        <f t="shared" si="35"/>
        <v>274.52600000000001</v>
      </c>
      <c r="AL52" s="1454">
        <f t="shared" si="35"/>
        <v>274.52600000000001</v>
      </c>
      <c r="AM52" s="1114"/>
      <c r="AN52" s="1114">
        <f t="shared" si="35"/>
        <v>253.16300000000007</v>
      </c>
      <c r="AO52" s="1114">
        <f t="shared" si="35"/>
        <v>257.43499999999995</v>
      </c>
      <c r="AP52" s="1437">
        <f t="shared" si="35"/>
        <v>257.43499999999995</v>
      </c>
      <c r="AQ52" s="1150"/>
      <c r="AR52" s="1114">
        <f>AR53-AR51</f>
        <v>250.00200000000001</v>
      </c>
      <c r="AS52" s="1114">
        <f>AS53-AS51</f>
        <v>247.19299999999993</v>
      </c>
      <c r="AT52" s="1437">
        <f>AT53-AT51</f>
        <v>247.19299999999993</v>
      </c>
      <c r="AU52" s="1455"/>
      <c r="AV52" s="1114">
        <f>AV53-AV51</f>
        <v>250.87199999999996</v>
      </c>
      <c r="AW52" s="1114">
        <f>AW53-AW51</f>
        <v>262.65599999999995</v>
      </c>
      <c r="AX52" s="1130">
        <f>AX53-AX51</f>
        <v>262.65599999999995</v>
      </c>
      <c r="AY52" s="1455"/>
      <c r="AZ52" s="1151">
        <f>AZ53-AZ51</f>
        <v>265.27</v>
      </c>
      <c r="BA52" s="1114">
        <f>BA53-BA51</f>
        <v>275.35699999999997</v>
      </c>
      <c r="BB52" s="1437">
        <f>BB53-BB51</f>
        <v>275.35699999999997</v>
      </c>
      <c r="BC52" s="1130"/>
      <c r="BD52" s="1114">
        <f>BD53-BD51</f>
        <v>312.51099999999997</v>
      </c>
      <c r="BE52" s="1114">
        <f>BE53-BE51</f>
        <v>264.18399999999997</v>
      </c>
      <c r="BF52" s="1437">
        <f>BF53-BF51</f>
        <v>264.18399999999997</v>
      </c>
      <c r="BG52" s="1130"/>
      <c r="BH52" s="1114">
        <f>BH53-BH51</f>
        <v>250.46800000000007</v>
      </c>
      <c r="BI52" s="1114">
        <f>BI53-BI51</f>
        <v>261.62599999999998</v>
      </c>
      <c r="BJ52" s="1437">
        <f>BJ53-BJ51</f>
        <v>261.62599999999998</v>
      </c>
      <c r="BK52" s="1130"/>
      <c r="BL52" s="1114">
        <f>BL53-BL51</f>
        <v>281.30300000000005</v>
      </c>
      <c r="BM52" s="1114">
        <f>BM53-BM51</f>
        <v>301.88199999999995</v>
      </c>
      <c r="BN52" s="1437">
        <f>BN53-BN51</f>
        <v>301.36399999999992</v>
      </c>
      <c r="BO52" s="1130"/>
      <c r="BP52" s="1114">
        <f>BP53-BP51</f>
        <v>302.73399999999998</v>
      </c>
      <c r="BQ52" s="1114">
        <f>BQ53-BQ51</f>
        <v>306.09900000000005</v>
      </c>
      <c r="BR52" s="1437">
        <f>BR53-BR51</f>
        <v>306.09900000000005</v>
      </c>
      <c r="BS52" s="1130"/>
      <c r="BT52" s="1114">
        <f>BT53-BT51</f>
        <v>303.71899999999999</v>
      </c>
      <c r="BU52" s="1114">
        <f>BU53-BU51</f>
        <v>322.50300000000004</v>
      </c>
      <c r="BV52" s="1437">
        <f>BV53-BV51</f>
        <v>322.50300000000004</v>
      </c>
      <c r="BW52" s="1130"/>
      <c r="BX52" s="1114">
        <f>BX53-BX51</f>
        <v>328.7000000000001</v>
      </c>
      <c r="BY52" s="1114">
        <f>BY53-BY51</f>
        <v>329.33300000000003</v>
      </c>
      <c r="BZ52" s="1437">
        <f>BZ53-BZ51</f>
        <v>329.33300000000003</v>
      </c>
      <c r="CA52" s="1130"/>
      <c r="CB52" s="1114">
        <f>CB53-CB51</f>
        <v>329.45437544945838</v>
      </c>
      <c r="CC52" s="1114">
        <f>CC53-CC51</f>
        <v>334.94534182831012</v>
      </c>
      <c r="CD52" s="1437">
        <f>CD53-CD51</f>
        <v>334.94534182831012</v>
      </c>
      <c r="CE52" s="1130"/>
      <c r="CF52" s="1114">
        <f>CF53-CF51</f>
        <v>339.42599910192132</v>
      </c>
      <c r="CG52" s="1114">
        <f>CG53-CG51</f>
        <v>345.65314094240273</v>
      </c>
      <c r="CH52" s="1437">
        <f>CH53-CH51</f>
        <v>345.65314094240273</v>
      </c>
      <c r="CI52" s="1130"/>
      <c r="CJ52" s="1114">
        <f>CJ53-CJ51</f>
        <v>351.02006432537235</v>
      </c>
      <c r="CK52" s="1114">
        <f>CK53-CK51</f>
        <v>357.85794212953488</v>
      </c>
      <c r="CL52" s="1130">
        <f>CL53-CL51</f>
        <v>357.85794212953488</v>
      </c>
      <c r="CM52" s="1443"/>
      <c r="CN52" s="1352"/>
      <c r="CO52" s="1352"/>
      <c r="CP52" s="1352"/>
      <c r="CQ52" s="1352"/>
      <c r="CR52" s="1352"/>
      <c r="CS52" s="1352"/>
      <c r="CT52" s="1352"/>
      <c r="CU52" s="1352"/>
      <c r="CV52" s="1352"/>
      <c r="CW52" s="1352"/>
      <c r="CX52" s="1352"/>
      <c r="CY52" s="1352"/>
      <c r="CZ52" s="1352"/>
      <c r="DA52" s="1352"/>
      <c r="DB52" s="1352"/>
      <c r="DC52" s="1352"/>
      <c r="DD52" s="1352"/>
      <c r="DE52" s="1352"/>
      <c r="DF52" s="1352"/>
      <c r="DG52" s="1352"/>
      <c r="DH52" s="1352"/>
      <c r="DI52" s="1352"/>
      <c r="DJ52" s="1352"/>
      <c r="DK52" s="1352"/>
      <c r="DL52" s="1352"/>
      <c r="DM52" s="1352"/>
      <c r="DN52" s="1352"/>
      <c r="DO52" s="1352"/>
      <c r="DP52" s="1352"/>
      <c r="DQ52" s="1352"/>
      <c r="DR52" s="1352"/>
      <c r="DS52" s="1352"/>
      <c r="DT52" s="1352"/>
      <c r="DU52" s="1352"/>
      <c r="DV52" s="1352"/>
      <c r="DW52" s="1352"/>
      <c r="DX52" s="1352"/>
      <c r="DY52" s="1352"/>
      <c r="DZ52" s="1352"/>
      <c r="EA52" s="1352"/>
      <c r="EB52" s="1352"/>
      <c r="EC52" s="1352"/>
      <c r="ED52" s="1352"/>
      <c r="EE52" s="1352"/>
      <c r="EF52" s="1352"/>
      <c r="EG52" s="1352"/>
      <c r="EH52" s="1352"/>
      <c r="EI52" s="1355"/>
      <c r="EJ52" s="1352"/>
      <c r="EK52" s="1352"/>
      <c r="EL52" s="1352"/>
      <c r="EM52" s="1355"/>
      <c r="EN52" s="1352"/>
      <c r="EO52" s="1352"/>
      <c r="EP52" s="1352"/>
      <c r="EQ52" s="1355"/>
      <c r="ER52" s="1352"/>
      <c r="ES52" s="1352"/>
      <c r="ET52" s="1352"/>
      <c r="EU52" s="1352"/>
      <c r="EV52" s="1352"/>
      <c r="EW52" s="1352"/>
      <c r="EX52" s="1352"/>
      <c r="EY52" s="1610"/>
      <c r="EZ52" s="1352"/>
      <c r="FA52" s="1352"/>
      <c r="FB52" s="1352"/>
      <c r="FC52" s="1352"/>
      <c r="FD52" s="1352"/>
      <c r="FE52" s="1352"/>
      <c r="FF52" s="1352"/>
      <c r="FG52" s="1352"/>
      <c r="FH52" s="1352"/>
      <c r="FI52" s="1352"/>
      <c r="FJ52" s="1352"/>
      <c r="FK52" s="1352"/>
      <c r="FL52" s="444"/>
      <c r="FM52" s="463"/>
      <c r="FN52" s="444"/>
      <c r="FO52" s="444"/>
      <c r="FP52" s="444"/>
      <c r="FQ52" s="444"/>
      <c r="FR52" s="444"/>
      <c r="FS52" s="444"/>
      <c r="FT52" s="444"/>
      <c r="FU52" s="444"/>
      <c r="FV52" s="444"/>
      <c r="FW52" s="444"/>
    </row>
    <row r="53" spans="1:179" ht="15.6">
      <c r="A53" s="444"/>
      <c r="B53" s="444"/>
      <c r="C53" s="1458" t="s">
        <v>1100</v>
      </c>
      <c r="D53" s="1148"/>
      <c r="E53" s="1148"/>
      <c r="F53" s="1148"/>
      <c r="G53" s="1459"/>
      <c r="H53" s="1148">
        <v>337729</v>
      </c>
      <c r="I53" s="1148">
        <v>355347</v>
      </c>
      <c r="J53" s="1148">
        <v>355347</v>
      </c>
      <c r="K53" s="1459"/>
      <c r="L53" s="1148">
        <v>362812</v>
      </c>
      <c r="M53" s="1148">
        <v>352107</v>
      </c>
      <c r="N53" s="1148">
        <v>352107</v>
      </c>
      <c r="O53" s="1459"/>
      <c r="P53" s="1148">
        <v>354305</v>
      </c>
      <c r="Q53" s="1148">
        <v>370082</v>
      </c>
      <c r="R53" s="1148">
        <v>370082</v>
      </c>
      <c r="S53" s="1148"/>
      <c r="T53" s="1148">
        <v>385847</v>
      </c>
      <c r="U53" s="1148">
        <v>403767</v>
      </c>
      <c r="V53" s="1148">
        <v>403767</v>
      </c>
      <c r="W53" s="1148"/>
      <c r="X53" s="1148">
        <v>418922</v>
      </c>
      <c r="Y53" s="1148">
        <v>432805</v>
      </c>
      <c r="Z53" s="1148">
        <v>432805</v>
      </c>
      <c r="AA53" s="1150"/>
      <c r="AB53" s="1130">
        <f>MODEL!BH154/1000</f>
        <v>459.71499999999997</v>
      </c>
      <c r="AC53" s="1130">
        <f>MODEL!BI154/1000</f>
        <v>488.57100000000003</v>
      </c>
      <c r="AD53" s="1130">
        <f>MODEL!BJ154/1000</f>
        <v>488.57100000000003</v>
      </c>
      <c r="AE53" s="1114">
        <f>MODEL!BK154/1000</f>
        <v>0</v>
      </c>
      <c r="AF53" s="1130">
        <f>MODEL!BL154/1000</f>
        <v>514.48500000000001</v>
      </c>
      <c r="AG53" s="1130">
        <f>MODEL!BM154/1000</f>
        <v>526.577</v>
      </c>
      <c r="AH53" s="1437">
        <f>MODEL!BN154/1000</f>
        <v>526.577</v>
      </c>
      <c r="AI53" s="1114"/>
      <c r="AJ53" s="1114">
        <f>MODEL!BP154/1000</f>
        <v>563.03399999999999</v>
      </c>
      <c r="AK53" s="1114">
        <f>MODEL!BQ154/1000</f>
        <v>574.99400000000003</v>
      </c>
      <c r="AL53" s="1454">
        <f>MODEL!BR154/1000</f>
        <v>574.99400000000003</v>
      </c>
      <c r="AM53" s="1114"/>
      <c r="AN53" s="1114">
        <f>MODEL!BT154/1000</f>
        <v>566.46400000000006</v>
      </c>
      <c r="AO53" s="1114">
        <f>MODEL!BU154/1000</f>
        <v>580.57899999999995</v>
      </c>
      <c r="AP53" s="1437">
        <f>MODEL!BV154/1000</f>
        <v>580.57899999999995</v>
      </c>
      <c r="AQ53" s="1150"/>
      <c r="AR53" s="1114">
        <f>MODEL!BX154/1000</f>
        <v>580.81600000000003</v>
      </c>
      <c r="AS53" s="1114">
        <f>MODEL!BY154/1000</f>
        <v>584.50199999999995</v>
      </c>
      <c r="AT53" s="1437">
        <f>MODEL!BZ154/1000</f>
        <v>584.50199999999995</v>
      </c>
      <c r="AU53" s="1455"/>
      <c r="AV53" s="1114">
        <f>MODEL!CB154/1000</f>
        <v>595.98299999999995</v>
      </c>
      <c r="AW53" s="1114">
        <f>MODEL!CC154/1000</f>
        <v>608.80999999999995</v>
      </c>
      <c r="AX53" s="1130">
        <f>MODEL!CD154/1000</f>
        <v>608.80999999999995</v>
      </c>
      <c r="AY53" s="1455"/>
      <c r="AZ53" s="1151">
        <f>MODEL!CF154/1000</f>
        <v>614.21600000000001</v>
      </c>
      <c r="BA53" s="1114">
        <f>MODEL!CG154/1000</f>
        <v>619.16499999999996</v>
      </c>
      <c r="BB53" s="1437">
        <f>MODEL!CH154/1000</f>
        <v>619.16499999999996</v>
      </c>
      <c r="BC53" s="1130"/>
      <c r="BD53" s="1114">
        <f>MODEL!CJ154/1000</f>
        <v>661.93899999999996</v>
      </c>
      <c r="BE53" s="1114">
        <f>MODEL!CK154/1000</f>
        <v>622.53399999999999</v>
      </c>
      <c r="BF53" s="1437">
        <f>MODEL!CL154/1000</f>
        <v>622.53399999999999</v>
      </c>
      <c r="BG53" s="1130"/>
      <c r="BH53" s="1114">
        <f>MODEL!CN154/1000</f>
        <v>619.04600000000005</v>
      </c>
      <c r="BI53" s="1114">
        <f>MODEL!CO154/1000</f>
        <v>634.19799999999998</v>
      </c>
      <c r="BJ53" s="1437">
        <f>MODEL!CP154/1000</f>
        <v>634.19799999999998</v>
      </c>
      <c r="BK53" s="1130"/>
      <c r="BL53" s="1114">
        <f>MODEL!CR154/1000</f>
        <v>655.45500000000004</v>
      </c>
      <c r="BM53" s="1114">
        <f>MODEL!CS154/1000</f>
        <v>676.50699999999995</v>
      </c>
      <c r="BN53" s="1437">
        <f>MODEL!CT154/1000+MODEL!CT155/1000</f>
        <v>675.98899999999992</v>
      </c>
      <c r="BO53" s="1130">
        <f>MODEL!CU154/1000+MODEL!CU155/1000</f>
        <v>6.6712603950185972E-5</v>
      </c>
      <c r="BP53" s="1114">
        <f>MODEL!CV154/1000+MODEL!CV155/1000</f>
        <v>693.745</v>
      </c>
      <c r="BQ53" s="1114">
        <f>MODEL!CW154/1000+MODEL!CW155/1000</f>
        <v>710.59</v>
      </c>
      <c r="BR53" s="1437">
        <f>MODEL!CX154/1000+MODEL!CX155/1000</f>
        <v>710.59</v>
      </c>
      <c r="BS53" s="1130">
        <f>MODEL!CY154/1000+MODEL!CY155/1000</f>
        <v>5.1142116785192207E-5</v>
      </c>
      <c r="BT53" s="1114">
        <f>MODEL!CZ154/1000+MODEL!CZ155/1000</f>
        <v>718.66</v>
      </c>
      <c r="BU53" s="1114">
        <f>MODEL!DA154/1000+MODEL!DA155/1000</f>
        <v>807.05700000000002</v>
      </c>
      <c r="BV53" s="1437">
        <f>MODEL!DB154/1000+MODEL!DB155/1000</f>
        <v>807.05700000000002</v>
      </c>
      <c r="BW53" s="1130">
        <f>MODEL!DC154/1000+MODEL!DC155/1000</f>
        <v>1.3565788455994544E-4</v>
      </c>
      <c r="BX53" s="1114">
        <f>MODEL!DD154/1000+MODEL!DD155/1000</f>
        <v>823.96300000000008</v>
      </c>
      <c r="BY53" s="1114">
        <f>MODEL!DE154/1000+MODEL!DE155/1000</f>
        <v>833.33</v>
      </c>
      <c r="BZ53" s="1437">
        <f>MODEL!DF154/1000+MODEL!DF155/1000</f>
        <v>833.33</v>
      </c>
      <c r="CA53" s="1130">
        <f>MODEL!DG154/1000+MODEL!DG155/1000</f>
        <v>3.2689345346297307E-5</v>
      </c>
      <c r="CB53" s="1114">
        <f>MODEL!DH154/1000+MODEL!DH155/1000</f>
        <v>839.16391758427835</v>
      </c>
      <c r="CC53" s="1114">
        <f>MODEL!DI154/1000+MODEL!DI155/1000</f>
        <v>857.39125888489502</v>
      </c>
      <c r="CD53" s="1437">
        <f>MODEL!DJ154/1000+MODEL!DJ155/1000</f>
        <v>857.39125888489502</v>
      </c>
      <c r="CE53" s="1130">
        <f>MODEL!DK154/1000+MODEL!DK155/1000</f>
        <v>2.8874664838339782E-5</v>
      </c>
      <c r="CF53" s="1114">
        <f>MODEL!DL154/1000+MODEL!DL155/1000</f>
        <v>876.4940090068568</v>
      </c>
      <c r="CG53" s="1114">
        <f>MODEL!DM154/1000+MODEL!DM155/1000</f>
        <v>897.7609664847779</v>
      </c>
      <c r="CH53" s="1437">
        <f>MODEL!DN154/1000+MODEL!DN155/1000</f>
        <v>897.7609664847779</v>
      </c>
      <c r="CI53" s="1130">
        <f>MODEL!DO154/1000+MODEL!DO155/1000</f>
        <v>4.7071371759350277E-5</v>
      </c>
      <c r="CJ53" s="1114">
        <f>MODEL!DP154/1000+MODEL!DP155/1000</f>
        <v>915.83918839261469</v>
      </c>
      <c r="CK53" s="1114">
        <f>MODEL!DQ154/1000+MODEL!DQ155/1000</f>
        <v>935.68980901034081</v>
      </c>
      <c r="CL53" s="1130">
        <f>MODEL!DR154/1000+MODEL!DR155/1000</f>
        <v>935.68980901034081</v>
      </c>
      <c r="CM53" s="1443"/>
      <c r="CN53" s="1460" t="s">
        <v>22</v>
      </c>
      <c r="CO53" s="1461"/>
      <c r="CP53" s="1461"/>
      <c r="CQ53" s="1461"/>
      <c r="CR53" s="1461"/>
      <c r="CS53" s="1461"/>
      <c r="CT53" s="1461"/>
      <c r="CU53" s="1461"/>
      <c r="CV53" s="1461"/>
      <c r="CW53" s="1461"/>
      <c r="CX53" s="1461"/>
      <c r="CY53" s="1461"/>
      <c r="CZ53" s="1461"/>
      <c r="DA53" s="1157"/>
      <c r="DB53" s="1157"/>
      <c r="DC53" s="1157"/>
      <c r="DD53" s="1157"/>
      <c r="DE53" s="1157"/>
      <c r="DF53" s="1157"/>
      <c r="DG53" s="1157"/>
      <c r="DH53" s="1157"/>
      <c r="DI53" s="1157"/>
      <c r="DJ53" s="1157"/>
      <c r="DK53" s="1157"/>
      <c r="DL53" s="1157"/>
      <c r="DM53" s="1157"/>
      <c r="DN53" s="1157"/>
      <c r="DO53" s="1157"/>
      <c r="DP53" s="1157"/>
      <c r="DQ53" s="1157"/>
      <c r="DR53" s="1157"/>
      <c r="DS53" s="1157"/>
      <c r="DT53" s="1157"/>
      <c r="DU53" s="1157"/>
      <c r="DV53" s="1157"/>
      <c r="DW53" s="1157"/>
      <c r="DX53" s="1157"/>
      <c r="DY53" s="1157"/>
      <c r="DZ53" s="1157"/>
      <c r="EA53" s="1157"/>
      <c r="EB53" s="1157"/>
      <c r="EC53" s="1157"/>
      <c r="ED53" s="1157"/>
      <c r="EE53" s="1157"/>
      <c r="EF53" s="1157"/>
      <c r="EG53" s="1157"/>
      <c r="EH53" s="1157"/>
      <c r="EI53" s="1462"/>
      <c r="EJ53" s="1157"/>
      <c r="EK53" s="1157"/>
      <c r="EL53" s="1157"/>
      <c r="EM53" s="1462"/>
      <c r="EN53" s="1157"/>
      <c r="EO53" s="1157"/>
      <c r="EP53" s="1157"/>
      <c r="EQ53" s="1462"/>
      <c r="ER53" s="1157"/>
      <c r="ES53" s="1157"/>
      <c r="ET53" s="1157"/>
      <c r="EU53" s="1157"/>
      <c r="EV53" s="1157"/>
      <c r="EW53" s="1157"/>
      <c r="EX53" s="1157"/>
      <c r="EY53" s="1611"/>
      <c r="EZ53" s="1157"/>
      <c r="FA53" s="1157"/>
      <c r="FB53" s="1157"/>
      <c r="FC53" s="1157"/>
      <c r="FD53" s="1157"/>
      <c r="FE53" s="1157"/>
      <c r="FF53" s="1157"/>
      <c r="FG53" s="1157"/>
      <c r="FH53" s="1157"/>
      <c r="FI53" s="1157"/>
      <c r="FJ53" s="1157"/>
      <c r="FK53" s="1157"/>
      <c r="FL53" s="444"/>
      <c r="FM53" s="485"/>
      <c r="FN53" s="444"/>
      <c r="FO53" s="444"/>
      <c r="FP53" s="444"/>
      <c r="FQ53" s="444"/>
      <c r="FR53" s="444"/>
      <c r="FS53" s="444"/>
      <c r="FT53" s="444"/>
      <c r="FU53" s="444"/>
      <c r="FV53" s="444"/>
      <c r="FW53" s="444"/>
    </row>
    <row r="54" spans="1:179" ht="12.75" customHeight="1">
      <c r="A54" s="444"/>
      <c r="B54" s="444"/>
      <c r="C54" s="1465" t="s">
        <v>278</v>
      </c>
      <c r="D54" s="1154"/>
      <c r="E54" s="1154"/>
      <c r="F54" s="1154"/>
      <c r="G54" s="1466"/>
      <c r="H54" s="1154">
        <v>23042</v>
      </c>
      <c r="I54" s="1154">
        <v>25619</v>
      </c>
      <c r="J54" s="1154">
        <v>25619</v>
      </c>
      <c r="K54" s="1466"/>
      <c r="L54" s="1154">
        <v>27424</v>
      </c>
      <c r="M54" s="1154">
        <v>31493</v>
      </c>
      <c r="N54" s="1154">
        <v>31493</v>
      </c>
      <c r="O54" s="1466"/>
      <c r="P54" s="1154">
        <v>31646</v>
      </c>
      <c r="Q54" s="1154">
        <v>33220</v>
      </c>
      <c r="R54" s="1154">
        <v>33220</v>
      </c>
      <c r="S54" s="1154"/>
      <c r="T54" s="1154">
        <v>34189</v>
      </c>
      <c r="U54" s="1154">
        <v>37035</v>
      </c>
      <c r="V54" s="1154">
        <v>37035</v>
      </c>
      <c r="W54" s="1154"/>
      <c r="X54" s="1154">
        <v>38523</v>
      </c>
      <c r="Y54" s="1154">
        <v>40300</v>
      </c>
      <c r="Z54" s="1154">
        <v>40300</v>
      </c>
      <c r="AA54" s="1155"/>
      <c r="AB54" s="1130">
        <f>MODEL!BH1043/1000</f>
        <v>41.579000000000001</v>
      </c>
      <c r="AC54" s="1130">
        <f>MODEL!BI1043/1000</f>
        <v>44.67</v>
      </c>
      <c r="AD54" s="1130">
        <f>MODEL!BJ1043/1000</f>
        <v>44.67</v>
      </c>
      <c r="AE54" s="1130">
        <f>MODEL!BK1043/1000</f>
        <v>0</v>
      </c>
      <c r="AF54" s="1130">
        <f>MODEL!BL1043/1000</f>
        <v>46.1</v>
      </c>
      <c r="AG54" s="1130">
        <f>MODEL!BM1043/1000</f>
        <v>48.335999999999999</v>
      </c>
      <c r="AH54" s="1437">
        <f>MODEL!BN1043/1000</f>
        <v>48.335999999999999</v>
      </c>
      <c r="AI54" s="1130"/>
      <c r="AJ54" s="1130">
        <f>MODEL!BP1043/1000</f>
        <v>51.956000000000003</v>
      </c>
      <c r="AK54" s="1130">
        <f>MODEL!BQ1043/1000</f>
        <v>57.247</v>
      </c>
      <c r="AL54" s="1454">
        <f>MODEL!BR1043/1000</f>
        <v>57.247</v>
      </c>
      <c r="AM54" s="1130"/>
      <c r="AN54" s="1130">
        <f>MODEL!BT1043/1000</f>
        <v>56.363</v>
      </c>
      <c r="AO54" s="1130">
        <f>MODEL!BU1043/1000</f>
        <v>57.817999999999998</v>
      </c>
      <c r="AP54" s="1437">
        <f>MODEL!BV1043/1000</f>
        <v>57.817999999999998</v>
      </c>
      <c r="AQ54" s="1155"/>
      <c r="AR54" s="1130">
        <f>MODEL!BX1043/1000</f>
        <v>57.790999999999997</v>
      </c>
      <c r="AS54" s="1130">
        <f>MODEL!BY1043/1000</f>
        <v>58.959000000000003</v>
      </c>
      <c r="AT54" s="1437">
        <f>MODEL!BZ1043/1000</f>
        <v>58.959000000000003</v>
      </c>
      <c r="AU54" s="1467"/>
      <c r="AV54" s="1130">
        <f>MODEL!CB1043/1000</f>
        <v>59.374000000000002</v>
      </c>
      <c r="AW54" s="1130">
        <f>MODEL!CC1043/1000</f>
        <v>59.243000000000002</v>
      </c>
      <c r="AX54" s="1130">
        <f>MODEL!CD1043/1000</f>
        <v>59.243000000000002</v>
      </c>
      <c r="AY54" s="1467"/>
      <c r="AZ54" s="1156">
        <f>MODEL!CF1043/1000</f>
        <v>59.820999999999998</v>
      </c>
      <c r="BA54" s="1130">
        <f>MODEL!CG1043/1000</f>
        <v>60.783000000000001</v>
      </c>
      <c r="BB54" s="1437">
        <f>MODEL!CH1043/1000</f>
        <v>60.783000000000001</v>
      </c>
      <c r="BC54" s="1130"/>
      <c r="BD54" s="1130">
        <f>MODEL!CJ1043/1000</f>
        <v>61.363999999999997</v>
      </c>
      <c r="BE54" s="1130">
        <f>MODEL!CK1043/1000</f>
        <v>61.286999999999999</v>
      </c>
      <c r="BF54" s="1437">
        <f>MODEL!CL1043/1000</f>
        <v>61.286999999999999</v>
      </c>
      <c r="BG54" s="1130"/>
      <c r="BH54" s="1130">
        <f>MODEL!CN1043/1000</f>
        <v>62.566000000000003</v>
      </c>
      <c r="BI54" s="1130">
        <f>MODEL!CO1043/1000</f>
        <v>63.664999999999999</v>
      </c>
      <c r="BJ54" s="1437">
        <f>MODEL!CP1043/1000</f>
        <v>63.664999999999999</v>
      </c>
      <c r="BK54" s="1130"/>
      <c r="BL54" s="1130">
        <f>MODEL!CR1043/1000</f>
        <v>61.747</v>
      </c>
      <c r="BM54" s="1130">
        <f>MODEL!CS1043/1000</f>
        <v>65.906999999999996</v>
      </c>
      <c r="BN54" s="1437">
        <f>MODEL!CT1043/1000</f>
        <v>65.906999999999996</v>
      </c>
      <c r="BO54" s="1130"/>
      <c r="BP54" s="1130">
        <f>MODEL!CV1043/1000</f>
        <v>69.055000000000007</v>
      </c>
      <c r="BQ54" s="1130">
        <f>MODEL!CW1043/1000</f>
        <v>69.495000000000005</v>
      </c>
      <c r="BR54" s="1437">
        <f>MODEL!CX1043/1000</f>
        <v>69.495000000000005</v>
      </c>
      <c r="BS54" s="1130"/>
      <c r="BT54" s="1130">
        <f>MODEL!CZ1043/1000</f>
        <v>70.305999999999997</v>
      </c>
      <c r="BU54" s="1130">
        <f>MODEL!DA1043/1000</f>
        <v>69.856999999999999</v>
      </c>
      <c r="BV54" s="1437">
        <f>MODEL!DB1043/1000</f>
        <v>69.856999999999999</v>
      </c>
      <c r="BW54" s="1130"/>
      <c r="BX54" s="1130">
        <f>MODEL!DD1043/1000</f>
        <v>71.566999999999993</v>
      </c>
      <c r="BY54" s="1130">
        <f>MODEL!DE1043/1000</f>
        <v>71.128</v>
      </c>
      <c r="BZ54" s="1437">
        <f>MODEL!DF1043/1000</f>
        <v>71.128</v>
      </c>
      <c r="CA54" s="1130"/>
      <c r="CB54" s="1130">
        <f ca="1">MODEL!DH1043/1000</f>
        <v>73.104319410450572</v>
      </c>
      <c r="CC54" s="1130">
        <f ca="1">MODEL!DI1043/1000</f>
        <v>74.385500404853758</v>
      </c>
      <c r="CD54" s="1437">
        <f ca="1">MODEL!DJ1043/1000</f>
        <v>74.385500404853758</v>
      </c>
      <c r="CE54" s="1130"/>
      <c r="CF54" s="1130">
        <f ca="1">MODEL!DL1043/1000</f>
        <v>75.772931352849213</v>
      </c>
      <c r="CG54" s="1130">
        <f ca="1">MODEL!DM1043/1000</f>
        <v>76.554233218012115</v>
      </c>
      <c r="CH54" s="1437">
        <f ca="1">MODEL!DN1043/1000</f>
        <v>76.554233218012115</v>
      </c>
      <c r="CI54" s="1130"/>
      <c r="CJ54" s="1130">
        <f ca="1">MODEL!DP1043/1000</f>
        <v>77.488087646612044</v>
      </c>
      <c r="CK54" s="1130">
        <f ca="1">MODEL!DQ1043/1000</f>
        <v>78.464214539050047</v>
      </c>
      <c r="CL54" s="1130">
        <f ca="1">MODEL!DR1043/1000</f>
        <v>78.464214539050047</v>
      </c>
      <c r="CM54" s="1443"/>
      <c r="CN54" s="1463"/>
      <c r="CO54" s="1343"/>
      <c r="CP54" s="1343"/>
      <c r="CQ54" s="1343"/>
      <c r="CR54" s="1343"/>
      <c r="CS54" s="1343"/>
      <c r="CT54" s="1343"/>
      <c r="CU54" s="1343"/>
      <c r="CV54" s="1343"/>
      <c r="CW54" s="1343"/>
      <c r="CX54" s="1343"/>
      <c r="CY54" s="1343"/>
      <c r="CZ54" s="1343"/>
      <c r="DA54" s="1158"/>
      <c r="DB54" s="1158"/>
      <c r="DC54" s="1158"/>
      <c r="DD54" s="1158"/>
      <c r="DE54" s="1158"/>
      <c r="DF54" s="1158"/>
      <c r="DG54" s="1158"/>
      <c r="DH54" s="1158"/>
      <c r="DI54" s="1158"/>
      <c r="DJ54" s="1158"/>
      <c r="DK54" s="1158"/>
      <c r="DL54" s="1158"/>
      <c r="DM54" s="1158"/>
      <c r="DN54" s="1158"/>
      <c r="DO54" s="1158"/>
      <c r="DP54" s="1158"/>
      <c r="DQ54" s="1158"/>
      <c r="DR54" s="1158"/>
      <c r="DS54" s="1158"/>
      <c r="DT54" s="1158"/>
      <c r="DU54" s="1158"/>
      <c r="DV54" s="1158"/>
      <c r="DW54" s="1158"/>
      <c r="DX54" s="1158"/>
      <c r="DY54" s="1158"/>
      <c r="DZ54" s="1158"/>
      <c r="EA54" s="1158"/>
      <c r="EB54" s="1158"/>
      <c r="EC54" s="1158"/>
      <c r="ED54" s="1158"/>
      <c r="EE54" s="1158"/>
      <c r="EF54" s="1158"/>
      <c r="EG54" s="1158"/>
      <c r="EH54" s="1158"/>
      <c r="EI54" s="1464"/>
      <c r="EJ54" s="1158"/>
      <c r="EK54" s="1158"/>
      <c r="EL54" s="1158"/>
      <c r="EM54" s="1464"/>
      <c r="EN54" s="1158"/>
      <c r="EO54" s="1158"/>
      <c r="EP54" s="1158"/>
      <c r="EQ54" s="1464"/>
      <c r="ER54" s="1158"/>
      <c r="ES54" s="1158"/>
      <c r="ET54" s="1158"/>
      <c r="EU54" s="1158"/>
      <c r="EV54" s="1158"/>
      <c r="EW54" s="1158"/>
      <c r="EX54" s="1158"/>
      <c r="EY54" s="1612"/>
      <c r="EZ54" s="1158"/>
      <c r="FA54" s="1158"/>
      <c r="FB54" s="1158"/>
      <c r="FC54" s="1158"/>
      <c r="FD54" s="1158"/>
      <c r="FE54" s="1158"/>
      <c r="FF54" s="1158"/>
      <c r="FG54" s="1158"/>
      <c r="FH54" s="1158"/>
      <c r="FI54" s="1158"/>
      <c r="FJ54" s="1158"/>
      <c r="FK54" s="1158"/>
      <c r="FL54" s="444"/>
      <c r="FM54" s="488"/>
      <c r="FN54" s="488"/>
      <c r="FO54" s="489"/>
      <c r="FP54" s="489"/>
      <c r="FQ54" s="489"/>
      <c r="FR54" s="489"/>
      <c r="FS54" s="489"/>
      <c r="FT54" s="489"/>
      <c r="FU54" s="489"/>
      <c r="FV54" s="489"/>
      <c r="FW54" s="489"/>
    </row>
    <row r="55" spans="1:179" ht="13.8">
      <c r="A55" s="444"/>
      <c r="B55" s="444"/>
      <c r="C55" s="1468" t="s">
        <v>197</v>
      </c>
      <c r="D55" s="1469"/>
      <c r="E55" s="1469"/>
      <c r="F55" s="1469"/>
      <c r="G55" s="1470"/>
      <c r="H55" s="1469">
        <v>187374</v>
      </c>
      <c r="I55" s="1469">
        <v>197158</v>
      </c>
      <c r="J55" s="1469">
        <v>197158</v>
      </c>
      <c r="K55" s="1470"/>
      <c r="L55" s="1469">
        <v>220944</v>
      </c>
      <c r="M55" s="1469">
        <v>229840</v>
      </c>
      <c r="N55" s="1469">
        <v>229840</v>
      </c>
      <c r="O55" s="1470"/>
      <c r="P55" s="1469">
        <v>236280</v>
      </c>
      <c r="Q55" s="1469">
        <v>255330</v>
      </c>
      <c r="R55" s="1469">
        <v>255330</v>
      </c>
      <c r="S55" s="1469"/>
      <c r="T55" s="1469">
        <v>265626</v>
      </c>
      <c r="U55" s="1469">
        <v>294781.10818149277</v>
      </c>
      <c r="V55" s="1469">
        <v>294781.10818149277</v>
      </c>
      <c r="W55" s="1469"/>
      <c r="X55" s="1469">
        <v>304540.56775421475</v>
      </c>
      <c r="Y55" s="1469">
        <v>324091.12560787157</v>
      </c>
      <c r="Z55" s="1469">
        <v>324091.12560787157</v>
      </c>
      <c r="AA55" s="1471"/>
      <c r="AB55" s="1472">
        <f>MODEL!BH354/1000</f>
        <v>343.18099999999998</v>
      </c>
      <c r="AC55" s="1472">
        <f>MODEL!BI354/1000</f>
        <v>367.79599999999999</v>
      </c>
      <c r="AD55" s="1472">
        <f>MODEL!BJ354/1000</f>
        <v>367.79599999999999</v>
      </c>
      <c r="AE55" s="1473">
        <f>MODEL!BK354/1000</f>
        <v>0</v>
      </c>
      <c r="AF55" s="1472">
        <f>MODEL!BL354/1000</f>
        <v>387.036</v>
      </c>
      <c r="AG55" s="1472">
        <f>MODEL!BM354/1000</f>
        <v>402.57900000000001</v>
      </c>
      <c r="AH55" s="1474">
        <f>MODEL!BN354/1000</f>
        <v>402.57900000000001</v>
      </c>
      <c r="AI55" s="1473"/>
      <c r="AJ55" s="1473">
        <f>MODEL!BP354/1000</f>
        <v>435.721</v>
      </c>
      <c r="AK55" s="1473">
        <f>MODEL!BQ354/1000</f>
        <v>443.02100000000002</v>
      </c>
      <c r="AL55" s="1475">
        <f>MODEL!BR354/1000</f>
        <v>443.02100000000002</v>
      </c>
      <c r="AM55" s="1473"/>
      <c r="AN55" s="1473">
        <f>MODEL!BT354/1000</f>
        <v>445.21800000000002</v>
      </c>
      <c r="AO55" s="1473">
        <f>MODEL!BU354/1000</f>
        <v>448.14</v>
      </c>
      <c r="AP55" s="1474">
        <f>MODEL!BV354/1000</f>
        <v>448.14</v>
      </c>
      <c r="AQ55" s="1471"/>
      <c r="AR55" s="1473">
        <f>MODEL!BX354/1000</f>
        <v>467.06400000000002</v>
      </c>
      <c r="AS55" s="1473">
        <f>MODEL!BY354/1000</f>
        <v>466.67599999999999</v>
      </c>
      <c r="AT55" s="1474">
        <f>MODEL!BZ354/1000</f>
        <v>466.67599999999999</v>
      </c>
      <c r="AU55" s="1476"/>
      <c r="AV55" s="1473">
        <f>MODEL!CB354/1000</f>
        <v>471.87</v>
      </c>
      <c r="AW55" s="1473">
        <f>MODEL!CC354/1000</f>
        <v>486.42</v>
      </c>
      <c r="AX55" s="1472">
        <f>MODEL!CD354/1000</f>
        <v>486.42</v>
      </c>
      <c r="AY55" s="1476"/>
      <c r="AZ55" s="1477">
        <f>MODEL!CF354/1000</f>
        <v>492.62299999999999</v>
      </c>
      <c r="BA55" s="1473">
        <f>MODEL!CG354/1000</f>
        <v>511.69299999999998</v>
      </c>
      <c r="BB55" s="1474">
        <f>MODEL!CH354/1000</f>
        <v>511.69299999999998</v>
      </c>
      <c r="BC55" s="1472"/>
      <c r="BD55" s="1473">
        <f>MODEL!CJ354/1000</f>
        <v>566.49599999999998</v>
      </c>
      <c r="BE55" s="1473">
        <f>MODEL!CK354/1000</f>
        <v>552.36300000000006</v>
      </c>
      <c r="BF55" s="1474">
        <f>MODEL!CL354/1000</f>
        <v>552.36300000000006</v>
      </c>
      <c r="BG55" s="1472"/>
      <c r="BH55" s="1473">
        <f>MODEL!CN354/1000</f>
        <v>561.52499999999998</v>
      </c>
      <c r="BI55" s="1473">
        <f>MODEL!CO354/1000</f>
        <v>593.58199999999999</v>
      </c>
      <c r="BJ55" s="1474">
        <f>MODEL!CP354/1000</f>
        <v>593.58199999999999</v>
      </c>
      <c r="BK55" s="1472"/>
      <c r="BL55" s="1473">
        <f>MODEL!CR354/1000</f>
        <v>611.05399999999997</v>
      </c>
      <c r="BM55" s="1473">
        <f>MODEL!CS354/1000</f>
        <v>620.42999999999995</v>
      </c>
      <c r="BN55" s="1474">
        <f>MODEL!CT354/1000</f>
        <v>620.42999999999995</v>
      </c>
      <c r="BO55" s="1472"/>
      <c r="BP55" s="1473">
        <f>MODEL!CV354/1000</f>
        <v>648.62699999999995</v>
      </c>
      <c r="BQ55" s="1473">
        <f>MODEL!CW354/1000</f>
        <v>647.11900000000003</v>
      </c>
      <c r="BR55" s="1474">
        <f>MODEL!CX354/1000</f>
        <v>647.11900000000003</v>
      </c>
      <c r="BS55" s="1472"/>
      <c r="BT55" s="1473">
        <f>MODEL!CZ354/1000</f>
        <v>641.09</v>
      </c>
      <c r="BU55" s="1473">
        <f>MODEL!DA354/1000</f>
        <v>715.21100000000001</v>
      </c>
      <c r="BV55" s="1474">
        <f>MODEL!DB354/1000</f>
        <v>715.21100000000001</v>
      </c>
      <c r="BW55" s="1472"/>
      <c r="BX55" s="1473">
        <f>MODEL!DD354/1000</f>
        <v>756.56500000000005</v>
      </c>
      <c r="BY55" s="1473">
        <f>MODEL!DE354/1000</f>
        <v>748.05700000000002</v>
      </c>
      <c r="BZ55" s="1474">
        <f>MODEL!DF354/1000</f>
        <v>748.05700000000002</v>
      </c>
      <c r="CA55" s="1472"/>
      <c r="CB55" s="1473">
        <f>MODEL!DH354/1000</f>
        <v>748.40245955411694</v>
      </c>
      <c r="CC55" s="1473">
        <f>MODEL!DI354/1000</f>
        <v>762.83053726947503</v>
      </c>
      <c r="CD55" s="1474">
        <f>MODEL!DJ354/1000</f>
        <v>762.83053726947503</v>
      </c>
      <c r="CE55" s="1472"/>
      <c r="CF55" s="1473">
        <f>MODEL!DL354/1000</f>
        <v>777.6154015576526</v>
      </c>
      <c r="CG55" s="1473">
        <f>MODEL!DM354/1000</f>
        <v>792.76477805399304</v>
      </c>
      <c r="CH55" s="1474">
        <f>MODEL!DN354/1000</f>
        <v>792.76477805399304</v>
      </c>
      <c r="CI55" s="1472"/>
      <c r="CJ55" s="1473">
        <f>MODEL!DP354/1000</f>
        <v>808.286625331614</v>
      </c>
      <c r="CK55" s="1473">
        <f>MODEL!DQ354/1000</f>
        <v>824.1891403605656</v>
      </c>
      <c r="CL55" s="1472">
        <f>MODEL!DR354/1000</f>
        <v>824.1891403605656</v>
      </c>
      <c r="CM55" s="1379"/>
      <c r="CN55" s="1385" t="s">
        <v>23</v>
      </c>
      <c r="CO55" s="1343">
        <v>64.618544182548675</v>
      </c>
      <c r="CP55" s="1343">
        <v>65.57734350153568</v>
      </c>
      <c r="CQ55" s="1343">
        <v>65.57734350153568</v>
      </c>
      <c r="CR55" s="1343"/>
      <c r="CS55" s="1343">
        <v>68.992905764800327</v>
      </c>
      <c r="CT55" s="1343">
        <v>69.54791599133921</v>
      </c>
      <c r="CU55" s="1343">
        <v>69.54791599133921</v>
      </c>
      <c r="CV55" s="1343"/>
      <c r="CW55" s="1343">
        <v>69.142058966736556</v>
      </c>
      <c r="CX55" s="1343">
        <v>69.878327745916863</v>
      </c>
      <c r="CY55" s="1343">
        <v>69.878327745916863</v>
      </c>
      <c r="CZ55" s="1343"/>
      <c r="DA55" s="1351"/>
      <c r="DB55" s="1351"/>
      <c r="DC55" s="1152">
        <f>MODEL!BJ456*100</f>
        <v>70.597592134172402</v>
      </c>
      <c r="DD55" s="1152"/>
      <c r="DE55" s="1152">
        <f>MODEL!BL456*100</f>
        <v>69.55673792141333</v>
      </c>
      <c r="DF55" s="1152">
        <f>MODEL!BM456*100</f>
        <v>68.749480982441739</v>
      </c>
      <c r="DG55" s="1152">
        <f>MODEL!BN456*100</f>
        <v>68.749480982441739</v>
      </c>
      <c r="DH55" s="1152"/>
      <c r="DI55" s="1152">
        <f>MODEL!BP456*100</f>
        <v>67.937412226805932</v>
      </c>
      <c r="DJ55" s="1152">
        <f>MODEL!BQ456*100</f>
        <v>67.515160240644249</v>
      </c>
      <c r="DK55" s="1152">
        <f>MODEL!BR456*100</f>
        <v>67.515160240644249</v>
      </c>
      <c r="DL55" s="1152">
        <f>MODEL!BS456*100</f>
        <v>0</v>
      </c>
      <c r="DM55" s="1152">
        <f>MODEL!BT456*100</f>
        <v>68.251690262350124</v>
      </c>
      <c r="DN55" s="1152">
        <f>MODEL!BU456*100</f>
        <v>66.195759628262735</v>
      </c>
      <c r="DO55" s="1152">
        <f>MODEL!BV456*100</f>
        <v>66.195759628262735</v>
      </c>
      <c r="DP55" s="1152">
        <f>MODEL!BW456*100</f>
        <v>0</v>
      </c>
      <c r="DQ55" s="1152">
        <f>MODEL!BX456*100</f>
        <v>69.18269522480432</v>
      </c>
      <c r="DR55" s="1152">
        <f>MODEL!BY456*100</f>
        <v>66.433044806517316</v>
      </c>
      <c r="DS55" s="1152">
        <f>MODEL!BZ456*100</f>
        <v>66.433044806517316</v>
      </c>
      <c r="DT55" s="1152"/>
      <c r="DU55" s="1152"/>
      <c r="DV55" s="1152"/>
      <c r="DW55" s="1152">
        <f>MODEL!CD456*100</f>
        <v>64.297205346294049</v>
      </c>
      <c r="DX55" s="1152"/>
      <c r="DY55" s="1152"/>
      <c r="DZ55" s="1152"/>
      <c r="EA55" s="1152">
        <f>MODEL!CH456*100</f>
        <v>64.321290322580651</v>
      </c>
      <c r="EB55" s="1152"/>
      <c r="EC55" s="1152"/>
      <c r="ED55" s="1152"/>
      <c r="EE55" s="1152">
        <f>MODEL!CL456*100</f>
        <v>64.976558160204419</v>
      </c>
      <c r="EF55" s="1152"/>
      <c r="EG55" s="1152"/>
      <c r="EH55" s="1152"/>
      <c r="EI55" s="1451">
        <f>MODEL!CP456*100</f>
        <v>67.179951048206874</v>
      </c>
      <c r="EJ55" s="1152"/>
      <c r="EK55" s="1152"/>
      <c r="EL55" s="1152"/>
      <c r="EM55" s="1451">
        <f>MODEL!CT456*100</f>
        <v>65.770173851874176</v>
      </c>
      <c r="EN55" s="1152"/>
      <c r="EO55" s="1152"/>
      <c r="EP55" s="1152"/>
      <c r="EQ55" s="1451">
        <f>MODEL!CX456*100</f>
        <v>65.936650717703344</v>
      </c>
      <c r="ER55" s="1152"/>
      <c r="ES55" s="1152"/>
      <c r="ET55" s="1152"/>
      <c r="EU55" s="1152">
        <f>MODEL!DB456*100</f>
        <v>64.466507787896845</v>
      </c>
      <c r="EV55" s="1152"/>
      <c r="EW55" s="1152"/>
      <c r="EX55" s="1152"/>
      <c r="EY55" s="1608">
        <f>MODEL!DF456*100</f>
        <v>61.175863131935884</v>
      </c>
      <c r="EZ55" s="1152"/>
      <c r="FA55" s="1152"/>
      <c r="FB55" s="1152"/>
      <c r="FC55" s="1152">
        <f ca="1">MODEL!DJ456*100</f>
        <v>60.69229202077063</v>
      </c>
      <c r="FD55" s="1152"/>
      <c r="FE55" s="1152"/>
      <c r="FF55" s="1152"/>
      <c r="FG55" s="1152">
        <f ca="1">MODEL!DN456*100</f>
        <v>60.25236968054373</v>
      </c>
      <c r="FH55" s="1152"/>
      <c r="FI55" s="1152"/>
      <c r="FJ55" s="1152"/>
      <c r="FK55" s="1152">
        <f ca="1">MODEL!DR456*100</f>
        <v>60.117783347472177</v>
      </c>
      <c r="FL55" s="444"/>
      <c r="FM55" s="454"/>
      <c r="FN55" s="454"/>
      <c r="FO55" s="490"/>
      <c r="FP55" s="490"/>
      <c r="FQ55" s="490"/>
      <c r="FR55" s="490"/>
      <c r="FS55" s="534"/>
      <c r="FT55" s="490"/>
      <c r="FU55" s="490"/>
      <c r="FV55" s="490"/>
      <c r="FW55" s="534"/>
    </row>
    <row r="56" spans="1:179" ht="13.8">
      <c r="A56" s="444"/>
      <c r="B56" s="444"/>
      <c r="C56" s="1458" t="s">
        <v>428</v>
      </c>
      <c r="D56" s="1154"/>
      <c r="E56" s="1154"/>
      <c r="F56" s="1154"/>
      <c r="G56" s="1459"/>
      <c r="H56" s="1154">
        <v>322824</v>
      </c>
      <c r="I56" s="1154">
        <v>340431</v>
      </c>
      <c r="J56" s="1154">
        <v>331627.5</v>
      </c>
      <c r="K56" s="1459"/>
      <c r="L56" s="1154">
        <v>361526</v>
      </c>
      <c r="M56" s="1154">
        <v>350102</v>
      </c>
      <c r="N56" s="1154">
        <v>355798</v>
      </c>
      <c r="O56" s="1459"/>
      <c r="P56" s="1154">
        <v>348519</v>
      </c>
      <c r="Q56" s="1154">
        <v>364473</v>
      </c>
      <c r="R56" s="1154">
        <v>358607</v>
      </c>
      <c r="S56" s="1154"/>
      <c r="T56" s="1154">
        <v>381491</v>
      </c>
      <c r="U56" s="1154">
        <v>393256</v>
      </c>
      <c r="V56" s="1154">
        <v>387389</v>
      </c>
      <c r="W56" s="1154"/>
      <c r="X56" s="1154">
        <v>408246</v>
      </c>
      <c r="Y56" s="1154">
        <v>427679</v>
      </c>
      <c r="Z56" s="1154">
        <v>417962</v>
      </c>
      <c r="AA56" s="1155"/>
      <c r="AB56" s="1130">
        <f>MODEL!BH461/1000</f>
        <v>449.50200000000001</v>
      </c>
      <c r="AC56" s="1130">
        <f>MODEL!BI461/1000</f>
        <v>475.476</v>
      </c>
      <c r="AD56" s="1130">
        <f>MODEL!BJ461/1000</f>
        <v>461.67899999999997</v>
      </c>
      <c r="AE56" s="1155">
        <f>MODEL!BK461/1000</f>
        <v>0</v>
      </c>
      <c r="AF56" s="1130">
        <f>MODEL!BL461/1000</f>
        <v>502.60399999999998</v>
      </c>
      <c r="AG56" s="1130">
        <f>MODEL!BM461/1000</f>
        <v>527.41399999999999</v>
      </c>
      <c r="AH56" s="1437">
        <f>MODEL!BN461/1000</f>
        <v>515.04200000000003</v>
      </c>
      <c r="AI56" s="1155"/>
      <c r="AJ56" s="1130">
        <f>MODEL!BP461/1000</f>
        <v>544.70000000000005</v>
      </c>
      <c r="AK56" s="1130">
        <f>MODEL!BQ461/1000</f>
        <v>566.505</v>
      </c>
      <c r="AL56" s="1437">
        <f>MODEL!BR461/1000</f>
        <v>555.60249999999996</v>
      </c>
      <c r="AM56" s="1130"/>
      <c r="AN56" s="1130">
        <f>MODEL!BT461/1000</f>
        <v>550.93200000000002</v>
      </c>
      <c r="AO56" s="1130">
        <f>MODEL!BU461/1000</f>
        <v>551.08500000000004</v>
      </c>
      <c r="AP56" s="1437">
        <f>MODEL!BV461/1000</f>
        <v>551.00850000000003</v>
      </c>
      <c r="AQ56" s="1155"/>
      <c r="AR56" s="1130">
        <f>MODEL!BX461/1000</f>
        <v>555.78099999999995</v>
      </c>
      <c r="AS56" s="1130">
        <f>MODEL!BY461/1000</f>
        <v>558.35599999999999</v>
      </c>
      <c r="AT56" s="1437">
        <f>MODEL!BZ461/1000</f>
        <v>557.06849999999997</v>
      </c>
      <c r="AU56" s="1467"/>
      <c r="AV56" s="1130">
        <f>MODEL!CB461/1000</f>
        <v>561.44500000000005</v>
      </c>
      <c r="AW56" s="1130">
        <f>MODEL!CC461/1000</f>
        <v>572.505</v>
      </c>
      <c r="AX56" s="1130">
        <f>MODEL!CD461/1000</f>
        <v>567.10299999999995</v>
      </c>
      <c r="AY56" s="1467"/>
      <c r="AZ56" s="1156">
        <f>MODEL!CF461/1000</f>
        <v>585.91099999999994</v>
      </c>
      <c r="BA56" s="1130">
        <f>MODEL!CG461/1000</f>
        <v>589.92899999999997</v>
      </c>
      <c r="BB56" s="1437">
        <f>MODEL!CH461/1000</f>
        <v>587.92399999999998</v>
      </c>
      <c r="BC56" s="1130"/>
      <c r="BD56" s="1130">
        <f>MODEL!CJ461/1000</f>
        <v>604.63900000000001</v>
      </c>
      <c r="BE56" s="1130">
        <f>MODEL!CK461/1000</f>
        <v>607.39400000000001</v>
      </c>
      <c r="BF56" s="1437">
        <f>MODEL!CL461/1000</f>
        <v>606.01700000000005</v>
      </c>
      <c r="BG56" s="1130"/>
      <c r="BH56" s="1130">
        <f>MODEL!CN461/1000</f>
        <v>586.45399999999995</v>
      </c>
      <c r="BI56" s="1130">
        <f>MODEL!CO461/1000</f>
        <v>587.31700000000001</v>
      </c>
      <c r="BJ56" s="1437">
        <f>MODEL!CP461/1000</f>
        <v>586.88499999999999</v>
      </c>
      <c r="BK56" s="1130"/>
      <c r="BL56" s="1130">
        <f>MODEL!CR461/1000</f>
        <v>607.08699999999999</v>
      </c>
      <c r="BM56" s="1130">
        <f>MODEL!CS461/1000</f>
        <v>619.49</v>
      </c>
      <c r="BN56" s="1437">
        <f>MODEL!CT461/1000</f>
        <v>613.30499999999995</v>
      </c>
      <c r="BO56" s="1130"/>
      <c r="BP56" s="1130">
        <f>MODEL!CV461/1000</f>
        <v>649.25300000000004</v>
      </c>
      <c r="BQ56" s="1130">
        <f>MODEL!CW461/1000</f>
        <v>650.16899999999998</v>
      </c>
      <c r="BR56" s="1437">
        <f>MODEL!CX461/1000</f>
        <v>649.71299999999997</v>
      </c>
      <c r="BS56" s="1130"/>
      <c r="BT56" s="1130">
        <f>MODEL!CZ461/1000</f>
        <v>663.98199999999997</v>
      </c>
      <c r="BU56" s="1130">
        <f>MODEL!DA461/1000</f>
        <v>699.37800000000004</v>
      </c>
      <c r="BV56" s="1437">
        <f>MODEL!DB461/1000</f>
        <v>681.68</v>
      </c>
      <c r="BW56" s="1130"/>
      <c r="BX56" s="1130">
        <f>MODEL!DD461/1000</f>
        <v>762.55700000000002</v>
      </c>
      <c r="BY56" s="1130">
        <f>MODEL!DE461/1000</f>
        <v>777.19299999999998</v>
      </c>
      <c r="BZ56" s="1437">
        <f>MODEL!DF461/1000</f>
        <v>769.89499999999998</v>
      </c>
      <c r="CA56" s="1130"/>
      <c r="CB56" s="1130">
        <f>MODEL!DH461/1000</f>
        <v>784.34747131220342</v>
      </c>
      <c r="CC56" s="1130">
        <f>MODEL!DI461/1000</f>
        <v>795.63182245495773</v>
      </c>
      <c r="CD56" s="1437">
        <f>MODEL!DJ461/1000</f>
        <v>789.98964688358058</v>
      </c>
      <c r="CE56" s="1130"/>
      <c r="CF56" s="1130">
        <f>MODEL!DL461/1000</f>
        <v>813.13417643466687</v>
      </c>
      <c r="CG56" s="1130">
        <f>MODEL!DM461/1000</f>
        <v>832.06105379386827</v>
      </c>
      <c r="CH56" s="1437">
        <f>MODEL!DN461/1000</f>
        <v>822.59761511426757</v>
      </c>
      <c r="CI56" s="1130"/>
      <c r="CJ56" s="1130">
        <f>MODEL!DP461/1000</f>
        <v>850.50797044903129</v>
      </c>
      <c r="CK56" s="1130">
        <f>MODEL!DQ461/1000</f>
        <v>868.2913242645601</v>
      </c>
      <c r="CL56" s="1130">
        <f>MODEL!DR461/1000</f>
        <v>859.39964735679575</v>
      </c>
      <c r="CM56" s="1379"/>
      <c r="CN56" s="1385" t="s">
        <v>225</v>
      </c>
      <c r="CO56" s="1343">
        <v>54.339601813159902</v>
      </c>
      <c r="CP56" s="1343">
        <v>56.785807217822381</v>
      </c>
      <c r="CQ56" s="1343">
        <v>56.785807217822381</v>
      </c>
      <c r="CR56" s="1343"/>
      <c r="CS56" s="1343">
        <v>57.786363666029253</v>
      </c>
      <c r="CT56" s="1343">
        <v>58.519432591436072</v>
      </c>
      <c r="CU56" s="1343">
        <v>58.519432591436072</v>
      </c>
      <c r="CV56" s="1343"/>
      <c r="CW56" s="1343">
        <v>57.824890394982489</v>
      </c>
      <c r="CX56" s="1343">
        <v>59.451862229308048</v>
      </c>
      <c r="CY56" s="1343">
        <v>59.451862229308048</v>
      </c>
      <c r="CZ56" s="1343"/>
      <c r="DA56" s="1351"/>
      <c r="DB56" s="1351"/>
      <c r="DC56" s="1152">
        <f>MODEL!BJ455*100</f>
        <v>60.941606105494081</v>
      </c>
      <c r="DD56" s="1152"/>
      <c r="DE56" s="1152">
        <f>MODEL!BL455*100</f>
        <v>60.531501604639381</v>
      </c>
      <c r="DF56" s="1152">
        <f>MODEL!BM455*100</f>
        <v>60.784165699092121</v>
      </c>
      <c r="DG56" s="1152">
        <f>MODEL!BN455*100</f>
        <v>60.784165699092121</v>
      </c>
      <c r="DH56" s="1152"/>
      <c r="DI56" s="1152">
        <f>MODEL!BP455*100</f>
        <v>59.757224831036602</v>
      </c>
      <c r="DJ56" s="1152">
        <f>MODEL!BQ455*100</f>
        <v>59.057418953200212</v>
      </c>
      <c r="DK56" s="1152">
        <f>MODEL!BR455*100</f>
        <v>59.057418953200212</v>
      </c>
      <c r="DL56" s="1152">
        <f>MODEL!BS455*100</f>
        <v>0</v>
      </c>
      <c r="DM56" s="1152">
        <f>MODEL!BT455*100</f>
        <v>59.547792126152757</v>
      </c>
      <c r="DN56" s="1152">
        <f>MODEL!BU455*100</f>
        <v>58.215801431817205</v>
      </c>
      <c r="DO56" s="1152">
        <f>MODEL!BV455*100</f>
        <v>58.215801431817205</v>
      </c>
      <c r="DP56" s="1152">
        <f>MODEL!BW455*100</f>
        <v>0</v>
      </c>
      <c r="DQ56" s="1152">
        <f>MODEL!BX455*100</f>
        <v>61.607701094541014</v>
      </c>
      <c r="DR56" s="1152">
        <f>MODEL!BY455*100</f>
        <v>59.403767820773936</v>
      </c>
      <c r="DS56" s="1152">
        <f>MODEL!BZ455*100</f>
        <v>59.403767820773936</v>
      </c>
      <c r="DT56" s="1152"/>
      <c r="DU56" s="1152"/>
      <c r="DV56" s="1152"/>
      <c r="DW56" s="1152">
        <f>MODEL!CD455*100</f>
        <v>59.103280680437422</v>
      </c>
      <c r="DX56" s="1152"/>
      <c r="DY56" s="1152"/>
      <c r="DZ56" s="1152"/>
      <c r="EA56" s="1152">
        <f>MODEL!CH455*100</f>
        <v>60.022639296187684</v>
      </c>
      <c r="EB56" s="1152"/>
      <c r="EC56" s="1152"/>
      <c r="ED56" s="1152"/>
      <c r="EE56" s="1152">
        <f>MODEL!CL455*100</f>
        <v>61.366848127985783</v>
      </c>
      <c r="EF56" s="1152"/>
      <c r="EG56" s="1152"/>
      <c r="EH56" s="1152"/>
      <c r="EI56" s="1451">
        <f>MODEL!CP455*100</f>
        <v>63.167181015217622</v>
      </c>
      <c r="EJ56" s="1152"/>
      <c r="EK56" s="1152"/>
      <c r="EL56" s="1152"/>
      <c r="EM56" s="1451">
        <f>MODEL!CT455*100</f>
        <v>62.348507687669589</v>
      </c>
      <c r="EN56" s="1152"/>
      <c r="EO56" s="1152"/>
      <c r="EP56" s="1152"/>
      <c r="EQ56" s="1451">
        <f>MODEL!CX455*100</f>
        <v>61.92526315789474</v>
      </c>
      <c r="ER56" s="1152"/>
      <c r="ES56" s="1152"/>
      <c r="ET56" s="1152"/>
      <c r="EU56" s="1152">
        <f>MODEL!DB455*100</f>
        <v>60.87420205974977</v>
      </c>
      <c r="EV56" s="1152"/>
      <c r="EW56" s="1152"/>
      <c r="EX56" s="1152"/>
      <c r="EY56" s="1608">
        <f>MODEL!DF455*100</f>
        <v>57.649275585696671</v>
      </c>
      <c r="EZ56" s="1152"/>
      <c r="FA56" s="1152"/>
      <c r="FB56" s="1152"/>
      <c r="FC56" s="1152">
        <f ca="1">MODEL!DJ455*100</f>
        <v>57.163727676667506</v>
      </c>
      <c r="FD56" s="1152"/>
      <c r="FE56" s="1152"/>
      <c r="FF56" s="1152"/>
      <c r="FG56" s="1152">
        <f ca="1">MODEL!DN455*100</f>
        <v>56.745702538140605</v>
      </c>
      <c r="FH56" s="1152"/>
      <c r="FI56" s="1152"/>
      <c r="FJ56" s="1152"/>
      <c r="FK56" s="1152">
        <f ca="1">MODEL!DR455*100</f>
        <v>56.616536984139856</v>
      </c>
      <c r="FL56" s="444"/>
      <c r="FM56" s="445"/>
      <c r="FN56" s="445"/>
      <c r="FO56" s="491"/>
      <c r="FP56" s="491"/>
      <c r="FQ56" s="491"/>
      <c r="FR56" s="491"/>
      <c r="FS56" s="491"/>
      <c r="FT56" s="491"/>
      <c r="FU56" s="491"/>
      <c r="FV56" s="491"/>
      <c r="FW56" s="491"/>
    </row>
    <row r="57" spans="1:179" ht="13.8">
      <c r="A57" s="444"/>
      <c r="B57" s="444"/>
      <c r="C57" s="1369" t="s">
        <v>30</v>
      </c>
      <c r="D57" s="1154"/>
      <c r="E57" s="1154"/>
      <c r="F57" s="1154"/>
      <c r="G57" s="1375"/>
      <c r="H57" s="1154">
        <v>378814</v>
      </c>
      <c r="I57" s="1154">
        <v>402736</v>
      </c>
      <c r="J57" s="1154">
        <v>390775</v>
      </c>
      <c r="K57" s="1375"/>
      <c r="L57" s="1154">
        <v>435103</v>
      </c>
      <c r="M57" s="1154">
        <v>419867</v>
      </c>
      <c r="N57" s="1154">
        <v>427464</v>
      </c>
      <c r="O57" s="1375"/>
      <c r="P57" s="1154">
        <v>428636</v>
      </c>
      <c r="Q57" s="1154">
        <v>449861</v>
      </c>
      <c r="R57" s="1154">
        <v>439277</v>
      </c>
      <c r="S57" s="1154"/>
      <c r="T57" s="1154">
        <v>458029</v>
      </c>
      <c r="U57" s="1154">
        <v>476814</v>
      </c>
      <c r="V57" s="1154">
        <v>474302</v>
      </c>
      <c r="W57" s="1154"/>
      <c r="X57" s="1154">
        <v>508762</v>
      </c>
      <c r="Y57" s="1154">
        <v>538161</v>
      </c>
      <c r="Z57" s="1154">
        <v>523461</v>
      </c>
      <c r="AA57" s="1155"/>
      <c r="AB57" s="1130">
        <f>MODEL!BH463/1000</f>
        <v>556.26400000000001</v>
      </c>
      <c r="AC57" s="1130">
        <f>MODEL!BI463/1000</f>
        <v>595.99800000000005</v>
      </c>
      <c r="AD57" s="1130">
        <f>MODEL!BJ463/1000</f>
        <v>575.33900000000006</v>
      </c>
      <c r="AE57" s="1155">
        <f>MODEL!BK463/1000</f>
        <v>0</v>
      </c>
      <c r="AF57" s="1130">
        <f>MODEL!BL463/1000</f>
        <v>632.4</v>
      </c>
      <c r="AG57" s="1130">
        <f>MODEL!BM463/1000</f>
        <v>661.51499999999999</v>
      </c>
      <c r="AH57" s="1437">
        <f>MODEL!BN463/1000</f>
        <v>646.99699999999996</v>
      </c>
      <c r="AI57" s="1155"/>
      <c r="AJ57" s="1130">
        <f>MODEL!BP463/1000</f>
        <v>702.20299999999997</v>
      </c>
      <c r="AK57" s="1130">
        <f>MODEL!BQ463/1000</f>
        <v>731.73900000000003</v>
      </c>
      <c r="AL57" s="1437">
        <f>MODEL!BR463/1000</f>
        <v>716.971</v>
      </c>
      <c r="AM57" s="1130"/>
      <c r="AN57" s="1130">
        <f>MODEL!BT463/1000</f>
        <v>731.39499999999998</v>
      </c>
      <c r="AO57" s="1130">
        <f>MODEL!BU463/1000</f>
        <v>730.27499999999998</v>
      </c>
      <c r="AP57" s="1437">
        <f>MODEL!BV463/1000</f>
        <v>730.83500000000004</v>
      </c>
      <c r="AQ57" s="1155"/>
      <c r="AR57" s="1130">
        <f>MODEL!BX463/1000</f>
        <v>743.90599999999995</v>
      </c>
      <c r="AS57" s="1130">
        <f>MODEL!BY463/1000</f>
        <v>752.07299999999998</v>
      </c>
      <c r="AT57" s="1437">
        <f>MODEL!BZ463/1000</f>
        <v>747.98950000000002</v>
      </c>
      <c r="AU57" s="1467"/>
      <c r="AV57" s="1130">
        <f>MODEL!CB463/1000</f>
        <v>765.18600000000004</v>
      </c>
      <c r="AW57" s="1130">
        <f>MODEL!CC463/1000</f>
        <v>784.50099999999998</v>
      </c>
      <c r="AX57" s="1130">
        <f>MODEL!CD463/1000</f>
        <v>774.88400000000001</v>
      </c>
      <c r="AY57" s="1467"/>
      <c r="AZ57" s="1156">
        <f>MODEL!CF463/1000</f>
        <v>811.52800000000002</v>
      </c>
      <c r="BA57" s="1130">
        <f>MODEL!CG463/1000</f>
        <v>814.83100000000002</v>
      </c>
      <c r="BB57" s="1437">
        <f>MODEL!CH463/1000</f>
        <v>813.21900000000005</v>
      </c>
      <c r="BC57" s="1130"/>
      <c r="BD57" s="1130">
        <f>MODEL!CJ463/1000</f>
        <v>856.65099999999995</v>
      </c>
      <c r="BE57" s="1130">
        <f>MODEL!CK463/1000</f>
        <v>869.11</v>
      </c>
      <c r="BF57" s="1437">
        <f>MODEL!CL463/1000</f>
        <v>862.88199999999995</v>
      </c>
      <c r="BG57" s="1130"/>
      <c r="BH57" s="1130">
        <f>MODEL!CN463/1000</f>
        <v>857.524</v>
      </c>
      <c r="BI57" s="1130">
        <f>MODEL!CO463/1000</f>
        <v>869.82500000000005</v>
      </c>
      <c r="BJ57" s="1437">
        <f>MODEL!CP463/1000</f>
        <v>863.69100000000003</v>
      </c>
      <c r="BK57" s="1130"/>
      <c r="BL57" s="1130">
        <f>MODEL!CR463/1000</f>
        <v>899.678</v>
      </c>
      <c r="BM57" s="1130">
        <f>MODEL!CS463/1000</f>
        <v>920.34</v>
      </c>
      <c r="BN57" s="1437">
        <f>MODEL!CT463/1000</f>
        <v>910.03700000000003</v>
      </c>
      <c r="BO57" s="1130"/>
      <c r="BP57" s="1130">
        <f>MODEL!CV463/1000</f>
        <v>972.97199999999998</v>
      </c>
      <c r="BQ57" s="1130">
        <f>MODEL!CW463/1000</f>
        <v>977.17499999999995</v>
      </c>
      <c r="BR57" s="1437">
        <f>MODEL!CX463/1000</f>
        <v>975.07899999999995</v>
      </c>
      <c r="BS57" s="1130"/>
      <c r="BT57" s="1130">
        <f>MODEL!CZ463/1000</f>
        <v>1015.621</v>
      </c>
      <c r="BU57" s="1130">
        <f>MODEL!DA463/1000</f>
        <v>1031.6110000000001</v>
      </c>
      <c r="BV57" s="1437">
        <f>MODEL!DB463/1000</f>
        <v>1023.616</v>
      </c>
      <c r="BW57" s="1130"/>
      <c r="BX57" s="1130">
        <f>MODEL!DD463/1000</f>
        <v>1142.1279999999999</v>
      </c>
      <c r="BY57" s="1130">
        <f>MODEL!DE463/1000</f>
        <v>1177.153</v>
      </c>
      <c r="BZ57" s="1437">
        <f>MODEL!DF463/1000</f>
        <v>1159.6880000000001</v>
      </c>
      <c r="CA57" s="1130"/>
      <c r="CB57" s="1130">
        <f>MODEL!DH463/1000</f>
        <v>1187.9893139768039</v>
      </c>
      <c r="CC57" s="1130">
        <f>MODEL!DI463/1000</f>
        <v>1205.0808315287463</v>
      </c>
      <c r="CD57" s="1437">
        <f>MODEL!DJ463/1000</f>
        <v>1196.5350727527752</v>
      </c>
      <c r="CE57" s="1130"/>
      <c r="CF57" s="1130">
        <f>MODEL!DL463/1000</f>
        <v>1231.5902680448708</v>
      </c>
      <c r="CG57" s="1130">
        <f>MODEL!DM463/1000</f>
        <v>1260.2573178819334</v>
      </c>
      <c r="CH57" s="1437">
        <f>MODEL!DN463/1000</f>
        <v>1245.9237929634021</v>
      </c>
      <c r="CI57" s="1130"/>
      <c r="CJ57" s="1130">
        <f>MODEL!DP463/1000</f>
        <v>1288.197409057967</v>
      </c>
      <c r="CK57" s="1130">
        <f>MODEL!DQ463/1000</f>
        <v>1315.1324538846848</v>
      </c>
      <c r="CL57" s="1130">
        <f>MODEL!DR463/1000</f>
        <v>1301.6649314713259</v>
      </c>
      <c r="CM57" s="1379"/>
      <c r="CN57" s="1385" t="s">
        <v>226</v>
      </c>
      <c r="CO57" s="1343">
        <v>149.95132893177586</v>
      </c>
      <c r="CP57" s="1343">
        <v>144.9426232718443</v>
      </c>
      <c r="CQ57" s="1343">
        <v>144.9426232718443</v>
      </c>
      <c r="CR57" s="1343"/>
      <c r="CS57" s="1343">
        <v>145.25950019952867</v>
      </c>
      <c r="CT57" s="1343">
        <v>136.9718034140119</v>
      </c>
      <c r="CU57" s="1343">
        <v>136.9718034140119</v>
      </c>
      <c r="CV57" s="1343"/>
      <c r="CW57" s="1343">
        <v>137.558684903385</v>
      </c>
      <c r="CX57" s="1343">
        <v>133.54423055806376</v>
      </c>
      <c r="CY57" s="1343">
        <v>133.54423055806376</v>
      </c>
      <c r="CZ57" s="1343"/>
      <c r="DA57" s="1152">
        <f>AB53/AB55*100</f>
        <v>133.9570081094233</v>
      </c>
      <c r="DB57" s="1152">
        <f>AC53/AC55*100</f>
        <v>132.8374968732667</v>
      </c>
      <c r="DC57" s="1152">
        <f>MODEL!BJ457*100</f>
        <v>132.8374968732667</v>
      </c>
      <c r="DD57" s="1152"/>
      <c r="DE57" s="1152">
        <f>MODEL!BL457*100</f>
        <v>132.92949493070412</v>
      </c>
      <c r="DF57" s="1152">
        <f>MODEL!BM457*100</f>
        <v>130.80091112551821</v>
      </c>
      <c r="DG57" s="1152">
        <f>MODEL!BN457*100</f>
        <v>130.80091112551821</v>
      </c>
      <c r="DH57" s="1152"/>
      <c r="DI57" s="1152">
        <f>MODEL!BP457*100</f>
        <v>129.21892679030847</v>
      </c>
      <c r="DJ57" s="1152">
        <f>MODEL!BQ457*100</f>
        <v>129.78933278557901</v>
      </c>
      <c r="DK57" s="1152">
        <f>MODEL!BR457*100</f>
        <v>129.78933278557901</v>
      </c>
      <c r="DL57" s="1152">
        <f>MODEL!BS457*100</f>
        <v>0</v>
      </c>
      <c r="DM57" s="1152">
        <f>MODEL!BT457*100</f>
        <v>127.23295104869973</v>
      </c>
      <c r="DN57" s="1152">
        <f>MODEL!BU457*100</f>
        <v>129.55304146025796</v>
      </c>
      <c r="DO57" s="1152">
        <f>MODEL!BV457*100</f>
        <v>129.55304146025796</v>
      </c>
      <c r="DP57" s="1152">
        <f>MODEL!BW457*100</f>
        <v>0</v>
      </c>
      <c r="DQ57" s="1152">
        <f>MODEL!BX457*100</f>
        <v>124.35469229056405</v>
      </c>
      <c r="DR57" s="1152">
        <f>MODEL!BY457*100</f>
        <v>125.24792361295631</v>
      </c>
      <c r="DS57" s="1152">
        <f>MODEL!BZ457*100</f>
        <v>125.24792361295631</v>
      </c>
      <c r="DT57" s="1152"/>
      <c r="DU57" s="1152"/>
      <c r="DV57" s="1152"/>
      <c r="DW57" s="1152">
        <f>MODEL!CD457*100</f>
        <v>125.16138316681058</v>
      </c>
      <c r="DX57" s="1152"/>
      <c r="DY57" s="1152"/>
      <c r="DZ57" s="1152"/>
      <c r="EA57" s="1152">
        <f>MODEL!CH457*100</f>
        <v>121.0032187268538</v>
      </c>
      <c r="EB57" s="1152"/>
      <c r="EC57" s="1152"/>
      <c r="ED57" s="1152"/>
      <c r="EE57" s="1152">
        <f>MODEL!CL457*100</f>
        <v>112.70378356262097</v>
      </c>
      <c r="EF57" s="1152"/>
      <c r="EG57" s="1152"/>
      <c r="EH57" s="1152"/>
      <c r="EI57" s="1451">
        <f>MODEL!CP457*100</f>
        <v>106.84252554828144</v>
      </c>
      <c r="EJ57" s="1152"/>
      <c r="EK57" s="1152"/>
      <c r="EL57" s="1152"/>
      <c r="EM57" s="1451">
        <f>MODEL!CT457*100</f>
        <v>109.03840884547813</v>
      </c>
      <c r="EN57" s="1152"/>
      <c r="EO57" s="1152"/>
      <c r="EP57" s="1152"/>
      <c r="EQ57" s="1451">
        <f>MODEL!CX457*100</f>
        <v>109.88782588673797</v>
      </c>
      <c r="ER57" s="1152"/>
      <c r="ES57" s="1152"/>
      <c r="ET57" s="1152"/>
      <c r="EU57" s="1152">
        <f>MODEL!DB457*100</f>
        <v>112.91381144864943</v>
      </c>
      <c r="EV57" s="1152"/>
      <c r="EW57" s="1152"/>
      <c r="EX57" s="1152"/>
      <c r="EY57" s="1608">
        <f>MODEL!DF457*100</f>
        <v>111.48495368668429</v>
      </c>
      <c r="EZ57" s="1152"/>
      <c r="FA57" s="1152"/>
      <c r="FB57" s="1152"/>
      <c r="FC57" s="1152">
        <f>MODEL!DJ457*100</f>
        <v>112.48260146758946</v>
      </c>
      <c r="FD57" s="1152"/>
      <c r="FE57" s="1152"/>
      <c r="FF57" s="1152"/>
      <c r="FG57" s="1152">
        <f>MODEL!DN457*100</f>
        <v>113.33012330922934</v>
      </c>
      <c r="FH57" s="1152"/>
      <c r="FI57" s="1152"/>
      <c r="FJ57" s="1152"/>
      <c r="FK57" s="1152">
        <f>MODEL!DR457*100</f>
        <v>113.61357002749108</v>
      </c>
      <c r="FL57" s="444"/>
      <c r="FM57" s="454"/>
      <c r="FN57" s="454"/>
      <c r="FO57" s="491"/>
      <c r="FP57" s="491"/>
      <c r="FQ57" s="491"/>
      <c r="FR57" s="491"/>
      <c r="FS57" s="535"/>
      <c r="FT57" s="535"/>
      <c r="FU57" s="535"/>
      <c r="FV57" s="535"/>
      <c r="FW57" s="535"/>
    </row>
    <row r="58" spans="1:179" ht="13.8">
      <c r="A58" s="444"/>
      <c r="B58" s="444"/>
      <c r="C58" s="1465" t="s">
        <v>165</v>
      </c>
      <c r="D58" s="1154"/>
      <c r="E58" s="1154"/>
      <c r="F58" s="1154"/>
      <c r="G58" s="1466"/>
      <c r="H58" s="1154">
        <v>425945</v>
      </c>
      <c r="I58" s="1154">
        <v>445360</v>
      </c>
      <c r="J58" s="1154">
        <v>435651.5</v>
      </c>
      <c r="K58" s="1466"/>
      <c r="L58" s="1154">
        <v>525191</v>
      </c>
      <c r="M58" s="1154">
        <v>486241</v>
      </c>
      <c r="N58" s="1154">
        <v>505663</v>
      </c>
      <c r="O58" s="1466"/>
      <c r="P58" s="1154">
        <v>506011</v>
      </c>
      <c r="Q58" s="1154">
        <v>544623</v>
      </c>
      <c r="R58" s="1154">
        <v>525334</v>
      </c>
      <c r="S58" s="1154"/>
      <c r="T58" s="1154">
        <v>551435</v>
      </c>
      <c r="U58" s="1154">
        <v>576135</v>
      </c>
      <c r="V58" s="1154">
        <v>572303</v>
      </c>
      <c r="W58" s="1154"/>
      <c r="X58" s="1154">
        <v>612280</v>
      </c>
      <c r="Y58" s="1154">
        <v>642259</v>
      </c>
      <c r="Z58" s="1154">
        <v>627270</v>
      </c>
      <c r="AA58" s="1155"/>
      <c r="AB58" s="1130">
        <f>MODEL!BH465/1000</f>
        <v>654.49900000000002</v>
      </c>
      <c r="AC58" s="1130">
        <f>MODEL!BI465/1000</f>
        <v>695.99300000000005</v>
      </c>
      <c r="AD58" s="1130">
        <f>MODEL!BJ465/1000</f>
        <v>675.30399999999997</v>
      </c>
      <c r="AE58" s="1155">
        <f>MODEL!BK465/1000</f>
        <v>0</v>
      </c>
      <c r="AF58" s="1130">
        <f>MODEL!BL465/1000</f>
        <v>734.54300000000001</v>
      </c>
      <c r="AG58" s="1130">
        <f>MODEL!BM465/1000</f>
        <v>764.048</v>
      </c>
      <c r="AH58" s="1437">
        <f>MODEL!BN465/1000</f>
        <v>749.33399999999995</v>
      </c>
      <c r="AI58" s="1155"/>
      <c r="AJ58" s="1130">
        <f>MODEL!BP465/1000</f>
        <v>830.35299999999995</v>
      </c>
      <c r="AK58" s="1130">
        <f>MODEL!BQ465/1000</f>
        <v>871.60500000000002</v>
      </c>
      <c r="AL58" s="1437">
        <f>MODEL!BR465/1000</f>
        <v>851.03599999999994</v>
      </c>
      <c r="AM58" s="1130"/>
      <c r="AN58" s="1130">
        <f>MODEL!BT465/1000</f>
        <v>900.74800000000005</v>
      </c>
      <c r="AO58" s="1130">
        <f>MODEL!BU465/1000</f>
        <v>915.07</v>
      </c>
      <c r="AP58" s="1437">
        <f>MODEL!BV465/1000</f>
        <v>907.90899999999999</v>
      </c>
      <c r="AQ58" s="1155"/>
      <c r="AR58" s="1130">
        <f>MODEL!BX465/1000</f>
        <v>917.89400000000001</v>
      </c>
      <c r="AS58" s="1130">
        <f>MODEL!BY465/1000</f>
        <v>920.26900000000001</v>
      </c>
      <c r="AT58" s="1437">
        <f>MODEL!BZ465/1000</f>
        <v>919.08150000000001</v>
      </c>
      <c r="AU58" s="1467"/>
      <c r="AV58" s="1130">
        <f>MODEL!CB465/1000</f>
        <v>933.995</v>
      </c>
      <c r="AW58" s="1130">
        <f>MODEL!CC465/1000</f>
        <v>954.17700000000002</v>
      </c>
      <c r="AX58" s="1130">
        <f>MODEL!CD465/1000</f>
        <v>944.11300000000006</v>
      </c>
      <c r="AY58" s="1467"/>
      <c r="AZ58" s="1156">
        <f>MODEL!CF465/1000</f>
        <v>974.19100000000003</v>
      </c>
      <c r="BA58" s="1130">
        <f>MODEL!CG465/1000</f>
        <v>987.72900000000004</v>
      </c>
      <c r="BB58" s="1437">
        <f>MODEL!CH465/1000</f>
        <v>980.97900000000004</v>
      </c>
      <c r="BC58" s="1130"/>
      <c r="BD58" s="1130">
        <f>MODEL!CJ465/1000</f>
        <v>1023.194</v>
      </c>
      <c r="BE58" s="1130">
        <f>MODEL!CK465/1000</f>
        <v>1081.954</v>
      </c>
      <c r="BF58" s="1437">
        <f>MODEL!CL465/1000</f>
        <v>1052.5730000000001</v>
      </c>
      <c r="BG58" s="1130"/>
      <c r="BH58" s="1130">
        <f>MODEL!CN465/1000</f>
        <v>1045.568</v>
      </c>
      <c r="BI58" s="1130">
        <f>MODEL!CO465/1000</f>
        <v>1026.7829999999999</v>
      </c>
      <c r="BJ58" s="1437">
        <f>MODEL!CP465/1000</f>
        <v>1036.1489999999999</v>
      </c>
      <c r="BK58" s="1130"/>
      <c r="BL58" s="1130">
        <f>MODEL!CR465/1000</f>
        <v>1009.776</v>
      </c>
      <c r="BM58" s="1130">
        <f>MODEL!CS465/1000</f>
        <v>1062.02</v>
      </c>
      <c r="BN58" s="1437">
        <f>MODEL!CT465/1000</f>
        <v>1035.9690000000001</v>
      </c>
      <c r="BO58" s="1130"/>
      <c r="BP58" s="1130">
        <f>MODEL!CV465/1000</f>
        <v>1112.316</v>
      </c>
      <c r="BQ58" s="1130">
        <f>MODEL!CW465/1000</f>
        <v>1115.33</v>
      </c>
      <c r="BR58" s="1437">
        <f>MODEL!CX465/1000</f>
        <v>1113.828</v>
      </c>
      <c r="BS58" s="1130"/>
      <c r="BT58" s="1130">
        <f>MODEL!CZ465/1000</f>
        <v>1162.9960000000001</v>
      </c>
      <c r="BU58" s="1130">
        <f>MODEL!DA465/1000</f>
        <v>1181.723</v>
      </c>
      <c r="BV58" s="1437">
        <f>MODEL!DB465/1000</f>
        <v>1172.3589999999999</v>
      </c>
      <c r="BW58" s="1130"/>
      <c r="BX58" s="1130">
        <f>MODEL!DD465/1000</f>
        <v>1317.9690000000001</v>
      </c>
      <c r="BY58" s="1130">
        <f>MODEL!DE465/1000</f>
        <v>1349.175</v>
      </c>
      <c r="BZ58" s="1437">
        <f>MODEL!DF465/1000</f>
        <v>1333.615</v>
      </c>
      <c r="CA58" s="1130"/>
      <c r="CB58" s="1130">
        <f ca="1">MODEL!DH465/1000</f>
        <v>1350.7771148708687</v>
      </c>
      <c r="CC58" s="1130">
        <f ca="1">MODEL!DI465/1000</f>
        <v>1369.9021129609109</v>
      </c>
      <c r="CD58" s="1437">
        <f ca="1">MODEL!DJ465/1000</f>
        <v>1360.3396139158897</v>
      </c>
      <c r="CE58" s="1130"/>
      <c r="CF58" s="1130">
        <f ca="1">MODEL!DL465/1000</f>
        <v>1399.9566858106714</v>
      </c>
      <c r="CG58" s="1130">
        <f ca="1">MODEL!DM465/1000</f>
        <v>1432.4225418579003</v>
      </c>
      <c r="CH58" s="1437">
        <f ca="1">MODEL!DN465/1000</f>
        <v>1416.1896138342859</v>
      </c>
      <c r="CI58" s="1130"/>
      <c r="CJ58" s="1130">
        <f ca="1">MODEL!DP465/1000</f>
        <v>1464.0072073784941</v>
      </c>
      <c r="CK58" s="1130">
        <f ca="1">MODEL!DQ465/1000</f>
        <v>1494.4545047941524</v>
      </c>
      <c r="CL58" s="1130">
        <f ca="1">MODEL!DR465/1000</f>
        <v>1479.2308560863235</v>
      </c>
      <c r="CM58" s="1379"/>
      <c r="CN58" s="1463"/>
      <c r="CO58" s="1343"/>
      <c r="CP58" s="1343"/>
      <c r="CQ58" s="1343"/>
      <c r="CR58" s="1343"/>
      <c r="CS58" s="1343"/>
      <c r="CT58" s="1343"/>
      <c r="CU58" s="1343"/>
      <c r="CV58" s="1343"/>
      <c r="CW58" s="1343"/>
      <c r="CX58" s="1343"/>
      <c r="CY58" s="1343"/>
      <c r="CZ58" s="1343"/>
      <c r="DA58" s="1158"/>
      <c r="DB58" s="1158"/>
      <c r="DC58" s="1158"/>
      <c r="DD58" s="1158"/>
      <c r="DE58" s="1158"/>
      <c r="DF58" s="1158"/>
      <c r="DG58" s="1158"/>
      <c r="DH58" s="1158"/>
      <c r="DI58" s="1158"/>
      <c r="DJ58" s="1158"/>
      <c r="DK58" s="1158"/>
      <c r="DL58" s="1158"/>
      <c r="DM58" s="1158"/>
      <c r="DN58" s="1158"/>
      <c r="DO58" s="1158"/>
      <c r="DP58" s="1158"/>
      <c r="DQ58" s="1158"/>
      <c r="DR58" s="1158"/>
      <c r="DS58" s="1158"/>
      <c r="DT58" s="1158"/>
      <c r="DU58" s="1158"/>
      <c r="DV58" s="1158"/>
      <c r="DW58" s="1158"/>
      <c r="DX58" s="1158"/>
      <c r="DY58" s="1158"/>
      <c r="DZ58" s="1158"/>
      <c r="EA58" s="1158"/>
      <c r="EB58" s="1158"/>
      <c r="EC58" s="1158"/>
      <c r="ED58" s="1158"/>
      <c r="EE58" s="1158"/>
      <c r="EF58" s="1158"/>
      <c r="EG58" s="1158"/>
      <c r="EH58" s="1158"/>
      <c r="EI58" s="1464"/>
      <c r="EJ58" s="1158"/>
      <c r="EK58" s="1158"/>
      <c r="EL58" s="1158"/>
      <c r="EM58" s="1464"/>
      <c r="EN58" s="1158"/>
      <c r="EO58" s="1158"/>
      <c r="EP58" s="1158"/>
      <c r="EQ58" s="1464"/>
      <c r="ER58" s="1158"/>
      <c r="ES58" s="1158"/>
      <c r="ET58" s="1158"/>
      <c r="EU58" s="1158"/>
      <c r="EV58" s="1158"/>
      <c r="EW58" s="1158"/>
      <c r="EX58" s="1158"/>
      <c r="EY58" s="1612"/>
      <c r="EZ58" s="1158"/>
      <c r="FA58" s="1158"/>
      <c r="FB58" s="1158"/>
      <c r="FC58" s="1158"/>
      <c r="FD58" s="1158"/>
      <c r="FE58" s="1158"/>
      <c r="FF58" s="1158"/>
      <c r="FG58" s="1158"/>
      <c r="FH58" s="1158"/>
      <c r="FI58" s="1158"/>
      <c r="FJ58" s="1158"/>
      <c r="FK58" s="1158"/>
      <c r="FL58" s="489"/>
      <c r="FM58" s="445"/>
      <c r="FN58" s="445"/>
      <c r="FO58" s="491"/>
      <c r="FP58" s="491"/>
      <c r="FQ58" s="491"/>
      <c r="FR58" s="491"/>
      <c r="FS58" s="491"/>
      <c r="FT58" s="491"/>
      <c r="FU58" s="491"/>
      <c r="FV58" s="491"/>
      <c r="FW58" s="491"/>
    </row>
    <row r="59" spans="1:179" ht="15.6">
      <c r="A59" s="444"/>
      <c r="B59" s="444"/>
      <c r="C59" s="1458" t="s">
        <v>523</v>
      </c>
      <c r="D59" s="1154"/>
      <c r="E59" s="1154"/>
      <c r="F59" s="1154"/>
      <c r="G59" s="1459"/>
      <c r="H59" s="1154">
        <v>21929</v>
      </c>
      <c r="I59" s="1154">
        <v>23364</v>
      </c>
      <c r="J59" s="1154">
        <v>22646.5</v>
      </c>
      <c r="K59" s="1459"/>
      <c r="L59" s="1154">
        <v>26951</v>
      </c>
      <c r="M59" s="1154">
        <v>29425</v>
      </c>
      <c r="N59" s="1154">
        <v>28193</v>
      </c>
      <c r="O59" s="1459"/>
      <c r="P59" s="1154">
        <v>31583</v>
      </c>
      <c r="Q59" s="1154">
        <v>33183</v>
      </c>
      <c r="R59" s="1154">
        <v>32385</v>
      </c>
      <c r="S59" s="1154"/>
      <c r="T59" s="1154">
        <v>33821</v>
      </c>
      <c r="U59" s="1154">
        <v>36164</v>
      </c>
      <c r="V59" s="1154">
        <v>34996</v>
      </c>
      <c r="W59" s="1154"/>
      <c r="X59" s="1154">
        <v>37450</v>
      </c>
      <c r="Y59" s="1154">
        <v>39935</v>
      </c>
      <c r="Z59" s="1154">
        <v>38693</v>
      </c>
      <c r="AA59" s="1155"/>
      <c r="AB59" s="1130">
        <f>MODEL!BH472/1000</f>
        <v>40.878</v>
      </c>
      <c r="AC59" s="1130">
        <f>MODEL!BI472/1000</f>
        <v>43.551000000000002</v>
      </c>
      <c r="AD59" s="1130">
        <f>MODEL!BJ472/1000</f>
        <v>42.218000000000004</v>
      </c>
      <c r="AE59" s="1155">
        <f>MODEL!BK472/1000</f>
        <v>0</v>
      </c>
      <c r="AF59" s="1130">
        <f>MODEL!BL472/1000</f>
        <v>45.308</v>
      </c>
      <c r="AG59" s="1130">
        <f>MODEL!BM472/1000</f>
        <v>46.664000000000001</v>
      </c>
      <c r="AH59" s="1437">
        <f>MODEL!BN472/1000</f>
        <v>45.984999999999999</v>
      </c>
      <c r="AI59" s="1155"/>
      <c r="AJ59" s="1130">
        <f>MODEL!BP472/1000</f>
        <v>50.131</v>
      </c>
      <c r="AK59" s="1130">
        <f>MODEL!BQ472/1000</f>
        <v>52.965000000000003</v>
      </c>
      <c r="AL59" s="1437">
        <f>MODEL!BR472/1000</f>
        <v>51.563000000000002</v>
      </c>
      <c r="AM59" s="1130"/>
      <c r="AN59" s="1130">
        <f>MODEL!BT472/1000</f>
        <v>57.465000000000003</v>
      </c>
      <c r="AO59" s="1130">
        <f>MODEL!BU472/1000</f>
        <v>56.814</v>
      </c>
      <c r="AP59" s="1437">
        <f>MODEL!BV472/1000</f>
        <v>57.140999999999998</v>
      </c>
      <c r="AQ59" s="1155"/>
      <c r="AR59" s="1130">
        <f>MODEL!BX472/1000</f>
        <v>57.798999999999999</v>
      </c>
      <c r="AS59" s="1130">
        <f>MODEL!BY472/1000</f>
        <v>58.725999999999999</v>
      </c>
      <c r="AT59" s="1437">
        <f>MODEL!BZ472/1000</f>
        <v>58.264000000000003</v>
      </c>
      <c r="AU59" s="1467"/>
      <c r="AV59" s="1130">
        <f>MODEL!CB472/1000</f>
        <v>58.999000000000002</v>
      </c>
      <c r="AW59" s="1130">
        <f>MODEL!CC472/1000</f>
        <v>58.999000000000002</v>
      </c>
      <c r="AX59" s="1130">
        <f>MODEL!CD472/1000</f>
        <v>59.125999999999998</v>
      </c>
      <c r="AY59" s="1467"/>
      <c r="AZ59" s="1156">
        <f>MODEL!CF472/1000</f>
        <v>59.195</v>
      </c>
      <c r="BA59" s="1130">
        <f>MODEL!CG472/1000</f>
        <v>59.79</v>
      </c>
      <c r="BB59" s="1437">
        <f>MODEL!CH472/1000</f>
        <v>59.496000000000002</v>
      </c>
      <c r="BC59" s="1130"/>
      <c r="BD59" s="1130">
        <f>MODEL!CJ472/1000</f>
        <v>60.23</v>
      </c>
      <c r="BE59" s="1130">
        <f>MODEL!CK472/1000</f>
        <v>61.146999999999998</v>
      </c>
      <c r="BF59" s="1437">
        <f>MODEL!CL472/1000</f>
        <v>60.688000000000002</v>
      </c>
      <c r="BG59" s="1130"/>
      <c r="BH59" s="1130">
        <f>MODEL!CN472/1000</f>
        <v>61.899000000000001</v>
      </c>
      <c r="BI59" s="1130">
        <f>MODEL!CO472/1000</f>
        <v>62.811</v>
      </c>
      <c r="BJ59" s="1437">
        <f>MODEL!CP472/1000</f>
        <v>62.356000000000002</v>
      </c>
      <c r="BK59" s="1130"/>
      <c r="BL59" s="1130">
        <f>MODEL!CR472/1000</f>
        <v>62.543999999999997</v>
      </c>
      <c r="BM59" s="1130">
        <f>MODEL!CS472/1000</f>
        <v>63.12</v>
      </c>
      <c r="BN59" s="1437">
        <f>MODEL!CT472/1000</f>
        <v>62.832000000000001</v>
      </c>
      <c r="BO59" s="1130"/>
      <c r="BP59" s="1130">
        <f>MODEL!CV472/1000</f>
        <v>67.611000000000004</v>
      </c>
      <c r="BQ59" s="1130">
        <f>MODEL!CW472/1000</f>
        <v>68.695999999999998</v>
      </c>
      <c r="BR59" s="1437">
        <f>MODEL!CX472/1000</f>
        <v>68.153999999999996</v>
      </c>
      <c r="BS59" s="1130"/>
      <c r="BT59" s="1130">
        <f>MODEL!CZ472/1000</f>
        <v>70.882999999999996</v>
      </c>
      <c r="BU59" s="1130">
        <f>MODEL!DA472/1000</f>
        <v>69.706000000000003</v>
      </c>
      <c r="BV59" s="1437">
        <f>MODEL!DB472/1000</f>
        <v>70.293999999999997</v>
      </c>
      <c r="BW59" s="1130"/>
      <c r="BX59" s="1130">
        <f>MODEL!DD472/1000</f>
        <v>71.245999999999995</v>
      </c>
      <c r="BY59" s="1130">
        <f>MODEL!DE472/1000</f>
        <v>73.343999999999994</v>
      </c>
      <c r="BZ59" s="1437">
        <f>MODEL!DF472/1000</f>
        <v>72.298000000000002</v>
      </c>
      <c r="CA59" s="1130"/>
      <c r="CB59" s="1130">
        <f ca="1">MODEL!DH472/1000</f>
        <v>74.130490363234657</v>
      </c>
      <c r="CC59" s="1130">
        <f ca="1">MODEL!DI472/1000</f>
        <v>75.805840163015532</v>
      </c>
      <c r="CD59" s="1437">
        <f ca="1">MODEL!DJ472/1000</f>
        <v>74.968165263124973</v>
      </c>
      <c r="CE59" s="1130"/>
      <c r="CF59" s="1130">
        <f ca="1">MODEL!DL472/1000</f>
        <v>77.162434221146398</v>
      </c>
      <c r="CG59" s="1130">
        <f ca="1">MODEL!DM472/1000</f>
        <v>78.256482459528598</v>
      </c>
      <c r="CH59" s="1437">
        <f ca="1">MODEL!DN472/1000</f>
        <v>77.709458340337505</v>
      </c>
      <c r="CI59" s="1130"/>
      <c r="CJ59" s="1130">
        <f ca="1">MODEL!DP472/1000</f>
        <v>79.115893419602415</v>
      </c>
      <c r="CK59" s="1130">
        <f ca="1">MODEL!DQ472/1000</f>
        <v>80.077861197430877</v>
      </c>
      <c r="CL59" s="1130">
        <f ca="1">MODEL!DR472/1000</f>
        <v>79.596877308516767</v>
      </c>
      <c r="CM59" s="1379"/>
      <c r="CN59" s="1460" t="s">
        <v>326</v>
      </c>
      <c r="CO59" s="1461"/>
      <c r="CP59" s="1461"/>
      <c r="CQ59" s="1461"/>
      <c r="CR59" s="1461"/>
      <c r="CS59" s="1461"/>
      <c r="CT59" s="1461"/>
      <c r="CU59" s="1461"/>
      <c r="CV59" s="1461"/>
      <c r="CW59" s="1461"/>
      <c r="CX59" s="1461"/>
      <c r="CY59" s="1461"/>
      <c r="CZ59" s="1461"/>
      <c r="DA59" s="1157"/>
      <c r="DB59" s="1157"/>
      <c r="DC59" s="1157"/>
      <c r="DD59" s="1157"/>
      <c r="DE59" s="1157"/>
      <c r="DF59" s="1157"/>
      <c r="DG59" s="1157"/>
      <c r="DH59" s="1157"/>
      <c r="DI59" s="1157"/>
      <c r="DJ59" s="1157"/>
      <c r="DK59" s="1157"/>
      <c r="DL59" s="1157"/>
      <c r="DM59" s="1157"/>
      <c r="DN59" s="1157"/>
      <c r="DO59" s="1157"/>
      <c r="DP59" s="1157"/>
      <c r="DQ59" s="1157"/>
      <c r="DR59" s="1157"/>
      <c r="DS59" s="1157"/>
      <c r="DT59" s="1157"/>
      <c r="DU59" s="1157"/>
      <c r="DV59" s="1157"/>
      <c r="DW59" s="1157"/>
      <c r="DX59" s="1157"/>
      <c r="DY59" s="1157"/>
      <c r="DZ59" s="1157"/>
      <c r="EA59" s="1157"/>
      <c r="EB59" s="1157"/>
      <c r="EC59" s="1157"/>
      <c r="ED59" s="1157"/>
      <c r="EE59" s="1157"/>
      <c r="EF59" s="1157"/>
      <c r="EG59" s="1157"/>
      <c r="EH59" s="1157"/>
      <c r="EI59" s="1462"/>
      <c r="EJ59" s="1157"/>
      <c r="EK59" s="1157"/>
      <c r="EL59" s="1157"/>
      <c r="EM59" s="1462"/>
      <c r="EN59" s="1157"/>
      <c r="EO59" s="1157"/>
      <c r="EP59" s="1157"/>
      <c r="EQ59" s="1462"/>
      <c r="ER59" s="1157"/>
      <c r="ES59" s="1157"/>
      <c r="ET59" s="1157"/>
      <c r="EU59" s="1157"/>
      <c r="EV59" s="1157"/>
      <c r="EW59" s="1157"/>
      <c r="EX59" s="1157"/>
      <c r="EY59" s="1611"/>
      <c r="EZ59" s="1157"/>
      <c r="FA59" s="1157"/>
      <c r="FB59" s="1157"/>
      <c r="FC59" s="1157"/>
      <c r="FD59" s="1157"/>
      <c r="FE59" s="1157"/>
      <c r="FF59" s="1157"/>
      <c r="FG59" s="1157"/>
      <c r="FH59" s="1157"/>
      <c r="FI59" s="1157"/>
      <c r="FJ59" s="1157"/>
      <c r="FK59" s="1157"/>
      <c r="FL59" s="444"/>
      <c r="FM59" s="463"/>
      <c r="FN59" s="463"/>
      <c r="FO59" s="492"/>
      <c r="FP59" s="492"/>
      <c r="FQ59" s="492"/>
      <c r="FR59" s="492"/>
      <c r="FS59" s="492"/>
      <c r="FT59" s="492"/>
      <c r="FU59" s="492"/>
      <c r="FV59" s="492"/>
      <c r="FW59" s="492"/>
    </row>
    <row r="60" spans="1:179" ht="15.6">
      <c r="A60" s="444"/>
      <c r="B60" s="444"/>
      <c r="C60" s="1326" t="s">
        <v>1094</v>
      </c>
      <c r="D60" s="1159"/>
      <c r="E60" s="1159"/>
      <c r="F60" s="1159"/>
      <c r="G60" s="1479"/>
      <c r="H60" s="1159"/>
      <c r="I60" s="1159"/>
      <c r="J60" s="1159"/>
      <c r="K60" s="1479"/>
      <c r="L60" s="1159"/>
      <c r="M60" s="1159"/>
      <c r="N60" s="1159"/>
      <c r="O60" s="1479"/>
      <c r="P60" s="1159"/>
      <c r="Q60" s="1159"/>
      <c r="R60" s="1159"/>
      <c r="S60" s="1159"/>
      <c r="T60" s="1159"/>
      <c r="U60" s="1159"/>
      <c r="V60" s="1159"/>
      <c r="W60" s="1159"/>
      <c r="X60" s="1159"/>
      <c r="Y60" s="1159"/>
      <c r="Z60" s="1159"/>
      <c r="AA60" s="1111"/>
      <c r="AB60" s="1111"/>
      <c r="AC60" s="1111"/>
      <c r="AD60" s="1111"/>
      <c r="AE60" s="1111"/>
      <c r="AF60" s="1111"/>
      <c r="AG60" s="1111"/>
      <c r="AH60" s="1405"/>
      <c r="AI60" s="1111"/>
      <c r="AJ60" s="1111"/>
      <c r="AK60" s="1111"/>
      <c r="AL60" s="1405"/>
      <c r="AM60" s="1111"/>
      <c r="AN60" s="1111"/>
      <c r="AO60" s="1111"/>
      <c r="AP60" s="1405"/>
      <c r="AQ60" s="1111"/>
      <c r="AR60" s="1111"/>
      <c r="AS60" s="1111"/>
      <c r="AT60" s="1405"/>
      <c r="AU60" s="1480"/>
      <c r="AV60" s="1111"/>
      <c r="AW60" s="1111"/>
      <c r="AX60" s="1111"/>
      <c r="AY60" s="1480"/>
      <c r="AZ60" s="1160"/>
      <c r="BA60" s="1111"/>
      <c r="BB60" s="1405"/>
      <c r="BC60" s="1111"/>
      <c r="BD60" s="1111"/>
      <c r="BE60" s="1111"/>
      <c r="BF60" s="1405"/>
      <c r="BG60" s="1111"/>
      <c r="BH60" s="1111"/>
      <c r="BI60" s="1111"/>
      <c r="BJ60" s="1405"/>
      <c r="BK60" s="1111"/>
      <c r="BL60" s="1111"/>
      <c r="BM60" s="1111"/>
      <c r="BN60" s="1405"/>
      <c r="BO60" s="1111"/>
      <c r="BP60" s="1111"/>
      <c r="BQ60" s="1111"/>
      <c r="BR60" s="1405"/>
      <c r="BS60" s="1111"/>
      <c r="BT60" s="1111"/>
      <c r="BU60" s="1111"/>
      <c r="BV60" s="1405"/>
      <c r="BW60" s="1111"/>
      <c r="BX60" s="1111"/>
      <c r="BY60" s="1111"/>
      <c r="BZ60" s="1405"/>
      <c r="CA60" s="1111"/>
      <c r="CB60" s="1111"/>
      <c r="CC60" s="1111"/>
      <c r="CD60" s="1405"/>
      <c r="CE60" s="1111"/>
      <c r="CF60" s="1111"/>
      <c r="CG60" s="1111"/>
      <c r="CH60" s="1405"/>
      <c r="CI60" s="1111"/>
      <c r="CJ60" s="1111"/>
      <c r="CK60" s="1111"/>
      <c r="CL60" s="1111"/>
      <c r="CM60" s="1481"/>
      <c r="CN60" s="1163"/>
      <c r="CO60" s="1343"/>
      <c r="CP60" s="1343"/>
      <c r="CQ60" s="1343"/>
      <c r="CR60" s="1343"/>
      <c r="CS60" s="1343"/>
      <c r="CT60" s="1343"/>
      <c r="CU60" s="1343"/>
      <c r="CV60" s="1343"/>
      <c r="CW60" s="1343"/>
      <c r="CX60" s="1343"/>
      <c r="CY60" s="1343"/>
      <c r="CZ60" s="1343"/>
      <c r="DA60" s="1164"/>
      <c r="DB60" s="1164"/>
      <c r="DC60" s="1165"/>
      <c r="DD60" s="1164"/>
      <c r="DE60" s="1164"/>
      <c r="DF60" s="1164"/>
      <c r="DG60" s="1165"/>
      <c r="DH60" s="1164"/>
      <c r="DI60" s="1164"/>
      <c r="DJ60" s="1164"/>
      <c r="DK60" s="1165"/>
      <c r="DL60" s="1164"/>
      <c r="DM60" s="1164"/>
      <c r="DN60" s="1164"/>
      <c r="DO60" s="1165"/>
      <c r="DP60" s="1165"/>
      <c r="DQ60" s="1165"/>
      <c r="DR60" s="1165"/>
      <c r="DS60" s="1165"/>
      <c r="DT60" s="1165"/>
      <c r="DU60" s="1165"/>
      <c r="DV60" s="1165"/>
      <c r="DW60" s="1165"/>
      <c r="DX60" s="1165"/>
      <c r="DY60" s="1165"/>
      <c r="DZ60" s="1165"/>
      <c r="EA60" s="1165"/>
      <c r="EB60" s="1165"/>
      <c r="EC60" s="1165"/>
      <c r="ED60" s="1165"/>
      <c r="EE60" s="1165"/>
      <c r="EF60" s="1165"/>
      <c r="EG60" s="1165"/>
      <c r="EH60" s="1165"/>
      <c r="EI60" s="1478"/>
      <c r="EJ60" s="1165"/>
      <c r="EK60" s="1165"/>
      <c r="EL60" s="1165"/>
      <c r="EM60" s="1478"/>
      <c r="EN60" s="1165"/>
      <c r="EO60" s="1165"/>
      <c r="EP60" s="1165"/>
      <c r="EQ60" s="1478"/>
      <c r="ER60" s="1165"/>
      <c r="ES60" s="1165"/>
      <c r="ET60" s="1165"/>
      <c r="EU60" s="1165"/>
      <c r="EV60" s="1165"/>
      <c r="EW60" s="1165"/>
      <c r="EX60" s="1165"/>
      <c r="EY60" s="1613"/>
      <c r="EZ60" s="1165"/>
      <c r="FA60" s="1165"/>
      <c r="FB60" s="1165"/>
      <c r="FC60" s="1165"/>
      <c r="FD60" s="1165"/>
      <c r="FE60" s="1165"/>
      <c r="FF60" s="1165"/>
      <c r="FG60" s="1165"/>
      <c r="FH60" s="1165"/>
      <c r="FI60" s="1165"/>
      <c r="FJ60" s="1165"/>
      <c r="FK60" s="1165"/>
      <c r="FL60" s="444"/>
      <c r="FM60" s="445"/>
      <c r="FN60" s="445"/>
      <c r="FO60" s="491"/>
      <c r="FP60" s="491"/>
      <c r="FQ60" s="491"/>
      <c r="FR60" s="491"/>
      <c r="FS60" s="491"/>
      <c r="FT60" s="491"/>
      <c r="FU60" s="491"/>
      <c r="FV60" s="491"/>
      <c r="FW60" s="491"/>
    </row>
    <row r="61" spans="1:179" ht="13.8">
      <c r="A61" s="444"/>
      <c r="B61" s="444"/>
      <c r="C61" s="1483" t="s">
        <v>297</v>
      </c>
      <c r="D61" s="1351"/>
      <c r="E61" s="1351"/>
      <c r="F61" s="1351"/>
      <c r="G61" s="1351"/>
      <c r="H61" s="1351"/>
      <c r="I61" s="1351"/>
      <c r="J61" s="1351"/>
      <c r="K61" s="1351"/>
      <c r="L61" s="1351">
        <v>-48.664290369473115</v>
      </c>
      <c r="M61" s="1351">
        <v>52.424455202361273</v>
      </c>
      <c r="N61" s="1351">
        <v>-0.1099214798540471</v>
      </c>
      <c r="O61" s="1351"/>
      <c r="P61" s="1351">
        <v>113.28082104454742</v>
      </c>
      <c r="Q61" s="1351">
        <v>5.2592039141332814</v>
      </c>
      <c r="R61" s="1351">
        <v>33.53496394485154</v>
      </c>
      <c r="S61" s="1351"/>
      <c r="T61" s="1351">
        <v>15.985541266624148</v>
      </c>
      <c r="U61" s="1351">
        <v>-3.2551728432945071</v>
      </c>
      <c r="V61" s="1351">
        <v>4.8691750762641872</v>
      </c>
      <c r="W61" s="1351"/>
      <c r="X61" s="1351">
        <v>-1.7790890824417649</v>
      </c>
      <c r="Y61" s="1351">
        <v>3.4448712143775539</v>
      </c>
      <c r="Z61" s="1351">
        <v>1.7836090713704511</v>
      </c>
      <c r="AA61" s="1161"/>
      <c r="AB61" s="1161">
        <f>(AB45/X45-1)*100</f>
        <v>6.536710181545935</v>
      </c>
      <c r="AC61" s="1161">
        <f>(AC45/Y45-1)*100</f>
        <v>10.172348848698821</v>
      </c>
      <c r="AD61" s="1161">
        <f>(AD45/Z45-1)*100</f>
        <v>8.3835374809393635</v>
      </c>
      <c r="AE61" s="1161"/>
      <c r="AF61" s="1161">
        <f>(AF45/AB45-1)*100</f>
        <v>9.8630900016356549</v>
      </c>
      <c r="AG61" s="1161">
        <f>(AG45/AC45-1)*100</f>
        <v>7.719034519655632</v>
      </c>
      <c r="AH61" s="1484">
        <f>(AH45/AD45-1)*100</f>
        <v>8.5045135824807883</v>
      </c>
      <c r="AI61" s="1161"/>
      <c r="AJ61" s="1161">
        <f>(AJ45/AF45-1)*100</f>
        <v>4.5095855221690684</v>
      </c>
      <c r="AK61" s="1161">
        <f>(AK45/AG45-1)*100</f>
        <v>-5.2975685709134135</v>
      </c>
      <c r="AL61" s="1484">
        <f>(AL45/AH45-1)*100</f>
        <v>-1.4488547248562966</v>
      </c>
      <c r="AM61" s="1161"/>
      <c r="AN61" s="1161">
        <f>(AN45/AJ45-1)*100</f>
        <v>-30.182383779725296</v>
      </c>
      <c r="AO61" s="1161">
        <f>(AO45/AK45-1)*100</f>
        <v>-14.850115913391448</v>
      </c>
      <c r="AP61" s="1484">
        <f>(AP45/AL45-1)*100</f>
        <v>-21.410981477990767</v>
      </c>
      <c r="AQ61" s="1161"/>
      <c r="AR61" s="1161">
        <f>(AR45/AN45-1)*100</f>
        <v>21.428237614488577</v>
      </c>
      <c r="AS61" s="1161">
        <f>(AS45/AO45-1)*100</f>
        <v>10.655418770402569</v>
      </c>
      <c r="AT61" s="1484">
        <f>(AT45/AP45-1)*100</f>
        <v>14.557859269659801</v>
      </c>
      <c r="AU61" s="1485"/>
      <c r="AV61" s="1161">
        <f>(AV45/AR45-1)*100</f>
        <v>2.9788360058456531</v>
      </c>
      <c r="AW61" s="1161">
        <f>(AW45/AS45-1)*100</f>
        <v>-11.424733525322905</v>
      </c>
      <c r="AX61" s="1161">
        <f>(AX45/AT45-1)*100</f>
        <v>-3.8201805835267777</v>
      </c>
      <c r="AY61" s="1485"/>
      <c r="AZ61" s="1162">
        <f>(AZ45/AV45-1)*100</f>
        <v>4.4013573471806566</v>
      </c>
      <c r="BA61" s="1161">
        <f>(BA45/AW45-1)*100</f>
        <v>-1.2423703338273029</v>
      </c>
      <c r="BB61" s="1484">
        <f>(BB45/AX45-1)*100</f>
        <v>1.9680088578044375</v>
      </c>
      <c r="BC61" s="1161"/>
      <c r="BD61" s="1161">
        <f>(BD45/AZ45-1)*100</f>
        <v>-59.917144072697923</v>
      </c>
      <c r="BE61" s="1161">
        <f>(BE45/BA45-1)*100</f>
        <v>-22.958463595061239</v>
      </c>
      <c r="BF61" s="1484">
        <f>(BF45/BB45-1)*100</f>
        <v>-43.286608058696494</v>
      </c>
      <c r="BG61" s="1161"/>
      <c r="BH61" s="1161">
        <f>(BH45/BD45-1)*100</f>
        <v>110.54521896956304</v>
      </c>
      <c r="BI61" s="1161">
        <f>(BI45/BE45-1)*100</f>
        <v>39.80510963360031</v>
      </c>
      <c r="BJ61" s="1484">
        <f>(BJ45/BF45-1)*100</f>
        <v>66.602338843417371</v>
      </c>
      <c r="BK61" s="1161"/>
      <c r="BL61" s="1161">
        <f>(BL45/BH45-1)*100</f>
        <v>4.2342318328274731</v>
      </c>
      <c r="BM61" s="1161">
        <f>(BM45/BI45-1)*100</f>
        <v>5.7209821179871057</v>
      </c>
      <c r="BN61" s="1484">
        <f>(BN45/BJ45-1)*100</f>
        <v>4.6626566168940453</v>
      </c>
      <c r="BO61" s="1161"/>
      <c r="BP61" s="1161">
        <f>(BP45/BL45-1)*100</f>
        <v>17.225861649680319</v>
      </c>
      <c r="BQ61" s="1161">
        <f>(BQ45/BM45-1)*100</f>
        <v>2.8729026384616052</v>
      </c>
      <c r="BR61" s="1484">
        <f>(BR45/BN45-1)*100</f>
        <v>10.686004463857746</v>
      </c>
      <c r="BS61" s="1161"/>
      <c r="BT61" s="1161">
        <f>(BT45/BP45-1)*100</f>
        <v>-4.2427273674312316</v>
      </c>
      <c r="BU61" s="1161">
        <f>(BU45/BQ45-1)*100</f>
        <v>-8.9293675694002044</v>
      </c>
      <c r="BV61" s="1484">
        <f>(BV45/BR45-1)*100</f>
        <v>-6.7057347030601733</v>
      </c>
      <c r="BW61" s="1161"/>
      <c r="BX61" s="1161">
        <f>(BX45/BT45-1)*100</f>
        <v>0.90479486916661411</v>
      </c>
      <c r="BY61" s="1161">
        <f>(BY45/BU45-1)*100</f>
        <v>-28.793386498080643</v>
      </c>
      <c r="BZ61" s="1484">
        <f>(BZ45/BV45-1)*100</f>
        <v>-12.546835968078085</v>
      </c>
      <c r="CA61" s="1161"/>
      <c r="CB61" s="1161">
        <f ca="1">(CB45/BX45-1)*100</f>
        <v>5.4899932973321963</v>
      </c>
      <c r="CC61" s="1161">
        <f ca="1">(CC45/BY45-1)*100</f>
        <v>70.887222310508776</v>
      </c>
      <c r="CD61" s="1484">
        <f ca="1">(CD45/BZ45-1)*100</f>
        <v>29.725600625879011</v>
      </c>
      <c r="CE61" s="1161"/>
      <c r="CF61" s="1161">
        <f ca="1">(CF45/CB45-1)*100</f>
        <v>7.1264327712573294</v>
      </c>
      <c r="CG61" s="1161">
        <f ca="1">(CG45/CC45-1)*100</f>
        <v>4.5524311518910787</v>
      </c>
      <c r="CH61" s="1484">
        <f ca="1">(CH45/CD45-1)*100</f>
        <v>5.8173622520230062</v>
      </c>
      <c r="CI61" s="1161"/>
      <c r="CJ61" s="1161">
        <f ca="1">(CJ45/CF45-1)*100</f>
        <v>5.1018561195934398</v>
      </c>
      <c r="CK61" s="1161">
        <f ca="1">(CK45/CG45-1)*100</f>
        <v>8.8808592740878609</v>
      </c>
      <c r="CL61" s="1161">
        <f ca="1">(CL45/CH45-1)*100</f>
        <v>6.9927579644512239</v>
      </c>
      <c r="CM61" s="1481"/>
      <c r="CN61" s="1399" t="s">
        <v>731</v>
      </c>
      <c r="CO61" s="1343">
        <v>1523</v>
      </c>
      <c r="CP61" s="1343">
        <v>1555</v>
      </c>
      <c r="CQ61" s="1343">
        <v>1555</v>
      </c>
      <c r="CR61" s="1343"/>
      <c r="CS61" s="1343">
        <v>1955</v>
      </c>
      <c r="CT61" s="1343">
        <v>1834</v>
      </c>
      <c r="CU61" s="1343">
        <v>1834</v>
      </c>
      <c r="CV61" s="1343"/>
      <c r="CW61" s="1343">
        <v>1876</v>
      </c>
      <c r="CX61" s="1343">
        <v>1713</v>
      </c>
      <c r="CY61" s="1343">
        <v>1713</v>
      </c>
      <c r="CZ61" s="1343"/>
      <c r="DA61" s="1168">
        <f>MODEL!BH217</f>
        <v>1696</v>
      </c>
      <c r="DB61" s="1168">
        <f>MODEL!BI217</f>
        <v>1818</v>
      </c>
      <c r="DC61" s="1168">
        <f>MODEL!BJ217</f>
        <v>1818</v>
      </c>
      <c r="DD61" s="1168"/>
      <c r="DE61" s="1168">
        <f>MODEL!BL217</f>
        <v>2061</v>
      </c>
      <c r="DF61" s="1168">
        <f>MODEL!BM217</f>
        <v>1982</v>
      </c>
      <c r="DG61" s="1168">
        <f>MODEL!BN217</f>
        <v>1982</v>
      </c>
      <c r="DH61" s="1168"/>
      <c r="DI61" s="1168">
        <f>MODEL!BP217</f>
        <v>2248</v>
      </c>
      <c r="DJ61" s="1168">
        <f>MODEL!BQ217</f>
        <v>2378</v>
      </c>
      <c r="DK61" s="1168">
        <f>MODEL!BR217</f>
        <v>2378</v>
      </c>
      <c r="DL61" s="1168">
        <f>MODEL!BS217</f>
        <v>0</v>
      </c>
      <c r="DM61" s="1168">
        <f>MODEL!BT217</f>
        <v>2573</v>
      </c>
      <c r="DN61" s="1168">
        <f>MODEL!BU217</f>
        <v>2703</v>
      </c>
      <c r="DO61" s="1168">
        <f>MODEL!BV217</f>
        <v>2703</v>
      </c>
      <c r="DP61" s="1168"/>
      <c r="DQ61" s="1168">
        <f>MODEL!BX217</f>
        <v>2771</v>
      </c>
      <c r="DR61" s="1168">
        <f>MODEL!BY217</f>
        <v>2953</v>
      </c>
      <c r="DS61" s="1168">
        <f>MODEL!BZ217</f>
        <v>2953</v>
      </c>
      <c r="DT61" s="1168"/>
      <c r="DU61" s="1168">
        <f>MODEL!CB217</f>
        <v>3038</v>
      </c>
      <c r="DV61" s="1168">
        <f>MODEL!CC217</f>
        <v>2911</v>
      </c>
      <c r="DW61" s="1168">
        <f>MODEL!CD217</f>
        <v>2911</v>
      </c>
      <c r="DX61" s="1168"/>
      <c r="DY61" s="1168"/>
      <c r="DZ61" s="1168"/>
      <c r="EA61" s="1168">
        <f>MODEL!CH217</f>
        <v>3744</v>
      </c>
      <c r="EB61" s="1168"/>
      <c r="EC61" s="1168"/>
      <c r="ED61" s="1168"/>
      <c r="EE61" s="1168">
        <f>MODEL!CL217</f>
        <v>3844</v>
      </c>
      <c r="EF61" s="1168"/>
      <c r="EG61" s="1168"/>
      <c r="EH61" s="1168"/>
      <c r="EI61" s="1482">
        <f>MODEL!CP217</f>
        <v>3065</v>
      </c>
      <c r="EJ61" s="1168"/>
      <c r="EK61" s="1168"/>
      <c r="EL61" s="1168"/>
      <c r="EM61" s="1482">
        <f>MODEL!CT217</f>
        <v>2402</v>
      </c>
      <c r="EN61" s="1168"/>
      <c r="EO61" s="1168"/>
      <c r="EP61" s="1168"/>
      <c r="EQ61" s="1482">
        <f>MODEL!CX217</f>
        <v>2841</v>
      </c>
      <c r="ER61" s="1168"/>
      <c r="ES61" s="1168"/>
      <c r="ET61" s="1168"/>
      <c r="EU61" s="1168">
        <f>MODEL!DB217</f>
        <v>4173</v>
      </c>
      <c r="EV61" s="1168"/>
      <c r="EW61" s="1168"/>
      <c r="EX61" s="1168"/>
      <c r="EY61" s="1614">
        <f>MODEL!DF217</f>
        <v>4449</v>
      </c>
      <c r="EZ61" s="1168"/>
      <c r="FA61" s="1168"/>
      <c r="FB61" s="1168"/>
      <c r="FC61" s="1168">
        <f>MODEL!DJ217</f>
        <v>4234.242730621816</v>
      </c>
      <c r="FD61" s="1168"/>
      <c r="FE61" s="1168"/>
      <c r="FF61" s="1168"/>
      <c r="FG61" s="1168">
        <f>MODEL!DN217</f>
        <v>4792.9308645225328</v>
      </c>
      <c r="FH61" s="1168"/>
      <c r="FI61" s="1168"/>
      <c r="FJ61" s="1168"/>
      <c r="FK61" s="1168">
        <f>MODEL!DR217</f>
        <v>5369.9365194533893</v>
      </c>
      <c r="FL61" s="444"/>
      <c r="FM61" s="445"/>
      <c r="FN61" s="445"/>
      <c r="FO61" s="491"/>
      <c r="FP61" s="491"/>
      <c r="FQ61" s="491"/>
      <c r="FR61" s="491"/>
      <c r="FS61" s="491"/>
      <c r="FT61" s="491"/>
      <c r="FU61" s="491"/>
      <c r="FV61" s="491"/>
      <c r="FW61" s="491"/>
    </row>
    <row r="62" spans="1:179" ht="13.8">
      <c r="A62" s="444"/>
      <c r="B62" s="444"/>
      <c r="C62" s="1487" t="s">
        <v>909</v>
      </c>
      <c r="D62" s="1488"/>
      <c r="E62" s="1488"/>
      <c r="F62" s="1488"/>
      <c r="G62" s="1488"/>
      <c r="H62" s="1488"/>
      <c r="I62" s="1488"/>
      <c r="J62" s="1488"/>
      <c r="K62" s="1488"/>
      <c r="L62" s="1488"/>
      <c r="M62" s="1488"/>
      <c r="N62" s="1488"/>
      <c r="O62" s="1488"/>
      <c r="P62" s="1488"/>
      <c r="Q62" s="1488"/>
      <c r="R62" s="1488"/>
      <c r="S62" s="1488"/>
      <c r="T62" s="1488"/>
      <c r="U62" s="1488"/>
      <c r="V62" s="1488"/>
      <c r="W62" s="1488"/>
      <c r="X62" s="1488"/>
      <c r="Y62" s="1488"/>
      <c r="Z62" s="1488"/>
      <c r="AA62" s="1166"/>
      <c r="AB62" s="1166"/>
      <c r="AC62" s="1166"/>
      <c r="AD62" s="1166"/>
      <c r="AE62" s="1166"/>
      <c r="AF62" s="1166"/>
      <c r="AG62" s="1166"/>
      <c r="AH62" s="1489"/>
      <c r="AI62" s="1166"/>
      <c r="AJ62" s="1166">
        <f>(AJ44/AF44-1)*100</f>
        <v>3.743726884779508</v>
      </c>
      <c r="AK62" s="1166">
        <f>(AK44/AG44-1)*100</f>
        <v>-3.6919785733913524</v>
      </c>
      <c r="AL62" s="1489">
        <f>(AL44/AH44-1)*100</f>
        <v>-4.3087491477034057E-2</v>
      </c>
      <c r="AM62" s="1166"/>
      <c r="AN62" s="1166">
        <f>(AN44/AJ44-1)*100</f>
        <v>-28.269028954765986</v>
      </c>
      <c r="AO62" s="1166">
        <f>(AO44/AK44-1)*100</f>
        <v>-15.815804578296966</v>
      </c>
      <c r="AP62" s="1489">
        <f>(AP44/AL44-1)*100</f>
        <v>-22.175069058718556</v>
      </c>
      <c r="AQ62" s="1166"/>
      <c r="AR62" s="1166">
        <f>(AR44/AN44-1)*100</f>
        <v>21.674450259213085</v>
      </c>
      <c r="AS62" s="1166">
        <f>(AS44/AO44-1)*100</f>
        <v>12.835794616702699</v>
      </c>
      <c r="AT62" s="1489">
        <f>(AT44/AP44-1)*100</f>
        <v>16.999647014510533</v>
      </c>
      <c r="AU62" s="1489"/>
      <c r="AV62" s="1166">
        <f ca="1">(AV44/AR44-1)*100</f>
        <v>-15.710496749006053</v>
      </c>
      <c r="AW62" s="1166">
        <f>(AW44/AS44-1)*100</f>
        <v>-15.600704082075733</v>
      </c>
      <c r="AX62" s="1166">
        <f ca="1">(AX44/AT44-1)*100</f>
        <v>-15.664640102930749</v>
      </c>
      <c r="AY62" s="1489"/>
      <c r="AZ62" s="1167">
        <f ca="1">(AZ44/AV44-1)*100</f>
        <v>25.078974550110765</v>
      </c>
      <c r="BA62" s="1166">
        <f>(BA44/AW44-1)*100</f>
        <v>-7.9381529646900928</v>
      </c>
      <c r="BB62" s="1489">
        <f ca="1">(BB44/AX44-1)*100</f>
        <v>8.379904370376634</v>
      </c>
      <c r="BC62" s="1166"/>
      <c r="BD62" s="1166">
        <f>(BD44/AZ44-1)*100</f>
        <v>-62.000785102365931</v>
      </c>
      <c r="BE62" s="1166">
        <f>(BE44/BA44-1)*100</f>
        <v>-11.770621291191786</v>
      </c>
      <c r="BF62" s="1489">
        <f>(BF44/BB44-1)*100</f>
        <v>-40.338044543088678</v>
      </c>
      <c r="BG62" s="1166"/>
      <c r="BH62" s="1166">
        <f>(BH44/BD44-1)*100</f>
        <v>124.753673853614</v>
      </c>
      <c r="BI62" s="1166">
        <f>(BI44/BE44-1)*100</f>
        <v>36.537667414886911</v>
      </c>
      <c r="BJ62" s="1489">
        <f>(BJ44/BF44-1)*100</f>
        <v>68.421677314184365</v>
      </c>
      <c r="BK62" s="1166"/>
      <c r="BL62" s="1166">
        <f>(BL44/BH44-1)*100</f>
        <v>5.3385933144349806</v>
      </c>
      <c r="BM62" s="1166">
        <f>(BM44/BI44-1)*100</f>
        <v>5.8526694445597771</v>
      </c>
      <c r="BN62" s="1489">
        <f>(BN44/BJ44-1)*100</f>
        <v>5.6020353295436198</v>
      </c>
      <c r="BO62" s="1166"/>
      <c r="BP62" s="1166">
        <f>(BP44/BL44-1)*100</f>
        <v>16.489816081656251</v>
      </c>
      <c r="BQ62" s="1166">
        <f>(BQ44/BM44-1)*100</f>
        <v>0.92991045776014136</v>
      </c>
      <c r="BR62" s="1489">
        <f>(BR44/BN44-1)*100</f>
        <v>8.4166522374906183</v>
      </c>
      <c r="BS62" s="1166"/>
      <c r="BT62" s="1166">
        <f>(BT44/BP44-1)*100</f>
        <v>-7.4568061509552086</v>
      </c>
      <c r="BU62" s="1166">
        <f>(BU44/BQ44-1)*100</f>
        <v>-11.328724858120543</v>
      </c>
      <c r="BV62" s="1489">
        <f>(BV44/BR44-1)*100</f>
        <v>-9.3172998169732892</v>
      </c>
      <c r="BW62" s="1166"/>
      <c r="BX62" s="1166">
        <f>(BX44/BT44-1)*100</f>
        <v>1.4441727302186846</v>
      </c>
      <c r="BY62" s="1166">
        <f>(BY44/BU44-1)*100</f>
        <v>-29.544025978704948</v>
      </c>
      <c r="BZ62" s="1489">
        <f>(BZ44/BV44-1)*100</f>
        <v>-13.201086403276319</v>
      </c>
      <c r="CA62" s="1166"/>
      <c r="CB62" s="1166">
        <f ca="1">(CB44/BX44-1)*100</f>
        <v>3.1273604010042977</v>
      </c>
      <c r="CC62" s="1166">
        <f ca="1">(CC44/BY44-1)*100</f>
        <v>70.882894193580739</v>
      </c>
      <c r="CD62" s="1489">
        <f ca="1">(CD44/BZ44-1)*100</f>
        <v>29.11086536540224</v>
      </c>
      <c r="CE62" s="1166"/>
      <c r="CF62" s="1166">
        <f ca="1">(CF44/CB44-1)*100</f>
        <v>7.1253003416553717</v>
      </c>
      <c r="CG62" s="1166">
        <f ca="1">(CG44/CC44-1)*100</f>
        <v>4.5528862840108486</v>
      </c>
      <c r="CH62" s="1489">
        <f ca="1">(CH44/CD44-1)*100</f>
        <v>5.8170339670702509</v>
      </c>
      <c r="CI62" s="1166"/>
      <c r="CJ62" s="1166">
        <f ca="1">(CJ44/CF44-1)*100</f>
        <v>5.1034413518931565</v>
      </c>
      <c r="CK62" s="1166">
        <f ca="1">(CK44/CG44-1)*100</f>
        <v>8.8830435072889244</v>
      </c>
      <c r="CL62" s="1166">
        <f ca="1">(CL44/CH44-1)*100</f>
        <v>6.9946373118510374</v>
      </c>
      <c r="CM62" s="1481"/>
      <c r="CN62" s="1399" t="s">
        <v>227</v>
      </c>
      <c r="CO62" s="1343">
        <v>0.44558873008674788</v>
      </c>
      <c r="CP62" s="1343">
        <v>0.43364650698435808</v>
      </c>
      <c r="CQ62" s="1343">
        <v>0.43364650698435808</v>
      </c>
      <c r="CR62" s="1343"/>
      <c r="CS62" s="1343">
        <v>0.50743634334362908</v>
      </c>
      <c r="CT62" s="1343">
        <v>0.45531620146128199</v>
      </c>
      <c r="CU62" s="1343">
        <v>0.45531620146128199</v>
      </c>
      <c r="CV62" s="1343"/>
      <c r="CW62" s="1343">
        <v>0.44853985453536915</v>
      </c>
      <c r="CX62" s="1343">
        <v>0.39692654194259969</v>
      </c>
      <c r="CY62" s="1343">
        <v>0.39692654194259969</v>
      </c>
      <c r="CZ62" s="1343"/>
      <c r="DA62" s="1171">
        <f>MODEL!BH223*100</f>
        <v>0.36892422479144688</v>
      </c>
      <c r="DB62" s="1171">
        <f>MODEL!BI223*100</f>
        <v>0.37210558956630663</v>
      </c>
      <c r="DC62" s="1171">
        <f>MODEL!BJ223*100</f>
        <v>0.37210558956630663</v>
      </c>
      <c r="DD62" s="1171"/>
      <c r="DE62" s="1171">
        <f>MODEL!BL223*100</f>
        <v>0.40059476952680839</v>
      </c>
      <c r="DF62" s="1171">
        <f>MODEL!BM223*100</f>
        <v>0.376393196056797</v>
      </c>
      <c r="DG62" s="1171">
        <f>MODEL!BN223*100</f>
        <v>0.376393196056797</v>
      </c>
      <c r="DH62" s="1171"/>
      <c r="DI62" s="1171">
        <f>MODEL!BP223*100</f>
        <v>0.39926540848332426</v>
      </c>
      <c r="DJ62" s="1171">
        <f>MODEL!BQ223*100</f>
        <v>0.41356953289947379</v>
      </c>
      <c r="DK62" s="1171">
        <f>MODEL!BR223*100</f>
        <v>0.41356953289947379</v>
      </c>
      <c r="DL62" s="1171">
        <f>MODEL!BS223*100</f>
        <v>0</v>
      </c>
      <c r="DM62" s="1171">
        <f>MODEL!BT223*100</f>
        <v>0.45422127443226751</v>
      </c>
      <c r="DN62" s="1171">
        <f>MODEL!BU223*100</f>
        <v>0.46556971574927786</v>
      </c>
      <c r="DO62" s="1171">
        <f>MODEL!BV223*100</f>
        <v>0.46556971574927786</v>
      </c>
      <c r="DP62" s="1171"/>
      <c r="DQ62" s="1171">
        <f>MODEL!BX223*100</f>
        <v>0.47708740806038402</v>
      </c>
      <c r="DR62" s="1171">
        <f>MODEL!BY223*100</f>
        <v>0.50521640644514476</v>
      </c>
      <c r="DS62" s="1171">
        <f>MODEL!BZ223*100</f>
        <v>0.50521640644514476</v>
      </c>
      <c r="DT62" s="1171"/>
      <c r="DU62" s="1171">
        <f>MODEL!CB223*100</f>
        <v>0.50974608336143812</v>
      </c>
      <c r="DV62" s="1171">
        <f>MODEL!CC223*100</f>
        <v>0.47814589116473122</v>
      </c>
      <c r="DW62" s="1171">
        <f>MODEL!CD223*100</f>
        <v>0.47814589116473122</v>
      </c>
      <c r="DX62" s="1171"/>
      <c r="DY62" s="1171"/>
      <c r="DZ62" s="1171"/>
      <c r="EA62" s="1171">
        <f>MODEL!CH223*100</f>
        <v>0.60468534235623783</v>
      </c>
      <c r="EB62" s="1171"/>
      <c r="EC62" s="1171"/>
      <c r="ED62" s="1171"/>
      <c r="EE62" s="1171">
        <f>MODEL!CL223*100</f>
        <v>0.6174763145466754</v>
      </c>
      <c r="EF62" s="1171"/>
      <c r="EG62" s="1171"/>
      <c r="EH62" s="1171"/>
      <c r="EI62" s="1486">
        <f>MODEL!CP223*100</f>
        <v>0.48328755372927695</v>
      </c>
      <c r="EJ62" s="1171"/>
      <c r="EK62" s="1171"/>
      <c r="EL62" s="1171"/>
      <c r="EM62" s="1486">
        <f>MODEL!CT223*100</f>
        <v>0.35505914942491357</v>
      </c>
      <c r="EN62" s="1171"/>
      <c r="EO62" s="1171"/>
      <c r="EP62" s="1171"/>
      <c r="EQ62" s="1486">
        <f>MODEL!CX223*100</f>
        <v>0.39951905836690782</v>
      </c>
      <c r="ER62" s="1171"/>
      <c r="ES62" s="1171"/>
      <c r="ET62" s="1171"/>
      <c r="EU62" s="1171">
        <f>MODEL!DB223*100</f>
        <v>0.51673411163339</v>
      </c>
      <c r="EV62" s="1171"/>
      <c r="EW62" s="1171"/>
      <c r="EX62" s="1171"/>
      <c r="EY62" s="1615">
        <f>MODEL!DF223*100</f>
        <v>0.53347178738829049</v>
      </c>
      <c r="EZ62" s="1171"/>
      <c r="FA62" s="1171"/>
      <c r="FB62" s="1171"/>
      <c r="FC62" s="1171">
        <f>MODEL!DJ223*100</f>
        <v>0.49347178738829051</v>
      </c>
      <c r="FD62" s="1171"/>
      <c r="FE62" s="1171"/>
      <c r="FF62" s="1171"/>
      <c r="FG62" s="1171">
        <f>MODEL!DN223*100</f>
        <v>0.53347178738829049</v>
      </c>
      <c r="FH62" s="1171"/>
      <c r="FI62" s="1171"/>
      <c r="FJ62" s="1171"/>
      <c r="FK62" s="1171">
        <f>MODEL!DR223*100</f>
        <v>0.57347178738829041</v>
      </c>
      <c r="FL62" s="444"/>
      <c r="FM62" s="445"/>
      <c r="FN62" s="445"/>
      <c r="FO62" s="491"/>
      <c r="FP62" s="491"/>
      <c r="FQ62" s="491"/>
      <c r="FR62" s="491"/>
      <c r="FS62" s="491"/>
      <c r="FT62" s="491"/>
      <c r="FU62" s="491"/>
      <c r="FV62" s="491"/>
      <c r="FW62" s="491"/>
    </row>
    <row r="63" spans="1:179" ht="13.8">
      <c r="A63" s="444"/>
      <c r="B63" s="444"/>
      <c r="C63" s="1491" t="s">
        <v>365</v>
      </c>
      <c r="D63" s="1351"/>
      <c r="E63" s="1351"/>
      <c r="F63" s="1351"/>
      <c r="G63" s="1351"/>
      <c r="H63" s="1351"/>
      <c r="I63" s="1351"/>
      <c r="J63" s="1351"/>
      <c r="K63" s="1351"/>
      <c r="L63" s="1351">
        <v>-25.806451612903224</v>
      </c>
      <c r="M63" s="1351">
        <v>-24.324324324324319</v>
      </c>
      <c r="N63" s="1351">
        <v>-25</v>
      </c>
      <c r="O63" s="1351"/>
      <c r="P63" s="1351">
        <v>13.043478260869556</v>
      </c>
      <c r="Q63" s="1351">
        <v>32.142857142857139</v>
      </c>
      <c r="R63" s="1351">
        <v>23.529411764705888</v>
      </c>
      <c r="S63" s="1351"/>
      <c r="T63" s="1351">
        <v>23.076923076923084</v>
      </c>
      <c r="U63" s="1351">
        <v>2.7027027027026973</v>
      </c>
      <c r="V63" s="1351">
        <v>11.111111111111116</v>
      </c>
      <c r="W63" s="1351"/>
      <c r="X63" s="1351">
        <v>3.125</v>
      </c>
      <c r="Y63" s="1351">
        <v>3.9473684210526327</v>
      </c>
      <c r="Z63" s="1351">
        <v>3.5714285714285809</v>
      </c>
      <c r="AA63" s="1169"/>
      <c r="AB63" s="1169">
        <f>(AB47/X47-1)*100</f>
        <v>10.606060606060597</v>
      </c>
      <c r="AC63" s="1169">
        <f>(AC47/Y47-1)*100</f>
        <v>15.189873417721511</v>
      </c>
      <c r="AD63" s="1169">
        <f>(AD47/Z47-1)*100</f>
        <v>13.103448275862073</v>
      </c>
      <c r="AE63" s="1169"/>
      <c r="AF63" s="1169">
        <f>(AF47/AB47-1)*100</f>
        <v>13.698630136986312</v>
      </c>
      <c r="AG63" s="1169">
        <f>(AG47/AC47-1)*100</f>
        <v>4.3956043956044022</v>
      </c>
      <c r="AH63" s="1492">
        <f>(AH47/AD47-1)*100</f>
        <v>8.5365853658536661</v>
      </c>
      <c r="AI63" s="1169"/>
      <c r="AJ63" s="1169">
        <f>(AJ47/AF47-1)*100</f>
        <v>3.6144578313253017</v>
      </c>
      <c r="AK63" s="1169">
        <f>(AK47/AG47-1)*100</f>
        <v>0</v>
      </c>
      <c r="AL63" s="1492">
        <f>(AL47/AH47-1)*100</f>
        <v>1.6853932584269593</v>
      </c>
      <c r="AM63" s="1169"/>
      <c r="AN63" s="1169">
        <f>(AN47/AJ47-1)*100</f>
        <v>-6.9767441860465134</v>
      </c>
      <c r="AO63" s="1169">
        <f>(AO47/AK47-1)*100</f>
        <v>-15.789473684210531</v>
      </c>
      <c r="AP63" s="1492">
        <f>(AP47/AL47-1)*100</f>
        <v>-11.602209944751385</v>
      </c>
      <c r="AQ63" s="1169"/>
      <c r="AR63" s="1169">
        <f>(AR47/AN47-1)*100</f>
        <v>0</v>
      </c>
      <c r="AS63" s="1169">
        <f>(AS47/AO47-1)*100</f>
        <v>0</v>
      </c>
      <c r="AT63" s="1492">
        <f>(AT47/AP47-1)*100</f>
        <v>0</v>
      </c>
      <c r="AU63" s="1485"/>
      <c r="AV63" s="1169">
        <f>(AV47/AR47-1)*100</f>
        <v>0</v>
      </c>
      <c r="AW63" s="1169">
        <f>(AW47/AS47-1)*100</f>
        <v>0</v>
      </c>
      <c r="AX63" s="1169">
        <f>(AX47/AT47-1)*100</f>
        <v>0</v>
      </c>
      <c r="AY63" s="1485"/>
      <c r="AZ63" s="1170">
        <f>(AZ47/AV47-1)*100</f>
        <v>0</v>
      </c>
      <c r="BA63" s="1169">
        <f>(BA47/AW47-1)*100</f>
        <v>0</v>
      </c>
      <c r="BB63" s="1492">
        <f>(BB47/AX47-1)*100</f>
        <v>0</v>
      </c>
      <c r="BC63" s="1169"/>
      <c r="BD63" s="1169">
        <f>(BD47/AZ47-1)*100</f>
        <v>-68.75</v>
      </c>
      <c r="BE63" s="1169">
        <f>(BE47/BA47-1)*100</f>
        <v>-56.25</v>
      </c>
      <c r="BF63" s="1492">
        <f>(BF47/BB47-1)*100</f>
        <v>-62.5</v>
      </c>
      <c r="BG63" s="1169"/>
      <c r="BH63" s="1169">
        <f>(BH47/BD47-1)*100</f>
        <v>179.99999999999997</v>
      </c>
      <c r="BI63" s="1169">
        <f>(BI47/BE47-1)*100</f>
        <v>105.71428571428569</v>
      </c>
      <c r="BJ63" s="1492">
        <f>(BJ47/BF47-1)*100</f>
        <v>136.66666666666666</v>
      </c>
      <c r="BK63" s="1169"/>
      <c r="BL63" s="1169">
        <f>(BL47/BH47-1)*100</f>
        <v>2.857142857142847</v>
      </c>
      <c r="BM63" s="1169">
        <f>(BM47/BI47-1)*100</f>
        <v>2.7777777777777679</v>
      </c>
      <c r="BN63" s="1492">
        <f>(BN47/BJ47-1)*100</f>
        <v>2.8169014084507005</v>
      </c>
      <c r="BO63" s="1169"/>
      <c r="BP63" s="1169">
        <f>(BP47/BL47-1)*100</f>
        <v>12.5</v>
      </c>
      <c r="BQ63" s="1169">
        <f>(BQ47/BM47-1)*100</f>
        <v>9.4594594594594525</v>
      </c>
      <c r="BR63" s="1492">
        <f>(BR47/BN47-1)*100</f>
        <v>10.95890410958904</v>
      </c>
      <c r="BS63" s="1169"/>
      <c r="BT63" s="1169">
        <f>(BT47/BP47-1)*100</f>
        <v>2.4691358024691468</v>
      </c>
      <c r="BU63" s="1169">
        <f>(BU47/BQ47-1)*100</f>
        <v>2.4691358024691468</v>
      </c>
      <c r="BV63" s="1492">
        <f>(BV47/BR47-1)*100</f>
        <v>2.4691358024691468</v>
      </c>
      <c r="BW63" s="1169"/>
      <c r="BX63" s="1169">
        <f>(BX47/BT47-1)*100</f>
        <v>0</v>
      </c>
      <c r="BY63" s="1169">
        <f>(BY47/BU47-1)*100</f>
        <v>0</v>
      </c>
      <c r="BZ63" s="1492">
        <f>(BZ47/BV47-1)*100</f>
        <v>0</v>
      </c>
      <c r="CA63" s="1169"/>
      <c r="CB63" s="1169">
        <f ca="1">(CB47/BX47-1)*100</f>
        <v>2.4096385542168752</v>
      </c>
      <c r="CC63" s="1169">
        <f ca="1">(CC47/BY47-1)*100</f>
        <v>4.8192771084337283</v>
      </c>
      <c r="CD63" s="1492">
        <f ca="1">(CD47/BZ47-1)*100</f>
        <v>3.6144578313253017</v>
      </c>
      <c r="CE63" s="1169"/>
      <c r="CF63" s="1169">
        <f ca="1">(CF47/CB47-1)*100</f>
        <v>5.8823529411764719</v>
      </c>
      <c r="CG63" s="1169">
        <f ca="1">(CG47/CC47-1)*100</f>
        <v>5.7471264367816133</v>
      </c>
      <c r="CH63" s="1492">
        <f ca="1">(CH47/CD47-1)*100</f>
        <v>5.8139534883721034</v>
      </c>
      <c r="CI63" s="1169"/>
      <c r="CJ63" s="1169">
        <f ca="1">(CJ47/CF47-1)*100</f>
        <v>4.4444444444444509</v>
      </c>
      <c r="CK63" s="1169">
        <f ca="1">(CK47/CG47-1)*100</f>
        <v>4.3478260869565188</v>
      </c>
      <c r="CL63" s="1169">
        <f ca="1">(CL47/CH47-1)*100</f>
        <v>4.3956043956044022</v>
      </c>
      <c r="CM63" s="1481"/>
      <c r="CN63" s="1448" t="s">
        <v>228</v>
      </c>
      <c r="CO63" s="1343">
        <v>6561</v>
      </c>
      <c r="CP63" s="1343">
        <v>6561</v>
      </c>
      <c r="CQ63" s="1343">
        <v>6561</v>
      </c>
      <c r="CR63" s="1343"/>
      <c r="CS63" s="1343">
        <v>6221</v>
      </c>
      <c r="CT63" s="1343">
        <v>5581</v>
      </c>
      <c r="CU63" s="1343">
        <v>5581</v>
      </c>
      <c r="CV63" s="1343"/>
      <c r="CW63" s="1343">
        <v>5343</v>
      </c>
      <c r="CX63" s="1343">
        <v>5196</v>
      </c>
      <c r="CY63" s="1343">
        <v>5196</v>
      </c>
      <c r="CZ63" s="1343"/>
      <c r="DA63" s="1174">
        <f>MODEL!BH218</f>
        <v>4685</v>
      </c>
      <c r="DB63" s="1174">
        <f>MODEL!BI218</f>
        <v>4264</v>
      </c>
      <c r="DC63" s="1174">
        <f>MODEL!BJ218</f>
        <v>4264</v>
      </c>
      <c r="DD63" s="1174"/>
      <c r="DE63" s="1174">
        <f>MODEL!BL218</f>
        <v>3620</v>
      </c>
      <c r="DF63" s="1174">
        <f>MODEL!BM218</f>
        <v>2889</v>
      </c>
      <c r="DG63" s="1174">
        <f>MODEL!BN218</f>
        <v>2889</v>
      </c>
      <c r="DH63" s="1174"/>
      <c r="DI63" s="1174">
        <f>MODEL!BP218</f>
        <v>2708</v>
      </c>
      <c r="DJ63" s="1174">
        <f>MODEL!BQ218</f>
        <v>2719</v>
      </c>
      <c r="DK63" s="1174">
        <f>MODEL!BR218</f>
        <v>2719</v>
      </c>
      <c r="DL63" s="1174">
        <f>MODEL!BS218</f>
        <v>0</v>
      </c>
      <c r="DM63" s="1174">
        <f>MODEL!BT218</f>
        <v>2883</v>
      </c>
      <c r="DN63" s="1174">
        <f>MODEL!BU218</f>
        <v>3173</v>
      </c>
      <c r="DO63" s="1174">
        <f>MODEL!BV218</f>
        <v>3173</v>
      </c>
      <c r="DP63" s="1174"/>
      <c r="DQ63" s="1174">
        <f>MODEL!BX218</f>
        <v>2940</v>
      </c>
      <c r="DR63" s="1174">
        <f>MODEL!BY218</f>
        <v>2384</v>
      </c>
      <c r="DS63" s="1174">
        <f>MODEL!BZ218</f>
        <v>2384</v>
      </c>
      <c r="DT63" s="1174"/>
      <c r="DU63" s="1174">
        <f>MODEL!CB218</f>
        <v>2034</v>
      </c>
      <c r="DV63" s="1174">
        <f>MODEL!CC218</f>
        <v>2139</v>
      </c>
      <c r="DW63" s="1174">
        <f>MODEL!CD218</f>
        <v>2139</v>
      </c>
      <c r="DX63" s="1174"/>
      <c r="DY63" s="1174"/>
      <c r="DZ63" s="1174"/>
      <c r="EA63" s="1174">
        <f>MODEL!CH218</f>
        <v>2029</v>
      </c>
      <c r="EB63" s="1174"/>
      <c r="EC63" s="1174"/>
      <c r="ED63" s="1174"/>
      <c r="EE63" s="1174">
        <f>MODEL!CL218</f>
        <v>2459</v>
      </c>
      <c r="EF63" s="1174"/>
      <c r="EG63" s="1174"/>
      <c r="EH63" s="1174"/>
      <c r="EI63" s="1490">
        <f>MODEL!CP218</f>
        <v>1965</v>
      </c>
      <c r="EJ63" s="1174"/>
      <c r="EK63" s="1174"/>
      <c r="EL63" s="1174"/>
      <c r="EM63" s="1490">
        <f>MODEL!CT218</f>
        <v>1445</v>
      </c>
      <c r="EN63" s="1174"/>
      <c r="EO63" s="1174"/>
      <c r="EP63" s="1174"/>
      <c r="EQ63" s="1490">
        <f>MODEL!CX218</f>
        <v>1521</v>
      </c>
      <c r="ER63" s="1174"/>
      <c r="ES63" s="1174"/>
      <c r="ET63" s="1174"/>
      <c r="EU63" s="1174">
        <f>MODEL!DB218</f>
        <v>1693</v>
      </c>
      <c r="EV63" s="1174"/>
      <c r="EW63" s="1174"/>
      <c r="EX63" s="1174"/>
      <c r="EY63" s="1616">
        <f>MODEL!DF218</f>
        <v>2538</v>
      </c>
      <c r="EZ63" s="1174"/>
      <c r="FA63" s="1174"/>
      <c r="FB63" s="1174"/>
      <c r="FC63" s="1174">
        <f>MODEL!DJ218</f>
        <v>2782.8942259816849</v>
      </c>
      <c r="FD63" s="1174"/>
      <c r="FE63" s="1174"/>
      <c r="FF63" s="1174"/>
      <c r="FG63" s="1174">
        <f>MODEL!DN218</f>
        <v>3093.5771347639638</v>
      </c>
      <c r="FH63" s="1174"/>
      <c r="FI63" s="1174"/>
      <c r="FJ63" s="1174"/>
      <c r="FK63" s="1174">
        <f>MODEL!DR218</f>
        <v>3411.5253747974084</v>
      </c>
      <c r="FL63" s="444"/>
      <c r="FM63" s="445"/>
      <c r="FN63" s="445"/>
      <c r="FO63" s="491"/>
      <c r="FP63" s="491"/>
      <c r="FQ63" s="491"/>
      <c r="FR63" s="491"/>
      <c r="FS63" s="491"/>
      <c r="FT63" s="491"/>
      <c r="FU63" s="491"/>
      <c r="FV63" s="491"/>
      <c r="FW63" s="491"/>
    </row>
    <row r="64" spans="1:179" ht="13.8">
      <c r="A64" s="444"/>
      <c r="B64" s="444"/>
      <c r="C64" s="1465" t="s">
        <v>282</v>
      </c>
      <c r="D64" s="1351"/>
      <c r="E64" s="1351"/>
      <c r="F64" s="1351"/>
      <c r="G64" s="1351"/>
      <c r="H64" s="1351"/>
      <c r="I64" s="1351"/>
      <c r="J64" s="1351"/>
      <c r="K64" s="1351"/>
      <c r="L64" s="1351">
        <v>27.539682539682531</v>
      </c>
      <c r="M64" s="1351">
        <v>22.579852579852577</v>
      </c>
      <c r="N64" s="1351">
        <v>24.968152866242033</v>
      </c>
      <c r="O64" s="1351"/>
      <c r="P64" s="1351">
        <v>8.6911429164073795</v>
      </c>
      <c r="Q64" s="1351">
        <v>12.888354379635203</v>
      </c>
      <c r="R64" s="1351">
        <v>10.825688073394502</v>
      </c>
      <c r="S64" s="1351"/>
      <c r="T64" s="1351">
        <v>7.8625954198473291</v>
      </c>
      <c r="U64" s="1351">
        <v>3.8352272727272707</v>
      </c>
      <c r="V64" s="1351">
        <v>5.7763061074319388</v>
      </c>
      <c r="W64" s="1351"/>
      <c r="X64" s="1351">
        <v>5.8740268931351647</v>
      </c>
      <c r="Y64" s="1351">
        <v>4.7537619699042466</v>
      </c>
      <c r="Z64" s="1351">
        <v>5.3043478260869525</v>
      </c>
      <c r="AA64" s="1172"/>
      <c r="AB64" s="1172">
        <f>(AB7/X7-1)*100</f>
        <v>4.2112299465240532</v>
      </c>
      <c r="AC64" s="1172">
        <f>(AC7/Y7-1)*100</f>
        <v>6.6927848514528154</v>
      </c>
      <c r="AD64" s="1172">
        <f>(AD7/Z7-1)*100</f>
        <v>5.4665565648224668</v>
      </c>
      <c r="AE64" s="1172"/>
      <c r="AF64" s="1172">
        <f>(AF7/AB7-1)*100</f>
        <v>8.4669660038486185</v>
      </c>
      <c r="AG64" s="1172">
        <f>(AG7/AC7-1)*100</f>
        <v>7.6040391676866603</v>
      </c>
      <c r="AH64" s="1494">
        <f>(AH7/AD7-1)*100</f>
        <v>8.0253679924835666</v>
      </c>
      <c r="AI64" s="1172"/>
      <c r="AJ64" s="1172">
        <f>(AJ7/AF7-1)*100</f>
        <v>5.529272619751624</v>
      </c>
      <c r="AK64" s="1172">
        <f>(AK7/AG7-1)*100</f>
        <v>6.3273140907152081</v>
      </c>
      <c r="AL64" s="1494">
        <f>(AL7/AH7-1)*100</f>
        <v>5.9360730593607247</v>
      </c>
      <c r="AM64" s="1172"/>
      <c r="AN64" s="1172">
        <f>(AN7/AJ7-1)*100</f>
        <v>6.024096385542177</v>
      </c>
      <c r="AO64" s="1172">
        <f>(AO7/AK7-1)*100</f>
        <v>0.65525541588660197</v>
      </c>
      <c r="AP64" s="1494">
        <f>(AP7/AL7-1)*100</f>
        <v>3.2772304324028445</v>
      </c>
      <c r="AQ64" s="1172"/>
      <c r="AR64" s="1172">
        <f>(AR7/AN7-1)*100</f>
        <v>-1.9688160676532784</v>
      </c>
      <c r="AS64" s="1172">
        <f>(AS7/AO7-1)*100</f>
        <v>-0.94327089145741505</v>
      </c>
      <c r="AT64" s="1494">
        <f>(AT7/AP7-1)*100</f>
        <v>-1.4574362371646221</v>
      </c>
      <c r="AU64" s="1494"/>
      <c r="AV64" s="1172">
        <f>(AV7/AR7-1)*100</f>
        <v>-0.93004448038819243</v>
      </c>
      <c r="AW64" s="1172">
        <f>(AW7/AS7-1)*100</f>
        <v>-3.9163090128755407</v>
      </c>
      <c r="AX64" s="1172">
        <f>(AX7/AT7-1)*100</f>
        <v>-2.4268907563025244</v>
      </c>
      <c r="AY64" s="1494"/>
      <c r="AZ64" s="1173">
        <f>(AZ7/AV7-1)*100</f>
        <v>-0.69387755102040538</v>
      </c>
      <c r="BA64" s="1172">
        <f>(BA7/AW7-1)*100</f>
        <v>-1.7308766052484659</v>
      </c>
      <c r="BB64" s="1494">
        <f>(BB7/AX7-1)*100</f>
        <v>-1.2057323963070132</v>
      </c>
      <c r="BC64" s="1172"/>
      <c r="BD64" s="1172">
        <f>(BD7/AZ7-1)*100</f>
        <v>-1.0549390327442065</v>
      </c>
      <c r="BE64" s="1172">
        <f>(BE7/BA7-1)*100</f>
        <v>-3.0255681818181834</v>
      </c>
      <c r="BF64" s="1494">
        <f>(BF7/BB7-1)*100</f>
        <v>-2.022456238231396</v>
      </c>
      <c r="BG64" s="1172"/>
      <c r="BH64" s="1172">
        <f>(BH7/BD7-1)*100</f>
        <v>-3.267792855164775</v>
      </c>
      <c r="BI64" s="1172">
        <f>(BI7/BE7-1)*100</f>
        <v>5.09740735315658</v>
      </c>
      <c r="BJ64" s="1494">
        <f>(BJ7/BF7-1)*100</f>
        <v>0.79720976581962866</v>
      </c>
      <c r="BK64" s="1172"/>
      <c r="BL64" s="1172">
        <f>(BL7/BH7-1)*100</f>
        <v>1.6318350987689634</v>
      </c>
      <c r="BM64" s="1172">
        <f>(BM7/BI7-1)*100</f>
        <v>8.3484320557491323</v>
      </c>
      <c r="BN64" s="1494">
        <f>(BN7/BJ7-1)*100</f>
        <v>5.0349551585340047</v>
      </c>
      <c r="BO64" s="1172"/>
      <c r="BP64" s="1172">
        <f>(BP7/BL7-1)*100</f>
        <v>19.718309859154925</v>
      </c>
      <c r="BQ64" s="1172">
        <f>(BQ7/BM7-1)*100</f>
        <v>3.8590172369436626</v>
      </c>
      <c r="BR64" s="1494">
        <f>(BR7/BN7-1)*100</f>
        <v>11.429339787548741</v>
      </c>
      <c r="BS64" s="1172"/>
      <c r="BT64" s="1172">
        <f>(BT7/BP7-1)*100</f>
        <v>-7.0705882352941174</v>
      </c>
      <c r="BU64" s="1172">
        <f>(BU7/BQ7-1)*100</f>
        <v>1.1890017339608594</v>
      </c>
      <c r="BV64" s="1494">
        <f>(BV7/BR7-1)*100</f>
        <v>-3.0469409919150481</v>
      </c>
      <c r="BW64" s="1172"/>
      <c r="BX64" s="1172">
        <f>(BX7/BT7-1)*100</f>
        <v>12.280035447525005</v>
      </c>
      <c r="BY64" s="1172">
        <f>(BY7/BU7-1)*100</f>
        <v>11.285189718482247</v>
      </c>
      <c r="BZ64" s="1494">
        <f>(BZ7/BV7-1)*100</f>
        <v>11.774223660464255</v>
      </c>
      <c r="CA64" s="1172"/>
      <c r="CB64" s="1172">
        <f ca="1">(CB7/BX7-1)*100</f>
        <v>3.5632196139362193</v>
      </c>
      <c r="CC64" s="1172">
        <f ca="1">(CC7/BY7-1)*100</f>
        <v>2.3518434593736037</v>
      </c>
      <c r="CD64" s="1494">
        <f ca="1">(CD7/BZ7-1)*100</f>
        <v>2.9500114408231637</v>
      </c>
      <c r="CE64" s="1172"/>
      <c r="CF64" s="1172">
        <f ca="1">(CF7/CB7-1)*100</f>
        <v>2.9723799541519158</v>
      </c>
      <c r="CG64" s="1172">
        <f ca="1">(CG7/CC7-1)*100</f>
        <v>3.8809311371859279</v>
      </c>
      <c r="CH64" s="1494">
        <f ca="1">(CH7/CD7-1)*100</f>
        <v>3.4296234982771345</v>
      </c>
      <c r="CI64" s="1172"/>
      <c r="CJ64" s="1172">
        <f ca="1">(CJ7/CF7-1)*100</f>
        <v>4.2002506189522837</v>
      </c>
      <c r="CK64" s="1172">
        <f ca="1">(CK7/CG7-1)*100</f>
        <v>4.0580236239651457</v>
      </c>
      <c r="CL64" s="1172">
        <f ca="1">(CL7/CH7-1)*100</f>
        <v>4.1283601844704032</v>
      </c>
      <c r="CM64" s="1481"/>
      <c r="CN64" s="1350" t="s">
        <v>229</v>
      </c>
      <c r="CO64" s="1343">
        <v>1.8517943579684171</v>
      </c>
      <c r="CP64" s="1343">
        <v>1.7728503412757173</v>
      </c>
      <c r="CQ64" s="1343">
        <v>1.7728503412757173</v>
      </c>
      <c r="CR64" s="1343"/>
      <c r="CS64" s="1343">
        <v>1.6122971022192734</v>
      </c>
      <c r="CT64" s="1343">
        <v>1.3822328223950942</v>
      </c>
      <c r="CU64" s="1343">
        <v>1.3822328223950942</v>
      </c>
      <c r="CV64" s="1343"/>
      <c r="CW64" s="1343">
        <v>1.2754164259695122</v>
      </c>
      <c r="CX64" s="1343">
        <v>1.2005406591883181</v>
      </c>
      <c r="CY64" s="1343">
        <v>1.2005406591883181</v>
      </c>
      <c r="CZ64" s="1343"/>
      <c r="DA64" s="1175">
        <f>DA63/(AB53*1000)*100</f>
        <v>1.0191096657711844</v>
      </c>
      <c r="DB64" s="1175">
        <f>DB63/(AC53*1000)*100</f>
        <v>0.87274930358126035</v>
      </c>
      <c r="DC64" s="1175">
        <f>DC63/(AD53*1000)*100</f>
        <v>0.87274930358126035</v>
      </c>
      <c r="DD64" s="1175"/>
      <c r="DE64" s="1175">
        <f>DE63/(AF53*1000)*100</f>
        <v>0.70361623759682013</v>
      </c>
      <c r="DF64" s="1175">
        <f>DF63/(AG53*1000)*100</f>
        <v>0.54863771110397908</v>
      </c>
      <c r="DG64" s="1175">
        <f>DG63/(AH53*1000)*100</f>
        <v>0.54863771110397908</v>
      </c>
      <c r="DH64" s="1175"/>
      <c r="DI64" s="1175">
        <f t="shared" ref="DI64:DO64" si="36">DI63/(AJ53*1000)*100</f>
        <v>0.48096562552172689</v>
      </c>
      <c r="DJ64" s="1175">
        <f t="shared" si="36"/>
        <v>0.47287449955999539</v>
      </c>
      <c r="DK64" s="1175">
        <f t="shared" si="36"/>
        <v>0.47287449955999539</v>
      </c>
      <c r="DL64" s="1175" t="e">
        <f t="shared" si="36"/>
        <v>#DIV/0!</v>
      </c>
      <c r="DM64" s="1175">
        <f t="shared" si="36"/>
        <v>0.50894672918314321</v>
      </c>
      <c r="DN64" s="1175">
        <f t="shared" si="36"/>
        <v>0.54652338441452419</v>
      </c>
      <c r="DO64" s="1175">
        <f t="shared" si="36"/>
        <v>0.54652338441452419</v>
      </c>
      <c r="DP64" s="1175"/>
      <c r="DQ64" s="1175">
        <f>DQ63/(AR53*1000)*100</f>
        <v>0.50618440263353626</v>
      </c>
      <c r="DR64" s="1175">
        <f>DR63/(AS53*1000)*100</f>
        <v>0.40786857872171522</v>
      </c>
      <c r="DS64" s="1175">
        <f>DS63/(AT53*1000)*100</f>
        <v>0.40786857872171522</v>
      </c>
      <c r="DT64" s="1175"/>
      <c r="DU64" s="1175">
        <f>DU63/(AV53*1000)*100</f>
        <v>0.34128490242171339</v>
      </c>
      <c r="DV64" s="1175">
        <f>DV63/(AW53*1000)*100</f>
        <v>0.35134114091424251</v>
      </c>
      <c r="DW64" s="1175">
        <f>DW63/(AX53*1000)*100</f>
        <v>0.35134114091424251</v>
      </c>
      <c r="DX64" s="1175"/>
      <c r="DY64" s="1175"/>
      <c r="DZ64" s="1175"/>
      <c r="EA64" s="1175">
        <f>EA63/(BB53*1000)*100</f>
        <v>0.32769940161346328</v>
      </c>
      <c r="EB64" s="1175"/>
      <c r="EC64" s="1175"/>
      <c r="ED64" s="1175"/>
      <c r="EE64" s="1175">
        <f>EE63/(BF53*1000)*100</f>
        <v>0.39499850610569065</v>
      </c>
      <c r="EF64" s="1175"/>
      <c r="EG64" s="1175"/>
      <c r="EH64" s="1175"/>
      <c r="EI64" s="1493">
        <f>EI63/(BJ53*1000)*100</f>
        <v>0.30984014456053161</v>
      </c>
      <c r="EJ64" s="1175"/>
      <c r="EK64" s="1175"/>
      <c r="EL64" s="1175"/>
      <c r="EM64" s="1493">
        <f>EM63/(BN53*1000)*100</f>
        <v>0.21376087480713449</v>
      </c>
      <c r="EN64" s="1175"/>
      <c r="EO64" s="1175"/>
      <c r="EP64" s="1175"/>
      <c r="EQ64" s="1493">
        <f>EQ63/(BR53*1000)*100</f>
        <v>0.21404748167016141</v>
      </c>
      <c r="ER64" s="1175"/>
      <c r="ES64" s="1175"/>
      <c r="ET64" s="1175"/>
      <c r="EU64" s="1175">
        <f>EU63/(BV53*1000)*100</f>
        <v>0.20977452645847813</v>
      </c>
      <c r="EV64" s="1175"/>
      <c r="EW64" s="1175"/>
      <c r="EX64" s="1175"/>
      <c r="EY64" s="1617">
        <f>EY63/(BZ53*1000)*100</f>
        <v>0.30456121824487298</v>
      </c>
      <c r="EZ64" s="1175"/>
      <c r="FA64" s="1175"/>
      <c r="FB64" s="1175"/>
      <c r="FC64" s="1175">
        <f>FC63/(CD53*1000)*100</f>
        <v>0.32457692997722631</v>
      </c>
      <c r="FD64" s="1175"/>
      <c r="FE64" s="1175"/>
      <c r="FF64" s="1175"/>
      <c r="FG64" s="1175">
        <f>FG63/(CH53*1000)*100</f>
        <v>0.34458806411209875</v>
      </c>
      <c r="FH64" s="1175"/>
      <c r="FI64" s="1175"/>
      <c r="FJ64" s="1175"/>
      <c r="FK64" s="1175">
        <f>FK63/(CL53*1000)*100</f>
        <v>0.3646000353905432</v>
      </c>
      <c r="FL64" s="444"/>
      <c r="FM64" s="445"/>
      <c r="FN64" s="445"/>
      <c r="FO64" s="491"/>
      <c r="FP64" s="491"/>
      <c r="FQ64" s="491"/>
      <c r="FR64" s="491"/>
      <c r="FS64" s="491"/>
      <c r="FT64" s="491"/>
      <c r="FU64" s="491"/>
      <c r="FV64" s="491"/>
      <c r="FW64" s="491"/>
    </row>
    <row r="65" spans="1:179" ht="13.8">
      <c r="A65" s="444"/>
      <c r="B65" s="444"/>
      <c r="C65" s="1465" t="s">
        <v>223</v>
      </c>
      <c r="D65" s="1351"/>
      <c r="E65" s="1351"/>
      <c r="F65" s="1351"/>
      <c r="G65" s="1351"/>
      <c r="H65" s="1351"/>
      <c r="I65" s="1351"/>
      <c r="J65" s="1351"/>
      <c r="K65" s="1351"/>
      <c r="L65" s="1351">
        <v>-44.721788871554857</v>
      </c>
      <c r="M65" s="1351">
        <v>78.106852497096384</v>
      </c>
      <c r="N65" s="1351">
        <v>13.305898491083678</v>
      </c>
      <c r="O65" s="1351"/>
      <c r="P65" s="1351">
        <v>126.71683913452495</v>
      </c>
      <c r="Q65" s="1351">
        <v>-14.639713074665794</v>
      </c>
      <c r="R65" s="1351">
        <v>21.743341404358361</v>
      </c>
      <c r="S65" s="1351"/>
      <c r="T65" s="1351">
        <v>18.506224066390043</v>
      </c>
      <c r="U65" s="1351">
        <v>-3.3995416348357566</v>
      </c>
      <c r="V65" s="1351">
        <v>7.1002386634844816</v>
      </c>
      <c r="W65" s="1351"/>
      <c r="X65" s="1351">
        <v>-4.2016806722689033</v>
      </c>
      <c r="Y65" s="1351">
        <v>18.703044681692372</v>
      </c>
      <c r="Z65" s="1351">
        <v>6.555246053853292</v>
      </c>
      <c r="AA65" s="1172"/>
      <c r="AB65" s="1172">
        <f>((AB14+AB15)/(X14+X15)-1)*100</f>
        <v>4.3859649122806932</v>
      </c>
      <c r="AC65" s="1172">
        <f>((AC14+AC15)/(Y14+Y15)-1)*100</f>
        <v>-7.9613590939373697</v>
      </c>
      <c r="AD65" s="1172">
        <f>((AD14+AD15)/(Z14)-1)*100</f>
        <v>21.125242509161456</v>
      </c>
      <c r="AE65" s="1172"/>
      <c r="AF65" s="1172">
        <f>((AF14+AF15)/(AB14+AB15)-1)*100</f>
        <v>1.6806722689075571</v>
      </c>
      <c r="AG65" s="1172">
        <f>((AG14+AG15)/(AC14+AC15)-1)*100</f>
        <v>4.1259500542888183</v>
      </c>
      <c r="AH65" s="1494">
        <f>((AH14+AH15)/(AD14+AD15)-1)*100</f>
        <v>2.8830752802989856</v>
      </c>
      <c r="AI65" s="1172"/>
      <c r="AJ65" s="1172">
        <f t="shared" ref="AJ65:AP65" si="37">((AJ14+AJ15)/(AF14+AF15)-1)*100</f>
        <v>5.2685950413223104</v>
      </c>
      <c r="AK65" s="1172">
        <f t="shared" si="37"/>
        <v>-0.45185957594716664</v>
      </c>
      <c r="AL65" s="1494">
        <f t="shared" si="37"/>
        <v>2.4217263449230142</v>
      </c>
      <c r="AM65" s="1172" t="e">
        <f t="shared" si="37"/>
        <v>#DIV/0!</v>
      </c>
      <c r="AN65" s="1172">
        <f t="shared" si="37"/>
        <v>-9.813542688910692</v>
      </c>
      <c r="AO65" s="1172">
        <f t="shared" si="37"/>
        <v>-4.2597765363128541</v>
      </c>
      <c r="AP65" s="1494">
        <f t="shared" si="37"/>
        <v>-7.1271744637730112</v>
      </c>
      <c r="AQ65" s="1172"/>
      <c r="AR65" s="1172">
        <f>((AR14+AR15)/(AN14+AN15)-1)*100</f>
        <v>-7.2542618788538293</v>
      </c>
      <c r="AS65" s="1172">
        <f>((AS14+AS15)/(AO14+AO15)-1)*100</f>
        <v>-13.056163384390951</v>
      </c>
      <c r="AT65" s="1494">
        <f>((AT14+AT15)/(AP14+AP15)-1)*100</f>
        <v>-10.147299509001639</v>
      </c>
      <c r="AU65" s="1494"/>
      <c r="AV65" s="1172">
        <f>((AV14+AV15)/(AR14+AR15)-1)*100</f>
        <v>-1.4470082127493122</v>
      </c>
      <c r="AW65" s="1172">
        <f>((AW14+AW15)/(AS14+AS15)-1)*100</f>
        <v>-2.1392617449664475</v>
      </c>
      <c r="AX65" s="1172">
        <f>((AX14+AX15)/(AT14+AT15)-1)*100</f>
        <v>-1.7810159886662569</v>
      </c>
      <c r="AY65" s="1494"/>
      <c r="AZ65" s="1173">
        <f>((AZ14+AZ15)/(AV14+AV15)-1)*100</f>
        <v>-2.8968253968253976</v>
      </c>
      <c r="BA65" s="1172">
        <f>((BA14+BA15)/(AW14+AW15)-1)*100</f>
        <v>-3.8576939562794732</v>
      </c>
      <c r="BB65" s="1494">
        <f>((BB14+BB15)/(AX14+AX15)-1)*100</f>
        <v>-3.3587471667010149</v>
      </c>
      <c r="BC65" s="1172"/>
      <c r="BD65" s="1172">
        <f>((BD14+BD15)/(AZ14+AZ15)-1)*100</f>
        <v>-44.544340008173279</v>
      </c>
      <c r="BE65" s="1172">
        <f>((BE14+BE15)/(BA14+BA15)-1)*100</f>
        <v>4.592064199732504</v>
      </c>
      <c r="BF65" s="1494">
        <f>((BF14+BF15)/(BB14+BB15)-1)*100</f>
        <v>-21.044776119402986</v>
      </c>
      <c r="BG65" s="1172"/>
      <c r="BH65" s="1172">
        <f>((BH14+BH15)/(BD14+BD15)-1)*100</f>
        <v>5.8953574060427449</v>
      </c>
      <c r="BI65" s="1172">
        <f>((BI14+BI15)/(BE14+BE15)-1)*100</f>
        <v>-21.184995737425403</v>
      </c>
      <c r="BJ65" s="1494">
        <f>((BJ14+BJ15)/(BF14+BF15)-1)*100</f>
        <v>-11.261139616527139</v>
      </c>
      <c r="BK65" s="1172"/>
      <c r="BL65" s="1172">
        <f>((BL14+BL15)/(BH14+BH15)-1)*100</f>
        <v>28.601252609603335</v>
      </c>
      <c r="BM65" s="1172">
        <f>((BM14+BM15)/(BI14+BI15)-1)*100</f>
        <v>-1.2979989183342311</v>
      </c>
      <c r="BN65" s="1494">
        <f>((BN14+BN15)/(BJ14+BJ15)-1)*100</f>
        <v>11.777236762020692</v>
      </c>
      <c r="BO65" s="1172"/>
      <c r="BP65" s="1172">
        <f>((BP14+BP15)/(BL14+BL15)-1)*100</f>
        <v>10.389610389610393</v>
      </c>
      <c r="BQ65" s="1172">
        <f>((BQ14+BQ15)/(BM14+BM15)-1)*100</f>
        <v>25.534246575342468</v>
      </c>
      <c r="BR65" s="1494">
        <f>((BR14+BR15)/(BN14+BN15)-1)*100</f>
        <v>17.914511298665946</v>
      </c>
      <c r="BS65" s="1172"/>
      <c r="BT65" s="1172">
        <f>((BT14+BT15)/(BP14+BP15)-1)*100</f>
        <v>19.999999999999996</v>
      </c>
      <c r="BU65" s="1172">
        <f>((BU14+BU15)/(BQ14+BQ15)-1)*100</f>
        <v>4.364906154517012E-2</v>
      </c>
      <c r="BV65" s="1494">
        <f>((BV14+BV15)/(BR14+BR15)-1)*100</f>
        <v>9.4435465250519499</v>
      </c>
      <c r="BW65" s="1172"/>
      <c r="BX65" s="1172">
        <f>((BX14+BX15)/(BT14+BT15)-1)*100</f>
        <v>-13.153594771241828</v>
      </c>
      <c r="BY65" s="1172">
        <f>((BY14+BY15)/(BU14+BU15)-1)*100</f>
        <v>-20.94240837696335</v>
      </c>
      <c r="BZ65" s="1494">
        <f>((BZ14+BZ15)/(BV14+BV15)-1)*100</f>
        <v>-16.919831223628691</v>
      </c>
      <c r="CA65" s="1172"/>
      <c r="CB65" s="1172">
        <f>((CB14+CB15)/(BX14+BX15)-1)*100</f>
        <v>-1.0365851364063983</v>
      </c>
      <c r="CC65" s="1172">
        <f>((CC14+CC15)/(BY14+BY15)-1)*100</f>
        <v>14.165901986754958</v>
      </c>
      <c r="CD65" s="1494">
        <f>((CD14+CD15)/(BZ14+BZ15)-1)*100</f>
        <v>5.9585663788725318</v>
      </c>
      <c r="CE65" s="1172"/>
      <c r="CF65" s="1172">
        <f>((CF14+CF15)/(CB14+CB15)-1)*100</f>
        <v>3.0620410328664693</v>
      </c>
      <c r="CG65" s="1172">
        <f>((CG14+CG15)/(CC14+CC15)-1)*100</f>
        <v>3.0328412441670283</v>
      </c>
      <c r="CH65" s="1494">
        <f>((CH14+CH15)/(CD14+CD15)-1)*100</f>
        <v>3.0475645677271901</v>
      </c>
      <c r="CI65" s="1172"/>
      <c r="CJ65" s="1172">
        <f>((CJ14+CJ15)/(CF14+CF15)-1)*100</f>
        <v>2.5802969081336169</v>
      </c>
      <c r="CK65" s="1172">
        <f>((CK14+CK15)/(CG14+CG15)-1)*100</f>
        <v>2.5431948608545474</v>
      </c>
      <c r="CL65" s="1172">
        <f>((CL14+CL15)/(CH14+CH15)-1)*100</f>
        <v>2.5619053451545915</v>
      </c>
      <c r="CM65" s="1481"/>
      <c r="CN65" s="1350" t="s">
        <v>230</v>
      </c>
      <c r="CO65" s="1343">
        <v>2761</v>
      </c>
      <c r="CP65" s="1343">
        <v>2302</v>
      </c>
      <c r="CQ65" s="1343">
        <v>5063</v>
      </c>
      <c r="CR65" s="1343"/>
      <c r="CS65" s="1343">
        <v>1814</v>
      </c>
      <c r="CT65" s="1343">
        <v>1755</v>
      </c>
      <c r="CU65" s="1343">
        <v>3569</v>
      </c>
      <c r="CV65" s="1343"/>
      <c r="CW65" s="1343">
        <v>1913</v>
      </c>
      <c r="CX65" s="1343">
        <v>1657</v>
      </c>
      <c r="CY65" s="1343">
        <v>3570</v>
      </c>
      <c r="CZ65" s="1343"/>
      <c r="DA65" s="1178">
        <f>MODEL!BH215</f>
        <v>1551</v>
      </c>
      <c r="DB65" s="1178">
        <f>MODEL!BI215</f>
        <v>1687</v>
      </c>
      <c r="DC65" s="1178">
        <f>MODEL!BJ215</f>
        <v>3238</v>
      </c>
      <c r="DD65" s="1178"/>
      <c r="DE65" s="1178">
        <f>MODEL!BL215</f>
        <v>1541</v>
      </c>
      <c r="DF65" s="1178">
        <f>MODEL!BM215</f>
        <v>1327</v>
      </c>
      <c r="DG65" s="1178">
        <f>MODEL!BN215</f>
        <v>2868</v>
      </c>
      <c r="DH65" s="1178"/>
      <c r="DI65" s="1178">
        <f>MODEL!BP215</f>
        <v>1197</v>
      </c>
      <c r="DJ65" s="1178">
        <f>MODEL!BQ215</f>
        <v>1783</v>
      </c>
      <c r="DK65" s="1178">
        <f>MODEL!BR215</f>
        <v>2980</v>
      </c>
      <c r="DL65" s="1178">
        <f>MODEL!BS215</f>
        <v>0</v>
      </c>
      <c r="DM65" s="1178">
        <f>MODEL!BT215</f>
        <v>1784</v>
      </c>
      <c r="DN65" s="1178">
        <f>MODEL!BU215</f>
        <v>1844</v>
      </c>
      <c r="DO65" s="1178">
        <f>MODEL!BV215</f>
        <v>3628</v>
      </c>
      <c r="DP65" s="1178"/>
      <c r="DQ65" s="1178">
        <f>MODEL!BX215</f>
        <v>1787</v>
      </c>
      <c r="DR65" s="1178">
        <f>MODEL!BY215</f>
        <v>1425</v>
      </c>
      <c r="DS65" s="1178">
        <f>MODEL!BZ215</f>
        <v>3212</v>
      </c>
      <c r="DT65" s="1178"/>
      <c r="DU65" s="1178">
        <f>MODEL!CB215</f>
        <v>963</v>
      </c>
      <c r="DV65" s="1178">
        <f>MODEL!CC215</f>
        <v>1145</v>
      </c>
      <c r="DW65" s="1178">
        <f>MODEL!CD215</f>
        <v>2108</v>
      </c>
      <c r="DX65" s="1178"/>
      <c r="DY65" s="1178"/>
      <c r="DZ65" s="1178"/>
      <c r="EA65" s="1178">
        <f>MODEL!CH215</f>
        <v>2007</v>
      </c>
      <c r="EB65" s="1178"/>
      <c r="EC65" s="1178"/>
      <c r="ED65" s="1178"/>
      <c r="EE65" s="1178">
        <f>MODEL!CL215</f>
        <v>2789</v>
      </c>
      <c r="EF65" s="1178"/>
      <c r="EG65" s="1178"/>
      <c r="EH65" s="1178"/>
      <c r="EI65" s="1455">
        <f>MODEL!CP215</f>
        <v>1732</v>
      </c>
      <c r="EJ65" s="1178"/>
      <c r="EK65" s="1178"/>
      <c r="EL65" s="1178"/>
      <c r="EM65" s="1455">
        <f>MODEL!CT215</f>
        <v>1238</v>
      </c>
      <c r="EN65" s="1178"/>
      <c r="EO65" s="1178"/>
      <c r="EP65" s="1178"/>
      <c r="EQ65" s="1455">
        <f>MODEL!CX215</f>
        <v>1367</v>
      </c>
      <c r="ER65" s="1178"/>
      <c r="ES65" s="1178"/>
      <c r="ET65" s="1178"/>
      <c r="EU65" s="1178">
        <f>MODEL!DB215</f>
        <v>1489</v>
      </c>
      <c r="EV65" s="1178"/>
      <c r="EW65" s="1178"/>
      <c r="EX65" s="1178"/>
      <c r="EY65" s="1618">
        <f>MODEL!DF215</f>
        <v>2367</v>
      </c>
      <c r="EZ65" s="1178"/>
      <c r="FA65" s="1178"/>
      <c r="FB65" s="1178"/>
      <c r="FC65" s="1178">
        <f>MODEL!DJ215</f>
        <v>2331.7735806542273</v>
      </c>
      <c r="FD65" s="1178"/>
      <c r="FE65" s="1178"/>
      <c r="FF65" s="1178"/>
      <c r="FG65" s="1178">
        <f>MODEL!DN215</f>
        <v>2219.5798531857909</v>
      </c>
      <c r="FH65" s="1178"/>
      <c r="FI65" s="1178"/>
      <c r="FJ65" s="1178"/>
      <c r="FK65" s="1178">
        <f>MODEL!DR215</f>
        <v>1852.9204335816326</v>
      </c>
      <c r="FL65" s="444"/>
      <c r="FM65" s="445"/>
      <c r="FN65" s="445"/>
      <c r="FO65" s="491"/>
      <c r="FP65" s="491"/>
      <c r="FQ65" s="491"/>
      <c r="FR65" s="491"/>
      <c r="FS65" s="491"/>
      <c r="FT65" s="491"/>
      <c r="FU65" s="491"/>
      <c r="FV65" s="491"/>
      <c r="FW65" s="491"/>
    </row>
    <row r="66" spans="1:179" ht="13.8">
      <c r="A66" s="444"/>
      <c r="B66" s="444"/>
      <c r="C66" s="1401" t="s">
        <v>256</v>
      </c>
      <c r="D66" s="1351"/>
      <c r="E66" s="1351"/>
      <c r="F66" s="1351"/>
      <c r="G66" s="1402"/>
      <c r="H66" s="1351"/>
      <c r="I66" s="1351"/>
      <c r="J66" s="1351"/>
      <c r="K66" s="1402"/>
      <c r="L66" s="1351">
        <v>3.1737681921795602</v>
      </c>
      <c r="M66" s="1351">
        <v>39.08839779005524</v>
      </c>
      <c r="N66" s="1351">
        <v>21.270117442366242</v>
      </c>
      <c r="O66" s="1402"/>
      <c r="P66" s="1351">
        <v>30.01359619306594</v>
      </c>
      <c r="Q66" s="1351">
        <v>2.4081429990069569</v>
      </c>
      <c r="R66" s="1351">
        <v>14.060258249641322</v>
      </c>
      <c r="S66" s="1351"/>
      <c r="T66" s="1351">
        <v>11.215686274509796</v>
      </c>
      <c r="U66" s="1351">
        <v>1.5393939393939293</v>
      </c>
      <c r="V66" s="1351">
        <v>6.1949685534591126</v>
      </c>
      <c r="W66" s="1351"/>
      <c r="X66" s="1351">
        <v>2.4917724494593285</v>
      </c>
      <c r="Y66" s="1351">
        <v>8.9650232780231534</v>
      </c>
      <c r="Z66" s="1351">
        <v>5.7032869410719611</v>
      </c>
      <c r="AA66" s="1176"/>
      <c r="AB66" s="1176">
        <f t="shared" ref="AB66:AD69" si="38">((AB17/X17)-1)*100</f>
        <v>4.266055045871564</v>
      </c>
      <c r="AC66" s="1176">
        <f t="shared" si="38"/>
        <v>1.8733567046450572</v>
      </c>
      <c r="AD66" s="1176">
        <f t="shared" si="38"/>
        <v>3.0423576871358105</v>
      </c>
      <c r="AE66" s="1176"/>
      <c r="AF66" s="1176">
        <f t="shared" ref="AF66:AH69" si="39">((AF17/AB17)-1)*100</f>
        <v>6.3352397712274522</v>
      </c>
      <c r="AG66" s="1176">
        <f t="shared" si="39"/>
        <v>6.5705989891386096</v>
      </c>
      <c r="AH66" s="1496">
        <f t="shared" si="39"/>
        <v>6.4542439236583204</v>
      </c>
      <c r="AI66" s="1176"/>
      <c r="AJ66" s="1176">
        <f t="shared" ref="AJ66:AL69" si="40">((AJ17/AF17)-1)*100</f>
        <v>5.450972279685562</v>
      </c>
      <c r="AK66" s="1176">
        <f t="shared" si="40"/>
        <v>4.3592330978809324</v>
      </c>
      <c r="AL66" s="1496">
        <f t="shared" si="40"/>
        <v>4.8983552967616806</v>
      </c>
      <c r="AM66" s="1176"/>
      <c r="AN66" s="1176">
        <f t="shared" ref="AN66:AP69" si="41">((AN17/AJ17)-1)*100</f>
        <v>1.2751348700343224</v>
      </c>
      <c r="AO66" s="1176">
        <f t="shared" si="41"/>
        <v>-0.70585960162444783</v>
      </c>
      <c r="AP66" s="1496">
        <f t="shared" si="41"/>
        <v>0.27754784048303893</v>
      </c>
      <c r="AQ66" s="1176"/>
      <c r="AR66" s="1176">
        <f t="shared" ref="AR66:AT69" si="42">((AR17/AN17)-1)*100</f>
        <v>-3.3801452784503638</v>
      </c>
      <c r="AS66" s="1176">
        <f t="shared" si="42"/>
        <v>-4.177621969033007</v>
      </c>
      <c r="AT66" s="1496">
        <f t="shared" si="42"/>
        <v>-3.7777993590366155</v>
      </c>
      <c r="AU66" s="1496"/>
      <c r="AV66" s="1176">
        <f t="shared" ref="AV66:AX69" si="43">((AV17/AR17)-1)*100</f>
        <v>-1.0625501202886967</v>
      </c>
      <c r="AW66" s="1176">
        <f t="shared" si="43"/>
        <v>-3.4857723577235822</v>
      </c>
      <c r="AX66" s="1176">
        <f t="shared" si="43"/>
        <v>-2.2658457811869148</v>
      </c>
      <c r="AY66" s="1496"/>
      <c r="AZ66" s="1177">
        <f t="shared" ref="AZ66:BB69" si="44">((AZ17/AV17)-1)*100</f>
        <v>-1.2563323201621124</v>
      </c>
      <c r="BA66" s="1176">
        <f t="shared" si="44"/>
        <v>-2.2533431609982113</v>
      </c>
      <c r="BB66" s="1496">
        <f t="shared" si="44"/>
        <v>-1.7452367429132032</v>
      </c>
      <c r="BC66" s="1176"/>
      <c r="BD66" s="1176">
        <f t="shared" ref="BD66:BF69" si="45">((BD17/AZ17)-1)*100</f>
        <v>-11.974143238251589</v>
      </c>
      <c r="BE66" s="1176">
        <f t="shared" si="45"/>
        <v>-1.1849617580523497</v>
      </c>
      <c r="BF66" s="1496">
        <f t="shared" si="45"/>
        <v>-6.7108098165957202</v>
      </c>
      <c r="BG66" s="1176"/>
      <c r="BH66" s="1176">
        <f t="shared" ref="BH66:BJ69" si="46">((BH17/BD17)-1)*100</f>
        <v>-1.8183937521855653</v>
      </c>
      <c r="BI66" s="1176">
        <f t="shared" si="46"/>
        <v>-1.624332279515972</v>
      </c>
      <c r="BJ66" s="1496">
        <f t="shared" si="46"/>
        <v>-1.7181162685894535</v>
      </c>
      <c r="BK66" s="1176"/>
      <c r="BL66" s="1176">
        <f t="shared" ref="BL66:BN69" si="47">((BL17/BH17)-1)*100</f>
        <v>6.2329336340971153</v>
      </c>
      <c r="BM66" s="1176">
        <f t="shared" si="47"/>
        <v>6.3718971631205656</v>
      </c>
      <c r="BN66" s="1496">
        <f t="shared" si="47"/>
        <v>6.3048088496589605</v>
      </c>
      <c r="BO66" s="1176"/>
      <c r="BP66" s="1176">
        <f t="shared" ref="BP66:BR69" si="48">((BP17/BL17)-1)*100</f>
        <v>17.79168529280286</v>
      </c>
      <c r="BQ66" s="1176">
        <f t="shared" si="48"/>
        <v>7.9799979164496326</v>
      </c>
      <c r="BR66" s="1496">
        <f t="shared" si="48"/>
        <v>12.713646411818624</v>
      </c>
      <c r="BS66" s="1176"/>
      <c r="BT66" s="1176">
        <f t="shared" ref="BT66:BV69" si="49">((BT17/BP17)-1)*100</f>
        <v>-1.8311195445920303</v>
      </c>
      <c r="BU66" s="1176">
        <f t="shared" si="49"/>
        <v>0.93584177520502632</v>
      </c>
      <c r="BV66" s="1496">
        <f t="shared" si="49"/>
        <v>-0.45922028222913358</v>
      </c>
      <c r="BW66" s="1176"/>
      <c r="BX66" s="1176">
        <f>((BX17/BT17)-1)*100</f>
        <v>6.2626848361843956</v>
      </c>
      <c r="BY66" s="1176">
        <f>((BY17/BU17)-1)*100</f>
        <v>4.2248136111642243</v>
      </c>
      <c r="BZ66" s="1496">
        <f>((BZ17/BV17)-1)*100</f>
        <v>5.2381181219664619</v>
      </c>
      <c r="CA66" s="1176"/>
      <c r="CB66" s="1176">
        <f ca="1">((CB17/BX17)-1)*100</f>
        <v>2.6737985226012118</v>
      </c>
      <c r="CC66" s="1176">
        <f ca="1">((CC17/BY17)-1)*100</f>
        <v>4.3150747553764468</v>
      </c>
      <c r="CD66" s="1496">
        <f ca="1">((CD17/BZ17)-1)*100</f>
        <v>3.4910265258059736</v>
      </c>
      <c r="CE66" s="1176"/>
      <c r="CF66" s="1176">
        <f ca="1">((CF17/CB17)-1)*100</f>
        <v>2.9890903612143083</v>
      </c>
      <c r="CG66" s="1176">
        <f ca="1">((CG17/CC17)-1)*100</f>
        <v>3.7266888073223647</v>
      </c>
      <c r="CH66" s="1496">
        <f ca="1">((CH17/CD17)-1)*100</f>
        <v>3.3592814252971337</v>
      </c>
      <c r="CI66" s="1176"/>
      <c r="CJ66" s="1176">
        <f ca="1">((CJ17/CF17)-1)*100</f>
        <v>3.8981210775734576</v>
      </c>
      <c r="CK66" s="1176">
        <f ca="1">((CK17/CG17)-1)*100</f>
        <v>3.7843642093719376</v>
      </c>
      <c r="CL66" s="1176">
        <f ca="1">((CL17/CH17)-1)*100</f>
        <v>3.8408250386937848</v>
      </c>
      <c r="CM66" s="1481"/>
      <c r="CN66" s="1401" t="s">
        <v>123</v>
      </c>
      <c r="CO66" s="1343">
        <v>4630</v>
      </c>
      <c r="CP66" s="1343">
        <v>5028</v>
      </c>
      <c r="CQ66" s="1343">
        <v>5028</v>
      </c>
      <c r="CR66" s="1343"/>
      <c r="CS66" s="1343">
        <v>4894</v>
      </c>
      <c r="CT66" s="1343">
        <v>4873</v>
      </c>
      <c r="CU66" s="1343">
        <v>4873</v>
      </c>
      <c r="CV66" s="1343"/>
      <c r="CW66" s="1343">
        <v>4708</v>
      </c>
      <c r="CX66" s="1343">
        <v>4538</v>
      </c>
      <c r="CY66" s="1343">
        <v>4538</v>
      </c>
      <c r="CZ66" s="1343"/>
      <c r="DA66" s="1179">
        <f>-MODEL!BH256</f>
        <v>4312</v>
      </c>
      <c r="DB66" s="1179">
        <f>-MODEL!BI256</f>
        <v>4354</v>
      </c>
      <c r="DC66" s="1179">
        <f>-MODEL!BJ256</f>
        <v>4354</v>
      </c>
      <c r="DD66" s="1179"/>
      <c r="DE66" s="1179">
        <f>-MODEL!BL256</f>
        <v>4313</v>
      </c>
      <c r="DF66" s="1179">
        <f>-MODEL!BM256</f>
        <v>3933</v>
      </c>
      <c r="DG66" s="1179">
        <f>-MODEL!BN256</f>
        <v>3933</v>
      </c>
      <c r="DH66" s="1179"/>
      <c r="DI66" s="1179">
        <f>-MODEL!BP256</f>
        <v>4028</v>
      </c>
      <c r="DJ66" s="1179">
        <f>-MODEL!BQ256</f>
        <v>4017</v>
      </c>
      <c r="DK66" s="1179">
        <f>-MODEL!BR256</f>
        <v>4017</v>
      </c>
      <c r="DL66" s="1179">
        <f>-MODEL!BS256</f>
        <v>0</v>
      </c>
      <c r="DM66" s="1179">
        <f>-MODEL!BT256</f>
        <v>4100</v>
      </c>
      <c r="DN66" s="1179">
        <f>-MODEL!BU256</f>
        <v>4183</v>
      </c>
      <c r="DO66" s="1179">
        <f>-MODEL!BV256</f>
        <v>4183</v>
      </c>
      <c r="DP66" s="1179"/>
      <c r="DQ66" s="1179">
        <f>-MODEL!BX256</f>
        <v>4054</v>
      </c>
      <c r="DR66" s="1179">
        <f>-MODEL!BY256</f>
        <v>3798</v>
      </c>
      <c r="DS66" s="1179">
        <f>-MODEL!BZ256</f>
        <v>3798</v>
      </c>
      <c r="DT66" s="1179"/>
      <c r="DU66" s="1179">
        <f>-MODEL!CB256</f>
        <v>3595</v>
      </c>
      <c r="DV66" s="1179">
        <f>-MODEL!CC256</f>
        <v>3443</v>
      </c>
      <c r="DW66" s="1179">
        <f>-MODEL!CD256</f>
        <v>3443</v>
      </c>
      <c r="DX66" s="1179"/>
      <c r="DY66" s="1179"/>
      <c r="DZ66" s="1179"/>
      <c r="EA66" s="1179">
        <f>-MODEL!CH256</f>
        <v>4190</v>
      </c>
      <c r="EB66" s="1179"/>
      <c r="EC66" s="1179"/>
      <c r="ED66" s="1179"/>
      <c r="EE66" s="1179">
        <f>-MODEL!CL256</f>
        <v>5899</v>
      </c>
      <c r="EF66" s="1179"/>
      <c r="EG66" s="1179"/>
      <c r="EH66" s="1179"/>
      <c r="EI66" s="1495">
        <f>-MODEL!CP256</f>
        <v>4882</v>
      </c>
      <c r="EJ66" s="1179"/>
      <c r="EK66" s="1179"/>
      <c r="EL66" s="1179"/>
      <c r="EM66" s="1495">
        <f>-MODEL!CT256</f>
        <v>4395</v>
      </c>
      <c r="EN66" s="1179"/>
      <c r="EO66" s="1179"/>
      <c r="EP66" s="1179"/>
      <c r="EQ66" s="1495">
        <f>-MODEL!CX256</f>
        <v>4408</v>
      </c>
      <c r="ER66" s="1179"/>
      <c r="ES66" s="1179"/>
      <c r="ET66" s="1179"/>
      <c r="EU66" s="1179">
        <f>-MODEL!DB256</f>
        <v>4555</v>
      </c>
      <c r="EV66" s="1179"/>
      <c r="EW66" s="1179"/>
      <c r="EX66" s="1179"/>
      <c r="EY66" s="1619">
        <f>-MODEL!DF256</f>
        <v>4778</v>
      </c>
      <c r="EZ66" s="1179"/>
      <c r="FA66" s="1179"/>
      <c r="FB66" s="1179"/>
      <c r="FC66" s="1179">
        <f ca="1">-MODEL!DJ256</f>
        <v>5274.294098129235</v>
      </c>
      <c r="FD66" s="1179"/>
      <c r="FE66" s="1179"/>
      <c r="FF66" s="1179"/>
      <c r="FG66" s="1179">
        <f ca="1">-MODEL!DN256</f>
        <v>5448.0520981111576</v>
      </c>
      <c r="FH66" s="1179"/>
      <c r="FI66" s="1179"/>
      <c r="FJ66" s="1179"/>
      <c r="FK66" s="1179">
        <f ca="1">-MODEL!DR256</f>
        <v>5735.1790089029009</v>
      </c>
      <c r="FL66" s="444"/>
      <c r="FM66" s="445"/>
      <c r="FN66" s="445"/>
      <c r="FO66" s="491"/>
      <c r="FP66" s="491"/>
      <c r="FQ66" s="491"/>
      <c r="FR66" s="491"/>
      <c r="FS66" s="491"/>
      <c r="FT66" s="491"/>
      <c r="FU66" s="491"/>
      <c r="FV66" s="491"/>
      <c r="FW66" s="491"/>
    </row>
    <row r="67" spans="1:179" ht="13.8">
      <c r="A67" s="444"/>
      <c r="B67" s="444"/>
      <c r="C67" s="1465" t="s">
        <v>179</v>
      </c>
      <c r="D67" s="1351"/>
      <c r="E67" s="1351"/>
      <c r="F67" s="1351"/>
      <c r="G67" s="1351"/>
      <c r="H67" s="1351"/>
      <c r="I67" s="1351"/>
      <c r="J67" s="1351"/>
      <c r="K67" s="1351"/>
      <c r="L67" s="1351">
        <v>14.960629921259837</v>
      </c>
      <c r="M67" s="1351">
        <v>12.891609650702197</v>
      </c>
      <c r="N67" s="1351">
        <v>13.905216752387961</v>
      </c>
      <c r="O67" s="1351"/>
      <c r="P67" s="1351">
        <v>6.1969993476842733</v>
      </c>
      <c r="Q67" s="1351">
        <v>18.947368421052623</v>
      </c>
      <c r="R67" s="1351">
        <v>12.643122077084335</v>
      </c>
      <c r="S67" s="1351"/>
      <c r="T67" s="1351">
        <v>23.648648648648638</v>
      </c>
      <c r="U67" s="1351">
        <v>7.1869133816036435</v>
      </c>
      <c r="V67" s="1351">
        <v>14.860415175375795</v>
      </c>
      <c r="W67" s="1351"/>
      <c r="X67" s="1351">
        <v>2.6577247888723399</v>
      </c>
      <c r="Y67" s="1351">
        <v>9.7322992244183162</v>
      </c>
      <c r="Z67" s="1351">
        <v>6.1822260999626177</v>
      </c>
      <c r="AA67" s="1172"/>
      <c r="AB67" s="1172">
        <f t="shared" si="38"/>
        <v>-2.1533994676990131</v>
      </c>
      <c r="AC67" s="1172">
        <f t="shared" si="38"/>
        <v>-3.9443684450524374</v>
      </c>
      <c r="AD67" s="1172">
        <f t="shared" si="38"/>
        <v>-3.0754783425284704</v>
      </c>
      <c r="AE67" s="1172"/>
      <c r="AF67" s="1172">
        <f t="shared" si="39"/>
        <v>5.9841740850642866</v>
      </c>
      <c r="AG67" s="1172">
        <f t="shared" si="39"/>
        <v>6.1951103726560541</v>
      </c>
      <c r="AH67" s="1494">
        <f t="shared" si="39"/>
        <v>6.0918008962092873</v>
      </c>
      <c r="AI67" s="1172"/>
      <c r="AJ67" s="1172">
        <f t="shared" si="40"/>
        <v>7.3961735884274349</v>
      </c>
      <c r="AK67" s="1172">
        <f t="shared" si="40"/>
        <v>6.7277603933839858</v>
      </c>
      <c r="AL67" s="1494">
        <f t="shared" si="40"/>
        <v>7.0547945205479357</v>
      </c>
      <c r="AM67" s="1172"/>
      <c r="AN67" s="1172">
        <f t="shared" si="41"/>
        <v>19.226591353465139</v>
      </c>
      <c r="AO67" s="1172">
        <f t="shared" si="41"/>
        <v>3.6858638743455518</v>
      </c>
      <c r="AP67" s="1494">
        <f t="shared" si="41"/>
        <v>11.313712945190879</v>
      </c>
      <c r="AQ67" s="1172"/>
      <c r="AR67" s="1172">
        <f t="shared" si="42"/>
        <v>-18.239795918367353</v>
      </c>
      <c r="AS67" s="1172">
        <f t="shared" si="42"/>
        <v>-9.5132296505756386</v>
      </c>
      <c r="AT67" s="1494">
        <f t="shared" si="42"/>
        <v>-14.100967525625062</v>
      </c>
      <c r="AU67" s="1494"/>
      <c r="AV67" s="1172">
        <f t="shared" si="43"/>
        <v>-0.31201248049922414</v>
      </c>
      <c r="AW67" s="1172">
        <f t="shared" si="43"/>
        <v>10.000000000000009</v>
      </c>
      <c r="AX67" s="1172">
        <f t="shared" si="43"/>
        <v>4.8399687743950093</v>
      </c>
      <c r="AY67" s="1494"/>
      <c r="AZ67" s="1173">
        <f t="shared" si="44"/>
        <v>-2.4144869215291798</v>
      </c>
      <c r="BA67" s="1172">
        <f t="shared" si="44"/>
        <v>-4.504870129870131</v>
      </c>
      <c r="BB67" s="1494">
        <f t="shared" si="44"/>
        <v>-3.5102648654398494</v>
      </c>
      <c r="BC67" s="1172"/>
      <c r="BD67" s="1172">
        <f t="shared" si="45"/>
        <v>5.4982817869415834</v>
      </c>
      <c r="BE67" s="1172">
        <f t="shared" si="45"/>
        <v>1.5299617509562324</v>
      </c>
      <c r="BF67" s="1494">
        <f t="shared" si="45"/>
        <v>3.4395325763421969</v>
      </c>
      <c r="BG67" s="1172"/>
      <c r="BH67" s="1172">
        <f t="shared" si="46"/>
        <v>-2.6710097719869652</v>
      </c>
      <c r="BI67" s="1172">
        <f t="shared" si="46"/>
        <v>-4.3742151527835897</v>
      </c>
      <c r="BJ67" s="1494">
        <f t="shared" si="46"/>
        <v>-3.5383139720771561</v>
      </c>
      <c r="BK67" s="1172"/>
      <c r="BL67" s="1172">
        <f t="shared" si="47"/>
        <v>6.8942436412315899</v>
      </c>
      <c r="BM67" s="1172">
        <f t="shared" si="47"/>
        <v>4.7931713722915381</v>
      </c>
      <c r="BN67" s="1494">
        <f t="shared" si="47"/>
        <v>5.8336095459065263</v>
      </c>
      <c r="BO67" s="1172"/>
      <c r="BP67" s="1172">
        <f t="shared" si="48"/>
        <v>4.2997286579002258</v>
      </c>
      <c r="BQ67" s="1172">
        <f t="shared" si="48"/>
        <v>7.3934837092731742</v>
      </c>
      <c r="BR67" s="1494">
        <f t="shared" si="48"/>
        <v>5.8461217246059016</v>
      </c>
      <c r="BS67" s="1172"/>
      <c r="BT67" s="1172">
        <f t="shared" si="49"/>
        <v>4.3626175705423265</v>
      </c>
      <c r="BU67" s="1172">
        <f t="shared" si="49"/>
        <v>7.4679113185530888</v>
      </c>
      <c r="BV67" s="1494">
        <f t="shared" si="49"/>
        <v>5.9374691784199518</v>
      </c>
      <c r="BW67" s="1172"/>
      <c r="BX67" s="1172">
        <f t="shared" ref="BX67:BZ69" si="50">((BX18/BT18)-1)*100</f>
        <v>10.105465004793857</v>
      </c>
      <c r="BY67" s="1172">
        <f t="shared" si="50"/>
        <v>29.171190734708642</v>
      </c>
      <c r="BZ67" s="1494">
        <f t="shared" si="50"/>
        <v>19.914346895074942</v>
      </c>
      <c r="CA67" s="1172"/>
      <c r="CB67" s="1172">
        <f t="shared" ref="CB67:CD69" si="51">((CB18/BX18)-1)*100</f>
        <v>1.024142241977577</v>
      </c>
      <c r="CC67" s="1172">
        <f t="shared" si="51"/>
        <v>-21.902171853053019</v>
      </c>
      <c r="CD67" s="1494">
        <f t="shared" si="51"/>
        <v>-11.681450150128668</v>
      </c>
      <c r="CE67" s="1172"/>
      <c r="CF67" s="1172">
        <f t="shared" ref="CF67:CF69" si="52">((CF18/CB18)-1)*100</f>
        <v>-4.1759055543193035</v>
      </c>
      <c r="CG67" s="1172">
        <f t="shared" ref="CG67:CG69" si="53">((CG18/CC18)-1)*100</f>
        <v>2.2311763117999428</v>
      </c>
      <c r="CH67" s="1494">
        <f t="shared" ref="CH67:CH69" si="54">((CH18/CD18)-1)*100</f>
        <v>-1.03606220698369</v>
      </c>
      <c r="CI67" s="1172"/>
      <c r="CJ67" s="1172">
        <f t="shared" ref="CJ67" si="55">((CJ18/CF18)-1)*100</f>
        <v>2.381000749715434</v>
      </c>
      <c r="CK67" s="1172">
        <f t="shared" ref="CK67" si="56">((CK18/CG18)-1)*100</f>
        <v>-1.3271365963725135</v>
      </c>
      <c r="CL67" s="1172">
        <f t="shared" ref="CL67" si="57">((CL18/CH18)-1)*100</f>
        <v>0.50380349824266091</v>
      </c>
      <c r="CM67" s="1403"/>
      <c r="CN67" s="1465" t="s">
        <v>131</v>
      </c>
      <c r="CO67" s="1343">
        <v>1.3067837033064733</v>
      </c>
      <c r="CP67" s="1343">
        <v>1.3586178198345231</v>
      </c>
      <c r="CQ67" s="1343">
        <v>1.3586178198345231</v>
      </c>
      <c r="CR67" s="1343"/>
      <c r="CS67" s="1343">
        <v>1.2683783986917094</v>
      </c>
      <c r="CT67" s="1343">
        <v>1.2068841683446145</v>
      </c>
      <c r="CU67" s="1343">
        <v>1.2068841683446145</v>
      </c>
      <c r="CV67" s="1343"/>
      <c r="CW67" s="1343">
        <v>1.123836895651219</v>
      </c>
      <c r="CX67" s="1343">
        <v>1.0485091438407597</v>
      </c>
      <c r="CY67" s="1343">
        <v>1.0485091438407597</v>
      </c>
      <c r="CZ67" s="1343"/>
      <c r="DA67" s="1175">
        <f>MODEL!BH275*100</f>
        <v>0.9379724394461787</v>
      </c>
      <c r="DB67" s="1175">
        <f>MODEL!BI275*100</f>
        <v>0.89117037237167163</v>
      </c>
      <c r="DC67" s="1175">
        <f>MODEL!BJ275*100</f>
        <v>0.89117037237167163</v>
      </c>
      <c r="DD67" s="1175"/>
      <c r="DE67" s="1175">
        <f>MODEL!BL275*100</f>
        <v>0.83831404219753736</v>
      </c>
      <c r="DF67" s="1175">
        <f>MODEL!BM275*100</f>
        <v>0.7468993138705261</v>
      </c>
      <c r="DG67" s="1175">
        <f>MODEL!BN275*100</f>
        <v>0.7468993138705261</v>
      </c>
      <c r="DH67" s="1175"/>
      <c r="DI67" s="1175">
        <f>MODEL!BP275*100</f>
        <v>0.71540972658844759</v>
      </c>
      <c r="DJ67" s="1175">
        <f>MODEL!BQ275*100</f>
        <v>0.69861598555811022</v>
      </c>
      <c r="DK67" s="1175">
        <f>MODEL!BR275*100</f>
        <v>0.69861598555811022</v>
      </c>
      <c r="DL67" s="1175">
        <f>MODEL!BS275*100</f>
        <v>0</v>
      </c>
      <c r="DM67" s="1175">
        <f>MODEL!BT275*100</f>
        <v>0.72378827251158062</v>
      </c>
      <c r="DN67" s="1175">
        <f>MODEL!BU275*100</f>
        <v>0.72048765112069157</v>
      </c>
      <c r="DO67" s="1175">
        <f>MODEL!BV275*100</f>
        <v>0.72048765112069157</v>
      </c>
      <c r="DP67" s="1175"/>
      <c r="DQ67" s="1175">
        <f>MODEL!BX275*100</f>
        <v>0.69798352662461083</v>
      </c>
      <c r="DR67" s="1175">
        <f>MODEL!BY275*100</f>
        <v>0.64978391861790041</v>
      </c>
      <c r="DS67" s="1175">
        <f>MODEL!BZ275*100</f>
        <v>0.64978391861790041</v>
      </c>
      <c r="DT67" s="1175"/>
      <c r="DU67" s="1175">
        <f>MODEL!CB275*100</f>
        <v>0.60320512497839707</v>
      </c>
      <c r="DV67" s="1175">
        <f>MODEL!CC275*100</f>
        <v>0.56552947553423893</v>
      </c>
      <c r="DW67" s="1175">
        <f>MODEL!CD275*100</f>
        <v>0.56552947553423893</v>
      </c>
      <c r="DX67" s="1175"/>
      <c r="DY67" s="1175"/>
      <c r="DZ67" s="1175"/>
      <c r="EA67" s="1175">
        <f>MODEL!CH275*100</f>
        <v>0.67671783773307603</v>
      </c>
      <c r="EB67" s="1175"/>
      <c r="EC67" s="1175"/>
      <c r="ED67" s="1175"/>
      <c r="EE67" s="1175">
        <f>MODEL!CL275*100</f>
        <v>0.94757876678221598</v>
      </c>
      <c r="EF67" s="1175"/>
      <c r="EG67" s="1175"/>
      <c r="EH67" s="1175"/>
      <c r="EI67" s="1493">
        <f>MODEL!CP275*100</f>
        <v>0.7697911377834683</v>
      </c>
      <c r="EJ67" s="1175"/>
      <c r="EK67" s="1175"/>
      <c r="EL67" s="1175"/>
      <c r="EM67" s="1493">
        <f>MODEL!CT275*100</f>
        <v>0.64966068348147177</v>
      </c>
      <c r="EN67" s="1175"/>
      <c r="EO67" s="1175"/>
      <c r="EP67" s="1175"/>
      <c r="EQ67" s="1493">
        <f>MODEL!CX275*100</f>
        <v>0.61988032709656093</v>
      </c>
      <c r="ER67" s="1175"/>
      <c r="ES67" s="1175"/>
      <c r="ET67" s="1175"/>
      <c r="EU67" s="1175">
        <f>MODEL!DB275*100</f>
        <v>0.56403639551643692</v>
      </c>
      <c r="EV67" s="1175"/>
      <c r="EW67" s="1175"/>
      <c r="EX67" s="1175"/>
      <c r="EY67" s="1617">
        <f>MODEL!DF275*100</f>
        <v>0.57292160039138051</v>
      </c>
      <c r="EZ67" s="1175"/>
      <c r="FA67" s="1175"/>
      <c r="FB67" s="1175"/>
      <c r="FC67" s="1175">
        <f ca="1">MODEL!DJ275*100</f>
        <v>0.61468260121051821</v>
      </c>
      <c r="FD67" s="1175"/>
      <c r="FE67" s="1175"/>
      <c r="FF67" s="1175"/>
      <c r="FG67" s="1175">
        <f ca="1">MODEL!DN275*100</f>
        <v>0.60638932058816919</v>
      </c>
      <c r="FH67" s="1175"/>
      <c r="FI67" s="1175"/>
      <c r="FJ67" s="1175"/>
      <c r="FK67" s="1175">
        <f ca="1">MODEL!DR275*100</f>
        <v>0.61247713921991331</v>
      </c>
      <c r="FL67" s="444"/>
      <c r="FM67" s="463"/>
      <c r="FN67" s="463"/>
      <c r="FO67" s="492"/>
      <c r="FP67" s="492"/>
      <c r="FQ67" s="492"/>
      <c r="FR67" s="492"/>
      <c r="FS67" s="492"/>
      <c r="FT67" s="492"/>
      <c r="FU67" s="492"/>
      <c r="FV67" s="492"/>
      <c r="FW67" s="492"/>
    </row>
    <row r="68" spans="1:179" ht="13.8">
      <c r="A68" s="444"/>
      <c r="B68" s="444"/>
      <c r="C68" s="1497" t="s">
        <v>10</v>
      </c>
      <c r="D68" s="1351"/>
      <c r="E68" s="1351"/>
      <c r="F68" s="1351"/>
      <c r="G68" s="1351"/>
      <c r="H68" s="1351"/>
      <c r="I68" s="1351"/>
      <c r="J68" s="1351"/>
      <c r="K68" s="1351"/>
      <c r="L68" s="1351">
        <v>-7.1805006587615239</v>
      </c>
      <c r="M68" s="1351">
        <v>63.217247097844108</v>
      </c>
      <c r="N68" s="1351">
        <v>27.896215501569998</v>
      </c>
      <c r="O68" s="1351"/>
      <c r="P68" s="1351">
        <v>55.926188786373324</v>
      </c>
      <c r="Q68" s="1351">
        <v>-8.1284291810607598</v>
      </c>
      <c r="R68" s="1351">
        <v>15.195761726321223</v>
      </c>
      <c r="S68" s="1351"/>
      <c r="T68" s="1351">
        <v>2.0027309968138285</v>
      </c>
      <c r="U68" s="1351">
        <v>-3.1187790311877905</v>
      </c>
      <c r="V68" s="1351">
        <v>-0.59450364554122226</v>
      </c>
      <c r="W68" s="1351"/>
      <c r="X68" s="1351">
        <v>2.3427041499330725</v>
      </c>
      <c r="Y68" s="1351">
        <v>8.2648401826483919</v>
      </c>
      <c r="Z68" s="1351">
        <v>5.2696908147145116</v>
      </c>
      <c r="AA68" s="1180"/>
      <c r="AB68" s="1180">
        <f t="shared" si="38"/>
        <v>10.050141704817971</v>
      </c>
      <c r="AC68" s="1180">
        <f t="shared" si="38"/>
        <v>7.2543230704344097</v>
      </c>
      <c r="AD68" s="1180">
        <f t="shared" si="38"/>
        <v>8.6290063243648731</v>
      </c>
      <c r="AE68" s="1180"/>
      <c r="AF68" s="1180">
        <f t="shared" si="39"/>
        <v>6.6164817749603699</v>
      </c>
      <c r="AG68" s="1180">
        <f t="shared" si="39"/>
        <v>6.8816358631537566</v>
      </c>
      <c r="AH68" s="1498">
        <f t="shared" si="39"/>
        <v>6.7495559502664282</v>
      </c>
      <c r="AI68" s="1180"/>
      <c r="AJ68" s="1180">
        <f t="shared" si="40"/>
        <v>3.9018952062430223</v>
      </c>
      <c r="AK68" s="1180">
        <f t="shared" si="40"/>
        <v>2.409860191317148</v>
      </c>
      <c r="AL68" s="1498">
        <f t="shared" si="40"/>
        <v>3.1521538177112118</v>
      </c>
      <c r="AM68" s="1180"/>
      <c r="AN68" s="1180">
        <f t="shared" si="41"/>
        <v>-13.501430615164523</v>
      </c>
      <c r="AO68" s="1180">
        <f t="shared" si="41"/>
        <v>-4.4727860607149283</v>
      </c>
      <c r="AP68" s="1498">
        <f t="shared" si="41"/>
        <v>-8.9972219732950993</v>
      </c>
      <c r="AQ68" s="1180"/>
      <c r="AR68" s="1180">
        <f t="shared" si="42"/>
        <v>13.47942939838742</v>
      </c>
      <c r="AS68" s="1180">
        <f t="shared" si="42"/>
        <v>0.78977059044753606</v>
      </c>
      <c r="AT68" s="1498">
        <f t="shared" si="42"/>
        <v>6.8340718857705651</v>
      </c>
      <c r="AU68" s="1496"/>
      <c r="AV68" s="1180">
        <f t="shared" si="43"/>
        <v>-1.6760794315904493</v>
      </c>
      <c r="AW68" s="1180">
        <f t="shared" si="43"/>
        <v>-14.75746268656717</v>
      </c>
      <c r="AX68" s="1180">
        <f t="shared" si="43"/>
        <v>-8.1389989860816687</v>
      </c>
      <c r="AY68" s="1496"/>
      <c r="AZ68" s="1181">
        <f t="shared" si="44"/>
        <v>-0.29646099685010086</v>
      </c>
      <c r="BA68" s="1180">
        <f t="shared" si="44"/>
        <v>0.17509301816589495</v>
      </c>
      <c r="BB68" s="1498">
        <f t="shared" si="44"/>
        <v>-8.0272927955049589E-2</v>
      </c>
      <c r="BC68" s="1180"/>
      <c r="BD68" s="1180">
        <f t="shared" si="45"/>
        <v>-26.147556216316669</v>
      </c>
      <c r="BE68" s="1180">
        <f t="shared" si="45"/>
        <v>-3.9764037579200329</v>
      </c>
      <c r="BF68" s="1498">
        <f t="shared" si="45"/>
        <v>-15.957019481823664</v>
      </c>
      <c r="BG68" s="1180"/>
      <c r="BH68" s="1180">
        <f t="shared" si="46"/>
        <v>-0.8303975842979372</v>
      </c>
      <c r="BI68" s="1180">
        <f t="shared" si="46"/>
        <v>1.3651877133105783</v>
      </c>
      <c r="BJ68" s="1498">
        <f t="shared" si="46"/>
        <v>0.32261918986735694</v>
      </c>
      <c r="BK68" s="1180"/>
      <c r="BL68" s="1180">
        <f t="shared" si="47"/>
        <v>5.4808424257802635</v>
      </c>
      <c r="BM68" s="1180">
        <f t="shared" si="47"/>
        <v>7.9910213243546524</v>
      </c>
      <c r="BN68" s="1498">
        <f t="shared" si="47"/>
        <v>6.812767984754653</v>
      </c>
      <c r="BO68" s="1180"/>
      <c r="BP68" s="1180">
        <f t="shared" si="48"/>
        <v>33.341351936492657</v>
      </c>
      <c r="BQ68" s="1180">
        <f t="shared" si="48"/>
        <v>8.563708168779872</v>
      </c>
      <c r="BR68" s="1498">
        <f t="shared" si="48"/>
        <v>20.049063336306872</v>
      </c>
      <c r="BS68" s="1180"/>
      <c r="BT68" s="1180">
        <f t="shared" si="49"/>
        <v>-7.4147573516146537</v>
      </c>
      <c r="BU68" s="1180">
        <f t="shared" si="49"/>
        <v>-5.4949262875741862</v>
      </c>
      <c r="BV68" s="1498">
        <f t="shared" si="49"/>
        <v>-6.4833735835036261</v>
      </c>
      <c r="BW68" s="1180"/>
      <c r="BX68" s="1180">
        <f>((BX19/BT19)-1)*100</f>
        <v>2.3577552611067754</v>
      </c>
      <c r="BY68" s="1180">
        <f>((BY19/BU19)-1)*100</f>
        <v>-23.70340356564019</v>
      </c>
      <c r="BZ68" s="1498">
        <f>((BZ19/BV19)-1)*100</f>
        <v>-10.419149781485892</v>
      </c>
      <c r="CA68" s="1180"/>
      <c r="CB68" s="1180">
        <f ca="1">((CB19/BX19)-1)*100</f>
        <v>4.4770207505358872</v>
      </c>
      <c r="CC68" s="1180">
        <f ca="1">((CC19/BY19)-1)*100</f>
        <v>54.00671211357335</v>
      </c>
      <c r="CD68" s="1498">
        <f ca="1">((CD19/BZ19)-1)*100</f>
        <v>25.158783437441201</v>
      </c>
      <c r="CE68" s="1180"/>
      <c r="CF68" s="1180">
        <f ca="1">((CF19/CB19)-1)*100</f>
        <v>10.562232818967221</v>
      </c>
      <c r="CG68" s="1180">
        <f ca="1">((CG19/CC19)-1)*100</f>
        <v>5.1641150896634125</v>
      </c>
      <c r="CH68" s="1498">
        <f ca="1">((CH19/CD19)-1)*100</f>
        <v>7.7886406855968593</v>
      </c>
      <c r="CI68" s="1180"/>
      <c r="CJ68" s="1180">
        <f ca="1">((CJ19/CF19)-1)*100</f>
        <v>5.28790770876848</v>
      </c>
      <c r="CK68" s="1180">
        <f ca="1">((CK19/CG19)-1)*100</f>
        <v>8.5603140293682536</v>
      </c>
      <c r="CL68" s="1180">
        <f ca="1">((CL19/CH19)-1)*100</f>
        <v>6.9283541072024279</v>
      </c>
      <c r="CM68" s="1481"/>
      <c r="CN68" s="1385" t="s">
        <v>254</v>
      </c>
      <c r="CO68" s="1343">
        <v>1593</v>
      </c>
      <c r="CP68" s="1343">
        <v>1875</v>
      </c>
      <c r="CQ68" s="1343">
        <v>1875</v>
      </c>
      <c r="CR68" s="1351"/>
      <c r="CS68" s="1343">
        <v>1717</v>
      </c>
      <c r="CT68" s="1343">
        <v>1697</v>
      </c>
      <c r="CU68" s="1343">
        <v>1697</v>
      </c>
      <c r="CV68" s="1343"/>
      <c r="CW68" s="1343">
        <v>1714</v>
      </c>
      <c r="CX68" s="1343">
        <v>1773</v>
      </c>
      <c r="CY68" s="1343">
        <v>1773</v>
      </c>
      <c r="CZ68" s="1343"/>
      <c r="DA68" s="1178">
        <f>-MODEL!BH252</f>
        <v>1543</v>
      </c>
      <c r="DB68" s="1178">
        <f>-MODEL!BI252</f>
        <v>1467</v>
      </c>
      <c r="DC68" s="1178">
        <f>-MODEL!BJ252</f>
        <v>1467</v>
      </c>
      <c r="DD68" s="1178"/>
      <c r="DE68" s="1178">
        <f>-MODEL!BL252</f>
        <v>1470</v>
      </c>
      <c r="DF68" s="1178">
        <f>-MODEL!BM252</f>
        <v>1176</v>
      </c>
      <c r="DG68" s="1178">
        <f>-MODEL!BN252</f>
        <v>1176</v>
      </c>
      <c r="DH68" s="1178"/>
      <c r="DI68" s="1178">
        <f>-MODEL!BP252</f>
        <v>1114</v>
      </c>
      <c r="DJ68" s="1178">
        <f>-MODEL!BQ252</f>
        <v>1061</v>
      </c>
      <c r="DK68" s="1178">
        <f>-MODEL!BR252</f>
        <v>1061</v>
      </c>
      <c r="DL68" s="1178">
        <f>-MODEL!BS252</f>
        <v>0</v>
      </c>
      <c r="DM68" s="1178">
        <f>-MODEL!BT252</f>
        <v>1238</v>
      </c>
      <c r="DN68" s="1178">
        <f>-MODEL!BU252</f>
        <v>1307</v>
      </c>
      <c r="DO68" s="1178">
        <f>-MODEL!BV252</f>
        <v>1307</v>
      </c>
      <c r="DP68" s="1178"/>
      <c r="DQ68" s="1178">
        <f>-MODEL!BX252</f>
        <v>1269</v>
      </c>
      <c r="DR68" s="1178">
        <f>-MODEL!BY252</f>
        <v>1136</v>
      </c>
      <c r="DS68" s="1178">
        <f>-MODEL!BZ252</f>
        <v>1136</v>
      </c>
      <c r="DT68" s="1178"/>
      <c r="DU68" s="1178">
        <f>-MODEL!CB252</f>
        <v>1016</v>
      </c>
      <c r="DV68" s="1178">
        <f>-MODEL!CC252</f>
        <v>920</v>
      </c>
      <c r="DW68" s="1178">
        <f>-MODEL!CD252</f>
        <v>920</v>
      </c>
      <c r="DX68" s="1178"/>
      <c r="DY68" s="1178"/>
      <c r="DZ68" s="1178"/>
      <c r="EA68" s="1178">
        <f>-MODEL!CH252</f>
        <v>814</v>
      </c>
      <c r="EB68" s="1178"/>
      <c r="EC68" s="1178"/>
      <c r="ED68" s="1178"/>
      <c r="EE68" s="1178">
        <f>-MODEL!CL252</f>
        <v>891</v>
      </c>
      <c r="EF68" s="1178"/>
      <c r="EG68" s="1178"/>
      <c r="EH68" s="1178"/>
      <c r="EI68" s="1455">
        <f>-MODEL!CP252</f>
        <v>687</v>
      </c>
      <c r="EJ68" s="1178"/>
      <c r="EK68" s="1178"/>
      <c r="EL68" s="1178"/>
      <c r="EM68" s="1455">
        <f>-MODEL!CT252</f>
        <v>542</v>
      </c>
      <c r="EN68" s="1178"/>
      <c r="EO68" s="1178"/>
      <c r="EP68" s="1178"/>
      <c r="EQ68" s="1455">
        <f>-MODEL!CX252</f>
        <v>376</v>
      </c>
      <c r="ER68" s="1178"/>
      <c r="ES68" s="1178"/>
      <c r="ET68" s="1178"/>
      <c r="EU68" s="1178">
        <f>-MODEL!DB252</f>
        <v>308</v>
      </c>
      <c r="EV68" s="1178"/>
      <c r="EW68" s="1178"/>
      <c r="EX68" s="1178"/>
      <c r="EY68" s="1618">
        <f>-MODEL!DF252</f>
        <v>399</v>
      </c>
      <c r="EZ68" s="1178"/>
      <c r="FA68" s="1178"/>
      <c r="FB68" s="1178"/>
      <c r="FC68" s="1178">
        <f>-MODEL!DJ252</f>
        <v>974.01297909358971</v>
      </c>
      <c r="FD68" s="1178"/>
      <c r="FE68" s="1178"/>
      <c r="FF68" s="1178"/>
      <c r="FG68" s="1178">
        <f>-MODEL!DN252</f>
        <v>1082.7519971673873</v>
      </c>
      <c r="FH68" s="1178"/>
      <c r="FI68" s="1178"/>
      <c r="FJ68" s="1178"/>
      <c r="FK68" s="1178">
        <f>-MODEL!DR252</f>
        <v>1194.0338811790928</v>
      </c>
      <c r="FL68" s="444"/>
      <c r="FM68" s="445"/>
      <c r="FN68" s="445"/>
      <c r="FO68" s="494"/>
      <c r="FP68" s="494"/>
      <c r="FQ68" s="494"/>
      <c r="FR68" s="494"/>
      <c r="FS68" s="494"/>
      <c r="FT68" s="494"/>
      <c r="FU68" s="494"/>
      <c r="FV68" s="494"/>
      <c r="FW68" s="494"/>
    </row>
    <row r="69" spans="1:179" ht="13.8">
      <c r="A69" s="444"/>
      <c r="B69" s="444"/>
      <c r="C69" s="1465" t="s">
        <v>15</v>
      </c>
      <c r="D69" s="1351"/>
      <c r="E69" s="1351"/>
      <c r="F69" s="1351"/>
      <c r="G69" s="1351"/>
      <c r="H69" s="1351"/>
      <c r="I69" s="1351"/>
      <c r="J69" s="1351"/>
      <c r="K69" s="1351"/>
      <c r="L69" s="1351">
        <v>101.61527165932452</v>
      </c>
      <c r="M69" s="1351">
        <v>28.808208366219425</v>
      </c>
      <c r="N69" s="1351">
        <v>54.26078028747434</v>
      </c>
      <c r="O69" s="1351"/>
      <c r="P69" s="1351">
        <v>-21.19446467589221</v>
      </c>
      <c r="Q69" s="1351">
        <v>-56.80147058823529</v>
      </c>
      <c r="R69" s="1351">
        <v>-40.532445923460905</v>
      </c>
      <c r="S69" s="1351"/>
      <c r="T69" s="1351">
        <v>-39.001848428835494</v>
      </c>
      <c r="U69" s="1351">
        <v>-20.567375886524818</v>
      </c>
      <c r="V69" s="1351">
        <v>-31.72915500839396</v>
      </c>
      <c r="W69" s="1351"/>
      <c r="X69" s="1351">
        <v>-13.636363636363635</v>
      </c>
      <c r="Y69" s="1351">
        <v>22.857142857142865</v>
      </c>
      <c r="Z69" s="1351">
        <v>3.1147540983606614</v>
      </c>
      <c r="AA69" s="1172"/>
      <c r="AB69" s="1172">
        <f t="shared" si="38"/>
        <v>5.0877192982456076</v>
      </c>
      <c r="AC69" s="1172">
        <f t="shared" si="38"/>
        <v>-13.08139534883721</v>
      </c>
      <c r="AD69" s="1172">
        <f t="shared" si="38"/>
        <v>-4.8489666136725003</v>
      </c>
      <c r="AE69" s="1172"/>
      <c r="AF69" s="1172">
        <f t="shared" si="39"/>
        <v>-11.853088480801333</v>
      </c>
      <c r="AG69" s="1172">
        <f t="shared" si="39"/>
        <v>-22.909698996655514</v>
      </c>
      <c r="AH69" s="1494">
        <f t="shared" si="39"/>
        <v>-17.376775271512113</v>
      </c>
      <c r="AI69" s="1172"/>
      <c r="AJ69" s="1172">
        <f t="shared" si="40"/>
        <v>-3.4090909090909061</v>
      </c>
      <c r="AK69" s="1172">
        <f t="shared" si="40"/>
        <v>50.759219088937101</v>
      </c>
      <c r="AL69" s="1494">
        <f t="shared" si="40"/>
        <v>21.840242669362997</v>
      </c>
      <c r="AM69" s="1172"/>
      <c r="AN69" s="1172">
        <f t="shared" si="41"/>
        <v>80</v>
      </c>
      <c r="AO69" s="1172">
        <f t="shared" si="41"/>
        <v>49.352517985611513</v>
      </c>
      <c r="AP69" s="1494">
        <f t="shared" si="41"/>
        <v>62.323651452282157</v>
      </c>
      <c r="AQ69" s="1172"/>
      <c r="AR69" s="1172">
        <f t="shared" si="42"/>
        <v>-21.568627450980394</v>
      </c>
      <c r="AS69" s="1172">
        <f t="shared" si="42"/>
        <v>-53.853564547206169</v>
      </c>
      <c r="AT69" s="1494">
        <f t="shared" si="42"/>
        <v>-38.701431492842531</v>
      </c>
      <c r="AU69" s="1494"/>
      <c r="AV69" s="1172">
        <f t="shared" si="43"/>
        <v>-43.333333333333336</v>
      </c>
      <c r="AW69" s="1172">
        <f t="shared" si="43"/>
        <v>-41.544885177453025</v>
      </c>
      <c r="AX69" s="1172">
        <f t="shared" si="43"/>
        <v>-42.618849040867389</v>
      </c>
      <c r="AY69" s="1494"/>
      <c r="AZ69" s="1173">
        <f t="shared" si="44"/>
        <v>-3.6764705882352922</v>
      </c>
      <c r="BA69" s="1172">
        <f t="shared" si="44"/>
        <v>43.571428571428569</v>
      </c>
      <c r="BB69" s="1494">
        <f t="shared" si="44"/>
        <v>15.552325581395344</v>
      </c>
      <c r="BC69" s="1172"/>
      <c r="BD69" s="1172">
        <f t="shared" si="45"/>
        <v>325.95419847328247</v>
      </c>
      <c r="BE69" s="1172">
        <f t="shared" si="45"/>
        <v>164.67661691542287</v>
      </c>
      <c r="BF69" s="1494">
        <f t="shared" si="45"/>
        <v>244.40251572327045</v>
      </c>
      <c r="BG69" s="1172"/>
      <c r="BH69" s="1172">
        <f t="shared" si="46"/>
        <v>-129.33094384707289</v>
      </c>
      <c r="BI69" s="1172">
        <f t="shared" si="46"/>
        <v>-107.14285714285714</v>
      </c>
      <c r="BJ69" s="1494">
        <f t="shared" si="46"/>
        <v>-120.70854638422206</v>
      </c>
      <c r="BK69" s="1172"/>
      <c r="BL69" s="1172">
        <f t="shared" si="47"/>
        <v>-42.158859470468435</v>
      </c>
      <c r="BM69" s="1172">
        <f t="shared" si="47"/>
        <v>-168.42105263157893</v>
      </c>
      <c r="BN69" s="1494">
        <f t="shared" si="47"/>
        <v>-59.082892416225754</v>
      </c>
      <c r="BO69" s="1172"/>
      <c r="BP69" s="1172">
        <f t="shared" si="48"/>
        <v>-146.83098591549296</v>
      </c>
      <c r="BQ69" s="1172">
        <f t="shared" si="48"/>
        <v>115.38461538461537</v>
      </c>
      <c r="BR69" s="1494">
        <f t="shared" si="48"/>
        <v>-205.60344827586209</v>
      </c>
      <c r="BS69" s="1172"/>
      <c r="BT69" s="1172">
        <f t="shared" si="49"/>
        <v>-47.368421052631582</v>
      </c>
      <c r="BU69" s="1172">
        <f t="shared" si="49"/>
        <v>200</v>
      </c>
      <c r="BV69" s="1494">
        <f t="shared" si="49"/>
        <v>65.714285714285722</v>
      </c>
      <c r="BW69" s="1172"/>
      <c r="BX69" s="1172">
        <f t="shared" si="50"/>
        <v>107.14285714285717</v>
      </c>
      <c r="BY69" s="1172">
        <f t="shared" si="50"/>
        <v>-11.904761904761907</v>
      </c>
      <c r="BZ69" s="1494">
        <f t="shared" si="50"/>
        <v>8.6206896551724199</v>
      </c>
      <c r="CA69" s="1172"/>
      <c r="CB69" s="1172">
        <f t="shared" si="51"/>
        <v>44.398908767443231</v>
      </c>
      <c r="CC69" s="1172">
        <f t="shared" si="51"/>
        <v>16.270602635402319</v>
      </c>
      <c r="CD69" s="1494">
        <f t="shared" si="51"/>
        <v>25.519138665211692</v>
      </c>
      <c r="CE69" s="1172"/>
      <c r="CF69" s="1172">
        <f t="shared" si="52"/>
        <v>88.005286722395354</v>
      </c>
      <c r="CG69" s="1172">
        <f t="shared" si="53"/>
        <v>17.795529322926896</v>
      </c>
      <c r="CH69" s="1494">
        <f t="shared" si="54"/>
        <v>44.352641376925831</v>
      </c>
      <c r="CI69" s="1172"/>
      <c r="CJ69" s="1172">
        <f t="shared" ref="CJ69" si="58">((CJ20/CF20)-1)*100</f>
        <v>16.416512459289233</v>
      </c>
      <c r="CK69" s="1172">
        <f t="shared" ref="CK69" si="59">((CK20/CG20)-1)*100</f>
        <v>15.4879457528877</v>
      </c>
      <c r="CL69" s="1172">
        <f t="shared" ref="CL69" si="60">((CL20/CH20)-1)*100</f>
        <v>15.945393832212606</v>
      </c>
      <c r="CM69" s="1481"/>
      <c r="CN69" s="1401" t="s">
        <v>513</v>
      </c>
      <c r="CO69" s="1343">
        <v>24.279835390946502</v>
      </c>
      <c r="CP69" s="1343">
        <v>28.577960676726111</v>
      </c>
      <c r="CQ69" s="1343">
        <v>28.577960676726111</v>
      </c>
      <c r="CR69" s="1343"/>
      <c r="CS69" s="1343">
        <v>27.600064298344318</v>
      </c>
      <c r="CT69" s="1343">
        <v>30.406737143881024</v>
      </c>
      <c r="CU69" s="1343">
        <v>30.406737143881024</v>
      </c>
      <c r="CV69" s="1343"/>
      <c r="CW69" s="1343">
        <v>32.079356166947406</v>
      </c>
      <c r="CX69" s="1343">
        <v>34.122401847575055</v>
      </c>
      <c r="CY69" s="1343">
        <v>34.122401847575055</v>
      </c>
      <c r="CZ69" s="1343"/>
      <c r="DA69" s="1184">
        <f>MODEL!BH272*100</f>
        <v>32.934898612593386</v>
      </c>
      <c r="DB69" s="1184">
        <f>MODEL!BI272*100</f>
        <v>34.404315196998127</v>
      </c>
      <c r="DC69" s="1184">
        <f>MODEL!BJ272*100</f>
        <v>34.404315196998127</v>
      </c>
      <c r="DD69" s="1184"/>
      <c r="DE69" s="1184">
        <f>MODEL!BL272*100</f>
        <v>40.607734806629836</v>
      </c>
      <c r="DF69" s="1184">
        <f>MODEL!BM272*100</f>
        <v>40.706126687435102</v>
      </c>
      <c r="DG69" s="1184">
        <f>MODEL!BN272*100</f>
        <v>40.706126687435102</v>
      </c>
      <c r="DH69" s="1184"/>
      <c r="DI69" s="1184">
        <f>MODEL!BP272*100</f>
        <v>41.137370753323488</v>
      </c>
      <c r="DJ69" s="1184">
        <f>MODEL!BQ272*100</f>
        <v>39.021699154100773</v>
      </c>
      <c r="DK69" s="1184">
        <f>MODEL!BR272*100</f>
        <v>39.021699154100773</v>
      </c>
      <c r="DL69" s="1184">
        <f>MODEL!BS272*100</f>
        <v>0</v>
      </c>
      <c r="DM69" s="1184">
        <f>MODEL!BT272*100</f>
        <v>42.941380506416927</v>
      </c>
      <c r="DN69" s="1184">
        <f>MODEL!BU272*100</f>
        <v>41.191301607311694</v>
      </c>
      <c r="DO69" s="1184">
        <f>MODEL!BV272*100</f>
        <v>41.191301607311694</v>
      </c>
      <c r="DP69" s="1184"/>
      <c r="DQ69" s="1184">
        <f>MODEL!BX272*100</f>
        <v>43.163265306122447</v>
      </c>
      <c r="DR69" s="1184">
        <f>MODEL!BY272*100</f>
        <v>47.651006711409394</v>
      </c>
      <c r="DS69" s="1184">
        <f>MODEL!BZ272*100</f>
        <v>47.651006711409394</v>
      </c>
      <c r="DT69" s="1184"/>
      <c r="DU69" s="1184">
        <f>MODEL!CB272*100</f>
        <v>49.95083579154376</v>
      </c>
      <c r="DV69" s="1184">
        <f>MODEL!CC272*100</f>
        <v>43.01075268817204</v>
      </c>
      <c r="DW69" s="1184">
        <f>MODEL!CD272*100</f>
        <v>43.01075268817204</v>
      </c>
      <c r="DX69" s="1184"/>
      <c r="DY69" s="1184"/>
      <c r="DZ69" s="1184"/>
      <c r="EA69" s="1184">
        <f>MODEL!CH272*100</f>
        <v>40.11828486939379</v>
      </c>
      <c r="EB69" s="1184"/>
      <c r="EC69" s="1184"/>
      <c r="ED69" s="1184"/>
      <c r="EE69" s="1184">
        <f>MODEL!CL272*100</f>
        <v>36.234241561610411</v>
      </c>
      <c r="EF69" s="1184"/>
      <c r="EG69" s="1184"/>
      <c r="EH69" s="1184"/>
      <c r="EI69" s="1499">
        <f>MODEL!CP272*100</f>
        <v>34.961832061068705</v>
      </c>
      <c r="EJ69" s="1184"/>
      <c r="EK69" s="1184"/>
      <c r="EL69" s="1184"/>
      <c r="EM69" s="1499">
        <f>MODEL!CT272*100</f>
        <v>37.508650519031136</v>
      </c>
      <c r="EN69" s="1184"/>
      <c r="EO69" s="1184"/>
      <c r="EP69" s="1184"/>
      <c r="EQ69" s="1499">
        <f>MODEL!CX272*100</f>
        <v>24.720578566732414</v>
      </c>
      <c r="ER69" s="1184"/>
      <c r="ES69" s="1184"/>
      <c r="ET69" s="1184"/>
      <c r="EU69" s="1184">
        <f>MODEL!DB272*100</f>
        <v>18.192557590076785</v>
      </c>
      <c r="EV69" s="1184"/>
      <c r="EW69" s="1184"/>
      <c r="EX69" s="1184"/>
      <c r="EY69" s="1620">
        <f>MODEL!DF272*100</f>
        <v>15.721040189125295</v>
      </c>
      <c r="EZ69" s="1184"/>
      <c r="FA69" s="1184"/>
      <c r="FB69" s="1184"/>
      <c r="FC69" s="1184">
        <f>MODEL!DJ272*100</f>
        <v>35</v>
      </c>
      <c r="FD69" s="1184"/>
      <c r="FE69" s="1184"/>
      <c r="FF69" s="1184"/>
      <c r="FG69" s="1184">
        <f>MODEL!DN272*100</f>
        <v>35</v>
      </c>
      <c r="FH69" s="1184"/>
      <c r="FI69" s="1184"/>
      <c r="FJ69" s="1184"/>
      <c r="FK69" s="1184">
        <f>MODEL!DR272*100</f>
        <v>34.999999999999993</v>
      </c>
      <c r="FL69" s="444"/>
      <c r="FM69" s="445"/>
      <c r="FN69" s="445"/>
      <c r="FO69" s="491"/>
      <c r="FP69" s="491"/>
      <c r="FQ69" s="491"/>
      <c r="FR69" s="491"/>
      <c r="FS69" s="491"/>
      <c r="FT69" s="491"/>
      <c r="FU69" s="491"/>
      <c r="FV69" s="491"/>
      <c r="FW69" s="491"/>
    </row>
    <row r="70" spans="1:179" ht="13.8">
      <c r="A70" s="444"/>
      <c r="B70" s="444"/>
      <c r="C70" s="1097" t="s">
        <v>888</v>
      </c>
      <c r="D70" s="1500"/>
      <c r="E70" s="1500"/>
      <c r="F70" s="1500"/>
      <c r="G70" s="1500"/>
      <c r="H70" s="1500"/>
      <c r="I70" s="1500"/>
      <c r="J70" s="1500"/>
      <c r="K70" s="1500"/>
      <c r="L70" s="1500">
        <v>-43.01075268817204</v>
      </c>
      <c r="M70" s="1500">
        <v>79.26199261992619</v>
      </c>
      <c r="N70" s="1500">
        <v>11.687025420931008</v>
      </c>
      <c r="O70" s="1500"/>
      <c r="P70" s="1500">
        <v>149.0566037735849</v>
      </c>
      <c r="Q70" s="1500">
        <v>13.503499382461914</v>
      </c>
      <c r="R70" s="1500">
        <v>51.729234407330772</v>
      </c>
      <c r="S70" s="1500"/>
      <c r="T70" s="1500">
        <v>14.604377104377097</v>
      </c>
      <c r="U70" s="1500">
        <v>-0.47152702212549524</v>
      </c>
      <c r="V70" s="1500">
        <v>6.5069160335086584</v>
      </c>
      <c r="W70" s="1500"/>
      <c r="X70" s="1500">
        <v>6.3532868160117495</v>
      </c>
      <c r="Y70" s="1500">
        <v>6.9241982507288524</v>
      </c>
      <c r="Z70" s="1500">
        <v>6.6398390342052416</v>
      </c>
      <c r="AA70" s="1182"/>
      <c r="AB70" s="1182">
        <f>((AB24/X24)-1)*100</f>
        <v>9.7720994475138045</v>
      </c>
      <c r="AC70" s="1182">
        <f>((AC24/Y24)-1)*100</f>
        <v>12.91751874573961</v>
      </c>
      <c r="AD70" s="1182">
        <f>((AD24/Z24)-1)*100</f>
        <v>11.355060034305309</v>
      </c>
      <c r="AE70" s="1182"/>
      <c r="AF70" s="1182">
        <f>((AF24/AB24)-1)*100</f>
        <v>10.569361434413338</v>
      </c>
      <c r="AG70" s="1182">
        <f>((AG24/AC24)-1)*100</f>
        <v>8.7232115907032828</v>
      </c>
      <c r="AH70" s="1501">
        <f>((AH24/AD24)-1)*100</f>
        <v>9.6272335181762259</v>
      </c>
      <c r="AI70" s="1182"/>
      <c r="AJ70" s="1182">
        <f>((AJ24/AF24)-1)*100</f>
        <v>4.5803698435277429</v>
      </c>
      <c r="AK70" s="1182">
        <f>((AK24/AG24)-1)*100</f>
        <v>-1.7212659633536909</v>
      </c>
      <c r="AL70" s="1501">
        <f>((AL24/AH24)-1)*100</f>
        <v>1.391035548686248</v>
      </c>
      <c r="AM70" s="1182"/>
      <c r="AN70" s="1182">
        <f>((AN24/AJ24)-1)*100</f>
        <v>-24.319912948857457</v>
      </c>
      <c r="AO70" s="1182">
        <f>((AO24/AK24)-1)*100</f>
        <v>-12.231638418079093</v>
      </c>
      <c r="AP70" s="1501">
        <f>((AP24/AL24)-1)*100</f>
        <v>-18.389689578713963</v>
      </c>
      <c r="AQ70" s="1182"/>
      <c r="AR70" s="1182">
        <f>((AR24/AN24)-1)*100</f>
        <v>20.596693026599567</v>
      </c>
      <c r="AS70" s="1182">
        <f>((AS24/AO24)-1)*100</f>
        <v>11.168329578371416</v>
      </c>
      <c r="AT70" s="1501">
        <f>((AT24/AP24)-1)*100</f>
        <v>15.622346748174554</v>
      </c>
      <c r="AU70" s="1501"/>
      <c r="AV70" s="1182">
        <f>((AV24/AR24)-1)*100</f>
        <v>4.1132637853949383</v>
      </c>
      <c r="AW70" s="1182">
        <f>((AW24/AS24)-1)*100</f>
        <v>-13.317892298784017</v>
      </c>
      <c r="AX70" s="1182">
        <f>((AX24/AT24)-1)*100</f>
        <v>-4.7290351006021414</v>
      </c>
      <c r="AY70" s="1501"/>
      <c r="AZ70" s="1183">
        <f>((AZ24/AV24)-1)*100</f>
        <v>2.0326367019753766</v>
      </c>
      <c r="BA70" s="1182">
        <f>((BA24/AW24)-1)*100</f>
        <v>-2.9392117568470266</v>
      </c>
      <c r="BB70" s="1501">
        <f>((BB24/AX24)-1)*100</f>
        <v>-0.26206258671188642</v>
      </c>
      <c r="BC70" s="1182"/>
      <c r="BD70" s="1182">
        <f>((BD24/AZ24)-1)*100</f>
        <v>-60.353535353535356</v>
      </c>
      <c r="BE70" s="1182">
        <f>((BE24/BA24)-1)*100</f>
        <v>-19.304886441844459</v>
      </c>
      <c r="BF70" s="1501">
        <f>((BF24/BB24)-1)*100</f>
        <v>-41.91653786707883</v>
      </c>
      <c r="BG70" s="1182"/>
      <c r="BH70" s="1182">
        <f>((BH24/BD24)-1)*100</f>
        <v>111.6065109695683</v>
      </c>
      <c r="BI70" s="1182">
        <f>((BI24/BE24)-1)*100</f>
        <v>36.80170575692965</v>
      </c>
      <c r="BJ70" s="1501">
        <f>((BJ24/BF24)-1)*100</f>
        <v>64.928153273017557</v>
      </c>
      <c r="BK70" s="1182"/>
      <c r="BL70" s="1182">
        <f>((BL24/BH24)-1)*100</f>
        <v>4.1137123745819348</v>
      </c>
      <c r="BM70" s="1182">
        <f>((BM24/BI24)-1)*100</f>
        <v>6.0473815461346669</v>
      </c>
      <c r="BN70" s="1501">
        <f>((BN24/BJ24)-1)*100</f>
        <v>5.1145530816392393</v>
      </c>
      <c r="BO70" s="1182"/>
      <c r="BP70" s="1182">
        <f>((BP24/BL24)-1)*100</f>
        <v>23.000321233536791</v>
      </c>
      <c r="BQ70" s="1182">
        <f>((BQ24/BM24)-1)*100</f>
        <v>5.3497942386831365</v>
      </c>
      <c r="BR70" s="1501">
        <f>((BR24/BN24)-1)*100</f>
        <v>13.783576362240989</v>
      </c>
      <c r="BS70" s="1182"/>
      <c r="BT70" s="1182">
        <f>((BT24/BP24)-1)*100</f>
        <v>-7.2342648211021103</v>
      </c>
      <c r="BU70" s="1182">
        <f>((BU24/BQ24)-1)*100</f>
        <v>-11.467633928571431</v>
      </c>
      <c r="BV70" s="1501">
        <f>((BV24/BR24)-1)*100</f>
        <v>-9.2809928503979506</v>
      </c>
      <c r="BW70" s="1182"/>
      <c r="BX70" s="1182">
        <f>((BX24/BT24)-1)*100</f>
        <v>0.45045045045044585</v>
      </c>
      <c r="BY70" s="1182">
        <f>((BY24/BU24)-1)*100</f>
        <v>-30.066183422628423</v>
      </c>
      <c r="BZ70" s="1501">
        <f>((BZ24/BV24)-1)*100</f>
        <v>-13.947955390334577</v>
      </c>
      <c r="CA70" s="1182"/>
      <c r="CB70" s="1182">
        <f ca="1">((CB24/BX24)-1)*100</f>
        <v>3.7430951522019251</v>
      </c>
      <c r="CC70" s="1182">
        <f ca="1">((CC24/BY24)-1)*100</f>
        <v>72.43311920006532</v>
      </c>
      <c r="CD70" s="1501">
        <f ca="1">((CD24/BZ24)-1)*100</f>
        <v>30.081986350095271</v>
      </c>
      <c r="CE70" s="1182"/>
      <c r="CF70" s="1182">
        <f ca="1">((CF24/CB24)-1)*100</f>
        <v>7.5310021972404328</v>
      </c>
      <c r="CG70" s="1182">
        <f ca="1">((CG24/CC24)-1)*100</f>
        <v>4.3901222260194661</v>
      </c>
      <c r="CH70" s="1501">
        <f ca="1">((CH24/CD24)-1)*100</f>
        <v>5.934539834183794</v>
      </c>
      <c r="CI70" s="1182"/>
      <c r="CJ70" s="1182">
        <f ca="1">((CJ24/CF24)-1)*100</f>
        <v>4.5385631266779081</v>
      </c>
      <c r="CK70" s="1182">
        <f ca="1">((CK24/CG24)-1)*100</f>
        <v>8.107467826107273</v>
      </c>
      <c r="CL70" s="1182">
        <f ca="1">((CL24/CH24)-1)*100</f>
        <v>6.3261374880031696</v>
      </c>
      <c r="CM70" s="1481"/>
      <c r="CN70" s="1385" t="s">
        <v>411</v>
      </c>
      <c r="CO70" s="1343">
        <v>3037</v>
      </c>
      <c r="CP70" s="1343">
        <v>3153</v>
      </c>
      <c r="CQ70" s="1343">
        <v>3153</v>
      </c>
      <c r="CR70" s="1343"/>
      <c r="CS70" s="1343">
        <v>3177</v>
      </c>
      <c r="CT70" s="1343">
        <v>3176</v>
      </c>
      <c r="CU70" s="1343">
        <v>3176</v>
      </c>
      <c r="CV70" s="1343"/>
      <c r="CW70" s="1343">
        <v>2994</v>
      </c>
      <c r="CX70" s="1343">
        <v>2765</v>
      </c>
      <c r="CY70" s="1343">
        <v>2765</v>
      </c>
      <c r="CZ70" s="1343"/>
      <c r="DA70" s="1178">
        <f>-MODEL!BH244</f>
        <v>2769</v>
      </c>
      <c r="DB70" s="1178">
        <f>-MODEL!BI244</f>
        <v>2887</v>
      </c>
      <c r="DC70" s="1178">
        <f>-MODEL!BJ244</f>
        <v>2887</v>
      </c>
      <c r="DD70" s="1178"/>
      <c r="DE70" s="1178">
        <f>-MODEL!BL244</f>
        <v>2843</v>
      </c>
      <c r="DF70" s="1178">
        <f>-MODEL!BM244</f>
        <v>2757</v>
      </c>
      <c r="DG70" s="1178">
        <f>-MODEL!BN244</f>
        <v>2757</v>
      </c>
      <c r="DH70" s="1178"/>
      <c r="DI70" s="1178">
        <f>-MODEL!BP244</f>
        <v>2914</v>
      </c>
      <c r="DJ70" s="1178">
        <f>-MODEL!BQ244</f>
        <v>2956</v>
      </c>
      <c r="DK70" s="1178">
        <f>-MODEL!BR244</f>
        <v>2956</v>
      </c>
      <c r="DL70" s="1178">
        <f>-MODEL!BS244</f>
        <v>0</v>
      </c>
      <c r="DM70" s="1178">
        <f>-MODEL!BT244</f>
        <v>2862</v>
      </c>
      <c r="DN70" s="1178">
        <f>-MODEL!BU244</f>
        <v>2876</v>
      </c>
      <c r="DO70" s="1178">
        <f>-MODEL!BV244</f>
        <v>2876</v>
      </c>
      <c r="DP70" s="1178"/>
      <c r="DQ70" s="1178">
        <f>-MODEL!BX244</f>
        <v>2785</v>
      </c>
      <c r="DR70" s="1178">
        <f>-MODEL!BY244</f>
        <v>2662</v>
      </c>
      <c r="DS70" s="1178">
        <f>-MODEL!BZ244</f>
        <v>2662</v>
      </c>
      <c r="DT70" s="1178"/>
      <c r="DU70" s="1178">
        <f>-MODEL!CB244</f>
        <v>2579</v>
      </c>
      <c r="DV70" s="1178">
        <f>-MODEL!CC244</f>
        <v>2523</v>
      </c>
      <c r="DW70" s="1178">
        <f>-MODEL!CD244</f>
        <v>2523</v>
      </c>
      <c r="DX70" s="1178"/>
      <c r="DY70" s="1178"/>
      <c r="DZ70" s="1178"/>
      <c r="EA70" s="1178">
        <f>-MODEL!CH244</f>
        <v>3376</v>
      </c>
      <c r="EB70" s="1178"/>
      <c r="EC70" s="1178"/>
      <c r="ED70" s="1178"/>
      <c r="EE70" s="1178">
        <f>-MODEL!CL244</f>
        <v>5008</v>
      </c>
      <c r="EF70" s="1178"/>
      <c r="EG70" s="1455">
        <f>-MODEL!CN244</f>
        <v>4285</v>
      </c>
      <c r="EH70" s="1455">
        <f>-MODEL!CO244</f>
        <v>4195</v>
      </c>
      <c r="EI70" s="1455">
        <f>-MODEL!CP244</f>
        <v>4195</v>
      </c>
      <c r="EJ70" s="1178"/>
      <c r="EK70" s="1178">
        <f>-MODEL!CR244</f>
        <v>3757</v>
      </c>
      <c r="EL70" s="1178">
        <f>-MODEL!CS244</f>
        <v>3853</v>
      </c>
      <c r="EM70" s="1455">
        <f>-MODEL!CT244</f>
        <v>3853</v>
      </c>
      <c r="EN70" s="1178"/>
      <c r="EO70" s="1178"/>
      <c r="EP70" s="1178"/>
      <c r="EQ70" s="1455">
        <f>-MODEL!CX244</f>
        <v>4032</v>
      </c>
      <c r="ER70" s="1178"/>
      <c r="ES70" s="1178"/>
      <c r="ET70" s="1178"/>
      <c r="EU70" s="1178">
        <f>-MODEL!DB244</f>
        <v>4247</v>
      </c>
      <c r="EV70" s="1178"/>
      <c r="EW70" s="1178"/>
      <c r="EX70" s="1178"/>
      <c r="EY70" s="1618">
        <f>-MODEL!DF244</f>
        <v>4379</v>
      </c>
      <c r="EZ70" s="1178"/>
      <c r="FA70" s="1178"/>
      <c r="FB70" s="1178"/>
      <c r="FC70" s="1178">
        <f ca="1">-MODEL!DJ244</f>
        <v>4300.2811190356451</v>
      </c>
      <c r="FD70" s="1178"/>
      <c r="FE70" s="1178"/>
      <c r="FF70" s="1178"/>
      <c r="FG70" s="1178">
        <f ca="1">-MODEL!DN244</f>
        <v>4365.3001009437703</v>
      </c>
      <c r="FH70" s="1178"/>
      <c r="FI70" s="1178"/>
      <c r="FJ70" s="1178"/>
      <c r="FK70" s="1178">
        <f ca="1">-MODEL!DR244</f>
        <v>4541.1451277238084</v>
      </c>
      <c r="FL70" s="444"/>
      <c r="FM70" s="445"/>
      <c r="FN70" s="445"/>
      <c r="FO70" s="445"/>
      <c r="FP70" s="445"/>
      <c r="FQ70" s="445"/>
      <c r="FR70" s="445"/>
      <c r="FS70" s="445"/>
      <c r="FT70" s="445"/>
      <c r="FU70" s="445"/>
      <c r="FV70" s="445"/>
      <c r="FW70" s="445"/>
    </row>
    <row r="71" spans="1:179" ht="13.8">
      <c r="A71" s="444"/>
      <c r="B71" s="444"/>
      <c r="C71" s="1097" t="s">
        <v>136</v>
      </c>
      <c r="D71" s="1351"/>
      <c r="E71" s="1351"/>
      <c r="F71" s="1351"/>
      <c r="G71" s="1351"/>
      <c r="H71" s="1351"/>
      <c r="I71" s="1351"/>
      <c r="J71" s="1351"/>
      <c r="K71" s="1351"/>
      <c r="L71" s="1351"/>
      <c r="M71" s="1351"/>
      <c r="N71" s="1351"/>
      <c r="O71" s="1351"/>
      <c r="P71" s="1351"/>
      <c r="Q71" s="1351"/>
      <c r="R71" s="1351"/>
      <c r="S71" s="1351"/>
      <c r="T71" s="1351"/>
      <c r="U71" s="1351"/>
      <c r="V71" s="1351"/>
      <c r="W71" s="1351"/>
      <c r="X71" s="1351"/>
      <c r="Y71" s="1351"/>
      <c r="Z71" s="1351"/>
      <c r="AA71" s="1185"/>
      <c r="AB71" s="1185"/>
      <c r="AC71" s="1185"/>
      <c r="AD71" s="1185"/>
      <c r="AE71" s="1185"/>
      <c r="AF71" s="1185"/>
      <c r="AG71" s="1185"/>
      <c r="AH71" s="1503"/>
      <c r="AI71" s="1185"/>
      <c r="AJ71" s="1185">
        <f>(MODEL!BP39/MODEL!BL39-1)*100</f>
        <v>4.5803698435277429</v>
      </c>
      <c r="AK71" s="1185">
        <f>(MODEL!BQ39/MODEL!BM39-1)*100</f>
        <v>-1.7212659633536909</v>
      </c>
      <c r="AL71" s="1503">
        <f>(MODEL!BR39/MODEL!BN39-1)*100</f>
        <v>1.391035548686248</v>
      </c>
      <c r="AM71" s="1185"/>
      <c r="AN71" s="1185">
        <f>(MODEL!BT39/MODEL!BP39-1)*100</f>
        <v>-24.319912948857457</v>
      </c>
      <c r="AO71" s="1185">
        <f>(MODEL!BU39/MODEL!BQ39-1)*100</f>
        <v>-12.231638418079093</v>
      </c>
      <c r="AP71" s="1503">
        <f>(MODEL!BV39/MODEL!BR39-1)*100</f>
        <v>-18.389689578713963</v>
      </c>
      <c r="AQ71" s="1185"/>
      <c r="AR71" s="1185">
        <f>(MODEL!BX39/MODEL!BT39-1)*100</f>
        <v>22.609633357296911</v>
      </c>
      <c r="AS71" s="1185">
        <f>(MODEL!BY39/MODEL!BU39-1)*100</f>
        <v>13.517862890247834</v>
      </c>
      <c r="AT71" s="1503">
        <f>(MODEL!BZ39/MODEL!BV39-1)*100</f>
        <v>17.812871455255564</v>
      </c>
      <c r="AU71" s="1504"/>
      <c r="AV71" s="1185">
        <f ca="1">(MODEL!CB39/MODEL!BX39-1)*100</f>
        <v>-15.684549985341544</v>
      </c>
      <c r="AW71" s="1185">
        <f>(MODEL!CC39/MODEL!BY39-1)*100</f>
        <v>-16.954919194783102</v>
      </c>
      <c r="AX71" s="1185">
        <f ca="1">(MODEL!CD39/MODEL!BZ39-1)*100</f>
        <v>-16.330354569040072</v>
      </c>
      <c r="AY71" s="1504"/>
      <c r="AZ71" s="1186">
        <f>(MODEL!CF1566/MODEL!CB1566-1)*100</f>
        <v>2.0326367019753766</v>
      </c>
      <c r="BA71" s="1185">
        <f>(MODEL!CG1566/MODEL!CC1566-1)*100</f>
        <v>-2.9392117568470266</v>
      </c>
      <c r="BB71" s="1503">
        <f ca="1">(MODEL!CH39/MODEL!CD39-1)*100</f>
        <v>6.1326442721791663</v>
      </c>
      <c r="BC71" s="1185"/>
      <c r="BD71" s="1185">
        <f>(MODEL!CJ1566/MODEL!CF1566-1)*100</f>
        <v>-60.353535353535356</v>
      </c>
      <c r="BE71" s="1185">
        <f>(MODEL!CK1566/MODEL!CG1566-1)*100</f>
        <v>-19.304886441844459</v>
      </c>
      <c r="BF71" s="1503">
        <f>(MODEL!CL39/MODEL!CH39-1)*100</f>
        <v>-40.594059405940598</v>
      </c>
      <c r="BG71" s="1185"/>
      <c r="BH71" s="1185">
        <f>(MODEL!CN1566/MODEL!CJ1566-1)*100</f>
        <v>111.6065109695683</v>
      </c>
      <c r="BI71" s="1185">
        <f>(MODEL!CO1566/MODEL!CK1566-1)*100</f>
        <v>36.80170575692965</v>
      </c>
      <c r="BJ71" s="1503">
        <f>(MODEL!CP39/MODEL!CL39-1)*100</f>
        <v>68.879781420765028</v>
      </c>
      <c r="BK71" s="1185"/>
      <c r="BL71" s="1185">
        <f>(MODEL!CR1566/MODEL!CN1566-1)*100</f>
        <v>4.1137123745819348</v>
      </c>
      <c r="BM71" s="1185">
        <f>(MODEL!CS1566/MODEL!CO1566-1)*100</f>
        <v>6.0473815461346669</v>
      </c>
      <c r="BN71" s="1503">
        <f>(MODEL!CT39/MODEL!CP39-1)*100</f>
        <v>5.0962627406568428</v>
      </c>
      <c r="BO71" s="1185"/>
      <c r="BP71" s="1185">
        <f>(MODEL!CV1566/MODEL!CR1566-1)*100</f>
        <v>23.000321233536791</v>
      </c>
      <c r="BQ71" s="1185">
        <f>(MODEL!CW1566/MODEL!CS1566-1)*100</f>
        <v>5.3497942386831365</v>
      </c>
      <c r="BR71" s="1503">
        <f>(MODEL!CX39/MODEL!CT39-1)*100</f>
        <v>14.116379310344819</v>
      </c>
      <c r="BS71" s="1185"/>
      <c r="BT71" s="1185">
        <f>(MODEL!CZ1566/MODEL!CV1566-1)*100</f>
        <v>-7.2342648211021103</v>
      </c>
      <c r="BU71" s="1185">
        <f>(MODEL!DA1566/MODEL!CW1566-1)*100</f>
        <v>-11.467633928571431</v>
      </c>
      <c r="BV71" s="1503">
        <f>(MODEL!DB39/MODEL!CX39-1)*100</f>
        <v>-9.2809928503979506</v>
      </c>
      <c r="BW71" s="1185"/>
      <c r="BX71" s="1185">
        <f>(MODEL!DD1566/MODEL!CZ1566-1)*100</f>
        <v>0.45045045045044585</v>
      </c>
      <c r="BY71" s="1185">
        <f>(MODEL!DE1566/MODEL!DA1566-1)*100</f>
        <v>-30.066183422628423</v>
      </c>
      <c r="BZ71" s="1503">
        <f>(MODEL!DF39/MODEL!DB39-1)*100</f>
        <v>-13.947955390334577</v>
      </c>
      <c r="CA71" s="1185"/>
      <c r="CB71" s="1185">
        <f ca="1">(MODEL!DH1566/MODEL!DD1566-1)*100</f>
        <v>3.7430951522019251</v>
      </c>
      <c r="CC71" s="1185">
        <f ca="1">(MODEL!DI1566/MODEL!DE1566-1)*100</f>
        <v>72.43311920006532</v>
      </c>
      <c r="CD71" s="1503">
        <f ca="1">(MODEL!DJ39/MODEL!DF39-1)*100</f>
        <v>30.081986350095271</v>
      </c>
      <c r="CE71" s="1185"/>
      <c r="CF71" s="1185">
        <f ca="1">(MODEL!DL1566/MODEL!DH1566-1)*100</f>
        <v>7.5310021972404328</v>
      </c>
      <c r="CG71" s="1185">
        <f ca="1">(MODEL!DM1566/MODEL!DI1566-1)*100</f>
        <v>4.3901222260194661</v>
      </c>
      <c r="CH71" s="1503">
        <f ca="1">(MODEL!DN39/MODEL!DJ39-1)*100</f>
        <v>5.9345398341838385</v>
      </c>
      <c r="CI71" s="1185"/>
      <c r="CJ71" s="1185">
        <f ca="1">(MODEL!DP1566/MODEL!DL1566-1)*100</f>
        <v>4.5385631266778637</v>
      </c>
      <c r="CK71" s="1185">
        <f ca="1">(MODEL!DQ1566/MODEL!DM1566-1)*100</f>
        <v>8.107467826107273</v>
      </c>
      <c r="CL71" s="1185">
        <f ca="1">(MODEL!DR39/MODEL!DN39-1)*100</f>
        <v>6.3261374880031251</v>
      </c>
      <c r="CM71" s="1481"/>
      <c r="CN71" s="1350" t="s">
        <v>145</v>
      </c>
      <c r="CO71" s="1343">
        <v>0.87334360909174569</v>
      </c>
      <c r="CP71" s="1343">
        <v>0.86735016684043009</v>
      </c>
      <c r="CQ71" s="1343">
        <v>0.86735016684043009</v>
      </c>
      <c r="CR71" s="1343"/>
      <c r="CS71" s="1343">
        <v>0.83687629403676245</v>
      </c>
      <c r="CT71" s="1343">
        <v>0.79761719397467512</v>
      </c>
      <c r="CU71" s="1343">
        <v>0.79761719397467512</v>
      </c>
      <c r="CV71" s="1343"/>
      <c r="CW71" s="1343">
        <v>0.72392457063825777</v>
      </c>
      <c r="CX71" s="1343">
        <v>0.64661875685497727</v>
      </c>
      <c r="CY71" s="1343">
        <v>0.64661875685497727</v>
      </c>
      <c r="CZ71" s="1343"/>
      <c r="DA71" s="1187">
        <f>MODEL!BH274*100</f>
        <v>0.60853130562820035</v>
      </c>
      <c r="DB71" s="1187">
        <f>MODEL!BI274*100</f>
        <v>0.59610949253262913</v>
      </c>
      <c r="DC71" s="1187">
        <f>MODEL!BJ274*100</f>
        <v>0.59610949253262913</v>
      </c>
      <c r="DD71" s="1187"/>
      <c r="DE71" s="1187">
        <f>MODEL!BL274*100</f>
        <v>0.55650710070175091</v>
      </c>
      <c r="DF71" s="1187">
        <f>MODEL!BM274*100</f>
        <v>0.52645850200882971</v>
      </c>
      <c r="DG71" s="1187">
        <f>MODEL!BN274*100</f>
        <v>0.52645850200882971</v>
      </c>
      <c r="DH71" s="1187"/>
      <c r="DI71" s="1187">
        <f>MODEL!BP274*100</f>
        <v>0.52005439690465904</v>
      </c>
      <c r="DJ71" s="1187">
        <f>MODEL!BQ274*100</f>
        <v>0.51653488270499326</v>
      </c>
      <c r="DK71" s="1187">
        <f>MODEL!BR274*100</f>
        <v>0.51653488270499326</v>
      </c>
      <c r="DL71" s="1187">
        <f>MODEL!BS274*100</f>
        <v>0</v>
      </c>
      <c r="DM71" s="1187">
        <f>MODEL!BT274*100</f>
        <v>0.50782407497768733</v>
      </c>
      <c r="DN71" s="1187">
        <f>MODEL!BU274*100</f>
        <v>0.49808973235470361</v>
      </c>
      <c r="DO71" s="1187">
        <f>MODEL!BV274*100</f>
        <v>0.49808973235470361</v>
      </c>
      <c r="DP71" s="1187"/>
      <c r="DQ71" s="1187">
        <f>MODEL!BX274*100</f>
        <v>0.48193730142798802</v>
      </c>
      <c r="DR71" s="1187">
        <f>MODEL!BY274*100</f>
        <v>0.4572955998611965</v>
      </c>
      <c r="DS71" s="1187">
        <f>MODEL!BZ274*100</f>
        <v>0.4572955998611965</v>
      </c>
      <c r="DT71" s="1187"/>
      <c r="DU71" s="1187">
        <f>MODEL!CB274*100</f>
        <v>0.43421236503470834</v>
      </c>
      <c r="DV71" s="1187">
        <f>MODEL!CC274*100</f>
        <v>0.41587615033518988</v>
      </c>
      <c r="DW71" s="1187">
        <f>MODEL!CD274*100</f>
        <v>0.41587615033518988</v>
      </c>
      <c r="DX71" s="1187"/>
      <c r="DY71" s="1187"/>
      <c r="DZ71" s="1187"/>
      <c r="EA71" s="1187">
        <f>MODEL!CH274*100</f>
        <v>0.54704311529387373</v>
      </c>
      <c r="EB71" s="1187"/>
      <c r="EC71" s="1187"/>
      <c r="ED71" s="1187"/>
      <c r="EE71" s="1187">
        <f>MODEL!CL274*100</f>
        <v>0.80764423658428419</v>
      </c>
      <c r="EF71" s="1187"/>
      <c r="EG71" s="1187"/>
      <c r="EH71" s="1187"/>
      <c r="EI71" s="1502">
        <f>MODEL!CP274*100</f>
        <v>0.6635212018353992</v>
      </c>
      <c r="EJ71" s="1187"/>
      <c r="EK71" s="1187"/>
      <c r="EL71" s="1187"/>
      <c r="EM71" s="1502">
        <f>MODEL!CT274*100</f>
        <v>0.57076238923239642</v>
      </c>
      <c r="EN71" s="1187"/>
      <c r="EO71" s="1187"/>
      <c r="EP71" s="1187"/>
      <c r="EQ71" s="1502">
        <f>MODEL!CX274*100</f>
        <v>0.56822025299330314</v>
      </c>
      <c r="ER71" s="1187"/>
      <c r="ES71" s="1187"/>
      <c r="ET71" s="1187"/>
      <c r="EU71" s="1187">
        <f>MODEL!DB274*100</f>
        <v>0.52700219263685988</v>
      </c>
      <c r="EV71" s="1187"/>
      <c r="EW71" s="1187"/>
      <c r="EX71" s="1187"/>
      <c r="EY71" s="1621">
        <f>MODEL!DF274*100</f>
        <v>0.52668104345148681</v>
      </c>
      <c r="EZ71" s="1187"/>
      <c r="FA71" s="1187"/>
      <c r="FB71" s="1187"/>
      <c r="FC71" s="1187">
        <f ca="1">MODEL!DJ274*100</f>
        <v>0.50279881907613222</v>
      </c>
      <c r="FD71" s="1187"/>
      <c r="FE71" s="1187"/>
      <c r="FF71" s="1187"/>
      <c r="FG71" s="1187">
        <f ca="1">MODEL!DN274*100</f>
        <v>0.48755360480902077</v>
      </c>
      <c r="FH71" s="1187"/>
      <c r="FI71" s="1187"/>
      <c r="FJ71" s="1187"/>
      <c r="FK71" s="1187">
        <f ca="1">MODEL!DR274*100</f>
        <v>0.48673595524253682</v>
      </c>
      <c r="FL71" s="444"/>
      <c r="FM71" s="445"/>
      <c r="FN71" s="445"/>
      <c r="FO71" s="445"/>
      <c r="FP71" s="445"/>
      <c r="FQ71" s="445"/>
      <c r="FR71" s="445"/>
      <c r="FS71" s="445"/>
      <c r="FT71" s="445"/>
      <c r="FU71" s="445"/>
      <c r="FV71" s="445"/>
      <c r="FW71" s="445"/>
    </row>
    <row r="72" spans="1:179" ht="13.8">
      <c r="A72" s="444"/>
      <c r="B72" s="444"/>
      <c r="C72" s="1465" t="s">
        <v>1092</v>
      </c>
      <c r="D72" s="1351"/>
      <c r="E72" s="1351"/>
      <c r="F72" s="1351"/>
      <c r="G72" s="1351"/>
      <c r="H72" s="1351"/>
      <c r="I72" s="1351"/>
      <c r="J72" s="1351"/>
      <c r="K72" s="1351"/>
      <c r="L72" s="1351"/>
      <c r="M72" s="1351"/>
      <c r="N72" s="1351"/>
      <c r="O72" s="1351"/>
      <c r="P72" s="1351"/>
      <c r="Q72" s="1351"/>
      <c r="R72" s="1351"/>
      <c r="S72" s="1351"/>
      <c r="T72" s="1351"/>
      <c r="U72" s="1351"/>
      <c r="V72" s="1351"/>
      <c r="W72" s="1351"/>
      <c r="X72" s="1351"/>
      <c r="Y72" s="1351"/>
      <c r="Z72" s="1351"/>
      <c r="AA72" s="1172"/>
      <c r="AB72" s="1172"/>
      <c r="AC72" s="1172"/>
      <c r="AD72" s="1172"/>
      <c r="AE72" s="1172"/>
      <c r="AF72" s="1172"/>
      <c r="AG72" s="1172"/>
      <c r="AH72" s="1494"/>
      <c r="AI72" s="1172"/>
      <c r="AJ72" s="1172"/>
      <c r="AK72" s="1172"/>
      <c r="AL72" s="1494"/>
      <c r="AM72" s="1172"/>
      <c r="AN72" s="1172"/>
      <c r="AO72" s="1172"/>
      <c r="AP72" s="1494"/>
      <c r="AQ72" s="1172"/>
      <c r="AR72" s="1172"/>
      <c r="AS72" s="1172"/>
      <c r="AT72" s="1494"/>
      <c r="AU72" s="1494"/>
      <c r="AV72" s="1172"/>
      <c r="AW72" s="1172"/>
      <c r="AX72" s="1172"/>
      <c r="AY72" s="1494"/>
      <c r="AZ72" s="1173"/>
      <c r="BA72" s="1172"/>
      <c r="BB72" s="1494"/>
      <c r="BC72" s="1172"/>
      <c r="BD72" s="1172"/>
      <c r="BE72" s="1172"/>
      <c r="BF72" s="1494">
        <f>(BF30/BB30-1)*100</f>
        <v>-0.92661230541141171</v>
      </c>
      <c r="BG72" s="1172"/>
      <c r="BH72" s="1172">
        <f t="shared" ref="BH72:BJ74" si="61">(BH30/BD30-1)*100</f>
        <v>-3.1356655290102342</v>
      </c>
      <c r="BI72" s="1172">
        <f t="shared" si="61"/>
        <v>-2.6031065881092608</v>
      </c>
      <c r="BJ72" s="1494">
        <f t="shared" si="61"/>
        <v>-2.8699695366362077</v>
      </c>
      <c r="BK72" s="1172"/>
      <c r="BL72" s="1172">
        <f t="shared" ref="BL72:BN74" si="62">(BL30/BH30-1)*100</f>
        <v>-4.4373486016295978</v>
      </c>
      <c r="BM72" s="1172">
        <f t="shared" si="62"/>
        <v>5.3783545974483093</v>
      </c>
      <c r="BN72" s="1494">
        <f t="shared" si="62"/>
        <v>0.47320347749533198</v>
      </c>
      <c r="BO72" s="1172"/>
      <c r="BP72" s="1172">
        <f t="shared" ref="BP72:BR74" si="63">(BP30/BL30-1)*100</f>
        <v>22.133886392441514</v>
      </c>
      <c r="BQ72" s="1172">
        <f t="shared" si="63"/>
        <v>7.8175555787496132</v>
      </c>
      <c r="BR72" s="1494">
        <f t="shared" si="63"/>
        <v>14.622124863088715</v>
      </c>
      <c r="BS72" s="1172"/>
      <c r="BT72" s="1172">
        <f t="shared" ref="BT72:BV74" si="64">(BT30/BP30-1)*100</f>
        <v>-2.1886792452830206</v>
      </c>
      <c r="BU72" s="1172">
        <f t="shared" si="64"/>
        <v>1.2778315585672884</v>
      </c>
      <c r="BV72" s="1494">
        <f t="shared" si="64"/>
        <v>-0.47778308647873358</v>
      </c>
      <c r="BW72" s="1172"/>
      <c r="BX72" s="1172">
        <f>(BX30/BT30-1)*100</f>
        <v>6.0474537037036979</v>
      </c>
      <c r="BY72" s="1172">
        <f>(BY30/BU30-1)*100</f>
        <v>6.9489581341999562</v>
      </c>
      <c r="BZ72" s="1494">
        <f>(BZ30/BV30-1)*100</f>
        <v>6.5002400384061465</v>
      </c>
      <c r="CA72" s="1172"/>
      <c r="CB72" s="1172">
        <f ca="1">(CB30/BX30-1)*100</f>
        <v>2.6737985226012118</v>
      </c>
      <c r="CC72" s="1172">
        <f ca="1">(CC30/BY30-1)*100</f>
        <v>1.6580190484069002</v>
      </c>
      <c r="CD72" s="1494">
        <f ca="1">(CD30/BZ30-1)*100</f>
        <v>2.1614672686902647</v>
      </c>
      <c r="CE72" s="1172"/>
      <c r="CF72" s="1172">
        <f ca="1">(CF30/CB30-1)*100</f>
        <v>2.9890903612143083</v>
      </c>
      <c r="CG72" s="1172">
        <f ca="1">(CG30/CC30-1)*100</f>
        <v>3.7266888073223647</v>
      </c>
      <c r="CH72" s="1494">
        <f ca="1">(CH30/CD30-1)*100</f>
        <v>3.3592814252971337</v>
      </c>
      <c r="CI72" s="1172"/>
      <c r="CJ72" s="1172">
        <f ca="1">(CJ30/CF30-1)*100</f>
        <v>3.8981210775734576</v>
      </c>
      <c r="CK72" s="1172">
        <f ca="1">(CK30/CG30-1)*100</f>
        <v>3.7843642093719376</v>
      </c>
      <c r="CL72" s="1172">
        <f ca="1">(CL30/CH30-1)*100</f>
        <v>3.8408250386937848</v>
      </c>
      <c r="CM72" s="1481"/>
      <c r="CN72" s="1399" t="s">
        <v>231</v>
      </c>
      <c r="CO72" s="1343">
        <v>1.3781055019852524</v>
      </c>
      <c r="CP72" s="1343">
        <v>1.3502228959775948</v>
      </c>
      <c r="CQ72" s="1343">
        <v>1.3502228959775948</v>
      </c>
      <c r="CR72" s="1351"/>
      <c r="CS72" s="1343">
        <v>1.3620812361198049</v>
      </c>
      <c r="CT72" s="1343">
        <v>1.2763836867233591</v>
      </c>
      <c r="CU72" s="1343">
        <v>1.2763836867233591</v>
      </c>
      <c r="CV72" s="1351"/>
      <c r="CW72" s="1343">
        <v>1.1968101053304818</v>
      </c>
      <c r="CX72" s="1343">
        <v>1.0848455125061305</v>
      </c>
      <c r="CY72" s="1343">
        <v>1.0848455125061305</v>
      </c>
      <c r="CZ72" s="1351"/>
      <c r="DA72" s="1187">
        <f>DA70/(DA39*1000)*100</f>
        <v>1.0069896500810975</v>
      </c>
      <c r="DB72" s="1187">
        <f>DB70/(DB39*1000)*100</f>
        <v>1.0036467802997382</v>
      </c>
      <c r="DC72" s="1187">
        <f>DC70/(DC39*1000)*100</f>
        <v>1.0036467802997382</v>
      </c>
      <c r="DD72" s="1187"/>
      <c r="DE72" s="1187">
        <f>DE70/(DE39*1000)*100</f>
        <v>0.93112980139391077</v>
      </c>
      <c r="DF72" s="1187">
        <f>DF70/(DF39*1000)*100</f>
        <v>0.89256519416611357</v>
      </c>
      <c r="DG72" s="1187">
        <f>DG70/(DG39*1000)*100</f>
        <v>0.89256519416611357</v>
      </c>
      <c r="DH72" s="1187"/>
      <c r="DI72" s="1187">
        <f t="shared" ref="DI72:DO72" si="65">DI70/(DI39*1000)*100</f>
        <v>0.8578232954662538</v>
      </c>
      <c r="DJ72" s="1187">
        <f t="shared" si="65"/>
        <v>0.84517270858410698</v>
      </c>
      <c r="DK72" s="1187">
        <f t="shared" si="65"/>
        <v>0.84517270858410698</v>
      </c>
      <c r="DL72" s="1187">
        <f t="shared" si="65"/>
        <v>0</v>
      </c>
      <c r="DM72" s="1187">
        <f t="shared" si="65"/>
        <v>0.8560967730356438</v>
      </c>
      <c r="DN72" s="1187">
        <f t="shared" si="65"/>
        <v>0.81696886371448141</v>
      </c>
      <c r="DO72" s="1187">
        <f t="shared" si="65"/>
        <v>0.81696886371448141</v>
      </c>
      <c r="DP72" s="1187"/>
      <c r="DQ72" s="1187">
        <f>DQ70/(DQ39*1000)*100</f>
        <v>0.81478252474335089</v>
      </c>
      <c r="DR72" s="1187">
        <f>DR70/(DR39*1000)*100</f>
        <v>0.79030026660016506</v>
      </c>
      <c r="DS72" s="1187">
        <f>DS70/(DS39*1000)*100</f>
        <v>0.79030026660016506</v>
      </c>
      <c r="DT72" s="1187"/>
      <c r="DU72" s="1187">
        <f>DU70/(DU39*1000)*100</f>
        <v>0.75228544259119901</v>
      </c>
      <c r="DV72" s="1187">
        <f>DV70/(DV39*1000)*100</f>
        <v>0.74737839919426508</v>
      </c>
      <c r="DW72" s="1187">
        <f>DW70/(DW39*1000)*100</f>
        <v>0.74737839919426508</v>
      </c>
      <c r="DX72" s="1187"/>
      <c r="DY72" s="1187"/>
      <c r="DZ72" s="1187"/>
      <c r="EA72" s="1187">
        <f>EA70/(EA39*1000)*100</f>
        <v>0.94273762517243487</v>
      </c>
      <c r="EB72" s="1187"/>
      <c r="EC72" s="1187"/>
      <c r="ED72" s="1187"/>
      <c r="EE72" s="1187">
        <f>EE70/(EE39*1000)*100</f>
        <v>1.3909681504956435</v>
      </c>
      <c r="EF72" s="1187"/>
      <c r="EG72" s="1502">
        <f>EG70/(EG39*1000)*100</f>
        <v>1.2534297465058999</v>
      </c>
      <c r="EH72" s="1502">
        <f>EH70/(EH39*1000)*100</f>
        <v>1.2248246705090249</v>
      </c>
      <c r="EI72" s="1502">
        <f>EI70/(EI39*1000)*100</f>
        <v>1.2248246705090249</v>
      </c>
      <c r="EJ72" s="1187"/>
      <c r="EK72" s="1187">
        <f>EK70/(EK39*1000)*100</f>
        <v>1.0770690648678245</v>
      </c>
      <c r="EL72" s="1187">
        <f>EL70/(EL39*1000)*100</f>
        <v>1.0719392836674624</v>
      </c>
      <c r="EM72" s="1502">
        <f>EM70/(EM39*1000)*100</f>
        <v>1.0719392836674624</v>
      </c>
      <c r="EN72" s="1187"/>
      <c r="EO72" s="1187"/>
      <c r="EP72" s="1187"/>
      <c r="EQ72" s="1502">
        <f>EQ70/(EQ39*1000)*100</f>
        <v>1.155165152517899</v>
      </c>
      <c r="ER72" s="1187"/>
      <c r="ES72" s="1187"/>
      <c r="ET72" s="1187"/>
      <c r="EU72" s="1187">
        <f>EU70/(EU39*1000)*100</f>
        <v>1.1758517103423454</v>
      </c>
      <c r="EV72" s="1187"/>
      <c r="EW72" s="1187"/>
      <c r="EX72" s="1187"/>
      <c r="EY72" s="1621">
        <f>EY70/(EY39*1000)*100</f>
        <v>1.1848488702131863</v>
      </c>
      <c r="EZ72" s="1187"/>
      <c r="FA72" s="1187"/>
      <c r="FB72" s="1187"/>
      <c r="FC72" s="1187">
        <f ca="1">FC70/(FC39*1000)*100</f>
        <v>1.1348488702131863</v>
      </c>
      <c r="FD72" s="1187"/>
      <c r="FE72" s="1187"/>
      <c r="FF72" s="1187"/>
      <c r="FG72" s="1187">
        <f ca="1">FG70/(FG39*1000)*100</f>
        <v>1.1048488702131862</v>
      </c>
      <c r="FH72" s="1187"/>
      <c r="FI72" s="1187"/>
      <c r="FJ72" s="1187"/>
      <c r="FK72" s="1187">
        <f ca="1">FK70/(FK39*1000)*100</f>
        <v>1.1048488702131862</v>
      </c>
      <c r="FL72" s="444"/>
      <c r="FM72" s="445"/>
      <c r="FN72" s="445"/>
      <c r="FO72" s="445"/>
      <c r="FP72" s="445"/>
      <c r="FQ72" s="445"/>
      <c r="FR72" s="445"/>
      <c r="FS72" s="445"/>
      <c r="FT72" s="445"/>
      <c r="FU72" s="445"/>
      <c r="FV72" s="445"/>
      <c r="FW72" s="445"/>
    </row>
    <row r="73" spans="1:179" ht="13.8">
      <c r="A73" s="444"/>
      <c r="B73" s="444"/>
      <c r="C73" s="1465" t="s">
        <v>1062</v>
      </c>
      <c r="D73" s="1351"/>
      <c r="E73" s="1351"/>
      <c r="F73" s="1351"/>
      <c r="G73" s="1351"/>
      <c r="H73" s="1351"/>
      <c r="I73" s="1351"/>
      <c r="J73" s="1351"/>
      <c r="K73" s="1351"/>
      <c r="L73" s="1351"/>
      <c r="M73" s="1351"/>
      <c r="N73" s="1351"/>
      <c r="O73" s="1351"/>
      <c r="P73" s="1351"/>
      <c r="Q73" s="1351"/>
      <c r="R73" s="1351"/>
      <c r="S73" s="1351"/>
      <c r="T73" s="1351"/>
      <c r="U73" s="1351"/>
      <c r="V73" s="1351"/>
      <c r="W73" s="1351"/>
      <c r="X73" s="1351"/>
      <c r="Y73" s="1351"/>
      <c r="Z73" s="1351"/>
      <c r="AA73" s="1172"/>
      <c r="AB73" s="1172"/>
      <c r="AC73" s="1172"/>
      <c r="AD73" s="1172"/>
      <c r="AE73" s="1172"/>
      <c r="AF73" s="1172"/>
      <c r="AG73" s="1172"/>
      <c r="AH73" s="1494"/>
      <c r="AI73" s="1172"/>
      <c r="AJ73" s="1172"/>
      <c r="AK73" s="1172"/>
      <c r="AL73" s="1494"/>
      <c r="AM73" s="1172"/>
      <c r="AN73" s="1172"/>
      <c r="AO73" s="1172"/>
      <c r="AP73" s="1494"/>
      <c r="AQ73" s="1172"/>
      <c r="AR73" s="1172"/>
      <c r="AS73" s="1172"/>
      <c r="AT73" s="1494"/>
      <c r="AU73" s="1494"/>
      <c r="AV73" s="1172"/>
      <c r="AW73" s="1172"/>
      <c r="AX73" s="1172"/>
      <c r="AY73" s="1494"/>
      <c r="AZ73" s="1173"/>
      <c r="BA73" s="1172"/>
      <c r="BB73" s="1494"/>
      <c r="BC73" s="1172"/>
      <c r="BD73" s="1172"/>
      <c r="BE73" s="1172"/>
      <c r="BF73" s="1494">
        <f>(BF31/BB31-1)*100</f>
        <v>1.0161177295024526</v>
      </c>
      <c r="BG73" s="1172"/>
      <c r="BH73" s="1172">
        <f t="shared" si="61"/>
        <v>-3.3249254758083047</v>
      </c>
      <c r="BI73" s="1172">
        <f t="shared" si="61"/>
        <v>3.871268656716409</v>
      </c>
      <c r="BJ73" s="1494">
        <f t="shared" si="61"/>
        <v>0.24280263614291364</v>
      </c>
      <c r="BK73" s="1172"/>
      <c r="BL73" s="1172">
        <f t="shared" si="62"/>
        <v>7.7798861480075976</v>
      </c>
      <c r="BM73" s="1172">
        <f t="shared" si="62"/>
        <v>3.8616973506960139</v>
      </c>
      <c r="BN73" s="1494">
        <f t="shared" si="62"/>
        <v>5.7670126874279193</v>
      </c>
      <c r="BO73" s="1172"/>
      <c r="BP73" s="1172">
        <f t="shared" si="63"/>
        <v>6.6021126760563487</v>
      </c>
      <c r="BQ73" s="1172">
        <f t="shared" si="63"/>
        <v>5.3610030263726793</v>
      </c>
      <c r="BR73" s="1494">
        <f t="shared" si="63"/>
        <v>5.9760087241003346</v>
      </c>
      <c r="BS73" s="1172"/>
      <c r="BT73" s="1172">
        <f t="shared" si="64"/>
        <v>4.7481420313790323</v>
      </c>
      <c r="BU73" s="1172">
        <f t="shared" si="64"/>
        <v>13.377102995486245</v>
      </c>
      <c r="BV73" s="1494">
        <f t="shared" si="64"/>
        <v>9.0759415517596143</v>
      </c>
      <c r="BW73" s="1172"/>
      <c r="BX73" s="1172">
        <f t="shared" ref="BX73:BZ73" si="66">(BX31/BT31-1)*100</f>
        <v>13.165155695703579</v>
      </c>
      <c r="BY73" s="1172">
        <f t="shared" si="66"/>
        <v>10.513934129569314</v>
      </c>
      <c r="BZ73" s="1494">
        <f t="shared" si="66"/>
        <v>11.783018867924522</v>
      </c>
      <c r="CA73" s="1172"/>
      <c r="CB73" s="1172">
        <f t="shared" ref="CB73:CD73" si="67">(CB31/BX31-1)*100</f>
        <v>1.024142241977577</v>
      </c>
      <c r="CC73" s="1172">
        <f t="shared" si="67"/>
        <v>-8.7174885683793164</v>
      </c>
      <c r="CD73" s="1494">
        <f t="shared" si="67"/>
        <v>-3.9967151602377626</v>
      </c>
      <c r="CE73" s="1172"/>
      <c r="CF73" s="1172">
        <f t="shared" ref="CF73" si="68">(CF31/CB31-1)*100</f>
        <v>-4.1759055543193035</v>
      </c>
      <c r="CG73" s="1172">
        <f t="shared" ref="CG73" si="69">(CG31/CC31-1)*100</f>
        <v>2.2311763117999428</v>
      </c>
      <c r="CH73" s="1494">
        <f t="shared" ref="CH73" si="70">(CH31/CD31-1)*100</f>
        <v>-1.03606220698369</v>
      </c>
      <c r="CI73" s="1172"/>
      <c r="CJ73" s="1172">
        <f t="shared" ref="CJ73" si="71">(CJ31/CF31-1)*100</f>
        <v>2.381000749715434</v>
      </c>
      <c r="CK73" s="1172">
        <f t="shared" ref="CK73" si="72">(CK31/CG31-1)*100</f>
        <v>-1.3271365963725135</v>
      </c>
      <c r="CL73" s="1172">
        <f t="shared" ref="CL73" si="73">(CL31/CH31-1)*100</f>
        <v>0.50380349824266091</v>
      </c>
      <c r="CM73" s="1481"/>
      <c r="CN73" s="1505" t="s">
        <v>548</v>
      </c>
      <c r="CO73" s="1506">
        <v>1.2198697788006956</v>
      </c>
      <c r="CP73" s="1506">
        <v>1.1932243927914563</v>
      </c>
      <c r="CQ73" s="1506">
        <v>1.1932243927914563</v>
      </c>
      <c r="CR73" s="1506"/>
      <c r="CS73" s="1506">
        <v>1.2023342769342558</v>
      </c>
      <c r="CT73" s="1506">
        <v>1.1344315697732565</v>
      </c>
      <c r="CU73" s="1506">
        <v>1.1344315697732565</v>
      </c>
      <c r="CV73" s="1506"/>
      <c r="CW73" s="1506">
        <v>1.0511311772388323</v>
      </c>
      <c r="CX73" s="1506">
        <v>0.9213012171838505</v>
      </c>
      <c r="CY73" s="1506">
        <v>0.9213012171838505</v>
      </c>
      <c r="CZ73" s="1506"/>
      <c r="DA73" s="1507">
        <f>MODEL!BH270*100</f>
        <v>0.85838639477714196</v>
      </c>
      <c r="DB73" s="1507">
        <f>MODEL!BI270*100</f>
        <v>0.85095721633531318</v>
      </c>
      <c r="DC73" s="1507">
        <f>MODEL!BJ270*100</f>
        <v>0.85095721633531318</v>
      </c>
      <c r="DD73" s="1507"/>
      <c r="DE73" s="1507">
        <f>MODEL!BL270*100</f>
        <v>0.78810223429616899</v>
      </c>
      <c r="DF73" s="1507">
        <f>MODEL!BM270*100</f>
        <v>0.76259442534347177</v>
      </c>
      <c r="DG73" s="1507">
        <f>MODEL!BN270*100</f>
        <v>0.76259442534347177</v>
      </c>
      <c r="DH73" s="1507"/>
      <c r="DI73" s="1507">
        <f>MODEL!BP270*100</f>
        <v>0.75323822645225835</v>
      </c>
      <c r="DJ73" s="1507">
        <f>MODEL!BQ270*100</f>
        <v>0.73543863839357915</v>
      </c>
      <c r="DK73" s="1507">
        <f>MODEL!BR270*100</f>
        <v>0.73543863839357915</v>
      </c>
      <c r="DL73" s="1507">
        <f>MODEL!BS270*100</f>
        <v>0</v>
      </c>
      <c r="DM73" s="1507">
        <f>MODEL!BT270*100</f>
        <v>0.73699254509637302</v>
      </c>
      <c r="DN73" s="1507">
        <f>MODEL!BU270*100</f>
        <v>0.70389787117396263</v>
      </c>
      <c r="DO73" s="1507">
        <f>MODEL!BV270*100</f>
        <v>0.70389787117396263</v>
      </c>
      <c r="DP73" s="1507"/>
      <c r="DQ73" s="1507">
        <f>MODEL!BX270*100</f>
        <v>0.70144066089059043</v>
      </c>
      <c r="DR73" s="1507">
        <f>MODEL!BY270*100</f>
        <v>0.6806217129065002</v>
      </c>
      <c r="DS73" s="1507">
        <f>MODEL!BZ270*100</f>
        <v>0.6806217129065002</v>
      </c>
      <c r="DT73" s="1507"/>
      <c r="DU73" s="1507">
        <f>MODEL!CB270*100</f>
        <v>0.65162957928328324</v>
      </c>
      <c r="DV73" s="1507">
        <f>MODEL!CC270*100</f>
        <v>0.64556573358579394</v>
      </c>
      <c r="DW73" s="1507">
        <f>MODEL!CD270*100</f>
        <v>0.64556573358579394</v>
      </c>
      <c r="DX73" s="1507"/>
      <c r="DY73" s="1507"/>
      <c r="DZ73" s="1507"/>
      <c r="EA73" s="1507">
        <f>MODEL!CH270*100</f>
        <v>0.80966805048913437</v>
      </c>
      <c r="EB73" s="1507"/>
      <c r="EC73" s="1507"/>
      <c r="ED73" s="1507"/>
      <c r="EE73" s="1507">
        <f>MODEL!CL270*100</f>
        <v>1.1663219868462729</v>
      </c>
      <c r="EF73" s="1507"/>
      <c r="EG73" s="1507"/>
      <c r="EH73" s="1507"/>
      <c r="EI73" s="1508">
        <f>MODEL!CP270*100</f>
        <v>1.0082050345361295</v>
      </c>
      <c r="EJ73" s="1507"/>
      <c r="EK73" s="1507"/>
      <c r="EL73" s="1507"/>
      <c r="EM73" s="1508">
        <f>MODEL!CT270*100</f>
        <v>0.84733835036220251</v>
      </c>
      <c r="EN73" s="1507"/>
      <c r="EO73" s="1507"/>
      <c r="EP73" s="1507"/>
      <c r="EQ73" s="1508">
        <f>MODEL!CX270*100</f>
        <v>0.93047513771355117</v>
      </c>
      <c r="ER73" s="1507"/>
      <c r="ES73" s="1507"/>
      <c r="ET73" s="1507"/>
      <c r="EU73" s="1507">
        <f>MODEL!DB270*100</f>
        <v>0.95100115992135825</v>
      </c>
      <c r="EV73" s="1507"/>
      <c r="EW73" s="1507"/>
      <c r="EX73" s="1507"/>
      <c r="EY73" s="1508">
        <f>MODEL!DF270*100</f>
        <v>0.95497299077302866</v>
      </c>
      <c r="EZ73" s="1507"/>
      <c r="FA73" s="1507"/>
      <c r="FB73" s="1507"/>
      <c r="FC73" s="1507">
        <f ca="1">MODEL!DJ270*100</f>
        <v>0.90141685689323781</v>
      </c>
      <c r="FD73" s="1507"/>
      <c r="FE73" s="1507"/>
      <c r="FF73" s="1507"/>
      <c r="FG73" s="1507">
        <f ca="1">MODEL!DN270*100</f>
        <v>0.88565244382911712</v>
      </c>
      <c r="FH73" s="1507"/>
      <c r="FI73" s="1507"/>
      <c r="FJ73" s="1507"/>
      <c r="FK73" s="1507">
        <f ca="1">MODEL!DR270*100</f>
        <v>0.88560678221015032</v>
      </c>
      <c r="FL73" s="444"/>
      <c r="FM73" s="445"/>
      <c r="FN73" s="445"/>
      <c r="FO73" s="445"/>
      <c r="FP73" s="445"/>
      <c r="FQ73" s="445"/>
      <c r="FR73" s="445"/>
      <c r="FS73" s="445"/>
      <c r="FT73" s="445"/>
      <c r="FU73" s="445"/>
      <c r="FV73" s="445"/>
      <c r="FW73" s="445"/>
    </row>
    <row r="74" spans="1:179" ht="13.8">
      <c r="A74" s="444"/>
      <c r="B74" s="444"/>
      <c r="C74" s="1509" t="s">
        <v>1093</v>
      </c>
      <c r="D74" s="1510"/>
      <c r="E74" s="1510"/>
      <c r="F74" s="1510"/>
      <c r="G74" s="1510"/>
      <c r="H74" s="1510"/>
      <c r="I74" s="1510"/>
      <c r="J74" s="1510"/>
      <c r="K74" s="1510"/>
      <c r="L74" s="1510"/>
      <c r="M74" s="1510"/>
      <c r="N74" s="1510"/>
      <c r="O74" s="1510"/>
      <c r="P74" s="1510"/>
      <c r="Q74" s="1510"/>
      <c r="R74" s="1510"/>
      <c r="S74" s="1510"/>
      <c r="T74" s="1510"/>
      <c r="U74" s="1510"/>
      <c r="V74" s="1510"/>
      <c r="W74" s="1510"/>
      <c r="X74" s="1510"/>
      <c r="Y74" s="1510"/>
      <c r="Z74" s="1510"/>
      <c r="AA74" s="1510"/>
      <c r="AB74" s="1510"/>
      <c r="AC74" s="1510"/>
      <c r="AD74" s="1510"/>
      <c r="AE74" s="1510"/>
      <c r="AF74" s="1510"/>
      <c r="AG74" s="1510"/>
      <c r="AH74" s="1510"/>
      <c r="AI74" s="1510"/>
      <c r="AJ74" s="1510"/>
      <c r="AK74" s="1510"/>
      <c r="AL74" s="1510"/>
      <c r="AM74" s="1510"/>
      <c r="AN74" s="1510"/>
      <c r="AO74" s="1510"/>
      <c r="AP74" s="1510"/>
      <c r="AQ74" s="1510"/>
      <c r="AR74" s="1510"/>
      <c r="AS74" s="1510"/>
      <c r="AT74" s="1510"/>
      <c r="AU74" s="1510"/>
      <c r="AV74" s="1510"/>
      <c r="AW74" s="1510"/>
      <c r="AX74" s="1510"/>
      <c r="AY74" s="1510"/>
      <c r="AZ74" s="1510"/>
      <c r="BA74" s="1510"/>
      <c r="BB74" s="1510"/>
      <c r="BC74" s="1510"/>
      <c r="BD74" s="1510"/>
      <c r="BE74" s="1510"/>
      <c r="BF74" s="1484">
        <f>(BF32/BB32-1)*100</f>
        <v>-2.537776055792329</v>
      </c>
      <c r="BG74" s="1161"/>
      <c r="BH74" s="1161">
        <f t="shared" si="61"/>
        <v>-2.9710867397806595</v>
      </c>
      <c r="BI74" s="1161">
        <f t="shared" si="61"/>
        <v>-8.1038240538934048</v>
      </c>
      <c r="BJ74" s="1484">
        <f t="shared" si="61"/>
        <v>-5.5456171735241533</v>
      </c>
      <c r="BK74" s="1161"/>
      <c r="BL74" s="1161">
        <f t="shared" si="62"/>
        <v>-15.022605836415948</v>
      </c>
      <c r="BM74" s="1161">
        <f t="shared" si="62"/>
        <v>6.8348426045709454</v>
      </c>
      <c r="BN74" s="1484">
        <f t="shared" si="62"/>
        <v>-4.3560606060606073</v>
      </c>
      <c r="BO74" s="1161"/>
      <c r="BP74" s="1161">
        <f t="shared" si="63"/>
        <v>39.201934703748485</v>
      </c>
      <c r="BQ74" s="1161">
        <f t="shared" si="63"/>
        <v>10.110998990918274</v>
      </c>
      <c r="BR74" s="1484">
        <f t="shared" si="63"/>
        <v>23.344334433443347</v>
      </c>
      <c r="BS74" s="1161"/>
      <c r="BT74" s="1161">
        <f t="shared" si="64"/>
        <v>-8.0264072272411386</v>
      </c>
      <c r="BU74" s="1161">
        <f t="shared" si="64"/>
        <v>-9.5307917888563072</v>
      </c>
      <c r="BV74" s="1484">
        <f t="shared" si="64"/>
        <v>-8.7584730645736677</v>
      </c>
      <c r="BW74" s="1161"/>
      <c r="BX74" s="1161">
        <f>(BX32/BT32-1)*100</f>
        <v>-0.77446165470343997</v>
      </c>
      <c r="BY74" s="1161">
        <f>(BY32/BU32-1)*100</f>
        <v>2.957860615883301</v>
      </c>
      <c r="BZ74" s="1484">
        <f>(BZ32/BV32-1)*100</f>
        <v>1.0263929618768319</v>
      </c>
      <c r="CA74" s="1161"/>
      <c r="CB74" s="1161">
        <f ca="1">(CB32/BX32-1)*100</f>
        <v>4.4770207505358872</v>
      </c>
      <c r="CC74" s="1161">
        <f ca="1">(CC32/BY32-1)*100</f>
        <v>14.126186111711391</v>
      </c>
      <c r="CD74" s="1484">
        <f ca="1">(CD32/BZ32-1)*100</f>
        <v>9.2217772445362556</v>
      </c>
      <c r="CE74" s="1161"/>
      <c r="CF74" s="1161">
        <f ca="1">(CF32/CB32-1)*100</f>
        <v>10.562232818967221</v>
      </c>
      <c r="CG74" s="1161">
        <f ca="1">(CG32/CC32-1)*100</f>
        <v>5.1641150896634125</v>
      </c>
      <c r="CH74" s="1484">
        <f ca="1">(CH32/CD32-1)*100</f>
        <v>7.7886406855968815</v>
      </c>
      <c r="CI74" s="1161"/>
      <c r="CJ74" s="1161">
        <f ca="1">(CJ32/CF32-1)*100</f>
        <v>5.2879077087684356</v>
      </c>
      <c r="CK74" s="1161">
        <f ca="1">(CK32/CG32-1)*100</f>
        <v>8.5603140293682536</v>
      </c>
      <c r="CL74" s="1161">
        <f ca="1">(CL32/CH32-1)*100</f>
        <v>6.9283541072023835</v>
      </c>
      <c r="CM74" s="1481"/>
      <c r="CN74" s="1188" t="s">
        <v>1097</v>
      </c>
      <c r="CO74" s="1352"/>
      <c r="CP74" s="1352"/>
      <c r="CQ74" s="1352"/>
      <c r="CR74" s="1352"/>
      <c r="CS74" s="1352"/>
      <c r="CT74" s="1352"/>
      <c r="CU74" s="1352"/>
      <c r="CV74" s="1352"/>
      <c r="CW74" s="1352"/>
      <c r="CX74" s="1352"/>
      <c r="CY74" s="1352"/>
      <c r="CZ74" s="1352"/>
      <c r="DA74" s="1352"/>
      <c r="DB74" s="1352"/>
      <c r="DC74" s="1352"/>
      <c r="DD74" s="1352"/>
      <c r="DE74" s="1352"/>
      <c r="DF74" s="1352"/>
      <c r="DG74" s="1352"/>
      <c r="DH74" s="1352"/>
      <c r="DI74" s="1352"/>
      <c r="DJ74" s="1352"/>
      <c r="DK74" s="1352"/>
      <c r="DL74" s="1352"/>
      <c r="DM74" s="1352"/>
      <c r="DN74" s="1352"/>
      <c r="DO74" s="1352"/>
      <c r="DP74" s="1352"/>
      <c r="DQ74" s="1352"/>
      <c r="DR74" s="1352"/>
      <c r="DS74" s="1352"/>
      <c r="DT74" s="1352"/>
      <c r="DU74" s="1352"/>
      <c r="DV74" s="1352"/>
      <c r="DW74" s="1352"/>
      <c r="DX74" s="1352"/>
      <c r="DY74" s="1352"/>
      <c r="DZ74" s="1352"/>
      <c r="EA74" s="1352"/>
      <c r="EB74" s="1352"/>
      <c r="EC74" s="1352"/>
      <c r="ED74" s="1352"/>
      <c r="EE74" s="1187">
        <f>INDEX(MODEL!$237:$237,MATCH(SUMMARY!EE$5,MODEL!$7:$7,0))*100</f>
        <v>0.16914738793383172</v>
      </c>
      <c r="EF74" s="1187" t="e">
        <f>INDEX(MODEL!$237:$237,MATCH(SUMMARY!EF$5,MODEL!$7:$7,0))*100</f>
        <v>#N/A</v>
      </c>
      <c r="EG74" s="1187">
        <f>INDEX(MODEL!$237:$237,MATCH(SUMMARY!EG$5,MODEL!$7:$7,0))*100</f>
        <v>8.423098952720337E-2</v>
      </c>
      <c r="EH74" s="1187">
        <f>INDEX(MODEL!$237:$237,MATCH(SUMMARY!EH$5,MODEL!$7:$7,0))*100</f>
        <v>-7.5479349444521103E-3</v>
      </c>
      <c r="EI74" s="1502">
        <f>INDEX(MODEL!$237:$237,MATCH(SUMMARY!EI$5,MODEL!$7:$7,0))*100</f>
        <v>3.7212353239839922E-2</v>
      </c>
      <c r="EJ74" s="1187" t="e">
        <f>INDEX(MODEL!$237:$237,MATCH(SUMMARY!EJ$5,MODEL!$7:$7,0))*100</f>
        <v>#N/A</v>
      </c>
      <c r="EK74" s="1187">
        <f>INDEX(MODEL!$237:$237,MATCH(SUMMARY!EK$5,MODEL!$7:$7,0))*100</f>
        <v>5.6604417315678959E-2</v>
      </c>
      <c r="EL74" s="1187">
        <f>INDEX(MODEL!$237:$237,MATCH(SUMMARY!EL$5,MODEL!$7:$7,0))*100</f>
        <v>-1.562591111602115E-2</v>
      </c>
      <c r="EM74" s="1502">
        <f>INDEX(MODEL!$237:$237,MATCH(SUMMARY!EM$5,MODEL!$7:$7,0))*100</f>
        <v>1.9511993224016897E-2</v>
      </c>
      <c r="EN74" s="1187" t="e">
        <f>INDEX(MODEL!$237:$237,MATCH(SUMMARY!EN$5,MODEL!$7:$7,0))*100</f>
        <v>#N/A</v>
      </c>
      <c r="EO74" s="1187">
        <f>INDEX(MODEL!$237:$237,MATCH(SUMMARY!EO$5,MODEL!$7:$7,0))*100</f>
        <v>-7.7993105931763885E-3</v>
      </c>
      <c r="EP74" s="1187">
        <f>INDEX(MODEL!$237:$237,MATCH(SUMMARY!EP$5,MODEL!$7:$7,0))*100</f>
        <v>3.3097108198765386E-2</v>
      </c>
      <c r="EQ74" s="1502">
        <f>INDEX(MODEL!$237:$237,MATCH(SUMMARY!EQ$5,MODEL!$7:$7,0))*100</f>
        <v>1.2796984974089621E-2</v>
      </c>
      <c r="ER74" s="1187" t="e">
        <f>INDEX(MODEL!$237:$237,MATCH(SUMMARY!ER$5,MODEL!$7:$7,0))*100</f>
        <v>#N/A</v>
      </c>
      <c r="ES74" s="1187">
        <f>INDEX(MODEL!$237:$237,MATCH(SUMMARY!ES$5,MODEL!$7:$7,0))*100</f>
        <v>1.2236600227489522E-2</v>
      </c>
      <c r="ET74" s="1187">
        <f>INDEX(MODEL!$237:$237,MATCH(SUMMARY!ET$5,MODEL!$7:$7,0))*100</f>
        <v>3.0956992070056911E-2</v>
      </c>
      <c r="EU74" s="1187">
        <f>INDEX(MODEL!$237:$237,MATCH(SUMMARY!EU$5,MODEL!$7:$7,0))*100</f>
        <v>2.0926926639358474E-2</v>
      </c>
      <c r="EV74" s="1187" t="e">
        <f>INDEX(MODEL!$237:$237,MATCH(SUMMARY!EV$5,MODEL!$7:$7,0))*100</f>
        <v>#N/A</v>
      </c>
      <c r="EW74" s="1187">
        <f>INDEX(MODEL!$237:$237,MATCH(SUMMARY!EW$5,MODEL!$7:$7,0))*100</f>
        <v>3.3078436128838345E-2</v>
      </c>
      <c r="EX74" s="1187">
        <f>INDEX(MODEL!$237:$237,MATCH(SUMMARY!EX$5,MODEL!$7:$7,0))*100</f>
        <v>4.2331542330038566E-2</v>
      </c>
      <c r="EY74" s="1621">
        <f>INDEX(MODEL!$237:$237,MATCH(SUMMARY!EY$5,MODEL!$7:$7,0))*100</f>
        <v>3.7531281063730035E-2</v>
      </c>
      <c r="EZ74" s="1187" t="e">
        <f>INDEX(MODEL!$237:$237,MATCH(SUMMARY!EZ$5,MODEL!$7:$7,0))*100</f>
        <v>#N/A</v>
      </c>
      <c r="FA74" s="1187">
        <f ca="1">INDEX(MODEL!$237:$237,MATCH(SUMMARY!FA$5,MODEL!$7:$7,0))*100</f>
        <v>7.1434059035962089E-2</v>
      </c>
      <c r="FB74" s="1187">
        <f ca="1">INDEX(MODEL!$237:$237,MATCH(SUMMARY!FB$5,MODEL!$7:$7,0))*100</f>
        <v>7.7434292234757091E-2</v>
      </c>
      <c r="FC74" s="1187">
        <f ca="1">INDEX(MODEL!$237:$237,MATCH(SUMMARY!FC$5,MODEL!$7:$7,0))*100</f>
        <v>7.368534224291394E-2</v>
      </c>
      <c r="FD74" s="1187" t="e">
        <f>INDEX(MODEL!$237:$237,MATCH(SUMMARY!FD$5,MODEL!$7:$7,0))*100</f>
        <v>#N/A</v>
      </c>
      <c r="FE74" s="1187">
        <f ca="1">INDEX(MODEL!$237:$237,MATCH(SUMMARY!FE$5,MODEL!$7:$7,0))*100</f>
        <v>9.7161955881282014E-2</v>
      </c>
      <c r="FF74" s="1187">
        <f ca="1">INDEX(MODEL!$237:$237,MATCH(SUMMARY!FF$5,MODEL!$7:$7,0))*100</f>
        <v>6.8611680270549993E-2</v>
      </c>
      <c r="FG74" s="1187">
        <f ca="1">INDEX(MODEL!$237:$237,MATCH(SUMMARY!FG$5,MODEL!$7:$7,0))*100</f>
        <v>8.1700358700487447E-2</v>
      </c>
      <c r="FH74" s="1187" t="e">
        <f>INDEX(MODEL!$237:$237,MATCH(SUMMARY!FH$5,MODEL!$7:$7,0))*100</f>
        <v>#N/A</v>
      </c>
      <c r="FI74" s="1187">
        <f ca="1">INDEX(MODEL!$237:$237,MATCH(SUMMARY!FI$5,MODEL!$7:$7,0))*100</f>
        <v>8.2082341827743349E-2</v>
      </c>
      <c r="FJ74" s="1187">
        <f ca="1">INDEX(MODEL!$237:$237,MATCH(SUMMARY!FJ$5,MODEL!$7:$7,0))*100</f>
        <v>7.9979575969660779E-2</v>
      </c>
      <c r="FK74" s="1187">
        <f ca="1">INDEX(MODEL!$237:$237,MATCH(SUMMARY!FK$5,MODEL!$7:$7,0))*100</f>
        <v>8.0160469885796476E-2</v>
      </c>
      <c r="FL74" s="444"/>
      <c r="FM74" s="445"/>
      <c r="FN74" s="445"/>
      <c r="FO74" s="445"/>
      <c r="FP74" s="445"/>
      <c r="FQ74" s="445"/>
      <c r="FR74" s="445"/>
      <c r="FS74" s="445"/>
      <c r="FT74" s="445"/>
      <c r="FU74" s="445"/>
      <c r="FV74" s="445"/>
      <c r="FW74" s="445"/>
    </row>
    <row r="75" spans="1:179" ht="13.8">
      <c r="A75" s="444"/>
      <c r="B75" s="444"/>
      <c r="C75" s="1511" t="s">
        <v>1085</v>
      </c>
      <c r="D75" s="1512"/>
      <c r="E75" s="1512"/>
      <c r="F75" s="1512"/>
      <c r="G75" s="1512"/>
      <c r="H75" s="1512"/>
      <c r="I75" s="1512"/>
      <c r="J75" s="1512"/>
      <c r="K75" s="1512"/>
      <c r="L75" s="1512"/>
      <c r="M75" s="1512"/>
      <c r="N75" s="1512"/>
      <c r="O75" s="1512"/>
      <c r="P75" s="1512"/>
      <c r="Q75" s="1512"/>
      <c r="R75" s="1512"/>
      <c r="S75" s="1512"/>
      <c r="T75" s="1512"/>
      <c r="U75" s="1512"/>
      <c r="V75" s="1512"/>
      <c r="W75" s="1512"/>
      <c r="X75" s="1512"/>
      <c r="Y75" s="1512"/>
      <c r="Z75" s="1512"/>
      <c r="AA75" s="1513"/>
      <c r="AB75" s="1513"/>
      <c r="AC75" s="1513"/>
      <c r="AD75" s="1513"/>
      <c r="AE75" s="1513"/>
      <c r="AF75" s="1513"/>
      <c r="AG75" s="1513"/>
      <c r="AH75" s="1514"/>
      <c r="AI75" s="1513"/>
      <c r="AJ75" s="1513"/>
      <c r="AK75" s="1513"/>
      <c r="AL75" s="1514"/>
      <c r="AM75" s="1513"/>
      <c r="AN75" s="1513"/>
      <c r="AO75" s="1513"/>
      <c r="AP75" s="1514"/>
      <c r="AQ75" s="1513"/>
      <c r="AR75" s="1513"/>
      <c r="AS75" s="1513"/>
      <c r="AT75" s="1514"/>
      <c r="AU75" s="1515"/>
      <c r="AV75" s="1513"/>
      <c r="AW75" s="1513"/>
      <c r="AX75" s="1513"/>
      <c r="AY75" s="1515"/>
      <c r="AZ75" s="1516"/>
      <c r="BA75" s="1513"/>
      <c r="BB75" s="1514"/>
      <c r="BC75" s="1513"/>
      <c r="BD75" s="1513"/>
      <c r="BE75" s="1513"/>
      <c r="BF75" s="1514">
        <f>(BF37/BB37-1)*100</f>
        <v>-22.341996455995272</v>
      </c>
      <c r="BG75" s="1513"/>
      <c r="BH75" s="1513">
        <f>(BH37/BD37-1)*100</f>
        <v>58.624999999999993</v>
      </c>
      <c r="BI75" s="1513">
        <f>(BI37/BE37-1)*100</f>
        <v>16.719132563833504</v>
      </c>
      <c r="BJ75" s="1514">
        <f>(BJ37/BF37-1)*100</f>
        <v>35.843316219813644</v>
      </c>
      <c r="BK75" s="1513"/>
      <c r="BL75" s="1513">
        <f>(BL37/BH37-1)*100</f>
        <v>-17.152613606514311</v>
      </c>
      <c r="BM75" s="1513">
        <f>(BM37/BI37-1)*100</f>
        <v>5.3341324543002777</v>
      </c>
      <c r="BN75" s="1514">
        <f>(BN37/BJ37-1)*100</f>
        <v>-6.6489361702127709</v>
      </c>
      <c r="BO75" s="1513"/>
      <c r="BP75" s="1513">
        <f>(BP37/BL37-1)*100</f>
        <v>26.506024096385538</v>
      </c>
      <c r="BQ75" s="1513">
        <f>(BQ37/BM37-1)*100</f>
        <v>6.1166429587482307</v>
      </c>
      <c r="BR75" s="1514">
        <f>(BR37/BN37-1)*100</f>
        <v>15.759484180536809</v>
      </c>
      <c r="BS75" s="1513"/>
      <c r="BT75" s="1513">
        <f>(BT37/BP37-1)*100</f>
        <v>-6.9172932330827113</v>
      </c>
      <c r="BU75" s="1513">
        <f>(BU37/BQ37-1)*100</f>
        <v>-14.932975871313669</v>
      </c>
      <c r="BV75" s="1514">
        <f>(BV37/BR37-1)*100</f>
        <v>-10.790155440414505</v>
      </c>
      <c r="BW75" s="1513"/>
      <c r="BX75" s="1513">
        <f>(BX37/BT37-1)*100</f>
        <v>-3.9310716208939112</v>
      </c>
      <c r="BY75" s="1513">
        <f>(BY37/BU37-1)*100</f>
        <v>4.8849669082886793</v>
      </c>
      <c r="BZ75" s="1514">
        <f>(BZ37/BV37-1)*100</f>
        <v>0.13068099317554704</v>
      </c>
      <c r="CA75" s="1513"/>
      <c r="CB75" s="1513">
        <f ca="1">(CB37/BX37-1)*100</f>
        <v>3.7430951522019251</v>
      </c>
      <c r="CC75" s="1513">
        <f ca="1">(CC37/BY37-1)*100</f>
        <v>14.972683745476246</v>
      </c>
      <c r="CD75" s="1514">
        <f ca="1">(CD37/BZ37-1)*100</f>
        <v>9.1624789744781499</v>
      </c>
      <c r="CE75" s="1513"/>
      <c r="CF75" s="1513">
        <f ca="1">(CF37/CB37-1)*100</f>
        <v>7.5310021972404328</v>
      </c>
      <c r="CG75" s="1513">
        <f ca="1">(CG37/CC37-1)*100</f>
        <v>4.3901222260194661</v>
      </c>
      <c r="CH75" s="1514">
        <f ca="1">(CH37/CD37-1)*100</f>
        <v>5.9345398341838163</v>
      </c>
      <c r="CI75" s="1513"/>
      <c r="CJ75" s="1513">
        <f ca="1">(CJ37/CF37-1)*100</f>
        <v>4.5385631266778637</v>
      </c>
      <c r="CK75" s="1513">
        <f ca="1">(CK37/CG37-1)*100</f>
        <v>8.107467826107273</v>
      </c>
      <c r="CL75" s="1513">
        <f ca="1">(CL37/CH37-1)*100</f>
        <v>6.3261374880031029</v>
      </c>
      <c r="CM75" s="1481"/>
      <c r="CN75" s="1188" t="s">
        <v>1098</v>
      </c>
      <c r="CO75" s="1352"/>
      <c r="CP75" s="1352"/>
      <c r="CQ75" s="1352"/>
      <c r="CR75" s="1352"/>
      <c r="CS75" s="1352"/>
      <c r="CT75" s="1352"/>
      <c r="CU75" s="1352"/>
      <c r="CV75" s="1352"/>
      <c r="CW75" s="1352"/>
      <c r="CX75" s="1352"/>
      <c r="CY75" s="1352"/>
      <c r="CZ75" s="1352"/>
      <c r="DA75" s="1352"/>
      <c r="DB75" s="1352"/>
      <c r="DC75" s="1352"/>
      <c r="DD75" s="1352"/>
      <c r="DE75" s="1352"/>
      <c r="DF75" s="1352"/>
      <c r="DG75" s="1352"/>
      <c r="DH75" s="1352"/>
      <c r="DI75" s="1352"/>
      <c r="DJ75" s="1352"/>
      <c r="DK75" s="1352"/>
      <c r="DL75" s="1352"/>
      <c r="DM75" s="1352"/>
      <c r="DN75" s="1352"/>
      <c r="DO75" s="1352"/>
      <c r="DP75" s="1352"/>
      <c r="DQ75" s="1352"/>
      <c r="DR75" s="1352"/>
      <c r="DS75" s="1352"/>
      <c r="DT75" s="1352"/>
      <c r="DU75" s="1352"/>
      <c r="DV75" s="1352"/>
      <c r="DW75" s="1352"/>
      <c r="DX75" s="1352"/>
      <c r="DY75" s="1352"/>
      <c r="DZ75" s="1352"/>
      <c r="EA75" s="1352"/>
      <c r="EB75" s="1352"/>
      <c r="EC75" s="1352"/>
      <c r="ED75" s="1352"/>
      <c r="EE75" s="1187">
        <f>INDEX(MODEL!$238:$238,MATCH(SUMMARY!EE$5,MODEL!$7:$7,0))*100</f>
        <v>0.27066794745347239</v>
      </c>
      <c r="EF75" s="1187" t="e">
        <f>INDEX(MODEL!$238:$238,MATCH(SUMMARY!EF$5,MODEL!$7:$7,0))*100</f>
        <v>#N/A</v>
      </c>
      <c r="EG75" s="1187">
        <f>INDEX(MODEL!$238:$238,MATCH(SUMMARY!EG$5,MODEL!$7:$7,0))*100</f>
        <v>-0.24329797359588359</v>
      </c>
      <c r="EH75" s="1187">
        <f>INDEX(MODEL!$238:$238,MATCH(SUMMARY!EH$5,MODEL!$7:$7,0))*100</f>
        <v>-1.6353859046312907E-2</v>
      </c>
      <c r="EI75" s="1502">
        <f>INDEX(MODEL!$238:$238,MATCH(SUMMARY!EI$5,MODEL!$7:$7,0))*100</f>
        <v>-0.12661660869318414</v>
      </c>
      <c r="EJ75" s="1187" t="e">
        <f>INDEX(MODEL!$238:$238,MATCH(SUMMARY!EJ$5,MODEL!$7:$7,0))*100</f>
        <v>#N/A</v>
      </c>
      <c r="EK75" s="1187">
        <f>INDEX(MODEL!$238:$238,MATCH(SUMMARY!EK$5,MODEL!$7:$7,0))*100</f>
        <v>-0.14349984714082936</v>
      </c>
      <c r="EL75" s="1187">
        <f>INDEX(MODEL!$238:$238,MATCH(SUMMARY!EL$5,MODEL!$7:$7,0))*100</f>
        <v>3.0956993720419261E-2</v>
      </c>
      <c r="EM75" s="1502">
        <f>INDEX(MODEL!$238:$238,MATCH(SUMMARY!EM$5,MODEL!$7:$7,0))*100</f>
        <v>-5.3805799496531442E-2</v>
      </c>
      <c r="EN75" s="1187" t="e">
        <f>INDEX(MODEL!$238:$238,MATCH(SUMMARY!EN$5,MODEL!$7:$7,0))*100</f>
        <v>#N/A</v>
      </c>
      <c r="EO75" s="1187">
        <f>INDEX(MODEL!$238:$238,MATCH(SUMMARY!EO$5,MODEL!$7:$7,0))*100</f>
        <v>4.6218136848452676E-2</v>
      </c>
      <c r="EP75" s="1187">
        <f>INDEX(MODEL!$238:$238,MATCH(SUMMARY!EP$5,MODEL!$7:$7,0))*100</f>
        <v>-1.682903806716884E-3</v>
      </c>
      <c r="EQ75" s="1502">
        <f>INDEX(MODEL!$238:$238,MATCH(SUMMARY!EQ$5,MODEL!$7:$7,0))*100</f>
        <v>2.1656436109997821E-2</v>
      </c>
      <c r="ER75" s="1187" t="e">
        <f>INDEX(MODEL!$238:$238,MATCH(SUMMARY!ER$5,MODEL!$7:$7,0))*100</f>
        <v>#N/A</v>
      </c>
      <c r="ES75" s="1187">
        <f>INDEX(MODEL!$238:$238,MATCH(SUMMARY!ES$5,MODEL!$7:$7,0))*100</f>
        <v>7.2307183162438077E-3</v>
      </c>
      <c r="ET75" s="1187">
        <f>INDEX(MODEL!$238:$238,MATCH(SUMMARY!ET$5,MODEL!$7:$7,0))*100</f>
        <v>5.2255402614256069E-2</v>
      </c>
      <c r="EU75" s="1187">
        <f>INDEX(MODEL!$238:$238,MATCH(SUMMARY!EU$5,MODEL!$7:$7,0))*100</f>
        <v>2.9347228482413952E-2</v>
      </c>
      <c r="EV75" s="1187" t="e">
        <f>INDEX(MODEL!$238:$238,MATCH(SUMMARY!EV$5,MODEL!$7:$7,0))*100</f>
        <v>#N/A</v>
      </c>
      <c r="EW75" s="1187">
        <f>INDEX(MODEL!$238:$238,MATCH(SUMMARY!EW$5,MODEL!$7:$7,0))*100</f>
        <v>2.1890141555848909E-3</v>
      </c>
      <c r="EX75" s="1187">
        <f>INDEX(MODEL!$238:$238,MATCH(SUMMARY!EX$5,MODEL!$7:$7,0))*100</f>
        <v>2.846018947612762E-2</v>
      </c>
      <c r="EY75" s="1621">
        <f>INDEX(MODEL!$238:$238,MATCH(SUMMARY!EY$5,MODEL!$7:$7,0))*100</f>
        <v>1.5348255514880015E-2</v>
      </c>
      <c r="EZ75" s="1187" t="e">
        <f>INDEX(MODEL!$238:$238,MATCH(SUMMARY!EZ$5,MODEL!$7:$7,0))*100</f>
        <v>#N/A</v>
      </c>
      <c r="FA75" s="1187">
        <f ca="1">INDEX(MODEL!$238:$238,MATCH(SUMMARY!FA$5,MODEL!$7:$7,0))*100</f>
        <v>-2.1434059035962086E-2</v>
      </c>
      <c r="FB75" s="1187">
        <f ca="1">INDEX(MODEL!$238:$238,MATCH(SUMMARY!FB$5,MODEL!$7:$7,0))*100</f>
        <v>2.5657077652429311E-3</v>
      </c>
      <c r="FC75" s="1187">
        <f ca="1">INDEX(MODEL!$238:$238,MATCH(SUMMARY!FC$5,MODEL!$7:$7,0))*100</f>
        <v>-9.1741426654068196E-3</v>
      </c>
      <c r="FD75" s="1187" t="e">
        <f>INDEX(MODEL!$238:$238,MATCH(SUMMARY!FD$5,MODEL!$7:$7,0))*100</f>
        <v>#N/A</v>
      </c>
      <c r="FE75" s="1187">
        <f ca="1">INDEX(MODEL!$238:$238,MATCH(SUMMARY!FE$5,MODEL!$7:$7,0))*100</f>
        <v>-7.1619558812820242E-3</v>
      </c>
      <c r="FF75" s="1187">
        <f ca="1">INDEX(MODEL!$238:$238,MATCH(SUMMARY!FF$5,MODEL!$7:$7,0))*100</f>
        <v>2.138831972945001E-2</v>
      </c>
      <c r="FG75" s="1187">
        <f ca="1">INDEX(MODEL!$238:$238,MATCH(SUMMARY!FG$5,MODEL!$7:$7,0))*100</f>
        <v>7.2368647646140864E-3</v>
      </c>
      <c r="FH75" s="1187" t="e">
        <f>INDEX(MODEL!$238:$238,MATCH(SUMMARY!FH$5,MODEL!$7:$7,0))*100</f>
        <v>#N/A</v>
      </c>
      <c r="FI75" s="1187">
        <f ca="1">INDEX(MODEL!$238:$238,MATCH(SUMMARY!FI$5,MODEL!$7:$7,0))*100</f>
        <v>1.7917658172256653E-2</v>
      </c>
      <c r="FJ75" s="1187">
        <f ca="1">INDEX(MODEL!$238:$238,MATCH(SUMMARY!FJ$5,MODEL!$7:$7,0))*100</f>
        <v>2.0020424030339223E-2</v>
      </c>
      <c r="FK75" s="1187">
        <f ca="1">INDEX(MODEL!$238:$238,MATCH(SUMMARY!FK$5,MODEL!$7:$7,0))*100</f>
        <v>1.8779023075147089E-2</v>
      </c>
      <c r="FL75" s="444"/>
      <c r="FM75" s="445"/>
      <c r="FN75" s="445"/>
      <c r="FO75" s="445"/>
      <c r="FP75" s="445"/>
      <c r="FQ75" s="445"/>
      <c r="FR75" s="445"/>
      <c r="FS75" s="445"/>
      <c r="FT75" s="445"/>
      <c r="FU75" s="445"/>
      <c r="FV75" s="445"/>
      <c r="FW75" s="445"/>
    </row>
    <row r="76" spans="1:179" ht="13.8">
      <c r="A76" s="444"/>
      <c r="B76" s="444"/>
      <c r="C76" s="1399" t="s">
        <v>500</v>
      </c>
      <c r="D76" s="1189"/>
      <c r="E76" s="1189"/>
      <c r="F76" s="1189"/>
      <c r="G76" s="1400"/>
      <c r="H76" s="1189"/>
      <c r="I76" s="1189"/>
      <c r="J76" s="1189"/>
      <c r="K76" s="1400"/>
      <c r="L76" s="1189">
        <v>10.40848014332636</v>
      </c>
      <c r="M76" s="1189">
        <v>6.9750776335695486</v>
      </c>
      <c r="N76" s="1189">
        <v>6.9750776335695486</v>
      </c>
      <c r="O76" s="1400"/>
      <c r="P76" s="1189">
        <v>4.3038960617485023</v>
      </c>
      <c r="Q76" s="1189">
        <v>7.7452283481312056</v>
      </c>
      <c r="R76" s="1189">
        <v>7.7452283481312056</v>
      </c>
      <c r="S76" s="1189"/>
      <c r="T76" s="1189">
        <v>7.746997448609183</v>
      </c>
      <c r="U76" s="1189">
        <v>6.2785579646498002</v>
      </c>
      <c r="V76" s="1189">
        <v>6.2785579646498002</v>
      </c>
      <c r="W76" s="1189"/>
      <c r="X76" s="1189">
        <v>8.0693057393815373</v>
      </c>
      <c r="Y76" s="1189">
        <v>7.1148006797225438</v>
      </c>
      <c r="Z76" s="1189">
        <v>7.1148006797225438</v>
      </c>
      <c r="AA76" s="1190"/>
      <c r="AB76" s="1190">
        <f t="shared" ref="AB76:AD78" si="74">(AB51*1000/X51-1)*100</f>
        <v>6.1195950850846836</v>
      </c>
      <c r="AC76" s="1190">
        <f t="shared" si="74"/>
        <v>9.7834473312354184</v>
      </c>
      <c r="AD76" s="1190">
        <f t="shared" si="74"/>
        <v>9.7834473312354184</v>
      </c>
      <c r="AE76" s="1190"/>
      <c r="AF76" s="1190">
        <f t="shared" ref="AF76:AH78" si="75">(AF51/AB51-1)*100</f>
        <v>11.092319184831423</v>
      </c>
      <c r="AG76" s="1190">
        <f t="shared" si="75"/>
        <v>7.1506690303501763</v>
      </c>
      <c r="AH76" s="1517">
        <f t="shared" si="75"/>
        <v>7.1506690303501763</v>
      </c>
      <c r="AI76" s="1190"/>
      <c r="AJ76" s="1190">
        <f t="shared" ref="AJ76:AL78" si="76">(AJ51/AF51-1)*100</f>
        <v>8.9848250747035507</v>
      </c>
      <c r="AK76" s="1190">
        <f t="shared" si="76"/>
        <v>10.715285863781766</v>
      </c>
      <c r="AL76" s="1517">
        <f t="shared" si="76"/>
        <v>10.715285863781766</v>
      </c>
      <c r="AM76" s="1190"/>
      <c r="AN76" s="1190">
        <f t="shared" ref="AN76:AP78" si="77">(AN51/AJ51-1)*100</f>
        <v>8.5976630606210627</v>
      </c>
      <c r="AO76" s="1190">
        <f t="shared" si="77"/>
        <v>7.5468935127867232</v>
      </c>
      <c r="AP76" s="1517">
        <f t="shared" si="77"/>
        <v>7.5468935127867232</v>
      </c>
      <c r="AQ76" s="1190"/>
      <c r="AR76" s="1190">
        <f t="shared" ref="AR76:AT78" si="78">(AR51/AN51-1)*100</f>
        <v>5.5898321422529929</v>
      </c>
      <c r="AS76" s="1190">
        <f t="shared" si="78"/>
        <v>4.3834946649171869</v>
      </c>
      <c r="AT76" s="1517">
        <f t="shared" si="78"/>
        <v>4.3834946649171869</v>
      </c>
      <c r="AU76" s="1518"/>
      <c r="AV76" s="1190">
        <f t="shared" ref="AV76:AX78" si="79">(AV51/AR51-1)*100</f>
        <v>4.321763891491881</v>
      </c>
      <c r="AW76" s="1190">
        <f t="shared" si="79"/>
        <v>2.622224725696598</v>
      </c>
      <c r="AX76" s="1190">
        <f t="shared" si="79"/>
        <v>2.622224725696598</v>
      </c>
      <c r="AY76" s="1518"/>
      <c r="AZ76" s="1191">
        <f t="shared" ref="AZ76:BB78" si="80">(AZ51/AV51-1)*100</f>
        <v>1.1112366745771762</v>
      </c>
      <c r="BA76" s="1190">
        <f t="shared" si="80"/>
        <v>-0.67773303211865477</v>
      </c>
      <c r="BB76" s="1517">
        <f t="shared" si="80"/>
        <v>-0.67773303211865477</v>
      </c>
      <c r="BC76" s="1190"/>
      <c r="BD76" s="1190">
        <f t="shared" ref="BD76:BF78" si="81">(BD51/AZ51-1)*100</f>
        <v>0.13813025511109078</v>
      </c>
      <c r="BE76" s="1190">
        <f t="shared" si="81"/>
        <v>4.2296863365599568</v>
      </c>
      <c r="BF76" s="1517">
        <f t="shared" si="81"/>
        <v>4.2296863365599568</v>
      </c>
      <c r="BG76" s="1190"/>
      <c r="BH76" s="1190">
        <f t="shared" ref="BH76:BJ78" si="82">(BH51/BD51-1)*100</f>
        <v>5.4803850864841852</v>
      </c>
      <c r="BI76" s="1190">
        <f t="shared" si="82"/>
        <v>3.9687456397376808</v>
      </c>
      <c r="BJ76" s="1517">
        <f t="shared" si="82"/>
        <v>3.9687456397376808</v>
      </c>
      <c r="BK76" s="1190"/>
      <c r="BL76" s="1190">
        <f t="shared" ref="BL76:BN78" si="83">(BL51/BH51-1)*100</f>
        <v>1.5122986179316289</v>
      </c>
      <c r="BM76" s="1190">
        <f t="shared" si="83"/>
        <v>0.55103443092878734</v>
      </c>
      <c r="BN76" s="1517">
        <f t="shared" si="83"/>
        <v>0.55103443092878734</v>
      </c>
      <c r="BO76" s="1190"/>
      <c r="BP76" s="1190">
        <f t="shared" ref="BP76:BR78" si="84">(BP51/BL51-1)*100</f>
        <v>4.505922726592404</v>
      </c>
      <c r="BQ76" s="1190">
        <f t="shared" si="84"/>
        <v>7.9722389055722376</v>
      </c>
      <c r="BR76" s="1517">
        <f t="shared" si="84"/>
        <v>7.9722389055722376</v>
      </c>
      <c r="BS76" s="1190"/>
      <c r="BT76" s="1190">
        <f t="shared" ref="BT76:BV78" si="85">(BT51/BP51-1)*100</f>
        <v>6.1200324287551844</v>
      </c>
      <c r="BU76" s="1190">
        <f t="shared" si="85"/>
        <v>19.793518273583331</v>
      </c>
      <c r="BV76" s="1517">
        <f t="shared" si="85"/>
        <v>19.793518273583331</v>
      </c>
      <c r="BW76" s="1190"/>
      <c r="BX76" s="1190">
        <f t="shared" ref="BX76:BZ78" si="86">(BX51/BT51-1)*100</f>
        <v>19.357450818309108</v>
      </c>
      <c r="BY76" s="1190">
        <f t="shared" si="86"/>
        <v>4.0125558761252789</v>
      </c>
      <c r="BZ76" s="1517">
        <f t="shared" si="86"/>
        <v>4.0125558761252789</v>
      </c>
      <c r="CA76" s="1190"/>
      <c r="CB76" s="1190">
        <f t="shared" ref="CB76:CD78" si="87">(CB51/BX51-1)*100</f>
        <v>2.9169435501581908</v>
      </c>
      <c r="CC76" s="1190">
        <f t="shared" si="87"/>
        <v>3.6605212048057556</v>
      </c>
      <c r="CD76" s="1517">
        <f t="shared" si="87"/>
        <v>3.6605212048057556</v>
      </c>
      <c r="CE76" s="1190"/>
      <c r="CF76" s="1190">
        <f t="shared" ref="CF76:CF78" si="88">(CF51/CB51-1)*100</f>
        <v>5.3674623503279673</v>
      </c>
      <c r="CG76" s="1190">
        <f t="shared" ref="CG76:CG78" si="89">(CG51/CC51-1)*100</f>
        <v>5.6775079520006377</v>
      </c>
      <c r="CH76" s="1517">
        <f t="shared" ref="CH76:CH78" si="90">(CH51/CD51-1)*100</f>
        <v>5.6775079520006377</v>
      </c>
      <c r="CI76" s="1190"/>
      <c r="CJ76" s="1190">
        <f t="shared" ref="CJ76:CJ78" si="91">(CJ51/CF51-1)*100</f>
        <v>5.1671508357421958</v>
      </c>
      <c r="CK76" s="1190">
        <f t="shared" ref="CK76:CK78" si="92">(CK51/CG51-1)*100</f>
        <v>4.6592422980348491</v>
      </c>
      <c r="CL76" s="1190">
        <f t="shared" ref="CL76:CL78" si="93">(CL51/CH51-1)*100</f>
        <v>4.6592422980348491</v>
      </c>
      <c r="CM76" s="1481"/>
      <c r="CN76" s="1385" t="s">
        <v>1095</v>
      </c>
      <c r="CO76" s="1343">
        <v>0.61267362389087388</v>
      </c>
      <c r="CP76" s="1343">
        <v>0.38929467259903894</v>
      </c>
      <c r="CQ76" s="1343">
        <v>0.49958100334148964</v>
      </c>
      <c r="CR76" s="1343"/>
      <c r="CS76" s="1343">
        <v>0.35717640148744129</v>
      </c>
      <c r="CT76" s="1343">
        <v>0.28469606668574771</v>
      </c>
      <c r="CU76" s="1343">
        <v>0.32014638221000646</v>
      </c>
      <c r="CV76" s="1343"/>
      <c r="CW76" s="1343">
        <v>0.27713996419059933</v>
      </c>
      <c r="CX76" s="1343">
        <v>0.32310822599260092</v>
      </c>
      <c r="CY76" s="1343">
        <v>0.30052268970196178</v>
      </c>
      <c r="CZ76" s="1343"/>
      <c r="DA76" s="467">
        <f>MODEL!BH977*100</f>
        <v>0.26724935790968868</v>
      </c>
      <c r="DB76" s="467">
        <f>MODEL!BI977*100</f>
        <v>0.25085014605093808</v>
      </c>
      <c r="DC76" s="467">
        <f>MODEL!BJ977*100</f>
        <v>0.25927105196467676</v>
      </c>
      <c r="DD76" s="467"/>
      <c r="DE76" s="467">
        <f>MODEL!BL977*100</f>
        <v>0.21068298280576733</v>
      </c>
      <c r="DF76" s="467">
        <f>MODEL!BM977*100</f>
        <v>0.17433759329804288</v>
      </c>
      <c r="DG76" s="467">
        <f>MODEL!BN977*100</f>
        <v>0.19202317480904468</v>
      </c>
      <c r="DH76" s="467"/>
      <c r="DI76" s="467">
        <f>MODEL!BP977*100</f>
        <v>0.18777348959100382</v>
      </c>
      <c r="DJ76" s="467">
        <f>MODEL!BQ977*100</f>
        <v>0.24469372482014273</v>
      </c>
      <c r="DK76" s="467">
        <f>MODEL!BR977*100</f>
        <v>0.21688167349858939</v>
      </c>
      <c r="DL76" s="467">
        <f>MODEL!BS977*100</f>
        <v>0</v>
      </c>
      <c r="DM76" s="467">
        <f>MODEL!BT977*100</f>
        <v>0.33325346866763955</v>
      </c>
      <c r="DN76" s="467">
        <f>MODEL!BU977*100</f>
        <v>0.37671139660850866</v>
      </c>
      <c r="DO76" s="467">
        <f>MODEL!BV977*100</f>
        <v>0.35498544940776777</v>
      </c>
      <c r="DP76" s="467"/>
      <c r="DQ76" s="467">
        <f>MODEL!BX977*100</f>
        <v>0.25980665837012135</v>
      </c>
      <c r="DR76" s="467">
        <f>MODEL!BY977*100</f>
        <v>0.17110633962224855</v>
      </c>
      <c r="DS76" s="467">
        <f>MODEL!BZ977*100</f>
        <v>0.21523385364636485</v>
      </c>
      <c r="DT76" s="467"/>
      <c r="DU76" s="467">
        <f>MODEL!CB977*100</f>
        <v>0.1457385421976789</v>
      </c>
      <c r="DV76" s="467">
        <f>MODEL!CC977*100</f>
        <v>9.7548483481400383E-2</v>
      </c>
      <c r="DW76" s="467">
        <f>MODEL!CD977*100</f>
        <v>0.12131834957670828</v>
      </c>
      <c r="DX76" s="467"/>
      <c r="DY76" s="467"/>
      <c r="DZ76" s="467"/>
      <c r="EA76" s="467">
        <f>MODEL!CH977*100</f>
        <v>0.13522155924915463</v>
      </c>
      <c r="EB76" s="467"/>
      <c r="EC76" s="467"/>
      <c r="ED76" s="467"/>
      <c r="EE76" s="467">
        <f>MODEL!CL977*100</f>
        <v>0.45180250719039233</v>
      </c>
      <c r="EF76" s="467"/>
      <c r="EG76" s="467"/>
      <c r="EH76" s="467"/>
      <c r="EI76" s="1380">
        <f>MODEL!CP977*100</f>
        <v>-9.6611772323368303E-2</v>
      </c>
      <c r="EJ76" s="467"/>
      <c r="EK76" s="467"/>
      <c r="EL76" s="467"/>
      <c r="EM76" s="1380">
        <f>MODEL!CT977*100</f>
        <v>-3.7827834438003929E-2</v>
      </c>
      <c r="EN76" s="467"/>
      <c r="EO76" s="467"/>
      <c r="EP76" s="467"/>
      <c r="EQ76" s="1380">
        <f>MODEL!CX977*100</f>
        <v>3.7708957647453571E-2</v>
      </c>
      <c r="ER76" s="467"/>
      <c r="ES76" s="467"/>
      <c r="ET76" s="467"/>
      <c r="EU76" s="467">
        <f>MODEL!DB977*100</f>
        <v>5.955873723741345E-2</v>
      </c>
      <c r="EV76" s="467"/>
      <c r="EW76" s="467"/>
      <c r="EX76" s="467"/>
      <c r="EY76" s="1592">
        <f>MODEL!DF977*100</f>
        <v>5.7280538255216618E-2</v>
      </c>
      <c r="EZ76" s="467"/>
      <c r="FA76" s="467"/>
      <c r="FB76" s="467"/>
      <c r="FC76" s="467">
        <f>MODEL!DJ977*100</f>
        <v>7.0069196944192058E-2</v>
      </c>
      <c r="FD76" s="467"/>
      <c r="FE76" s="467"/>
      <c r="FF76" s="467"/>
      <c r="FG76" s="467">
        <f>MODEL!DN977*100</f>
        <v>9.7137255501997588E-2</v>
      </c>
      <c r="FH76" s="467"/>
      <c r="FI76" s="467"/>
      <c r="FJ76" s="467"/>
      <c r="FK76" s="467">
        <f>MODEL!DR977*100</f>
        <v>0.10780318791615458</v>
      </c>
      <c r="FL76" s="444"/>
      <c r="FM76" s="445"/>
      <c r="FN76" s="445"/>
      <c r="FO76" s="445"/>
      <c r="FP76" s="445"/>
      <c r="FQ76" s="445"/>
      <c r="FR76" s="445"/>
      <c r="FS76" s="445"/>
      <c r="FT76" s="445"/>
      <c r="FU76" s="445"/>
      <c r="FV76" s="445"/>
      <c r="FW76" s="445"/>
    </row>
    <row r="77" spans="1:179" ht="13.8">
      <c r="A77" s="444"/>
      <c r="B77" s="444"/>
      <c r="C77" s="1399" t="s">
        <v>737</v>
      </c>
      <c r="D77" s="1189"/>
      <c r="E77" s="1189"/>
      <c r="F77" s="1189"/>
      <c r="G77" s="1400"/>
      <c r="H77" s="1189"/>
      <c r="I77" s="1189"/>
      <c r="J77" s="1189"/>
      <c r="K77" s="1400"/>
      <c r="L77" s="1189">
        <v>4.4949758925058259</v>
      </c>
      <c r="M77" s="1189">
        <v>-8.6363155285454027</v>
      </c>
      <c r="N77" s="1189">
        <v>-8.6363155285454027</v>
      </c>
      <c r="O77" s="1400"/>
      <c r="P77" s="1189">
        <v>-9.2529210433140552</v>
      </c>
      <c r="Q77" s="1189">
        <v>2.0772237024210938</v>
      </c>
      <c r="R77" s="1189">
        <v>2.0772237024210938</v>
      </c>
      <c r="S77" s="1189"/>
      <c r="T77" s="1189">
        <v>10.282469080752342</v>
      </c>
      <c r="U77" s="1189">
        <v>12.519710435779817</v>
      </c>
      <c r="V77" s="1189">
        <v>12.519710435779817</v>
      </c>
      <c r="W77" s="1189"/>
      <c r="X77" s="1189">
        <v>9.1586549260973094</v>
      </c>
      <c r="Y77" s="1189">
        <v>7.2797728056904765</v>
      </c>
      <c r="Z77" s="1189">
        <v>7.2797728056904765</v>
      </c>
      <c r="AA77" s="1190"/>
      <c r="AB77" s="1190">
        <f t="shared" si="74"/>
        <v>13.916998060510011</v>
      </c>
      <c r="AC77" s="1190">
        <f t="shared" si="74"/>
        <v>16.425118382574901</v>
      </c>
      <c r="AD77" s="1190">
        <f t="shared" si="74"/>
        <v>16.425118382574901</v>
      </c>
      <c r="AE77" s="1190"/>
      <c r="AF77" s="1190">
        <f t="shared" si="75"/>
        <v>12.79800210447406</v>
      </c>
      <c r="AG77" s="1190">
        <f t="shared" si="75"/>
        <v>8.4553792276895976</v>
      </c>
      <c r="AH77" s="1517">
        <f t="shared" si="75"/>
        <v>8.4553792276895976</v>
      </c>
      <c r="AI77" s="1190"/>
      <c r="AJ77" s="1190">
        <f t="shared" si="76"/>
        <v>9.9150425187771276</v>
      </c>
      <c r="AK77" s="1190">
        <f t="shared" si="76"/>
        <v>7.5775209746501648</v>
      </c>
      <c r="AL77" s="1517">
        <f t="shared" si="76"/>
        <v>7.5775209746501648</v>
      </c>
      <c r="AM77" s="1190"/>
      <c r="AN77" s="1190">
        <f t="shared" si="77"/>
        <v>-7.7854715393553153</v>
      </c>
      <c r="AO77" s="1190">
        <f t="shared" si="77"/>
        <v>-6.2256398301071876</v>
      </c>
      <c r="AP77" s="1517">
        <f t="shared" si="77"/>
        <v>-6.2256398301071876</v>
      </c>
      <c r="AQ77" s="1190"/>
      <c r="AR77" s="1190">
        <f t="shared" si="78"/>
        <v>-1.2486026789064963</v>
      </c>
      <c r="AS77" s="1190">
        <f t="shared" si="78"/>
        <v>-3.9784800046613777</v>
      </c>
      <c r="AT77" s="1517">
        <f t="shared" si="78"/>
        <v>-3.9784800046613777</v>
      </c>
      <c r="AU77" s="1518"/>
      <c r="AV77" s="1190">
        <f t="shared" si="79"/>
        <v>0.34799721602225553</v>
      </c>
      <c r="AW77" s="1190">
        <f t="shared" si="79"/>
        <v>6.2554360358100913</v>
      </c>
      <c r="AX77" s="1190">
        <f t="shared" si="79"/>
        <v>6.2554360358100913</v>
      </c>
      <c r="AY77" s="1518"/>
      <c r="AZ77" s="1191">
        <f t="shared" si="80"/>
        <v>5.7391817341114315</v>
      </c>
      <c r="BA77" s="1190">
        <f t="shared" si="80"/>
        <v>4.8356024610136439</v>
      </c>
      <c r="BB77" s="1517">
        <f t="shared" si="80"/>
        <v>4.8356024610136439</v>
      </c>
      <c r="BC77" s="1190"/>
      <c r="BD77" s="1190">
        <f t="shared" si="81"/>
        <v>17.80864779281486</v>
      </c>
      <c r="BE77" s="1190">
        <f t="shared" si="81"/>
        <v>-4.0576415344443788</v>
      </c>
      <c r="BF77" s="1517">
        <f t="shared" si="81"/>
        <v>-4.0576415344443788</v>
      </c>
      <c r="BG77" s="1190"/>
      <c r="BH77" s="1190">
        <f t="shared" si="82"/>
        <v>-19.853061172246701</v>
      </c>
      <c r="BI77" s="1190">
        <f t="shared" si="82"/>
        <v>-0.96826454289434816</v>
      </c>
      <c r="BJ77" s="1517">
        <f t="shared" si="82"/>
        <v>-0.96826454289434816</v>
      </c>
      <c r="BK77" s="1190"/>
      <c r="BL77" s="1190">
        <f t="shared" si="83"/>
        <v>12.310953894309851</v>
      </c>
      <c r="BM77" s="1190">
        <f t="shared" si="83"/>
        <v>15.38684993081727</v>
      </c>
      <c r="BN77" s="1517">
        <f t="shared" si="83"/>
        <v>15.188857376560417</v>
      </c>
      <c r="BO77" s="1190"/>
      <c r="BP77" s="1190">
        <f t="shared" si="84"/>
        <v>7.6184754517370612</v>
      </c>
      <c r="BQ77" s="1190">
        <f t="shared" si="84"/>
        <v>1.3969034258419111</v>
      </c>
      <c r="BR77" s="1517">
        <f t="shared" si="84"/>
        <v>1.5711896576897422</v>
      </c>
      <c r="BS77" s="1190"/>
      <c r="BT77" s="1190">
        <f t="shared" si="85"/>
        <v>0.32536814497214905</v>
      </c>
      <c r="BU77" s="1190">
        <f t="shared" si="85"/>
        <v>5.3590505032685476</v>
      </c>
      <c r="BV77" s="1517">
        <f t="shared" si="85"/>
        <v>5.3590505032685476</v>
      </c>
      <c r="BW77" s="1190"/>
      <c r="BX77" s="1190">
        <f t="shared" si="86"/>
        <v>8.2250369585044503</v>
      </c>
      <c r="BY77" s="1190">
        <f t="shared" si="86"/>
        <v>2.1178097568084642</v>
      </c>
      <c r="BZ77" s="1517">
        <f t="shared" si="86"/>
        <v>2.1178097568084642</v>
      </c>
      <c r="CA77" s="1190"/>
      <c r="CB77" s="1190">
        <f t="shared" si="87"/>
        <v>0.22950272268278393</v>
      </c>
      <c r="CC77" s="1190">
        <f t="shared" si="87"/>
        <v>1.7041541018695705</v>
      </c>
      <c r="CD77" s="1517">
        <f t="shared" si="87"/>
        <v>1.7041541018695705</v>
      </c>
      <c r="CE77" s="1190"/>
      <c r="CF77" s="1190">
        <f t="shared" si="88"/>
        <v>3.0267085203707245</v>
      </c>
      <c r="CG77" s="1190">
        <f t="shared" si="89"/>
        <v>3.1968795432842034</v>
      </c>
      <c r="CH77" s="1517">
        <f t="shared" si="90"/>
        <v>3.1968795432842034</v>
      </c>
      <c r="CI77" s="1190"/>
      <c r="CJ77" s="1190">
        <f t="shared" si="91"/>
        <v>3.4157858426070664</v>
      </c>
      <c r="CK77" s="1190">
        <f t="shared" si="92"/>
        <v>3.5309388926298979</v>
      </c>
      <c r="CL77" s="1190">
        <f t="shared" si="93"/>
        <v>3.5309388926298979</v>
      </c>
      <c r="CM77" s="1354"/>
      <c r="CN77" s="1444" t="s">
        <v>1096</v>
      </c>
      <c r="CO77" s="1343">
        <v>0.6107732038780147</v>
      </c>
      <c r="CP77" s="1343">
        <v>0.38099664398700828</v>
      </c>
      <c r="CQ77" s="1343">
        <v>0.48286595943601684</v>
      </c>
      <c r="CR77" s="1343"/>
      <c r="CS77" s="1343">
        <v>0.34987961549526109</v>
      </c>
      <c r="CT77" s="1343">
        <v>0.27837837168465968</v>
      </c>
      <c r="CU77" s="1343">
        <v>0.30636480940740574</v>
      </c>
      <c r="CV77" s="1343"/>
      <c r="CW77" s="1343">
        <v>0.27212703080764439</v>
      </c>
      <c r="CX77" s="1343">
        <v>0.31792608680583634</v>
      </c>
      <c r="CY77" s="1343">
        <v>0.29066207645475445</v>
      </c>
      <c r="CZ77" s="1343"/>
      <c r="DA77" s="1123">
        <f>MODEL!BH976*100</f>
        <v>0.2613121627075925</v>
      </c>
      <c r="DB77" s="1123">
        <f>MODEL!BI976*100</f>
        <v>0.24412669610704654</v>
      </c>
      <c r="DC77" s="1123">
        <f>MODEL!BJ976*100</f>
        <v>0.24500021491246923</v>
      </c>
      <c r="DD77" s="1123"/>
      <c r="DE77" s="1123">
        <f>MODEL!BL976*100</f>
        <v>0.20581768154583688</v>
      </c>
      <c r="DF77" s="1123">
        <f>MODEL!BM976*100</f>
        <v>0.1746147048422054</v>
      </c>
      <c r="DG77" s="1123">
        <f>MODEL!BN976*100</f>
        <v>0.18781678652884573</v>
      </c>
      <c r="DH77" s="1123"/>
      <c r="DI77" s="1123">
        <f>MODEL!BP976*100</f>
        <v>0.18165904684303219</v>
      </c>
      <c r="DJ77" s="1123">
        <f>MODEL!BQ976*100</f>
        <v>0.24108115663682572</v>
      </c>
      <c r="DK77" s="1123">
        <f>MODEL!BR976*100</f>
        <v>0.20956740418160885</v>
      </c>
      <c r="DL77" s="1123">
        <f>MODEL!BS976*100</f>
        <v>0</v>
      </c>
      <c r="DM77" s="1123">
        <f>MODEL!BT976*100</f>
        <v>0.32411591910518589</v>
      </c>
      <c r="DN77" s="1123">
        <f>MODEL!BU976*100</f>
        <v>0.35757407691287491</v>
      </c>
      <c r="DO77" s="1123">
        <f>MODEL!BV976*100</f>
        <v>0.33690505512600349</v>
      </c>
      <c r="DP77" s="1123"/>
      <c r="DQ77" s="1123">
        <f>MODEL!BX976*100</f>
        <v>0.2486081726323042</v>
      </c>
      <c r="DR77" s="1123">
        <f>MODEL!BY976*100</f>
        <v>0.16345239428799255</v>
      </c>
      <c r="DS77" s="1123">
        <f>MODEL!BZ976*100</f>
        <v>0.20513189005341298</v>
      </c>
      <c r="DT77" s="1123"/>
      <c r="DU77" s="1123">
        <f>MODEL!CB976*100</f>
        <v>0.13729280168087987</v>
      </c>
      <c r="DV77" s="1123">
        <f>MODEL!CC976*100</f>
        <v>9.1731401480788968E-2</v>
      </c>
      <c r="DW77" s="1123">
        <f>MODEL!CD976*100</f>
        <v>0.11300734219214534</v>
      </c>
      <c r="DX77" s="1123"/>
      <c r="DY77" s="1123">
        <f>MODEL!CF976*100</f>
        <v>0.12831957172384645</v>
      </c>
      <c r="DZ77" s="1123">
        <f>MODEL!CG976*100</f>
        <v>0.12949751337503326</v>
      </c>
      <c r="EA77" s="1123">
        <f>MODEL!CH976*100</f>
        <v>0.12839873054839987</v>
      </c>
      <c r="EB77" s="1123"/>
      <c r="EC77" s="1123">
        <f>MODEL!CJ976*100</f>
        <v>0.50578678700001056</v>
      </c>
      <c r="ED77" s="1123">
        <f>MODEL!CK976*100</f>
        <v>0.34182871939524589</v>
      </c>
      <c r="EE77" s="1123">
        <f>MODEL!CL976*100</f>
        <v>0.43981533538730411</v>
      </c>
      <c r="EF77" s="1123"/>
      <c r="EG77" s="1123">
        <f>MODEL!CN976*100</f>
        <v>-0.15906698406868022</v>
      </c>
      <c r="EH77" s="1123">
        <f>MODEL!CO976*100</f>
        <v>-2.3901793990765013E-2</v>
      </c>
      <c r="EI77" s="1413">
        <f>MODEL!CP976*100</f>
        <v>-8.9404255453344225E-2</v>
      </c>
      <c r="EJ77" s="1123"/>
      <c r="EK77" s="1123">
        <f>MODEL!CR976*100</f>
        <v>-8.6895429825150403E-2</v>
      </c>
      <c r="EL77" s="1123">
        <f>MODEL!CS976*100</f>
        <v>1.5331082604398111E-2</v>
      </c>
      <c r="EM77" s="1413">
        <f>MODEL!CT976*100</f>
        <v>-3.4293806272514549E-2</v>
      </c>
      <c r="EN77" s="1123"/>
      <c r="EO77" s="1123">
        <f>MODEL!CV976*100</f>
        <v>3.8418826255276289E-2</v>
      </c>
      <c r="EP77" s="1123">
        <f>MODEL!CW976*100</f>
        <v>3.1414204392048499E-2</v>
      </c>
      <c r="EQ77" s="1413">
        <f>MODEL!CX976*100</f>
        <v>3.4453421084087443E-2</v>
      </c>
      <c r="ER77" s="1123"/>
      <c r="ES77" s="1123">
        <f>MODEL!CZ976*100</f>
        <v>1.9467318543733333E-2</v>
      </c>
      <c r="ET77" s="1123">
        <f>MODEL!DA976*100</f>
        <v>8.3212394684312976E-2</v>
      </c>
      <c r="EU77" s="1123">
        <f>MODEL!DB976*100</f>
        <v>5.0274155121772426E-2</v>
      </c>
      <c r="EV77" s="1123"/>
      <c r="EW77" s="1123">
        <f>MODEL!DD976*100</f>
        <v>3.5267450284423241E-2</v>
      </c>
      <c r="EX77" s="1123">
        <f>MODEL!DE976*100</f>
        <v>7.0791731806166186E-2</v>
      </c>
      <c r="EY77" s="1600">
        <f>MODEL!DF976*100</f>
        <v>5.2879536578610054E-2</v>
      </c>
      <c r="EZ77" s="1123"/>
      <c r="FA77" s="1123">
        <f>MODEL!DH976*100</f>
        <v>0.05</v>
      </c>
      <c r="FB77" s="1123">
        <f>MODEL!DI976*100</f>
        <v>0.08</v>
      </c>
      <c r="FC77" s="1123">
        <f>MODEL!DJ976*100</f>
        <v>6.4511199577507117E-2</v>
      </c>
      <c r="FD77" s="1123"/>
      <c r="FE77" s="1123">
        <f>MODEL!DL976*100</f>
        <v>0.09</v>
      </c>
      <c r="FF77" s="1123">
        <f>MODEL!DM976*100</f>
        <v>0.09</v>
      </c>
      <c r="FG77" s="1123">
        <f>MODEL!DN976*100</f>
        <v>8.8937223465101536E-2</v>
      </c>
      <c r="FH77" s="1123"/>
      <c r="FI77" s="1123">
        <f>MODEL!DP976*100</f>
        <v>0.1</v>
      </c>
      <c r="FJ77" s="1123">
        <f>MODEL!DQ976*100</f>
        <v>0.1</v>
      </c>
      <c r="FK77" s="1123">
        <f>MODEL!DR976*100</f>
        <v>9.8939492960943565E-2</v>
      </c>
      <c r="FL77" s="444"/>
      <c r="FM77" s="445"/>
      <c r="FN77" s="445"/>
      <c r="FO77" s="445"/>
      <c r="FP77" s="445"/>
      <c r="FQ77" s="445"/>
      <c r="FR77" s="445"/>
      <c r="FS77" s="445"/>
      <c r="FT77" s="445"/>
      <c r="FU77" s="445"/>
      <c r="FV77" s="445"/>
      <c r="FW77" s="445"/>
    </row>
    <row r="78" spans="1:179" ht="13.8">
      <c r="A78" s="444"/>
      <c r="B78" s="444"/>
      <c r="C78" s="1192" t="s">
        <v>736</v>
      </c>
      <c r="D78" s="1189"/>
      <c r="E78" s="1189"/>
      <c r="F78" s="1189"/>
      <c r="G78" s="1351"/>
      <c r="H78" s="1189"/>
      <c r="I78" s="1189"/>
      <c r="J78" s="1189"/>
      <c r="K78" s="1351"/>
      <c r="L78" s="1189">
        <v>7.4269606696493407</v>
      </c>
      <c r="M78" s="1189">
        <v>-0.91178481878276818</v>
      </c>
      <c r="N78" s="1189">
        <v>-0.91178481878276818</v>
      </c>
      <c r="O78" s="1351"/>
      <c r="P78" s="1189">
        <v>-2.3447405267741916</v>
      </c>
      <c r="Q78" s="1189">
        <v>5.1049822923145527</v>
      </c>
      <c r="R78" s="1189">
        <v>5.1049822923145527</v>
      </c>
      <c r="S78" s="1189"/>
      <c r="T78" s="1189">
        <v>8.902499259112906</v>
      </c>
      <c r="U78" s="1189">
        <v>9.1020368458882182</v>
      </c>
      <c r="V78" s="1189">
        <v>9.1020368458882182</v>
      </c>
      <c r="W78" s="1189"/>
      <c r="X78" s="1189">
        <v>8.5720505796339062</v>
      </c>
      <c r="Y78" s="1189">
        <v>7.1917714919743414</v>
      </c>
      <c r="Z78" s="1189">
        <v>7.1917714919743414</v>
      </c>
      <c r="AA78" s="1190"/>
      <c r="AB78" s="1190">
        <f t="shared" si="74"/>
        <v>9.7376122524002184</v>
      </c>
      <c r="AC78" s="1190">
        <f t="shared" si="74"/>
        <v>12.88478645117317</v>
      </c>
      <c r="AD78" s="1190">
        <f t="shared" si="74"/>
        <v>12.88478645117317</v>
      </c>
      <c r="AE78" s="1190"/>
      <c r="AF78" s="1190">
        <f t="shared" si="75"/>
        <v>11.913903179143603</v>
      </c>
      <c r="AG78" s="1190">
        <f t="shared" si="75"/>
        <v>7.7790126716485331</v>
      </c>
      <c r="AH78" s="1517">
        <f t="shared" si="75"/>
        <v>7.7790126716485331</v>
      </c>
      <c r="AI78" s="1190"/>
      <c r="AJ78" s="1190">
        <f t="shared" si="76"/>
        <v>9.4364267179801065</v>
      </c>
      <c r="AK78" s="1190">
        <f t="shared" si="76"/>
        <v>9.1946666869232807</v>
      </c>
      <c r="AL78" s="1517">
        <f t="shared" si="76"/>
        <v>9.1946666869232807</v>
      </c>
      <c r="AM78" s="1190"/>
      <c r="AN78" s="1190">
        <f t="shared" si="77"/>
        <v>0.60919944443853513</v>
      </c>
      <c r="AO78" s="1190">
        <f t="shared" si="77"/>
        <v>0.97131448328156011</v>
      </c>
      <c r="AP78" s="1517">
        <f t="shared" si="77"/>
        <v>0.97131448328156011</v>
      </c>
      <c r="AQ78" s="1190"/>
      <c r="AR78" s="1190">
        <f t="shared" si="78"/>
        <v>2.5336120212405389</v>
      </c>
      <c r="AS78" s="1190">
        <f t="shared" si="78"/>
        <v>0.6757047705824748</v>
      </c>
      <c r="AT78" s="1517">
        <f t="shared" si="78"/>
        <v>0.6757047705824748</v>
      </c>
      <c r="AU78" s="1518"/>
      <c r="AV78" s="1190">
        <f t="shared" si="79"/>
        <v>2.6113261342662675</v>
      </c>
      <c r="AW78" s="1190">
        <f t="shared" si="79"/>
        <v>4.1587539478051383</v>
      </c>
      <c r="AX78" s="1190">
        <f t="shared" si="79"/>
        <v>4.1587539478051383</v>
      </c>
      <c r="AY78" s="1518"/>
      <c r="AZ78" s="1191">
        <f t="shared" si="80"/>
        <v>3.0593154502729147</v>
      </c>
      <c r="BA78" s="1190">
        <f t="shared" si="80"/>
        <v>1.7008590529064893</v>
      </c>
      <c r="BB78" s="1517">
        <f t="shared" si="80"/>
        <v>1.7008590529064893</v>
      </c>
      <c r="BC78" s="1190"/>
      <c r="BD78" s="1190">
        <f t="shared" si="81"/>
        <v>7.769742240514721</v>
      </c>
      <c r="BE78" s="1190">
        <f t="shared" si="81"/>
        <v>0.5441199034183164</v>
      </c>
      <c r="BF78" s="1517">
        <f t="shared" si="81"/>
        <v>0.5441199034183164</v>
      </c>
      <c r="BG78" s="1190"/>
      <c r="BH78" s="1190">
        <f t="shared" si="82"/>
        <v>-6.4799022266402106</v>
      </c>
      <c r="BI78" s="1190">
        <f t="shared" si="82"/>
        <v>1.8736326048055085</v>
      </c>
      <c r="BJ78" s="1517">
        <f t="shared" si="82"/>
        <v>1.8736326048055085</v>
      </c>
      <c r="BK78" s="1190"/>
      <c r="BL78" s="1190">
        <f t="shared" si="83"/>
        <v>5.8814692284579806</v>
      </c>
      <c r="BM78" s="1190">
        <f t="shared" si="83"/>
        <v>6.6712603950185967</v>
      </c>
      <c r="BN78" s="1517">
        <f t="shared" si="83"/>
        <v>6.5895824332463881</v>
      </c>
      <c r="BO78" s="1190"/>
      <c r="BP78" s="1190">
        <f t="shared" si="84"/>
        <v>5.8417435216757685</v>
      </c>
      <c r="BQ78" s="1190">
        <f t="shared" si="84"/>
        <v>5.0380853413194648</v>
      </c>
      <c r="BR78" s="1517">
        <f t="shared" si="84"/>
        <v>5.1185744146724499</v>
      </c>
      <c r="BS78" s="1190"/>
      <c r="BT78" s="1190">
        <f t="shared" si="85"/>
        <v>3.5913772351512385</v>
      </c>
      <c r="BU78" s="1190">
        <f t="shared" si="85"/>
        <v>13.575620259221211</v>
      </c>
      <c r="BV78" s="1517">
        <f t="shared" si="85"/>
        <v>13.575620259221211</v>
      </c>
      <c r="BW78" s="1190"/>
      <c r="BX78" s="1190">
        <f t="shared" si="86"/>
        <v>14.652686945147941</v>
      </c>
      <c r="BY78" s="1190">
        <f t="shared" si="86"/>
        <v>3.2554082301498033</v>
      </c>
      <c r="BZ78" s="1517">
        <f t="shared" si="86"/>
        <v>3.2554082301498033</v>
      </c>
      <c r="CA78" s="1190"/>
      <c r="CB78" s="1190">
        <f t="shared" si="87"/>
        <v>1.844854390825601</v>
      </c>
      <c r="CC78" s="1190">
        <f t="shared" si="87"/>
        <v>2.8873626156378673</v>
      </c>
      <c r="CD78" s="1517">
        <f t="shared" si="87"/>
        <v>2.8873626156378673</v>
      </c>
      <c r="CE78" s="1190"/>
      <c r="CF78" s="1190">
        <f t="shared" si="88"/>
        <v>4.4484862421207971</v>
      </c>
      <c r="CG78" s="1190">
        <f t="shared" si="89"/>
        <v>4.7084347060392107</v>
      </c>
      <c r="CH78" s="1517">
        <f t="shared" si="90"/>
        <v>4.7084347060392107</v>
      </c>
      <c r="CI78" s="1190"/>
      <c r="CJ78" s="1190">
        <f t="shared" si="91"/>
        <v>4.4889273607630731</v>
      </c>
      <c r="CK78" s="1190">
        <f t="shared" si="92"/>
        <v>4.2248264227921384</v>
      </c>
      <c r="CL78" s="1190">
        <f t="shared" si="93"/>
        <v>4.2248264227921384</v>
      </c>
      <c r="CM78" s="1354"/>
      <c r="CN78" s="1393" t="s">
        <v>6</v>
      </c>
      <c r="CO78" s="1372">
        <v>1.4527487429426889</v>
      </c>
      <c r="CP78" s="1372">
        <v>0.90425770703332931</v>
      </c>
      <c r="CQ78" s="1372">
        <v>1.1460344130982691</v>
      </c>
      <c r="CR78" s="1372"/>
      <c r="CS78" s="1372">
        <v>0.76058480520578042</v>
      </c>
      <c r="CT78" s="1372">
        <v>0.59973854814182426</v>
      </c>
      <c r="CU78" s="1372">
        <v>0.66003254808846679</v>
      </c>
      <c r="CV78" s="1372"/>
      <c r="CW78" s="1372">
        <v>0.58852378616969103</v>
      </c>
      <c r="CX78" s="1372">
        <v>0.68505426665339042</v>
      </c>
      <c r="CY78" s="1372">
        <v>0.62630688041421889</v>
      </c>
      <c r="CZ78" s="1372"/>
      <c r="DA78" s="1098">
        <f>MODEL!BH986*100</f>
        <v>0.54250776026663095</v>
      </c>
      <c r="DB78" s="1098">
        <f>MODEL!BI986*100</f>
        <v>0.50691145564152018</v>
      </c>
      <c r="DC78" s="1098">
        <f>MODEL!BJ986*100</f>
        <v>0.50872525436262717</v>
      </c>
      <c r="DD78" s="1098"/>
      <c r="DE78" s="1098">
        <f>MODEL!BL986*100</f>
        <v>0.42394707929675823</v>
      </c>
      <c r="DF78" s="1098">
        <f>MODEL!BM986*100</f>
        <v>0.36031367900534111</v>
      </c>
      <c r="DG78" s="1098">
        <f>MODEL!BN986*100</f>
        <v>0.38755588994823442</v>
      </c>
      <c r="DH78" s="1098"/>
      <c r="DI78" s="1098">
        <f>MODEL!BP986*100</f>
        <v>0.37255531961163629</v>
      </c>
      <c r="DJ78" s="1098">
        <f>MODEL!BQ986*100</f>
        <v>0.50494386170794381</v>
      </c>
      <c r="DK78" s="1098">
        <f>MODEL!BR986*100</f>
        <v>0.43893838834937304</v>
      </c>
      <c r="DL78" s="1098">
        <f>MODEL!BS986*100</f>
        <v>0</v>
      </c>
      <c r="DM78" s="1098">
        <f>MODEL!BT986*100</f>
        <v>0.72522446013042974</v>
      </c>
      <c r="DN78" s="1098">
        <f>MODEL!BU986*100</f>
        <v>0.80641715384465984</v>
      </c>
      <c r="DO78" s="1098">
        <f>MODEL!BV986*100</f>
        <v>0.75980344552993961</v>
      </c>
      <c r="DP78" s="1098"/>
      <c r="DQ78" s="1098">
        <f>MODEL!BX986*100</f>
        <v>0.57757779696004197</v>
      </c>
      <c r="DR78" s="1098">
        <f>MODEL!BY986*100</f>
        <v>0.38649254374565711</v>
      </c>
      <c r="DS78" s="1098">
        <f>MODEL!BZ986*100</f>
        <v>0.48504609758366946</v>
      </c>
      <c r="DT78" s="1098"/>
      <c r="DU78" s="1098">
        <f>MODEL!CB986*100</f>
        <v>0.3261590604937013</v>
      </c>
      <c r="DV78" s="1098">
        <f>MODEL!CC986*100</f>
        <v>0.21262409591069356</v>
      </c>
      <c r="DW78" s="1098">
        <f>MODEL!CD986*100</f>
        <v>0.26193957115009747</v>
      </c>
      <c r="DX78" s="1098"/>
      <c r="DY78" s="1098"/>
      <c r="DZ78" s="1098"/>
      <c r="EA78" s="1098">
        <f>MODEL!CH986*100</f>
        <v>0.28871610309525453</v>
      </c>
      <c r="EB78" s="1098"/>
      <c r="EC78" s="1098">
        <f>MODEL!CJ986*100</f>
        <v>1.0713222894554111</v>
      </c>
      <c r="ED78" s="1098">
        <f>MODEL!CK986*100</f>
        <v>0.8054991975289949</v>
      </c>
      <c r="EE78" s="1098">
        <f>MODEL!CL986*100</f>
        <v>1.0363988735124003</v>
      </c>
      <c r="EF78" s="1098"/>
      <c r="EG78" s="1098">
        <f>MODEL!CN986*100</f>
        <v>-0.39314315688942392</v>
      </c>
      <c r="EH78" s="1098">
        <f>MODEL!CO986*100</f>
        <v>-5.7939462994332329E-2</v>
      </c>
      <c r="EI78" s="1382">
        <f>MODEL!CP986*100</f>
        <v>-0.21672157965951397</v>
      </c>
      <c r="EJ78" s="1098"/>
      <c r="EK78" s="1098">
        <f>MODEL!CR986*100</f>
        <v>-0.20247222374465954</v>
      </c>
      <c r="EL78" s="1098">
        <f>MODEL!CS986*100</f>
        <v>3.4356419725103025E-2</v>
      </c>
      <c r="EM78" s="1382">
        <f>MODEL!CT986*100</f>
        <v>-7.6851220013117713E-2</v>
      </c>
      <c r="EN78" s="1098"/>
      <c r="EO78" s="1098">
        <f>MODEL!CV986*100</f>
        <v>8.7954484347018802E-2</v>
      </c>
      <c r="EP78" s="1098">
        <f>MODEL!CW986*100</f>
        <v>7.2856418213805146E-2</v>
      </c>
      <c r="EQ78" s="1382">
        <f>MODEL!CX986*100</f>
        <v>7.9905027167709239E-2</v>
      </c>
      <c r="ER78" s="1098"/>
      <c r="ES78" s="1098">
        <f>MODEL!CZ986*100</f>
        <v>4.6020387031454932E-2</v>
      </c>
      <c r="ET78" s="1098">
        <f>MODEL!DA986*100</f>
        <v>0.20803794215802215</v>
      </c>
      <c r="EU78" s="1098">
        <f>MODEL!DB986*100</f>
        <v>0.12568959005380503</v>
      </c>
      <c r="EV78" s="1098"/>
      <c r="EW78" s="1098">
        <f>MODEL!DD986*100</f>
        <v>8.8311823014997182E-2</v>
      </c>
      <c r="EX78" s="1098">
        <f>MODEL!DE986*100</f>
        <v>0.1789178885794645</v>
      </c>
      <c r="EY78" s="1594">
        <f>MODEL!DF986*100</f>
        <v>0.13364689339160055</v>
      </c>
      <c r="EZ78" s="1098"/>
      <c r="FA78" s="1098">
        <f>MODEL!DH986*100</f>
        <v>0.12720415578098634</v>
      </c>
      <c r="FB78" s="1098">
        <f>MODEL!DI986*100</f>
        <v>0.20453802591934295</v>
      </c>
      <c r="FC78" s="1098">
        <f>MODEL!DJ986*100</f>
        <v>0.1649374176409007</v>
      </c>
      <c r="FD78" s="1098"/>
      <c r="FE78" s="1098">
        <f>MODEL!DL986*100</f>
        <v>0.23212481548476327</v>
      </c>
      <c r="FF78" s="1098">
        <f>MODEL!DM986*100</f>
        <v>0.23347358222279699</v>
      </c>
      <c r="FG78" s="1098">
        <f>MODEL!DN986*100</f>
        <v>0.23071657950385166</v>
      </c>
      <c r="FH78" s="1098"/>
      <c r="FI78" s="1098">
        <f>MODEL!DP986*100</f>
        <v>0.2605920090700426</v>
      </c>
      <c r="FJ78" s="1098">
        <f>MODEL!DQ986*100</f>
        <v>0.26115398746564722</v>
      </c>
      <c r="FK78" s="1098">
        <f>MODEL!DR986*100</f>
        <v>0.25838443104579745</v>
      </c>
      <c r="FL78" s="444"/>
      <c r="FM78" s="445"/>
      <c r="FN78" s="445"/>
      <c r="FO78" s="445"/>
      <c r="FP78" s="445"/>
      <c r="FQ78" s="445"/>
      <c r="FR78" s="445"/>
      <c r="FS78" s="445"/>
      <c r="FT78" s="445"/>
      <c r="FU78" s="445"/>
      <c r="FV78" s="445"/>
      <c r="FW78" s="445"/>
    </row>
    <row r="79" spans="1:179" ht="13.8">
      <c r="A79" s="444"/>
      <c r="B79" s="444"/>
      <c r="C79" s="1192" t="s">
        <v>351</v>
      </c>
      <c r="D79" s="1189"/>
      <c r="E79" s="1189"/>
      <c r="F79" s="1189"/>
      <c r="G79" s="1351"/>
      <c r="H79" s="1189">
        <v>17.020805230354163</v>
      </c>
      <c r="I79" s="1189">
        <v>14.666976625460372</v>
      </c>
      <c r="J79" s="1189">
        <v>14.666976625460372</v>
      </c>
      <c r="K79" s="1351"/>
      <c r="L79" s="1189">
        <v>8.3914259870842898</v>
      </c>
      <c r="M79" s="1189">
        <v>0.23135541677763438</v>
      </c>
      <c r="N79" s="1189">
        <v>0.23135541677763438</v>
      </c>
      <c r="O79" s="1351"/>
      <c r="P79" s="1189">
        <v>0.64935316972065671</v>
      </c>
      <c r="Q79" s="1189">
        <v>6.2758038097428859</v>
      </c>
      <c r="R79" s="1189">
        <v>6.2758038097428859</v>
      </c>
      <c r="S79" s="1189"/>
      <c r="T79" s="1189">
        <v>9.1745914219826261</v>
      </c>
      <c r="U79" s="1189">
        <v>8.2480305410740797</v>
      </c>
      <c r="V79" s="1189">
        <v>8.2480305410740797</v>
      </c>
      <c r="W79" s="1189"/>
      <c r="X79" s="1189">
        <v>7.0019957259674026</v>
      </c>
      <c r="Y79" s="1189">
        <v>6.8666420748166868</v>
      </c>
      <c r="Z79" s="1189">
        <v>6.8666420748166868</v>
      </c>
      <c r="AA79" s="1190"/>
      <c r="AB79" s="1190">
        <f t="shared" ref="AB79:AD80" si="94">(AB93/X93)*100-100</f>
        <v>4.9574527215700925</v>
      </c>
      <c r="AC79" s="1190">
        <f t="shared" si="94"/>
        <v>5.5113610682439003</v>
      </c>
      <c r="AD79" s="1190">
        <f t="shared" si="94"/>
        <v>5.5113610682439003</v>
      </c>
      <c r="AE79" s="1190"/>
      <c r="AF79" s="1190">
        <f t="shared" ref="AF79:AH80" si="95">(AF93/AB93)*100-100</f>
        <v>6.8642903075313058</v>
      </c>
      <c r="AG79" s="1190">
        <f t="shared" si="95"/>
        <v>7.3173343777634301</v>
      </c>
      <c r="AH79" s="1517">
        <f t="shared" si="95"/>
        <v>7.3173343777634301</v>
      </c>
      <c r="AI79" s="1190"/>
      <c r="AJ79" s="1190">
        <f t="shared" ref="AJ79:AL80" si="96">(AJ93/AF93)*100-100</f>
        <v>7.6366028341179515</v>
      </c>
      <c r="AK79" s="1190">
        <f t="shared" si="96"/>
        <v>9.2459377236425979</v>
      </c>
      <c r="AL79" s="1517">
        <f t="shared" si="96"/>
        <v>9.2459377236425979</v>
      </c>
      <c r="AM79" s="1190"/>
      <c r="AN79" s="1190">
        <f t="shared" ref="AN79:AP80" si="97">(AN93/AJ93)*100-100</f>
        <v>6.5590393010706975</v>
      </c>
      <c r="AO79" s="1190">
        <f t="shared" si="97"/>
        <v>3.4581305215904763</v>
      </c>
      <c r="AP79" s="1517">
        <f t="shared" si="97"/>
        <v>3.4581305215904763</v>
      </c>
      <c r="AQ79" s="1190"/>
      <c r="AR79" s="1190">
        <f t="shared" ref="AR79:AT80" si="98">(AR93/AN93)*100-100</f>
        <v>4.2058971028842649</v>
      </c>
      <c r="AS79" s="1190">
        <f t="shared" si="98"/>
        <v>4.2509554622166803</v>
      </c>
      <c r="AT79" s="1517">
        <f t="shared" si="98"/>
        <v>4.2509554622166803</v>
      </c>
      <c r="AU79" s="1518"/>
      <c r="AV79" s="1190">
        <f t="shared" ref="AV79:AX80" si="99">(AV93/AR93)*100-100</f>
        <v>3.7649097088025627</v>
      </c>
      <c r="AW79" s="1190">
        <f t="shared" si="99"/>
        <v>3.722148014789866</v>
      </c>
      <c r="AX79" s="1190">
        <f t="shared" si="99"/>
        <v>3.722148014789866</v>
      </c>
      <c r="AY79" s="1518"/>
      <c r="AZ79" s="1191">
        <f t="shared" ref="AZ79:BB80" si="100">(AZ93/AV93)*100-100</f>
        <v>0.71900181712665301</v>
      </c>
      <c r="BA79" s="1190">
        <f t="shared" si="100"/>
        <v>0.68985950848967548</v>
      </c>
      <c r="BB79" s="1517">
        <f t="shared" si="100"/>
        <v>0.68985950848967548</v>
      </c>
      <c r="BC79" s="1190"/>
      <c r="BD79" s="1190">
        <f t="shared" ref="BD79:BF80" si="101">(BD93/AZ93)*100-100</f>
        <v>5.8533486670744139</v>
      </c>
      <c r="BE79" s="1190">
        <f t="shared" si="101"/>
        <v>2.6772784670814076</v>
      </c>
      <c r="BF79" s="1517">
        <f t="shared" si="101"/>
        <v>2.6772784670814076</v>
      </c>
      <c r="BG79" s="1190"/>
      <c r="BH79" s="1190">
        <f t="shared" ref="BH79:BJ80" si="102">(BH93/BD93)*100-100</f>
        <v>-2.5208921727413554</v>
      </c>
      <c r="BI79" s="1190">
        <f t="shared" si="102"/>
        <v>-1.9289179735981037</v>
      </c>
      <c r="BJ79" s="1517">
        <f t="shared" si="102"/>
        <v>-1.9289179735981037</v>
      </c>
      <c r="BK79" s="1190"/>
      <c r="BL79" s="1190">
        <f t="shared" ref="BL79:BN80" si="103">(BL93/BH93)*100-100</f>
        <v>1.9683994196185495</v>
      </c>
      <c r="BM79" s="1190">
        <f t="shared" si="103"/>
        <v>6.2135010883521034</v>
      </c>
      <c r="BN79" s="1517">
        <f t="shared" si="103"/>
        <v>6.2135010883521034</v>
      </c>
      <c r="BO79" s="1190"/>
      <c r="BP79" s="1190">
        <f t="shared" ref="BP79:BR80" si="104">(BP93/BL93)*100-100</f>
        <v>6.3765416166354356</v>
      </c>
      <c r="BQ79" s="1190">
        <f t="shared" si="104"/>
        <v>5.8558597591885615</v>
      </c>
      <c r="BR79" s="1517">
        <f t="shared" si="104"/>
        <v>5.8558597591885615</v>
      </c>
      <c r="BS79" s="1190"/>
      <c r="BT79" s="1190">
        <f t="shared" ref="BT79:BV80" si="105">(BT93/BP93)*100-100</f>
        <v>5.9862943755459241</v>
      </c>
      <c r="BU79" s="1190">
        <f t="shared" si="105"/>
        <v>20.378931599530944</v>
      </c>
      <c r="BV79" s="1517">
        <f t="shared" si="105"/>
        <v>20.378931599530944</v>
      </c>
      <c r="BW79" s="1190"/>
      <c r="BX79" s="1190">
        <f t="shared" ref="BX79:BX80" si="106">(BX93/BT93)*100-100</f>
        <v>19.375162987544272</v>
      </c>
      <c r="BY79" s="1190">
        <f t="shared" ref="BY79:BY80" si="107">(BY93/BU93)*100-100</f>
        <v>5.4010771553306967</v>
      </c>
      <c r="BZ79" s="1517">
        <f t="shared" ref="BZ79:BZ80" si="108">(BZ93/BV93)*100-100</f>
        <v>5.4010771553306967</v>
      </c>
      <c r="CA79" s="1190"/>
      <c r="CB79" s="1190">
        <f t="shared" ref="CB79:CB80" si="109">(CB93/BX93)*100-100</f>
        <v>4.8850930848402641</v>
      </c>
      <c r="CC79" s="1190">
        <f t="shared" ref="CC79:CC80" si="110">(CC93/BY93)*100-100</f>
        <v>3.789576829154214</v>
      </c>
      <c r="CD79" s="1517">
        <f t="shared" ref="CD79:CD80" si="111">(CD93/BZ93)*100-100</f>
        <v>3.789576829154214</v>
      </c>
      <c r="CE79" s="1190"/>
      <c r="CF79" s="1190">
        <f t="shared" ref="CF79:CF80" si="112">(CF93/CB93)*100-100</f>
        <v>4.7867913999032083</v>
      </c>
      <c r="CG79" s="1190">
        <f t="shared" ref="CG79:CG80" si="113">(CG93/CC93)*100-100</f>
        <v>5.1792847891974958</v>
      </c>
      <c r="CH79" s="1517">
        <f t="shared" ref="CH79:CH80" si="114">(CH93/CD93)*100-100</f>
        <v>5.1792847891974958</v>
      </c>
      <c r="CI79" s="1190"/>
      <c r="CJ79" s="1190">
        <f t="shared" ref="CJ79:CJ80" si="115">(CJ93/CF93)*100-100</f>
        <v>4.9644786966082961</v>
      </c>
      <c r="CK79" s="1190">
        <f t="shared" ref="CK79:CK80" si="116">(CK93/CG93)*100-100</f>
        <v>4.6889774204611712</v>
      </c>
      <c r="CL79" s="1190">
        <f t="shared" ref="CL79:CL80" si="117">(CL93/CH93)*100-100</f>
        <v>4.6889774204611712</v>
      </c>
      <c r="CM79" s="1354"/>
      <c r="CN79" s="1385" t="s">
        <v>207</v>
      </c>
      <c r="CO79" s="1343">
        <v>0.86382052970879997</v>
      </c>
      <c r="CP79" s="1343">
        <v>0.54949016276210383</v>
      </c>
      <c r="CQ79" s="1343">
        <v>0.70476902250271889</v>
      </c>
      <c r="CR79" s="1343"/>
      <c r="CS79" s="1343">
        <v>0.51090111603510457</v>
      </c>
      <c r="CT79" s="1343">
        <v>0.41308342521131941</v>
      </c>
      <c r="CU79" s="1343">
        <v>0.46127542468476096</v>
      </c>
      <c r="CV79" s="1343"/>
      <c r="CW79" s="1343">
        <v>0.40368271954674223</v>
      </c>
      <c r="CX79" s="1343">
        <v>0.470463539930422</v>
      </c>
      <c r="CY79" s="1343">
        <v>0.43765845767141698</v>
      </c>
      <c r="CZ79" s="1343"/>
      <c r="DA79" s="467">
        <f>MODEL!BH978*100</f>
        <v>0.43686811628246947</v>
      </c>
      <c r="DB79" s="467">
        <f>MODEL!BI978*100</f>
        <v>0.41464560889312346</v>
      </c>
      <c r="DC79" s="467">
        <f>MODEL!BJ978*100</f>
        <v>0.41612926775849901</v>
      </c>
      <c r="DD79" s="467"/>
      <c r="DE79" s="467">
        <f>MODEL!BL978*100</f>
        <v>0.34680772772267821</v>
      </c>
      <c r="DF79" s="467">
        <f>MODEL!BM978*100</f>
        <v>0.29767741208441328</v>
      </c>
      <c r="DG79" s="467">
        <f>MODEL!BN978*100</f>
        <v>0.32018388720721302</v>
      </c>
      <c r="DH79" s="467"/>
      <c r="DI79" s="467">
        <f>MODEL!BP978*100</f>
        <v>0.30109250237776541</v>
      </c>
      <c r="DJ79" s="467">
        <f>MODEL!BQ978*100</f>
        <v>0.39633973478055806</v>
      </c>
      <c r="DK79" s="467">
        <f>MODEL!BR978*100</f>
        <v>0.34453082335718838</v>
      </c>
      <c r="DL79" s="467">
        <f>MODEL!BS978*100</f>
        <v>0</v>
      </c>
      <c r="DM79" s="467">
        <f>MODEL!BT978*100</f>
        <v>0.54919415628701673</v>
      </c>
      <c r="DN79" s="467">
        <f>MODEL!BU978*100</f>
        <v>0.58971744126260894</v>
      </c>
      <c r="DO79" s="467">
        <f>MODEL!BV978*100</f>
        <v>0.55562972789482801</v>
      </c>
      <c r="DP79" s="467"/>
      <c r="DQ79" s="467">
        <f>MODEL!BX978*100</f>
        <v>0.42244529662941699</v>
      </c>
      <c r="DR79" s="467">
        <f>MODEL!BY978*100</f>
        <v>0.28363600873462957</v>
      </c>
      <c r="DS79" s="467">
        <f>MODEL!BZ978*100</f>
        <v>0.35596169032817354</v>
      </c>
      <c r="DT79" s="467"/>
      <c r="DU79" s="467">
        <f>MODEL!CB978*100</f>
        <v>0.23867831068069092</v>
      </c>
      <c r="DV79" s="467">
        <f>MODEL!CC978*100</f>
        <v>0.16543336256744809</v>
      </c>
      <c r="DW79" s="467">
        <f>MODEL!CD978*100</f>
        <v>0.20380354286391372</v>
      </c>
      <c r="DX79" s="467"/>
      <c r="DY79" s="467"/>
      <c r="DZ79" s="467"/>
      <c r="EA79" s="467">
        <f>MODEL!CH978*100</f>
        <v>0.22200130687561787</v>
      </c>
      <c r="EB79" s="467"/>
      <c r="EC79" s="467"/>
      <c r="ED79" s="467"/>
      <c r="EE79" s="467">
        <f>MODEL!CL978*100</f>
        <v>0.76047739537880832</v>
      </c>
      <c r="EF79" s="467"/>
      <c r="EG79" s="467"/>
      <c r="EH79" s="467"/>
      <c r="EI79" s="1380">
        <f>MODEL!CP978*100</f>
        <v>-0.1655484119615297</v>
      </c>
      <c r="EJ79" s="467"/>
      <c r="EK79" s="467"/>
      <c r="EL79" s="467"/>
      <c r="EM79" s="1380">
        <f>MODEL!CT978*100</f>
        <v>-6.4544488401466718E-2</v>
      </c>
      <c r="EN79" s="467"/>
      <c r="EO79" s="467"/>
      <c r="EP79" s="467"/>
      <c r="EQ79" s="1380">
        <f>MODEL!CX978*100</f>
        <v>7.0192326975914002E-2</v>
      </c>
      <c r="ER79" s="467"/>
      <c r="ES79" s="467"/>
      <c r="ET79" s="467"/>
      <c r="EU79" s="467">
        <f>MODEL!DB978*100</f>
        <v>0.11240776887190775</v>
      </c>
      <c r="EV79" s="467"/>
      <c r="EW79" s="467"/>
      <c r="EX79" s="467"/>
      <c r="EY79" s="1592">
        <f>MODEL!DF978*100</f>
        <v>0.11932367019045791</v>
      </c>
      <c r="EZ79" s="467"/>
      <c r="FA79" s="467"/>
      <c r="FB79" s="467"/>
      <c r="FC79" s="467">
        <f ca="1">MODEL!DJ978*100</f>
        <v>0.14607965085013935</v>
      </c>
      <c r="FD79" s="467"/>
      <c r="FE79" s="467"/>
      <c r="FF79" s="467"/>
      <c r="FG79" s="467">
        <f ca="1">MODEL!DN978*100</f>
        <v>0.20223766639540583</v>
      </c>
      <c r="FH79" s="467"/>
      <c r="FI79" s="467"/>
      <c r="FJ79" s="467"/>
      <c r="FK79" s="467">
        <f ca="1">MODEL!DR978*100</f>
        <v>0.22540537574315817</v>
      </c>
      <c r="FL79" s="444"/>
      <c r="FM79" s="445"/>
      <c r="FN79" s="445"/>
      <c r="FO79" s="445"/>
      <c r="FP79" s="445"/>
      <c r="FQ79" s="445"/>
      <c r="FR79" s="445"/>
      <c r="FS79" s="445"/>
      <c r="FT79" s="445"/>
      <c r="FU79" s="445"/>
      <c r="FV79" s="445"/>
      <c r="FW79" s="445"/>
    </row>
    <row r="80" spans="1:179" ht="13.8">
      <c r="A80" s="444"/>
      <c r="B80" s="444"/>
      <c r="C80" s="1192" t="s">
        <v>352</v>
      </c>
      <c r="D80" s="1189"/>
      <c r="E80" s="1189"/>
      <c r="F80" s="1189"/>
      <c r="G80" s="1351"/>
      <c r="H80" s="1189">
        <v>12.92195182240523</v>
      </c>
      <c r="I80" s="1189">
        <v>11.663223395218193</v>
      </c>
      <c r="J80" s="1189">
        <v>11.663223395218193</v>
      </c>
      <c r="K80" s="1351"/>
      <c r="L80" s="1189">
        <v>6.6899045498587828</v>
      </c>
      <c r="M80" s="1189">
        <v>-0.25625927987934505</v>
      </c>
      <c r="N80" s="1189">
        <v>-0.25625927987933395</v>
      </c>
      <c r="O80" s="1351"/>
      <c r="P80" s="1189">
        <v>-2.197706096788643</v>
      </c>
      <c r="Q80" s="1189">
        <v>-0.79314406140587046</v>
      </c>
      <c r="R80" s="1189">
        <v>-0.79314406140588156</v>
      </c>
      <c r="S80" s="1189"/>
      <c r="T80" s="1189">
        <v>-0.41059545668624686</v>
      </c>
      <c r="U80" s="1189">
        <v>-2.7607745359381597</v>
      </c>
      <c r="V80" s="1189">
        <v>-2.7607745359381597</v>
      </c>
      <c r="W80" s="1189"/>
      <c r="X80" s="1189">
        <v>-1.8570514622723189</v>
      </c>
      <c r="Y80" s="1189">
        <v>2.4469191836544946</v>
      </c>
      <c r="Z80" s="1189">
        <v>2.4469191836544946</v>
      </c>
      <c r="AA80" s="1190"/>
      <c r="AB80" s="1190">
        <f t="shared" si="94"/>
        <v>3.9431299805580409</v>
      </c>
      <c r="AC80" s="1190">
        <f t="shared" si="94"/>
        <v>3.6907368690900029</v>
      </c>
      <c r="AD80" s="1190">
        <f t="shared" si="94"/>
        <v>3.6907368690900029</v>
      </c>
      <c r="AE80" s="1190"/>
      <c r="AF80" s="1190">
        <f t="shared" si="95"/>
        <v>4.3527596235504831</v>
      </c>
      <c r="AG80" s="1190">
        <f t="shared" si="95"/>
        <v>5.0691650337628857</v>
      </c>
      <c r="AH80" s="1517">
        <f t="shared" si="95"/>
        <v>5.0691650337628857</v>
      </c>
      <c r="AI80" s="1190"/>
      <c r="AJ80" s="1190">
        <f t="shared" si="96"/>
        <v>6.0875168651363936</v>
      </c>
      <c r="AK80" s="1190">
        <f t="shared" si="96"/>
        <v>8.2436677552089463</v>
      </c>
      <c r="AL80" s="1517">
        <f t="shared" si="96"/>
        <v>8.2436677552089463</v>
      </c>
      <c r="AM80" s="1190" t="e">
        <f>(AM94/AI94)*100-100</f>
        <v>#DIV/0!</v>
      </c>
      <c r="AN80" s="1190">
        <f t="shared" si="97"/>
        <v>7.5994150042057385</v>
      </c>
      <c r="AO80" s="1190">
        <f t="shared" si="97"/>
        <v>5.446798489366671</v>
      </c>
      <c r="AP80" s="1517">
        <f t="shared" si="97"/>
        <v>5.446798489366671</v>
      </c>
      <c r="AQ80" s="1190"/>
      <c r="AR80" s="1190">
        <f t="shared" si="98"/>
        <v>4.6605693791563141</v>
      </c>
      <c r="AS80" s="1190">
        <f t="shared" si="98"/>
        <v>3.5050875185425099</v>
      </c>
      <c r="AT80" s="1517">
        <f t="shared" si="98"/>
        <v>3.5050875185425099</v>
      </c>
      <c r="AU80" s="1518"/>
      <c r="AV80" s="1190">
        <f t="shared" si="99"/>
        <v>2.7121537721015443</v>
      </c>
      <c r="AW80" s="1190">
        <f t="shared" si="99"/>
        <v>3.0091551440989122</v>
      </c>
      <c r="AX80" s="1190">
        <f t="shared" si="99"/>
        <v>3.0091551440989122</v>
      </c>
      <c r="AY80" s="1518"/>
      <c r="AZ80" s="1191">
        <f t="shared" si="100"/>
        <v>4.3047502465521745</v>
      </c>
      <c r="BA80" s="1190">
        <f t="shared" si="100"/>
        <v>3.5447749238979469</v>
      </c>
      <c r="BB80" s="1517">
        <f t="shared" si="100"/>
        <v>3.5447749238979469</v>
      </c>
      <c r="BC80" s="1190"/>
      <c r="BD80" s="1190">
        <f t="shared" si="101"/>
        <v>3.034468634017216</v>
      </c>
      <c r="BE80" s="1190">
        <f t="shared" si="101"/>
        <v>-0.23693989490477918</v>
      </c>
      <c r="BF80" s="1517">
        <f t="shared" si="101"/>
        <v>-0.23693989490477918</v>
      </c>
      <c r="BG80" s="1190"/>
      <c r="BH80" s="1190">
        <f t="shared" si="102"/>
        <v>1.3502916305000667</v>
      </c>
      <c r="BI80" s="1190">
        <f t="shared" si="102"/>
        <v>5.9289701483128852</v>
      </c>
      <c r="BJ80" s="1517">
        <f t="shared" si="102"/>
        <v>5.9289701483128852</v>
      </c>
      <c r="BK80" s="1190"/>
      <c r="BL80" s="1190">
        <f t="shared" si="103"/>
        <v>6.1630409176521681</v>
      </c>
      <c r="BM80" s="1190">
        <f t="shared" si="103"/>
        <v>4.4758785057015871</v>
      </c>
      <c r="BN80" s="1517">
        <f t="shared" si="103"/>
        <v>4.4758785057015871</v>
      </c>
      <c r="BO80" s="1190"/>
      <c r="BP80" s="1190">
        <f t="shared" si="104"/>
        <v>0.82535163593253458</v>
      </c>
      <c r="BQ80" s="1190">
        <f t="shared" si="104"/>
        <v>1.5625530733250912</v>
      </c>
      <c r="BR80" s="1517">
        <f t="shared" si="104"/>
        <v>1.5625530733250912</v>
      </c>
      <c r="BS80" s="1190"/>
      <c r="BT80" s="1190">
        <f t="shared" si="105"/>
        <v>2.4841765677456067</v>
      </c>
      <c r="BU80" s="1190">
        <f t="shared" si="105"/>
        <v>1.5152437598636652</v>
      </c>
      <c r="BV80" s="1517">
        <f t="shared" si="105"/>
        <v>1.5152437598636652</v>
      </c>
      <c r="BW80" s="1190"/>
      <c r="BX80" s="1190">
        <f t="shared" si="106"/>
        <v>1.7408997297734885</v>
      </c>
      <c r="BY80" s="1190">
        <f t="shared" si="107"/>
        <v>4.4880031890478307</v>
      </c>
      <c r="BZ80" s="1517">
        <f t="shared" si="108"/>
        <v>4.4880031890478307</v>
      </c>
      <c r="CA80" s="1190"/>
      <c r="CB80" s="1190">
        <f t="shared" si="109"/>
        <v>5.4588019020435752</v>
      </c>
      <c r="CC80" s="1190">
        <f t="shared" si="110"/>
        <v>4.3627268578831888</v>
      </c>
      <c r="CD80" s="1517">
        <f t="shared" si="111"/>
        <v>4.3627268578831888</v>
      </c>
      <c r="CE80" s="1190"/>
      <c r="CF80" s="1190">
        <f t="shared" si="112"/>
        <v>3.9966354515661493</v>
      </c>
      <c r="CG80" s="1190">
        <f t="shared" si="113"/>
        <v>3.6317828341021254</v>
      </c>
      <c r="CH80" s="1517">
        <f t="shared" si="114"/>
        <v>3.6317828341021254</v>
      </c>
      <c r="CI80" s="1190"/>
      <c r="CJ80" s="1190">
        <f t="shared" si="115"/>
        <v>3.2615647094557545</v>
      </c>
      <c r="CK80" s="1190">
        <f t="shared" si="116"/>
        <v>2.8932082427356676</v>
      </c>
      <c r="CL80" s="1190">
        <f t="shared" si="117"/>
        <v>2.8932082427356676</v>
      </c>
      <c r="CM80" s="1354"/>
      <c r="CN80" s="1399"/>
      <c r="CO80" s="1343"/>
      <c r="CP80" s="1343"/>
      <c r="CQ80" s="1351"/>
      <c r="CR80" s="1343"/>
      <c r="CS80" s="1343"/>
      <c r="CT80" s="1343"/>
      <c r="CU80" s="1351"/>
      <c r="CV80" s="1351"/>
      <c r="CW80" s="1343"/>
      <c r="CX80" s="1343"/>
      <c r="CY80" s="1351"/>
      <c r="CZ80" s="1351"/>
      <c r="DA80" s="1351"/>
      <c r="DB80" s="1351"/>
      <c r="DC80" s="1399"/>
      <c r="DD80" s="1399"/>
      <c r="DE80" s="1351"/>
      <c r="DF80" s="1351"/>
      <c r="DG80" s="1399"/>
      <c r="DH80" s="1399"/>
      <c r="DI80" s="1351"/>
      <c r="DJ80" s="1351"/>
      <c r="DK80" s="1399"/>
      <c r="DL80" s="1399"/>
      <c r="DM80" s="1351"/>
      <c r="DN80" s="1351"/>
      <c r="DO80" s="1399"/>
      <c r="DP80" s="1399"/>
      <c r="DQ80" s="1399"/>
      <c r="DR80" s="1399"/>
      <c r="DS80" s="1399"/>
      <c r="DT80" s="1399"/>
      <c r="DU80" s="1399"/>
      <c r="DV80" s="1399"/>
      <c r="DW80" s="1399"/>
      <c r="DX80" s="1399"/>
      <c r="DY80" s="1399"/>
      <c r="DZ80" s="1399"/>
      <c r="EA80" s="1399"/>
      <c r="EB80" s="1399"/>
      <c r="EC80" s="1399"/>
      <c r="ED80" s="1399"/>
      <c r="EE80" s="1399"/>
      <c r="EF80" s="1399"/>
      <c r="EG80" s="1399"/>
      <c r="EH80" s="1399"/>
      <c r="EI80" s="1403"/>
      <c r="EJ80" s="1399"/>
      <c r="EK80" s="1399"/>
      <c r="EL80" s="1399"/>
      <c r="EM80" s="1403"/>
      <c r="EN80" s="1399"/>
      <c r="EO80" s="1399"/>
      <c r="EP80" s="1399"/>
      <c r="EQ80" s="1403"/>
      <c r="ER80" s="1399"/>
      <c r="ES80" s="1399"/>
      <c r="ET80" s="1399"/>
      <c r="EU80" s="1399"/>
      <c r="EV80" s="1399"/>
      <c r="EW80" s="1399"/>
      <c r="EX80" s="1399"/>
      <c r="EY80" s="1597"/>
      <c r="EZ80" s="1399"/>
      <c r="FA80" s="1399"/>
      <c r="FB80" s="1399"/>
      <c r="FC80" s="1399"/>
      <c r="FD80" s="1399"/>
      <c r="FE80" s="1399"/>
      <c r="FF80" s="1399"/>
      <c r="FG80" s="1399"/>
      <c r="FH80" s="1399"/>
      <c r="FI80" s="1399"/>
      <c r="FJ80" s="1399"/>
      <c r="FK80" s="1399"/>
      <c r="FL80" s="444"/>
      <c r="FM80" s="445"/>
      <c r="FN80" s="445"/>
      <c r="FO80" s="445"/>
      <c r="FP80" s="445"/>
      <c r="FQ80" s="445"/>
      <c r="FR80" s="445"/>
      <c r="FS80" s="445"/>
      <c r="FT80" s="445"/>
      <c r="FU80" s="445"/>
      <c r="FV80" s="445"/>
      <c r="FW80" s="445"/>
    </row>
    <row r="81" spans="1:179" ht="15.6">
      <c r="A81" s="444"/>
      <c r="B81" s="444"/>
      <c r="C81" s="1192" t="s">
        <v>216</v>
      </c>
      <c r="D81" s="1189"/>
      <c r="E81" s="1189"/>
      <c r="F81" s="1189"/>
      <c r="G81" s="1351"/>
      <c r="H81" s="1189"/>
      <c r="I81" s="1189"/>
      <c r="J81" s="1189"/>
      <c r="K81" s="1351"/>
      <c r="L81" s="1189">
        <v>17.91603957859682</v>
      </c>
      <c r="M81" s="1189">
        <v>16.576552815508382</v>
      </c>
      <c r="N81" s="1189">
        <v>16.576552815508382</v>
      </c>
      <c r="O81" s="1351"/>
      <c r="P81" s="1189">
        <v>6.9411253530306416</v>
      </c>
      <c r="Q81" s="1189">
        <v>11.09032370344587</v>
      </c>
      <c r="R81" s="1189">
        <v>11.09032370344587</v>
      </c>
      <c r="S81" s="1189"/>
      <c r="T81" s="1189">
        <v>12.42001015744032</v>
      </c>
      <c r="U81" s="1189">
        <v>15.451027369088145</v>
      </c>
      <c r="V81" s="1189">
        <v>15.451027369088145</v>
      </c>
      <c r="W81" s="1189"/>
      <c r="X81" s="1189">
        <v>14.650135059901803</v>
      </c>
      <c r="Y81" s="1189">
        <v>9.9429768777220993</v>
      </c>
      <c r="Z81" s="1189">
        <v>9.9429768777220993</v>
      </c>
      <c r="AA81" s="1190"/>
      <c r="AB81" s="1190">
        <f>(AB55*1000/X55-1)*100</f>
        <v>12.688106721128456</v>
      </c>
      <c r="AC81" s="1190">
        <f>(AC55*1000/Y55-1)*100</f>
        <v>13.485365978520614</v>
      </c>
      <c r="AD81" s="1190">
        <f>(AD55*1000/Z55-1)*100</f>
        <v>13.485365978520614</v>
      </c>
      <c r="AE81" s="1190" t="e">
        <f>(AE55*1000/AA55-1)*100</f>
        <v>#DIV/0!</v>
      </c>
      <c r="AF81" s="1190">
        <f>(AF55/AB55-1)*100</f>
        <v>12.778970863771599</v>
      </c>
      <c r="AG81" s="1190">
        <f>(AG55/AC55-1)*100</f>
        <v>9.4571447215304083</v>
      </c>
      <c r="AH81" s="1517">
        <f>(AH55/AD55-1)*100</f>
        <v>9.4571447215304083</v>
      </c>
      <c r="AI81" s="1190"/>
      <c r="AJ81" s="1190">
        <f>(AJ55/AF55-1)*100</f>
        <v>12.578933225849799</v>
      </c>
      <c r="AK81" s="1190">
        <f>(AK55/AG55-1)*100</f>
        <v>10.045730154826749</v>
      </c>
      <c r="AL81" s="1517">
        <f>(AL55/AH55-1)*100</f>
        <v>10.045730154826749</v>
      </c>
      <c r="AM81" s="1190"/>
      <c r="AN81" s="1190">
        <f>(AN55/AJ55-1)*100</f>
        <v>2.1796057568948868</v>
      </c>
      <c r="AO81" s="1190">
        <f>(AO55/AK55-1)*100</f>
        <v>1.1554756997975257</v>
      </c>
      <c r="AP81" s="1517">
        <f>(AP55/AL55-1)*100</f>
        <v>1.1554756997975257</v>
      </c>
      <c r="AQ81" s="1190"/>
      <c r="AR81" s="1190">
        <f>(AR55/AN55-1)*100</f>
        <v>4.9068096977211262</v>
      </c>
      <c r="AS81" s="1190">
        <f>(AS55/AO55-1)*100</f>
        <v>4.1362074351765088</v>
      </c>
      <c r="AT81" s="1517">
        <f>(AT55/AP55-1)*100</f>
        <v>4.1362074351765088</v>
      </c>
      <c r="AU81" s="1518"/>
      <c r="AV81" s="1190">
        <f>(AV55/AR55-1)*100</f>
        <v>1.0289810390010645</v>
      </c>
      <c r="AW81" s="1190">
        <f>(AW55/AS55-1)*100</f>
        <v>4.230772527406601</v>
      </c>
      <c r="AX81" s="1190">
        <f>(AX55/AT55-1)*100</f>
        <v>4.230772527406601</v>
      </c>
      <c r="AY81" s="1518"/>
      <c r="AZ81" s="1191">
        <f>(AZ55/AV55-1)*100</f>
        <v>4.3980333566448371</v>
      </c>
      <c r="BA81" s="1190">
        <f>(BA55/AW55-1)*100</f>
        <v>5.1957156366925661</v>
      </c>
      <c r="BB81" s="1517">
        <f>(BB55/AX55-1)*100</f>
        <v>5.1957156366925661</v>
      </c>
      <c r="BC81" s="1190"/>
      <c r="BD81" s="1190">
        <f>(BD55/AZ55-1)*100</f>
        <v>14.99584875249429</v>
      </c>
      <c r="BE81" s="1190">
        <f>(BE55/BA55-1)*100</f>
        <v>7.9481251453508373</v>
      </c>
      <c r="BF81" s="1517">
        <f>(BF55/BB55-1)*100</f>
        <v>7.9481251453508373</v>
      </c>
      <c r="BG81" s="1190"/>
      <c r="BH81" s="1190">
        <f>(BH55/BD55-1)*100</f>
        <v>-0.87749957634298825</v>
      </c>
      <c r="BI81" s="1190">
        <f>(BI55/BE55-1)*100</f>
        <v>7.4623028696708449</v>
      </c>
      <c r="BJ81" s="1517">
        <f>(BJ55/BF55-1)*100</f>
        <v>7.4623028696708449</v>
      </c>
      <c r="BK81" s="1190"/>
      <c r="BL81" s="1190">
        <f>(BL55/BH55-1)*100</f>
        <v>8.8204443257201337</v>
      </c>
      <c r="BM81" s="1190">
        <f>(BM55/BI55-1)*100</f>
        <v>4.5230482056396459</v>
      </c>
      <c r="BN81" s="1517">
        <f>(BN55/BJ55-1)*100</f>
        <v>4.5230482056396459</v>
      </c>
      <c r="BO81" s="1190"/>
      <c r="BP81" s="1190">
        <f>(BP55/BL55-1)*100</f>
        <v>6.1488837320433198</v>
      </c>
      <c r="BQ81" s="1190">
        <f>(BQ55/BM55-1)*100</f>
        <v>4.3016939864287895</v>
      </c>
      <c r="BR81" s="1517">
        <f>(BR55/BN55-1)*100</f>
        <v>4.3016939864287895</v>
      </c>
      <c r="BS81" s="1190"/>
      <c r="BT81" s="1190">
        <f>(BT55/BP55-1)*100</f>
        <v>-1.1619929481813007</v>
      </c>
      <c r="BU81" s="1190">
        <f>(BU55/BQ55-1)*100</f>
        <v>10.522330514171262</v>
      </c>
      <c r="BV81" s="1517">
        <f>(BV55/BR55-1)*100</f>
        <v>10.522330514171262</v>
      </c>
      <c r="BW81" s="1190"/>
      <c r="BX81" s="1190">
        <f>(BX55/BT55-1)*100</f>
        <v>18.012291565926787</v>
      </c>
      <c r="BY81" s="1190">
        <f>(BY55/BU55-1)*100</f>
        <v>4.5924908873045789</v>
      </c>
      <c r="BZ81" s="1517">
        <f>(BZ55/BV55-1)*100</f>
        <v>4.5924908873045789</v>
      </c>
      <c r="CA81" s="1190"/>
      <c r="CB81" s="1190">
        <f>(CB55/BX55-1)*100</f>
        <v>-1.078894800299135</v>
      </c>
      <c r="CC81" s="1190">
        <f>(CC55/BY55-1)*100</f>
        <v>1.974921332127777</v>
      </c>
      <c r="CD81" s="1517">
        <f>(CD55/BZ55-1)*100</f>
        <v>1.974921332127777</v>
      </c>
      <c r="CE81" s="1190"/>
      <c r="CF81" s="1190">
        <f>(CF55/CB55-1)*100</f>
        <v>3.903373329497084</v>
      </c>
      <c r="CG81" s="1190">
        <f>(CG55/CC55-1)*100</f>
        <v>3.924101005665892</v>
      </c>
      <c r="CH81" s="1517">
        <f>(CH55/CD55-1)*100</f>
        <v>3.924101005665892</v>
      </c>
      <c r="CI81" s="1190"/>
      <c r="CJ81" s="1190">
        <f>(CJ55/CF55-1)*100</f>
        <v>3.9442664989046472</v>
      </c>
      <c r="CK81" s="1190">
        <f>(CK55/CG55-1)*100</f>
        <v>3.9638948621948389</v>
      </c>
      <c r="CL81" s="1190">
        <f>(CL55/CH55-1)*100</f>
        <v>3.9638948621948389</v>
      </c>
      <c r="CM81" s="1354"/>
      <c r="CN81" s="1460" t="s">
        <v>253</v>
      </c>
      <c r="CO81" s="1461"/>
      <c r="CP81" s="1461"/>
      <c r="CQ81" s="1461"/>
      <c r="CR81" s="1461"/>
      <c r="CS81" s="1461"/>
      <c r="CT81" s="1461"/>
      <c r="CU81" s="1461"/>
      <c r="CV81" s="1461"/>
      <c r="CW81" s="1461"/>
      <c r="CX81" s="1461"/>
      <c r="CY81" s="1461"/>
      <c r="CZ81" s="1461"/>
      <c r="DA81" s="1157"/>
      <c r="DB81" s="1157"/>
      <c r="DC81" s="1157"/>
      <c r="DD81" s="1157"/>
      <c r="DE81" s="1157"/>
      <c r="DF81" s="1157"/>
      <c r="DG81" s="1157"/>
      <c r="DH81" s="1157"/>
      <c r="DI81" s="1157"/>
      <c r="DJ81" s="1157"/>
      <c r="DK81" s="1157"/>
      <c r="DL81" s="1157"/>
      <c r="DM81" s="1157"/>
      <c r="DN81" s="1157"/>
      <c r="DO81" s="1157"/>
      <c r="DP81" s="1157"/>
      <c r="DQ81" s="1157"/>
      <c r="DR81" s="1157"/>
      <c r="DS81" s="1157"/>
      <c r="DT81" s="1157"/>
      <c r="DU81" s="1157"/>
      <c r="DV81" s="1157"/>
      <c r="DW81" s="1157"/>
      <c r="DX81" s="1157"/>
      <c r="DY81" s="1157"/>
      <c r="DZ81" s="1157"/>
      <c r="EA81" s="1157"/>
      <c r="EB81" s="1157"/>
      <c r="EC81" s="1157"/>
      <c r="ED81" s="1157"/>
      <c r="EE81" s="1157"/>
      <c r="EF81" s="1157"/>
      <c r="EG81" s="1157"/>
      <c r="EH81" s="1157"/>
      <c r="EI81" s="1462"/>
      <c r="EJ81" s="1157"/>
      <c r="EK81" s="1157"/>
      <c r="EL81" s="1157"/>
      <c r="EM81" s="1462"/>
      <c r="EN81" s="1157"/>
      <c r="EO81" s="1157"/>
      <c r="EP81" s="1157"/>
      <c r="EQ81" s="1462"/>
      <c r="ER81" s="1157"/>
      <c r="ES81" s="1157"/>
      <c r="ET81" s="1157"/>
      <c r="EU81" s="1157"/>
      <c r="EV81" s="1157"/>
      <c r="EW81" s="1157"/>
      <c r="EX81" s="1157"/>
      <c r="EY81" s="1611"/>
      <c r="EZ81" s="1157"/>
      <c r="FA81" s="1157"/>
      <c r="FB81" s="1157"/>
      <c r="FC81" s="1157"/>
      <c r="FD81" s="1157"/>
      <c r="FE81" s="1157"/>
      <c r="FF81" s="1157"/>
      <c r="FG81" s="1157"/>
      <c r="FH81" s="1157"/>
      <c r="FI81" s="1157"/>
      <c r="FJ81" s="1157"/>
      <c r="FK81" s="1157"/>
      <c r="FL81" s="444"/>
      <c r="FM81" s="445"/>
      <c r="FN81" s="445"/>
      <c r="FO81" s="445"/>
      <c r="FP81" s="445"/>
      <c r="FQ81" s="445"/>
      <c r="FR81" s="445"/>
      <c r="FS81" s="445"/>
      <c r="FT81" s="445"/>
      <c r="FU81" s="445"/>
      <c r="FV81" s="445"/>
      <c r="FW81" s="445"/>
    </row>
    <row r="82" spans="1:179" ht="13.8">
      <c r="A82" s="444"/>
      <c r="B82" s="444"/>
      <c r="C82" s="1519" t="s">
        <v>278</v>
      </c>
      <c r="D82" s="1512"/>
      <c r="E82" s="1512"/>
      <c r="F82" s="1512"/>
      <c r="G82" s="1512"/>
      <c r="H82" s="1512"/>
      <c r="I82" s="1512"/>
      <c r="J82" s="1512"/>
      <c r="K82" s="1512"/>
      <c r="L82" s="1512">
        <v>19.017446402222028</v>
      </c>
      <c r="M82" s="1512">
        <v>22.928295405753541</v>
      </c>
      <c r="N82" s="1512">
        <v>22.928295405753541</v>
      </c>
      <c r="O82" s="1512"/>
      <c r="P82" s="1512">
        <v>15.395274212368726</v>
      </c>
      <c r="Q82" s="1512">
        <v>5.4837582954942343</v>
      </c>
      <c r="R82" s="1512">
        <v>5.4837582954942343</v>
      </c>
      <c r="S82" s="1512"/>
      <c r="T82" s="1512">
        <v>8.0357707135182856</v>
      </c>
      <c r="U82" s="1512">
        <v>11.484045755568939</v>
      </c>
      <c r="V82" s="1512">
        <v>11.484045755568939</v>
      </c>
      <c r="W82" s="1512"/>
      <c r="X82" s="1512">
        <v>12.676591886279208</v>
      </c>
      <c r="Y82" s="1512">
        <v>8.8159848791683473</v>
      </c>
      <c r="Z82" s="1512">
        <v>8.8159848791683473</v>
      </c>
      <c r="AA82" s="1520"/>
      <c r="AB82" s="1520">
        <f>(AB54*1000/X54-1)*100</f>
        <v>7.9329231887443896</v>
      </c>
      <c r="AC82" s="1520">
        <f>(AC54*1000/Y54-1)*100</f>
        <v>10.843672456575693</v>
      </c>
      <c r="AD82" s="1520">
        <f>(AD54*1000/Z54-1)*100</f>
        <v>10.843672456575693</v>
      </c>
      <c r="AE82" s="1520" t="e">
        <f>(AE54*1000/AA54-1)*100</f>
        <v>#DIV/0!</v>
      </c>
      <c r="AF82" s="1520">
        <f>(AF54/AB54-1)*100</f>
        <v>10.873277375598267</v>
      </c>
      <c r="AG82" s="1520">
        <f>(AG54/AC54-1)*100</f>
        <v>8.2068502350570718</v>
      </c>
      <c r="AH82" s="1521">
        <f>(AH54/AD54-1)*100</f>
        <v>8.2068502350570718</v>
      </c>
      <c r="AI82" s="1520"/>
      <c r="AJ82" s="1520">
        <f>(AJ54/AF54-1)*100</f>
        <v>12.702819956616063</v>
      </c>
      <c r="AK82" s="1520">
        <f>(AK54/AG54-1)*100</f>
        <v>18.43553459119498</v>
      </c>
      <c r="AL82" s="1521">
        <f>(AL54/AH54-1)*100</f>
        <v>18.43553459119498</v>
      </c>
      <c r="AM82" s="1520"/>
      <c r="AN82" s="1520">
        <f>(AN54/AJ54-1)*100</f>
        <v>8.4821772268842679</v>
      </c>
      <c r="AO82" s="1520">
        <f>(AO54/AK54-1)*100</f>
        <v>0.9974321798522201</v>
      </c>
      <c r="AP82" s="1521">
        <f>(AP54/AL54-1)*100</f>
        <v>0.9974321798522201</v>
      </c>
      <c r="AQ82" s="1520"/>
      <c r="AR82" s="1520">
        <f>(AR54/AN54-1)*100</f>
        <v>2.5335769919982987</v>
      </c>
      <c r="AS82" s="1520">
        <f>(AS54/AO54-1)*100</f>
        <v>1.9734338787229078</v>
      </c>
      <c r="AT82" s="1521">
        <f>(AT54/AP54-1)*100</f>
        <v>1.9734338787229078</v>
      </c>
      <c r="AU82" s="1522"/>
      <c r="AV82" s="1520">
        <f>(AV54/AR54-1)*100</f>
        <v>2.739180841307487</v>
      </c>
      <c r="AW82" s="1520">
        <f>(AW54/AS54-1)*100</f>
        <v>0.48169066639529579</v>
      </c>
      <c r="AX82" s="1520">
        <f>(AX54/AT54-1)*100</f>
        <v>0.48169066639529579</v>
      </c>
      <c r="AY82" s="1522"/>
      <c r="AZ82" s="1523">
        <f>(AZ54/AV54-1)*100</f>
        <v>0.75285478492268521</v>
      </c>
      <c r="BA82" s="1520">
        <f>(BA54/AW54-1)*100</f>
        <v>2.5994632277231089</v>
      </c>
      <c r="BB82" s="1521">
        <f>(BB54/AX54-1)*100</f>
        <v>2.5994632277231089</v>
      </c>
      <c r="BC82" s="1520"/>
      <c r="BD82" s="1520">
        <f>(BD54/AZ54-1)*100</f>
        <v>2.5793617625917253</v>
      </c>
      <c r="BE82" s="1520">
        <f>(BE54/BA54-1)*100</f>
        <v>0.82917921129261885</v>
      </c>
      <c r="BF82" s="1521">
        <f>(BF54/BB54-1)*100</f>
        <v>0.82917921129261885</v>
      </c>
      <c r="BG82" s="1520"/>
      <c r="BH82" s="1520">
        <f>(BH54/BD54-1)*100</f>
        <v>1.9588032070921191</v>
      </c>
      <c r="BI82" s="1520">
        <f>(BI54/BE54-1)*100</f>
        <v>3.8801050793806136</v>
      </c>
      <c r="BJ82" s="1521">
        <f>(BJ54/BF54-1)*100</f>
        <v>3.8801050793806136</v>
      </c>
      <c r="BK82" s="1520"/>
      <c r="BL82" s="1520">
        <f>(BL54/BH54-1)*100</f>
        <v>-1.3090176773327356</v>
      </c>
      <c r="BM82" s="1520">
        <f>(BM54/BI54-1)*100</f>
        <v>3.5215581559726594</v>
      </c>
      <c r="BN82" s="1521">
        <f>(BN54/BJ54-1)*100</f>
        <v>3.5215581559726594</v>
      </c>
      <c r="BO82" s="1520"/>
      <c r="BP82" s="1520">
        <f>(BP54/BL54-1)*100</f>
        <v>11.835392812606283</v>
      </c>
      <c r="BQ82" s="1520">
        <f>(BQ54/BM54-1)*100</f>
        <v>5.4440347762756636</v>
      </c>
      <c r="BR82" s="1521">
        <f>(BR54/BN54-1)*100</f>
        <v>5.4440347762756636</v>
      </c>
      <c r="BS82" s="1520"/>
      <c r="BT82" s="1520">
        <f>(BT54/BP54-1)*100</f>
        <v>1.8115994497139853</v>
      </c>
      <c r="BU82" s="1520">
        <f>(BU54/BQ54-1)*100</f>
        <v>0.52090078422908359</v>
      </c>
      <c r="BV82" s="1521">
        <f>(BV54/BR54-1)*100</f>
        <v>0.52090078422908359</v>
      </c>
      <c r="BW82" s="1520"/>
      <c r="BX82" s="1520">
        <f>(BX54/BT54-1)*100</f>
        <v>1.7935880294711604</v>
      </c>
      <c r="BY82" s="1520">
        <f>(BY54/BU54-1)*100</f>
        <v>1.8194311235810279</v>
      </c>
      <c r="BZ82" s="1521">
        <f>(BZ54/BV54-1)*100</f>
        <v>1.8194311235810279</v>
      </c>
      <c r="CA82" s="1520"/>
      <c r="CB82" s="1520">
        <f ca="1">(CB54/BX54-1)*100</f>
        <v>2.1480841874754741</v>
      </c>
      <c r="CC82" s="1520">
        <f ca="1">(CC54/BY54-1)*100</f>
        <v>4.5797722484165915</v>
      </c>
      <c r="CD82" s="1521">
        <f ca="1">(CD54/BZ54-1)*100</f>
        <v>4.5797722484165915</v>
      </c>
      <c r="CE82" s="1520"/>
      <c r="CF82" s="1520">
        <f ca="1">(CF54/CB54-1)*100</f>
        <v>3.6504162324738854</v>
      </c>
      <c r="CG82" s="1520">
        <f ca="1">(CG54/CC54-1)*100</f>
        <v>2.9155316578563184</v>
      </c>
      <c r="CH82" s="1521">
        <f ca="1">(CH54/CD54-1)*100</f>
        <v>2.9155316578563184</v>
      </c>
      <c r="CI82" s="1520"/>
      <c r="CJ82" s="1520">
        <f ca="1">(CJ54/CF54-1)*100</f>
        <v>2.2635475005921668</v>
      </c>
      <c r="CK82" s="1520">
        <f ca="1">(CK54/CG54-1)*100</f>
        <v>2.4949388698057628</v>
      </c>
      <c r="CL82" s="1520">
        <f ca="1">(CL54/CH54-1)*100</f>
        <v>2.4949388698057628</v>
      </c>
      <c r="CM82" s="1354"/>
      <c r="CN82" s="1352"/>
      <c r="CO82" s="1352"/>
      <c r="CP82" s="1352"/>
      <c r="CQ82" s="1352"/>
      <c r="CR82" s="1352"/>
      <c r="CS82" s="1352"/>
      <c r="CT82" s="1352"/>
      <c r="CU82" s="1352"/>
      <c r="CV82" s="1352"/>
      <c r="CW82" s="1352"/>
      <c r="CX82" s="1352"/>
      <c r="CY82" s="1352"/>
      <c r="CZ82" s="1352"/>
      <c r="DA82" s="1352"/>
      <c r="DB82" s="1352"/>
      <c r="DC82" s="1352"/>
      <c r="DD82" s="1352"/>
      <c r="DE82" s="1352"/>
      <c r="DF82" s="1352"/>
      <c r="DG82" s="1352"/>
      <c r="DH82" s="1352"/>
      <c r="DI82" s="1352"/>
      <c r="DJ82" s="1352"/>
      <c r="DK82" s="1352"/>
      <c r="DL82" s="1352"/>
      <c r="DM82" s="1352"/>
      <c r="DN82" s="1352"/>
      <c r="DO82" s="1352"/>
      <c r="DP82" s="1352"/>
      <c r="DQ82" s="1352"/>
      <c r="DR82" s="1352"/>
      <c r="DS82" s="1352"/>
      <c r="DT82" s="1352"/>
      <c r="DU82" s="1352"/>
      <c r="DV82" s="1352"/>
      <c r="DW82" s="1352"/>
      <c r="DX82" s="1352"/>
      <c r="DY82" s="1352"/>
      <c r="DZ82" s="1352"/>
      <c r="EA82" s="1352"/>
      <c r="EB82" s="1352"/>
      <c r="EC82" s="1352"/>
      <c r="ED82" s="1352"/>
      <c r="EE82" s="1352"/>
      <c r="EF82" s="1352"/>
      <c r="EG82" s="1352"/>
      <c r="EH82" s="1352"/>
      <c r="EI82" s="1355"/>
      <c r="EJ82" s="1352"/>
      <c r="EK82" s="1352"/>
      <c r="EL82" s="1352"/>
      <c r="EM82" s="1355"/>
      <c r="EN82" s="1352"/>
      <c r="EO82" s="1352"/>
      <c r="EP82" s="1352"/>
      <c r="EQ82" s="1355"/>
      <c r="ER82" s="1352"/>
      <c r="ES82" s="1352"/>
      <c r="ET82" s="1352"/>
      <c r="EU82" s="1352"/>
      <c r="EV82" s="1352"/>
      <c r="EW82" s="1352"/>
      <c r="EX82" s="1352"/>
      <c r="EY82" s="1610"/>
      <c r="EZ82" s="1352"/>
      <c r="FA82" s="1352"/>
      <c r="FB82" s="1352"/>
      <c r="FC82" s="1352"/>
      <c r="FD82" s="1352"/>
      <c r="FE82" s="1352"/>
      <c r="FF82" s="1352"/>
      <c r="FG82" s="1352"/>
      <c r="FH82" s="1352"/>
      <c r="FI82" s="1352"/>
      <c r="FJ82" s="1352"/>
      <c r="FK82" s="1352"/>
      <c r="FL82" s="444"/>
      <c r="FM82" s="445"/>
      <c r="FN82" s="445"/>
      <c r="FO82" s="445"/>
      <c r="FP82" s="445"/>
      <c r="FQ82" s="445"/>
      <c r="FR82" s="445"/>
      <c r="FS82" s="445"/>
      <c r="FT82" s="445"/>
      <c r="FU82" s="445"/>
      <c r="FV82" s="445"/>
      <c r="FW82" s="445"/>
    </row>
    <row r="83" spans="1:179" ht="13.8">
      <c r="A83" s="444"/>
      <c r="B83" s="444"/>
      <c r="C83" s="1465" t="s">
        <v>30</v>
      </c>
      <c r="D83" s="1351"/>
      <c r="E83" s="1351"/>
      <c r="F83" s="1351"/>
      <c r="G83" s="1351"/>
      <c r="H83" s="1351"/>
      <c r="I83" s="1351"/>
      <c r="J83" s="1351"/>
      <c r="K83" s="1351"/>
      <c r="L83" s="1351">
        <v>14.859271304650834</v>
      </c>
      <c r="M83" s="1351">
        <v>4.2536549998013484</v>
      </c>
      <c r="N83" s="1351">
        <v>9.3887787089757424</v>
      </c>
      <c r="O83" s="1351"/>
      <c r="P83" s="1351">
        <v>-1.4863147346720229</v>
      </c>
      <c r="Q83" s="1351">
        <v>7.1436907401629668</v>
      </c>
      <c r="R83" s="1351">
        <v>2.7635075702281409</v>
      </c>
      <c r="S83" s="1351"/>
      <c r="T83" s="1351">
        <v>6.8573334950867482</v>
      </c>
      <c r="U83" s="1351">
        <v>5.9914062343701779</v>
      </c>
      <c r="V83" s="1351">
        <v>7.9733289018091069</v>
      </c>
      <c r="W83" s="1351"/>
      <c r="X83" s="1351">
        <v>11.076372893419407</v>
      </c>
      <c r="Y83" s="1351">
        <v>12.86602322918371</v>
      </c>
      <c r="Z83" s="1351">
        <v>10.364493508355444</v>
      </c>
      <c r="AA83" s="1172"/>
      <c r="AB83" s="1172">
        <f>(AB57*1000/X57-1)*100</f>
        <v>9.3367822282324653</v>
      </c>
      <c r="AC83" s="1172">
        <f>(AC57*1000/Y57-1)*100</f>
        <v>10.747155590984846</v>
      </c>
      <c r="AD83" s="1172">
        <f>(AD57*1000/Z57-1)*100</f>
        <v>9.910575955037725</v>
      </c>
      <c r="AE83" s="1172"/>
      <c r="AF83" s="1172">
        <f>(AF57/AB57-1)*100</f>
        <v>13.687026304057071</v>
      </c>
      <c r="AG83" s="1172">
        <f>(AG57/AC57-1)*100</f>
        <v>10.99282212356416</v>
      </c>
      <c r="AH83" s="1494">
        <f>(AH57/AD57-1)*100</f>
        <v>12.454917883195794</v>
      </c>
      <c r="AI83" s="1172"/>
      <c r="AJ83" s="1172">
        <f>(AJ57/AF57-1)*100</f>
        <v>11.037792536369384</v>
      </c>
      <c r="AK83" s="1172">
        <f>(AK57/AG57-1)*100</f>
        <v>10.615632298587352</v>
      </c>
      <c r="AL83" s="1494">
        <f>(AL57/AH57-1)*100</f>
        <v>10.815196979275022</v>
      </c>
      <c r="AM83" s="1172"/>
      <c r="AN83" s="1172">
        <f>(AN57/AJ57-1)*100</f>
        <v>4.1572024044329137</v>
      </c>
      <c r="AO83" s="1172">
        <f>(AO57/AK57-1)*100</f>
        <v>-0.20007133691112289</v>
      </c>
      <c r="AP83" s="1494">
        <f>(AP57/AL57-1)*100</f>
        <v>1.9336904839944768</v>
      </c>
      <c r="AQ83" s="1172"/>
      <c r="AR83" s="1172">
        <f>(AR57/AN57-1)*100</f>
        <v>1.7105667935930713</v>
      </c>
      <c r="AS83" s="1172">
        <f>(AS57/AO57-1)*100</f>
        <v>2.984902947519763</v>
      </c>
      <c r="AT83" s="1494">
        <f>(AT57/AP57-1)*100</f>
        <v>2.3472466425390026</v>
      </c>
      <c r="AU83" s="1494"/>
      <c r="AV83" s="1172">
        <f>(AV57/AR57-1)*100</f>
        <v>2.8605764706831405</v>
      </c>
      <c r="AW83" s="1172">
        <f>(AW57/AS57-1)*100</f>
        <v>4.3118154753594373</v>
      </c>
      <c r="AX83" s="1172">
        <f>(AX57/AT57-1)*100</f>
        <v>3.5955718629740119</v>
      </c>
      <c r="AY83" s="1494"/>
      <c r="AZ83" s="1173">
        <f>(AZ57/AV57-1)*100</f>
        <v>6.0563052643409554</v>
      </c>
      <c r="BA83" s="1172">
        <f>(BA57/AW57-1)*100</f>
        <v>3.8661518595897393</v>
      </c>
      <c r="BB83" s="1494">
        <f>(BB57/AX57-1)*100</f>
        <v>4.9471920958491955</v>
      </c>
      <c r="BC83" s="1172"/>
      <c r="BD83" s="1172">
        <f>(BD57/AZ57-1)*100</f>
        <v>5.5602517719659517</v>
      </c>
      <c r="BE83" s="1172">
        <f>(BE57/BA57-1)*100</f>
        <v>6.6613813171074732</v>
      </c>
      <c r="BF83" s="1494">
        <f>(BF57/BB57-1)*100</f>
        <v>6.1069650364784733</v>
      </c>
      <c r="BG83" s="1172"/>
      <c r="BH83" s="1172">
        <f>(BH57/BD57-1)*100</f>
        <v>0.10190847848190465</v>
      </c>
      <c r="BI83" s="1172">
        <f>(BI57/BE57-1)*100</f>
        <v>8.2268067333246542E-2</v>
      </c>
      <c r="BJ83" s="1494">
        <f>(BJ57/BF57-1)*100</f>
        <v>9.3755577240006716E-2</v>
      </c>
      <c r="BK83" s="1172"/>
      <c r="BL83" s="1172">
        <f>(BL57/BH57-1)*100</f>
        <v>4.9157807828119182</v>
      </c>
      <c r="BM83" s="1172">
        <f>(BM57/BI57-1)*100</f>
        <v>5.8074900123588069</v>
      </c>
      <c r="BN83" s="1494">
        <f>(BN57/BJ57-1)*100</f>
        <v>5.3660394747658602</v>
      </c>
      <c r="BO83" s="1172"/>
      <c r="BP83" s="1172">
        <f>(BP57/BL57-1)*100</f>
        <v>8.1466924833107015</v>
      </c>
      <c r="BQ83" s="1172">
        <f>(BQ57/BM57-1)*100</f>
        <v>6.1754351652649975</v>
      </c>
      <c r="BR83" s="1494">
        <f>(BR57/BN57-1)*100</f>
        <v>7.147181927767754</v>
      </c>
      <c r="BS83" s="1172"/>
      <c r="BT83" s="1172">
        <f>(BT57/BP57-1)*100</f>
        <v>4.3833738278182821</v>
      </c>
      <c r="BU83" s="1172">
        <f>(BU57/BQ57-1)*100</f>
        <v>5.570752424079628</v>
      </c>
      <c r="BV83" s="1494">
        <f>(BV57/BR57-1)*100</f>
        <v>4.9777505207270423</v>
      </c>
      <c r="BW83" s="1172"/>
      <c r="BX83" s="1172">
        <f>(BX57/BT57-1)*100</f>
        <v>12.456122904114819</v>
      </c>
      <c r="BY83" s="1172">
        <f>(BY57/BU57-1)*100</f>
        <v>14.108224902603773</v>
      </c>
      <c r="BZ83" s="1494">
        <f>(BZ57/BV57-1)*100</f>
        <v>13.293266224834333</v>
      </c>
      <c r="CA83" s="1172"/>
      <c r="CB83" s="1172">
        <f>(CB57/BX57-1)*100</f>
        <v>4.0154268152784889</v>
      </c>
      <c r="CC83" s="1172">
        <f>(CC57/BY57-1)*100</f>
        <v>2.3724895173988791</v>
      </c>
      <c r="CD83" s="1494">
        <f>(CD57/BZ57-1)*100</f>
        <v>3.1773263802656437</v>
      </c>
      <c r="CE83" s="1172"/>
      <c r="CF83" s="1172">
        <f>(CF57/CB57-1)*100</f>
        <v>3.6701469916520013</v>
      </c>
      <c r="CG83" s="1172">
        <f>(CG57/CC57-1)*100</f>
        <v>4.5786543864606344</v>
      </c>
      <c r="CH83" s="1494">
        <f>(CH57/CD57-1)*100</f>
        <v>4.1276450089341665</v>
      </c>
      <c r="CI83" s="1172"/>
      <c r="CJ83" s="1172">
        <f>(CJ57/CF57-1)*100</f>
        <v>4.5962640727065018</v>
      </c>
      <c r="CK83" s="1172">
        <f>(CK57/CG57-1)*100</f>
        <v>4.3542802905503386</v>
      </c>
      <c r="CL83" s="1172">
        <f>(CL57/CH57-1)*100</f>
        <v>4.4738802503598407</v>
      </c>
      <c r="CM83" s="1354"/>
      <c r="CN83" s="1385" t="s">
        <v>412</v>
      </c>
      <c r="CO83" s="1343">
        <v>1.2615000000000001</v>
      </c>
      <c r="CP83" s="1343">
        <v>1.2591000000000001</v>
      </c>
      <c r="CQ83" s="1343">
        <v>1.2603</v>
      </c>
      <c r="CR83" s="1343"/>
      <c r="CS83" s="1343">
        <v>1.3158000000000001</v>
      </c>
      <c r="CT83" s="1343">
        <v>1.2945</v>
      </c>
      <c r="CU83" s="1343">
        <v>1.3050999999999999</v>
      </c>
      <c r="CV83" s="1343"/>
      <c r="CW83" s="1343">
        <v>1.2959000000000001</v>
      </c>
      <c r="CX83" s="1343">
        <v>1.2807999999999999</v>
      </c>
      <c r="CY83" s="1343">
        <v>1.2883</v>
      </c>
      <c r="CZ83" s="1343"/>
      <c r="DA83" s="1524">
        <f>MODEL!BH78</f>
        <v>1.2533000000000001</v>
      </c>
      <c r="DB83" s="1524">
        <f>MODEL!BI78</f>
        <v>1.1733</v>
      </c>
      <c r="DC83" s="1524">
        <f>MODEL!BJ78</f>
        <v>1.2132000000000001</v>
      </c>
      <c r="DD83" s="1524"/>
      <c r="DE83" s="1524">
        <f>MODEL!BL78</f>
        <v>1.0959000000000001</v>
      </c>
      <c r="DF83" s="1524">
        <f>MODEL!BM78</f>
        <v>1.0903</v>
      </c>
      <c r="DG83" s="1524">
        <f>MODEL!BN78</f>
        <v>1.0931</v>
      </c>
      <c r="DH83" s="1524"/>
      <c r="DI83" s="1524">
        <f>MODEL!BP78</f>
        <v>1.0690999999999999</v>
      </c>
      <c r="DJ83" s="1524">
        <f>MODEL!BQ78</f>
        <v>1.0878000000000001</v>
      </c>
      <c r="DK83" s="1524">
        <f>MODEL!BR78</f>
        <v>1.0785</v>
      </c>
      <c r="DL83" s="1524">
        <f>MODEL!BS78</f>
        <v>0</v>
      </c>
      <c r="DM83" s="1524">
        <f>MODEL!BT78</f>
        <v>1.0833999999999999</v>
      </c>
      <c r="DN83" s="1524">
        <f>MODEL!BU78</f>
        <v>1.0640000000000001</v>
      </c>
      <c r="DO83" s="1524">
        <f>MODEL!BV78</f>
        <v>1.0737000000000001</v>
      </c>
      <c r="DP83" s="1524"/>
      <c r="DQ83" s="1524">
        <f>MODEL!BX78</f>
        <v>1.0592999999999999</v>
      </c>
      <c r="DR83" s="1524">
        <f>MODEL!BY78</f>
        <v>1.0670999999999999</v>
      </c>
      <c r="DS83" s="1524">
        <f>MODEL!BZ78</f>
        <v>1.0661</v>
      </c>
      <c r="DT83" s="1524"/>
      <c r="DU83" s="1524"/>
      <c r="DV83" s="1524"/>
      <c r="DW83" s="1524">
        <f>MODEL!CD78</f>
        <v>1.0882000000000001</v>
      </c>
      <c r="DX83" s="1524"/>
      <c r="DY83" s="1524"/>
      <c r="DZ83" s="1524"/>
      <c r="EA83" s="1524">
        <f>MODEL!CH78</f>
        <v>1.0571999999999999</v>
      </c>
      <c r="EB83" s="1524"/>
      <c r="EC83" s="1524"/>
      <c r="ED83" s="1524"/>
      <c r="EE83" s="1524">
        <f>MODEL!CL78</f>
        <v>1.06</v>
      </c>
      <c r="EF83" s="1524"/>
      <c r="EG83" s="1524"/>
      <c r="EH83" s="1524"/>
      <c r="EI83" s="1525">
        <f>MODEL!CP78</f>
        <v>1.0661</v>
      </c>
      <c r="EJ83" s="1524"/>
      <c r="EK83" s="1524"/>
      <c r="EL83" s="1524"/>
      <c r="EM83" s="1525">
        <f>MODEL!CT78</f>
        <v>1.0822000000000001</v>
      </c>
      <c r="EN83" s="1524"/>
      <c r="EO83" s="1524"/>
      <c r="EP83" s="1524"/>
      <c r="EQ83" s="1525">
        <f>MODEL!CX78</f>
        <v>1.0845</v>
      </c>
      <c r="ER83" s="1524"/>
      <c r="ES83" s="1524"/>
      <c r="ET83" s="1524"/>
      <c r="EU83" s="1524">
        <f>MODEL!DB78</f>
        <v>1.0844</v>
      </c>
      <c r="EV83" s="1524"/>
      <c r="EW83" s="1524"/>
      <c r="EX83" s="1524"/>
      <c r="EY83" s="1622">
        <f>MODEL!DF78</f>
        <v>1.0981000000000001</v>
      </c>
      <c r="EZ83" s="1524"/>
      <c r="FA83" s="1524"/>
      <c r="FB83" s="1524"/>
      <c r="FC83" s="1524">
        <f>MODEL!DJ78</f>
        <v>1.162075</v>
      </c>
      <c r="FD83" s="1524"/>
      <c r="FE83" s="1524"/>
      <c r="FF83" s="1524"/>
      <c r="FG83" s="1524">
        <f>MODEL!DN78</f>
        <v>1.17</v>
      </c>
      <c r="FH83" s="1524"/>
      <c r="FI83" s="1524"/>
      <c r="FJ83" s="1524"/>
      <c r="FK83" s="1524">
        <f>MODEL!DR78</f>
        <v>1.17</v>
      </c>
      <c r="FL83" s="444"/>
      <c r="FM83" s="445"/>
      <c r="FN83" s="445"/>
      <c r="FO83" s="445"/>
      <c r="FP83" s="445"/>
      <c r="FQ83" s="445"/>
      <c r="FR83" s="445"/>
      <c r="FS83" s="445"/>
      <c r="FT83" s="445"/>
      <c r="FU83" s="445"/>
      <c r="FV83" s="445"/>
      <c r="FW83" s="445"/>
    </row>
    <row r="84" spans="1:179" ht="13.8">
      <c r="A84" s="444"/>
      <c r="B84" s="444"/>
      <c r="C84" s="1465" t="s">
        <v>428</v>
      </c>
      <c r="D84" s="1351"/>
      <c r="E84" s="1351"/>
      <c r="F84" s="1351"/>
      <c r="G84" s="1351"/>
      <c r="H84" s="1351"/>
      <c r="I84" s="1351"/>
      <c r="J84" s="1351"/>
      <c r="K84" s="1351"/>
      <c r="L84" s="1351">
        <v>11.988575818402602</v>
      </c>
      <c r="M84" s="1351">
        <v>2.840810619479428</v>
      </c>
      <c r="N84" s="1351">
        <v>7.2884486358941958</v>
      </c>
      <c r="O84" s="1351"/>
      <c r="P84" s="1351">
        <v>-3.5978048605079582</v>
      </c>
      <c r="Q84" s="1351">
        <v>4.1048037429092021</v>
      </c>
      <c r="R84" s="1351">
        <v>0.7894929145189078</v>
      </c>
      <c r="S84" s="1351"/>
      <c r="T84" s="1351">
        <v>9.4606032956596309</v>
      </c>
      <c r="U84" s="1351">
        <v>7.8971556192090953</v>
      </c>
      <c r="V84" s="1351">
        <v>8.0260563792675654</v>
      </c>
      <c r="W84" s="1351"/>
      <c r="X84" s="1351">
        <v>7.013271610601568</v>
      </c>
      <c r="Y84" s="1351">
        <v>8.75333116341519</v>
      </c>
      <c r="Z84" s="1351">
        <v>7.8920671469763004</v>
      </c>
      <c r="AA84" s="1193"/>
      <c r="AB84" s="1172">
        <f>(AB56*1000/X56-1)*100</f>
        <v>10.105671580370657</v>
      </c>
      <c r="AC84" s="1172">
        <f>(AC56*1000/Y56-1)*100</f>
        <v>11.175905293456069</v>
      </c>
      <c r="AD84" s="1172">
        <f>(AD56*1000/Z56-1)*100</f>
        <v>10.459563309583174</v>
      </c>
      <c r="AE84" s="1193"/>
      <c r="AF84" s="1172">
        <f>(AF56/AB56-1)*100</f>
        <v>11.813518071109797</v>
      </c>
      <c r="AG84" s="1172">
        <f>(AG56/AC56-1)*100</f>
        <v>10.923369423482999</v>
      </c>
      <c r="AH84" s="1494">
        <f>(AH56/AD56-1)*100</f>
        <v>11.558463781112005</v>
      </c>
      <c r="AI84" s="1193"/>
      <c r="AJ84" s="1172">
        <f>(AJ56/AF56-1)*100</f>
        <v>8.3755799794669414</v>
      </c>
      <c r="AK84" s="1172">
        <f>(AK56/AG56-1)*100</f>
        <v>7.4118244870253758</v>
      </c>
      <c r="AL84" s="1494">
        <f>(AL56/AH56-1)*100</f>
        <v>7.8751829947848684</v>
      </c>
      <c r="AM84" s="1193"/>
      <c r="AN84" s="1172">
        <f>(AN56/AJ56-1)*100</f>
        <v>1.144116027170905</v>
      </c>
      <c r="AO84" s="1172">
        <f>(AO56/AK56-1)*100</f>
        <v>-2.7219530277755588</v>
      </c>
      <c r="AP84" s="1494">
        <f>(AP56/AL56-1)*100</f>
        <v>-0.82685013116390316</v>
      </c>
      <c r="AQ84" s="1172"/>
      <c r="AR84" s="1172">
        <f>(AR56/AN56-1)*100</f>
        <v>0.88014491806609474</v>
      </c>
      <c r="AS84" s="1172">
        <f>(AS56/AO56-1)*100</f>
        <v>1.3193971891813261</v>
      </c>
      <c r="AT84" s="1494">
        <f>(AT56/AP56-1)*100</f>
        <v>1.0998015457111654</v>
      </c>
      <c r="AU84" s="1494"/>
      <c r="AV84" s="1172">
        <f>(AV56/AR56-1)*100</f>
        <v>1.0191064466039901</v>
      </c>
      <c r="AW84" s="1172">
        <f>(AW56/AS56-1)*100</f>
        <v>2.5340463790126666</v>
      </c>
      <c r="AX84" s="1172">
        <f>(AX56/AT56-1)*100</f>
        <v>1.8013045074348977</v>
      </c>
      <c r="AY84" s="1494"/>
      <c r="AZ84" s="1173">
        <f>(AZ56/AV56-1)*100</f>
        <v>4.3576841899028107</v>
      </c>
      <c r="BA84" s="1172">
        <f>(BA56/AW56-1)*100</f>
        <v>3.0434668692849831</v>
      </c>
      <c r="BB84" s="1494">
        <f>(BB56/AX56-1)*100</f>
        <v>3.6714670879893108</v>
      </c>
      <c r="BC84" s="1172"/>
      <c r="BD84" s="1172">
        <f>(BD56/AZ56-1)*100</f>
        <v>3.1963898953936809</v>
      </c>
      <c r="BE84" s="1172">
        <f>(BE56/BA56-1)*100</f>
        <v>2.9605257581844624</v>
      </c>
      <c r="BF84" s="1494">
        <f>(BF56/BB56-1)*100</f>
        <v>3.0774385804968052</v>
      </c>
      <c r="BG84" s="1172"/>
      <c r="BH84" s="1172">
        <f>(BH56/BD56-1)*100</f>
        <v>-3.0075797293922624</v>
      </c>
      <c r="BI84" s="1172">
        <f>(BI56/BE56-1)*100</f>
        <v>-3.3054327174782738</v>
      </c>
      <c r="BJ84" s="1494">
        <f>(BJ56/BF56-1)*100</f>
        <v>-3.1570071466642147</v>
      </c>
      <c r="BK84" s="1172"/>
      <c r="BL84" s="1172">
        <f>(BL56/BH56-1)*100</f>
        <v>3.5182640070662075</v>
      </c>
      <c r="BM84" s="1172">
        <f>(BM56/BI56-1)*100</f>
        <v>5.4779616459254443</v>
      </c>
      <c r="BN84" s="1494">
        <f>(BN56/BJ56-1)*100</f>
        <v>4.5017337297766913</v>
      </c>
      <c r="BO84" s="1172"/>
      <c r="BP84" s="1172">
        <f>(BP56/BL56-1)*100</f>
        <v>6.9456272329995628</v>
      </c>
      <c r="BQ84" s="1172">
        <f>(BQ56/BM56-1)*100</f>
        <v>4.9522994721464375</v>
      </c>
      <c r="BR84" s="1494">
        <f>(BR56/BN56-1)*100</f>
        <v>5.9363611905984826</v>
      </c>
      <c r="BS84" s="1172"/>
      <c r="BT84" s="1172">
        <f>(BT56/BP56-1)*100</f>
        <v>2.2686071531436758</v>
      </c>
      <c r="BU84" s="1172">
        <f>(BU56/BQ56-1)*100</f>
        <v>7.568647536255968</v>
      </c>
      <c r="BV84" s="1494">
        <f>(BV56/BR56-1)*100</f>
        <v>4.9201724453720397</v>
      </c>
      <c r="BW84" s="1172"/>
      <c r="BX84" s="1172">
        <f>(BX56/BT56-1)*100</f>
        <v>14.846034982876045</v>
      </c>
      <c r="BY84" s="1172">
        <f>(BY56/BU56-1)*100</f>
        <v>11.126315097129158</v>
      </c>
      <c r="BZ84" s="1494">
        <f>(BZ56/BV56-1)*100</f>
        <v>12.940822673395157</v>
      </c>
      <c r="CA84" s="1172"/>
      <c r="CB84" s="1172">
        <f>(CB56/BX56-1)*100</f>
        <v>2.8575531156626255</v>
      </c>
      <c r="CC84" s="1172">
        <f>(CC56/BY56-1)*100</f>
        <v>2.3724895173988569</v>
      </c>
      <c r="CD84" s="1494">
        <f>(CD56/BZ56-1)*100</f>
        <v>2.6100503164172562</v>
      </c>
      <c r="CE84" s="1172"/>
      <c r="CF84" s="1172">
        <f>(CF56/CB56-1)*100</f>
        <v>3.6701469916520013</v>
      </c>
      <c r="CG84" s="1172">
        <f>(CG56/CC56-1)*100</f>
        <v>4.5786543864606344</v>
      </c>
      <c r="CH84" s="1494">
        <f>(CH56/CD56-1)*100</f>
        <v>4.1276450089341887</v>
      </c>
      <c r="CI84" s="1172"/>
      <c r="CJ84" s="1172">
        <f>(CJ56/CF56-1)*100</f>
        <v>4.5962640727065018</v>
      </c>
      <c r="CK84" s="1172">
        <f>(CK56/CG56-1)*100</f>
        <v>4.3542802905503386</v>
      </c>
      <c r="CL84" s="1172">
        <f>(CL56/CH56-1)*100</f>
        <v>4.4738802503598407</v>
      </c>
      <c r="CM84" s="1354"/>
      <c r="CN84" s="1385" t="s">
        <v>505</v>
      </c>
      <c r="CO84" s="1343">
        <v>0.90600000000000003</v>
      </c>
      <c r="CP84" s="1343">
        <v>0.89200000000000002</v>
      </c>
      <c r="CQ84" s="1343">
        <v>0.89900000000000002</v>
      </c>
      <c r="CR84" s="1343"/>
      <c r="CS84" s="1343">
        <v>0.99560000000000004</v>
      </c>
      <c r="CT84" s="1343">
        <v>1.0544</v>
      </c>
      <c r="CU84" s="1343">
        <v>1.0250999999999999</v>
      </c>
      <c r="CV84" s="1343"/>
      <c r="CW84" s="1343">
        <v>1.032</v>
      </c>
      <c r="CX84" s="1343">
        <v>1.0237000000000001</v>
      </c>
      <c r="CY84" s="1343">
        <v>1.0278</v>
      </c>
      <c r="CZ84" s="1343"/>
      <c r="DA84" s="1524">
        <f>MODEL!BH80</f>
        <v>1.0387</v>
      </c>
      <c r="DB84" s="1524">
        <f>MODEL!BI80</f>
        <v>0.94740000000000002</v>
      </c>
      <c r="DC84" s="1524">
        <f>MODEL!BJ80</f>
        <v>0.9929</v>
      </c>
      <c r="DD84" s="1524"/>
      <c r="DE84" s="1524">
        <f>MODEL!BL80</f>
        <v>0.9113</v>
      </c>
      <c r="DF84" s="1524">
        <f>MODEL!BM80</f>
        <v>0.92889999999999995</v>
      </c>
      <c r="DG84" s="1524">
        <f>MODEL!BN80</f>
        <v>0.92010000000000003</v>
      </c>
      <c r="DH84" s="1524"/>
      <c r="DI84" s="1524">
        <f>MODEL!BP80</f>
        <v>0.82</v>
      </c>
      <c r="DJ84" s="1524">
        <f>MODEL!BQ80</f>
        <v>0.748</v>
      </c>
      <c r="DK84" s="1524">
        <f>MODEL!BR80</f>
        <v>0.78390000000000004</v>
      </c>
      <c r="DL84" s="1524">
        <f>MODEL!BS80</f>
        <v>0</v>
      </c>
      <c r="DM84" s="1524">
        <f>MODEL!BT80</f>
        <v>0.72119999999999995</v>
      </c>
      <c r="DN84" s="1524">
        <f>MODEL!BU80</f>
        <v>0.751</v>
      </c>
      <c r="DO84" s="1524">
        <f>MODEL!BV80</f>
        <v>0.73609999999999998</v>
      </c>
      <c r="DP84" s="1524"/>
      <c r="DQ84" s="1524">
        <f>MODEL!BX80</f>
        <v>0.75329999999999997</v>
      </c>
      <c r="DR84" s="1524">
        <f>MODEL!BY80</f>
        <v>0.76500000000000001</v>
      </c>
      <c r="DS84" s="1524">
        <f>MODEL!BZ80</f>
        <v>0.76119999999999999</v>
      </c>
      <c r="DT84" s="1524"/>
      <c r="DU84" s="1524"/>
      <c r="DV84" s="1524"/>
      <c r="DW84" s="1524">
        <f>MODEL!CD80</f>
        <v>0.75990000000000002</v>
      </c>
      <c r="DX84" s="1524"/>
      <c r="DY84" s="1524"/>
      <c r="DZ84" s="1524"/>
      <c r="EA84" s="1524">
        <f>MODEL!CH80</f>
        <v>0.70340000000000003</v>
      </c>
      <c r="EB84" s="1524"/>
      <c r="EC84" s="1524"/>
      <c r="ED84" s="1524"/>
      <c r="EE84" s="1524">
        <f>MODEL!CL80</f>
        <v>0.67730000000000001</v>
      </c>
      <c r="EF84" s="1524"/>
      <c r="EG84" s="1524"/>
      <c r="EH84" s="1524"/>
      <c r="EI84" s="1525">
        <f>MODEL!CP80</f>
        <v>0.75119999999999998</v>
      </c>
      <c r="EJ84" s="1524"/>
      <c r="EK84" s="1524"/>
      <c r="EL84" s="1524"/>
      <c r="EM84" s="1525">
        <f>MODEL!CT80</f>
        <v>0.71230000000000004</v>
      </c>
      <c r="EN84" s="1524"/>
      <c r="EO84" s="1524"/>
      <c r="EP84" s="1524"/>
      <c r="EQ84" s="1525">
        <f>MODEL!CX80</f>
        <v>0.66569999999999996</v>
      </c>
      <c r="ER84" s="1524"/>
      <c r="ES84" s="1524"/>
      <c r="ET84" s="1524"/>
      <c r="EU84" s="1524">
        <f>MODEL!DB80</f>
        <v>0.6593</v>
      </c>
      <c r="EV84" s="1524"/>
      <c r="EW84" s="1524"/>
      <c r="EX84" s="1524"/>
      <c r="EY84" s="1622">
        <f>MODEL!DF80</f>
        <v>0.64349999999999996</v>
      </c>
      <c r="EZ84" s="1524"/>
      <c r="FA84" s="1524"/>
      <c r="FB84" s="1524"/>
      <c r="FC84" s="1524">
        <f>MODEL!DJ80</f>
        <v>0.69745000000000001</v>
      </c>
      <c r="FD84" s="1524"/>
      <c r="FE84" s="1524"/>
      <c r="FF84" s="1524"/>
      <c r="FG84" s="1524">
        <f>MODEL!DN80</f>
        <v>0.71</v>
      </c>
      <c r="FH84" s="1524"/>
      <c r="FI84" s="1524"/>
      <c r="FJ84" s="1524"/>
      <c r="FK84" s="1524">
        <f>MODEL!DR80</f>
        <v>0.71</v>
      </c>
      <c r="FL84" s="444"/>
      <c r="FM84" s="445"/>
      <c r="FN84" s="445"/>
      <c r="FO84" s="445"/>
      <c r="FP84" s="445"/>
      <c r="FQ84" s="445"/>
      <c r="FR84" s="445"/>
      <c r="FS84" s="445"/>
      <c r="FT84" s="445"/>
      <c r="FU84" s="445"/>
      <c r="FV84" s="445"/>
      <c r="FW84" s="445"/>
    </row>
    <row r="85" spans="1:179" ht="14.4" thickBot="1">
      <c r="A85" s="444"/>
      <c r="B85" s="444"/>
      <c r="C85" s="1526" t="s">
        <v>523</v>
      </c>
      <c r="D85" s="1527"/>
      <c r="E85" s="1527"/>
      <c r="F85" s="1527"/>
      <c r="G85" s="1528"/>
      <c r="H85" s="1527"/>
      <c r="I85" s="1527"/>
      <c r="J85" s="1527"/>
      <c r="K85" s="1528"/>
      <c r="L85" s="1527">
        <v>22.901181084408773</v>
      </c>
      <c r="M85" s="1527">
        <v>25.941619585687391</v>
      </c>
      <c r="N85" s="1527">
        <v>24.491643300289233</v>
      </c>
      <c r="O85" s="1528"/>
      <c r="P85" s="1527">
        <v>17.18674631739081</v>
      </c>
      <c r="Q85" s="1527">
        <v>12.771452846219212</v>
      </c>
      <c r="R85" s="1527">
        <v>14.868939098357759</v>
      </c>
      <c r="S85" s="1527"/>
      <c r="T85" s="1527">
        <v>7.086090618370644</v>
      </c>
      <c r="U85" s="1527">
        <v>8.9835156556067766</v>
      </c>
      <c r="V85" s="1527">
        <v>8.0623745561216644</v>
      </c>
      <c r="W85" s="1527"/>
      <c r="X85" s="1527">
        <v>10.730019810177115</v>
      </c>
      <c r="Y85" s="1527">
        <v>10.427496958301074</v>
      </c>
      <c r="Z85" s="1527">
        <v>10.564064464510237</v>
      </c>
      <c r="AA85" s="1529"/>
      <c r="AB85" s="1530">
        <f>(AB59*1000/X59-1)*100</f>
        <v>9.153538050734312</v>
      </c>
      <c r="AC85" s="1530">
        <f>(AC59*1000/Y59-1)*100</f>
        <v>9.0547139101039278</v>
      </c>
      <c r="AD85" s="1530">
        <f>(AD59*1000/Z59-1)*100</f>
        <v>9.1101749670483123</v>
      </c>
      <c r="AE85" s="1529"/>
      <c r="AF85" s="1530">
        <f>(AF59/AB59-1)*100</f>
        <v>10.837125103967903</v>
      </c>
      <c r="AG85" s="1530">
        <f>(AG59/AC59-1)*100</f>
        <v>7.1479414938807384</v>
      </c>
      <c r="AH85" s="1530">
        <f>(AH59/AD59-1)*100</f>
        <v>8.9227343787010138</v>
      </c>
      <c r="AI85" s="1529"/>
      <c r="AJ85" s="1530">
        <f>(AJ59/AF59-1)*100</f>
        <v>10.644919219563874</v>
      </c>
      <c r="AK85" s="1530">
        <f>(AK59/AG59-1)*100</f>
        <v>13.502914452254423</v>
      </c>
      <c r="AL85" s="1530">
        <f>(AL59/AH59-1)*100</f>
        <v>12.130042405132112</v>
      </c>
      <c r="AM85" s="1529"/>
      <c r="AN85" s="1530">
        <f>(AN59/AJ59-1)*100</f>
        <v>14.629670263908556</v>
      </c>
      <c r="AO85" s="1530">
        <f>(AO59/AK59-1)*100</f>
        <v>7.2670631549136111</v>
      </c>
      <c r="AP85" s="1530">
        <f>(AP59/AL59-1)*100</f>
        <v>10.817834493726108</v>
      </c>
      <c r="AQ85" s="1530"/>
      <c r="AR85" s="1530">
        <f>(AR59/AN59-1)*100</f>
        <v>0.58122335334551689</v>
      </c>
      <c r="AS85" s="1530">
        <f>(AS59/AO59-1)*100</f>
        <v>3.36536769106206</v>
      </c>
      <c r="AT85" s="1530">
        <f>(AT59/AP59-1)*100</f>
        <v>1.965313872700869</v>
      </c>
      <c r="AU85" s="1530"/>
      <c r="AV85" s="1531">
        <f>(AV59/AR59-1)*100</f>
        <v>2.0761604872056694</v>
      </c>
      <c r="AW85" s="1531">
        <f>(AW59/AS59-1)*100</f>
        <v>0.46487075571297609</v>
      </c>
      <c r="AX85" s="1530">
        <f>(AX59/AT59-1)*100</f>
        <v>1.4794727447480449</v>
      </c>
      <c r="AY85" s="1530"/>
      <c r="AZ85" s="1531">
        <f>(AZ59/AV59-1)*100</f>
        <v>0.33220902049186929</v>
      </c>
      <c r="BA85" s="1531">
        <f>(BA59/AW59-1)*100</f>
        <v>1.3407006898422003</v>
      </c>
      <c r="BB85" s="1530">
        <f>(BB59/AX59-1)*100</f>
        <v>0.62578222778473247</v>
      </c>
      <c r="BC85" s="1530"/>
      <c r="BD85" s="1530">
        <f>(BD57/AZ57-1)*100</f>
        <v>5.5602517719659517</v>
      </c>
      <c r="BE85" s="1530">
        <f>(BE57/BA57-1)*100</f>
        <v>6.6613813171074732</v>
      </c>
      <c r="BF85" s="1532">
        <f>(BF59/BB59-1)*100</f>
        <v>2.0034960333467744</v>
      </c>
      <c r="BG85" s="1530"/>
      <c r="BH85" s="1531">
        <f>(BH57/BD57-1)*100</f>
        <v>0.10190847848190465</v>
      </c>
      <c r="BI85" s="1531">
        <f>(BI57/BE57-1)*100</f>
        <v>8.2268067333246542E-2</v>
      </c>
      <c r="BJ85" s="1532">
        <f>(BJ59/BF59-1)*100</f>
        <v>2.7484840495649809</v>
      </c>
      <c r="BK85" s="1530"/>
      <c r="BL85" s="1530">
        <f>(BL59/BH59-1)*100</f>
        <v>1.0420200649444933</v>
      </c>
      <c r="BM85" s="1530">
        <f>(BM59/BI59-1)*100</f>
        <v>0.49195204661602876</v>
      </c>
      <c r="BN85" s="1532">
        <f>(BN59/BJ59-1)*100</f>
        <v>0.76335877862594437</v>
      </c>
      <c r="BO85" s="1530"/>
      <c r="BP85" s="1530">
        <f>(BP59/BL59-1)*100</f>
        <v>8.1014965464313313</v>
      </c>
      <c r="BQ85" s="1530">
        <f>(BQ59/BM59-1)*100</f>
        <v>8.8339670468948093</v>
      </c>
      <c r="BR85" s="1532">
        <f>(BR59/BN59-1)*100</f>
        <v>8.4702062643239096</v>
      </c>
      <c r="BS85" s="1530"/>
      <c r="BT85" s="1530">
        <f>(BT59/BP59-1)*100</f>
        <v>4.8394492020529034</v>
      </c>
      <c r="BU85" s="1530">
        <f>(BU59/BQ59-1)*100</f>
        <v>1.470245720274832</v>
      </c>
      <c r="BV85" s="1532">
        <f>(BV59/BR59-1)*100</f>
        <v>3.1399477653549335</v>
      </c>
      <c r="BW85" s="1530"/>
      <c r="BX85" s="1530">
        <f>(BX59/BT59-1)*100</f>
        <v>0.51211150769578939</v>
      </c>
      <c r="BY85" s="1530">
        <f>(BY59/BU59-1)*100</f>
        <v>5.219062921412787</v>
      </c>
      <c r="BZ85" s="1532">
        <f>(BZ59/BV59-1)*100</f>
        <v>2.8508834324408872</v>
      </c>
      <c r="CA85" s="1530"/>
      <c r="CB85" s="1530">
        <f ca="1">(CB59/BX59-1)*100</f>
        <v>4.0486348191262067</v>
      </c>
      <c r="CC85" s="1530">
        <f ca="1">(CC59/BY59-1)*100</f>
        <v>3.3565665398881173</v>
      </c>
      <c r="CD85" s="1532">
        <f ca="1">(CD59/BZ59-1)*100</f>
        <v>3.6932768031272989</v>
      </c>
      <c r="CE85" s="1530"/>
      <c r="CF85" s="1530"/>
      <c r="CG85" s="1530"/>
      <c r="CH85" s="1532">
        <f ca="1">(CH59/CD59-1)*100</f>
        <v>3.6566095323142589</v>
      </c>
      <c r="CI85" s="1530"/>
      <c r="CJ85" s="1530"/>
      <c r="CK85" s="1530"/>
      <c r="CL85" s="1530">
        <f ca="1">(CL59/CH59-1)*100</f>
        <v>2.4288149840307582</v>
      </c>
      <c r="CM85" s="1533"/>
      <c r="CN85" s="1534"/>
      <c r="CO85" s="1535"/>
      <c r="CP85" s="1535"/>
      <c r="CQ85" s="1535"/>
      <c r="CR85" s="1535"/>
      <c r="CS85" s="1535"/>
      <c r="CT85" s="1535"/>
      <c r="CU85" s="1535"/>
      <c r="CV85" s="1535"/>
      <c r="CW85" s="1535"/>
      <c r="CX85" s="1535"/>
      <c r="CY85" s="1535"/>
      <c r="CZ85" s="1535"/>
      <c r="DA85" s="1536"/>
      <c r="DB85" s="1536"/>
      <c r="DC85" s="1536"/>
      <c r="DD85" s="1536"/>
      <c r="DE85" s="1536"/>
      <c r="DF85" s="1536"/>
      <c r="DG85" s="1536"/>
      <c r="DH85" s="1536"/>
      <c r="DI85" s="1536"/>
      <c r="DJ85" s="1536"/>
      <c r="DK85" s="1536"/>
      <c r="DL85" s="1536"/>
      <c r="DM85" s="1536"/>
      <c r="DN85" s="1536"/>
      <c r="DO85" s="1536"/>
      <c r="DP85" s="1536"/>
      <c r="DQ85" s="1536"/>
      <c r="DR85" s="1536"/>
      <c r="DS85" s="1536"/>
      <c r="DT85" s="1536"/>
      <c r="DU85" s="1536"/>
      <c r="DV85" s="1536"/>
      <c r="DW85" s="1536"/>
      <c r="DX85" s="1536"/>
      <c r="DY85" s="1536"/>
      <c r="DZ85" s="1536"/>
      <c r="EA85" s="1536"/>
      <c r="EB85" s="1536"/>
      <c r="EC85" s="1536"/>
      <c r="ED85" s="1536"/>
      <c r="EE85" s="1536"/>
      <c r="EF85" s="1536"/>
      <c r="EG85" s="1536"/>
      <c r="EH85" s="1536"/>
      <c r="EI85" s="1536"/>
      <c r="EJ85" s="1536"/>
      <c r="EK85" s="1536"/>
      <c r="EL85" s="1536"/>
      <c r="EM85" s="1537"/>
      <c r="EN85" s="1536"/>
      <c r="EO85" s="1536"/>
      <c r="EP85" s="1536"/>
      <c r="EQ85" s="1537"/>
      <c r="ER85" s="1536"/>
      <c r="ES85" s="1536"/>
      <c r="ET85" s="1536"/>
      <c r="EU85" s="1536"/>
      <c r="EV85" s="1536"/>
      <c r="EW85" s="1536"/>
      <c r="EX85" s="1536"/>
      <c r="EY85" s="1537"/>
      <c r="EZ85" s="1536"/>
      <c r="FA85" s="1536"/>
      <c r="FB85" s="1536"/>
      <c r="FC85" s="1536"/>
      <c r="FD85" s="1536"/>
      <c r="FE85" s="1536"/>
      <c r="FF85" s="1536"/>
      <c r="FG85" s="1536"/>
      <c r="FH85" s="1536"/>
      <c r="FI85" s="1536"/>
      <c r="FJ85" s="1536"/>
      <c r="FK85" s="1536"/>
      <c r="FM85" s="445"/>
      <c r="FN85" s="445"/>
      <c r="FO85" s="445"/>
      <c r="FP85" s="445"/>
      <c r="FQ85" s="445"/>
      <c r="FR85" s="445"/>
      <c r="FS85" s="445"/>
      <c r="FT85" s="445"/>
      <c r="FU85" s="445"/>
      <c r="FV85" s="445"/>
      <c r="FW85" s="445"/>
    </row>
    <row r="86" spans="1:179" ht="13.8">
      <c r="A86" s="444"/>
      <c r="B86" s="444"/>
      <c r="C86" s="486"/>
      <c r="D86" s="444"/>
      <c r="E86" s="444"/>
      <c r="F86" s="444"/>
      <c r="G86" s="487"/>
      <c r="H86" s="444"/>
      <c r="I86" s="444"/>
      <c r="J86" s="444"/>
      <c r="K86" s="487"/>
      <c r="L86" s="444"/>
      <c r="M86" s="444"/>
      <c r="N86" s="444"/>
      <c r="O86" s="487"/>
      <c r="P86" s="444"/>
      <c r="Q86" s="444"/>
      <c r="R86" s="444"/>
      <c r="S86" s="444"/>
      <c r="T86" s="444"/>
      <c r="U86" s="444"/>
      <c r="V86" s="444"/>
      <c r="W86" s="444"/>
      <c r="X86" s="444"/>
      <c r="Y86" s="444"/>
      <c r="Z86" s="444"/>
      <c r="AA86" s="495"/>
      <c r="AB86" s="493"/>
      <c r="AC86" s="493"/>
      <c r="AD86" s="493"/>
      <c r="AE86" s="495"/>
      <c r="AF86" s="493"/>
      <c r="AG86" s="493"/>
      <c r="AH86" s="493"/>
      <c r="AI86" s="495"/>
      <c r="AJ86" s="493"/>
      <c r="AK86" s="493"/>
      <c r="AL86" s="493"/>
      <c r="AM86" s="495"/>
      <c r="AN86" s="493"/>
      <c r="AO86" s="493"/>
      <c r="AP86" s="493"/>
      <c r="AQ86" s="493"/>
      <c r="AR86" s="493"/>
      <c r="AS86" s="493"/>
      <c r="AT86" s="493"/>
      <c r="AU86" s="493"/>
      <c r="AV86" s="1318"/>
      <c r="AW86" s="1318"/>
      <c r="AX86" s="493"/>
      <c r="AY86" s="493"/>
      <c r="AZ86" s="1318"/>
      <c r="BA86" s="1318"/>
      <c r="BB86" s="493"/>
      <c r="BC86" s="493"/>
      <c r="BD86" s="1319"/>
      <c r="BE86" s="1319"/>
      <c r="BF86" s="493"/>
      <c r="BG86" s="493"/>
      <c r="BH86" s="1319"/>
      <c r="BI86" s="1319"/>
      <c r="BJ86" s="493"/>
      <c r="BK86" s="493"/>
      <c r="BL86" s="1319"/>
      <c r="BM86" s="1319"/>
      <c r="BN86" s="493"/>
      <c r="BO86" s="493"/>
      <c r="BP86" s="1319"/>
      <c r="BQ86" s="1319"/>
      <c r="BR86" s="493"/>
      <c r="BS86" s="493"/>
      <c r="BT86" s="1319"/>
      <c r="BU86" s="1319"/>
      <c r="BV86" s="493"/>
      <c r="BW86" s="493"/>
      <c r="BX86" s="1319"/>
      <c r="BY86" s="1319"/>
      <c r="BZ86" s="493"/>
      <c r="CA86" s="493"/>
      <c r="CB86" s="1319"/>
      <c r="CC86" s="1319"/>
      <c r="CD86" s="493"/>
      <c r="CE86" s="493"/>
      <c r="CF86" s="1319"/>
      <c r="CG86" s="1319"/>
      <c r="CH86" s="493"/>
      <c r="CI86" s="493"/>
      <c r="CJ86" s="1319"/>
      <c r="CK86" s="1319"/>
      <c r="CL86" s="493"/>
      <c r="CM86" s="1320"/>
      <c r="CN86" s="445"/>
      <c r="CO86" s="444"/>
      <c r="CP86" s="444"/>
      <c r="CQ86" s="444"/>
      <c r="CR86" s="444"/>
      <c r="CS86" s="444"/>
      <c r="CT86" s="444"/>
      <c r="CU86" s="444"/>
      <c r="CV86" s="446"/>
      <c r="CW86" s="446"/>
      <c r="CX86" s="446"/>
      <c r="CY86" s="444"/>
      <c r="CZ86" s="446"/>
      <c r="DA86" s="445"/>
      <c r="DB86" s="445"/>
      <c r="DC86" s="484"/>
      <c r="DD86" s="445"/>
      <c r="DE86" s="445"/>
      <c r="DF86" s="445"/>
      <c r="DG86" s="484"/>
      <c r="DH86" s="445"/>
      <c r="DI86" s="445"/>
      <c r="DJ86" s="445"/>
      <c r="DK86" s="484"/>
      <c r="DL86" s="445"/>
      <c r="DM86" s="445"/>
      <c r="DN86" s="445"/>
      <c r="DO86" s="484"/>
      <c r="DP86" s="484"/>
      <c r="DQ86" s="484"/>
      <c r="DR86" s="484"/>
      <c r="DS86" s="506"/>
      <c r="DT86" s="484"/>
      <c r="DU86" s="484"/>
      <c r="DV86" s="484"/>
      <c r="DW86" s="484"/>
      <c r="DX86" s="484"/>
      <c r="DY86" s="484"/>
      <c r="DZ86" s="484"/>
      <c r="EA86" s="484"/>
      <c r="EB86" s="484"/>
      <c r="EC86" s="484"/>
      <c r="ED86" s="484"/>
      <c r="EE86" s="484"/>
      <c r="EF86" s="484"/>
      <c r="EG86" s="484"/>
      <c r="EH86" s="484"/>
      <c r="EI86" s="484"/>
      <c r="EJ86" s="484"/>
      <c r="EK86" s="484"/>
      <c r="EL86" s="484"/>
      <c r="EM86" s="484"/>
      <c r="EN86" s="484"/>
      <c r="EO86" s="484"/>
      <c r="EP86" s="484"/>
      <c r="EQ86" s="484"/>
      <c r="ER86" s="484"/>
      <c r="ES86" s="484"/>
      <c r="ET86" s="484"/>
      <c r="EU86" s="484"/>
      <c r="EV86" s="484"/>
      <c r="EW86" s="484"/>
      <c r="EX86" s="484"/>
      <c r="EY86" s="484"/>
      <c r="EZ86" s="484"/>
      <c r="FA86" s="484"/>
      <c r="FB86" s="484"/>
      <c r="FC86" s="484"/>
      <c r="FD86" s="484"/>
      <c r="FE86" s="484"/>
      <c r="FF86" s="484"/>
      <c r="FG86" s="484"/>
      <c r="FH86" s="484"/>
      <c r="FI86" s="484"/>
      <c r="FJ86" s="484"/>
      <c r="FK86" s="484"/>
      <c r="FL86" s="444"/>
      <c r="FM86" s="445"/>
      <c r="FN86" s="445"/>
      <c r="FO86" s="445"/>
      <c r="FP86" s="445"/>
      <c r="FQ86" s="445"/>
      <c r="FR86" s="445"/>
      <c r="FS86" s="445"/>
      <c r="FT86" s="445"/>
      <c r="FU86" s="445"/>
      <c r="FV86" s="445"/>
      <c r="FW86" s="445"/>
    </row>
    <row r="87" spans="1:179" ht="13.8">
      <c r="A87" s="444"/>
      <c r="B87" s="444"/>
      <c r="C87" s="486"/>
      <c r="D87" s="444"/>
      <c r="E87" s="444"/>
      <c r="F87" s="444"/>
      <c r="G87" s="487"/>
      <c r="H87" s="444"/>
      <c r="I87" s="444"/>
      <c r="J87" s="444"/>
      <c r="K87" s="487"/>
      <c r="L87" s="444"/>
      <c r="M87" s="444"/>
      <c r="N87" s="444"/>
      <c r="O87" s="487"/>
      <c r="P87" s="444"/>
      <c r="Q87" s="444"/>
      <c r="R87" s="444"/>
      <c r="S87" s="444"/>
      <c r="T87" s="444"/>
      <c r="U87" s="444"/>
      <c r="V87" s="444"/>
      <c r="W87" s="444"/>
      <c r="X87" s="444"/>
      <c r="Y87" s="444"/>
      <c r="Z87" s="444"/>
      <c r="AA87" s="495"/>
      <c r="AB87" s="493"/>
      <c r="AC87" s="493"/>
      <c r="AD87" s="493"/>
      <c r="AE87" s="495"/>
      <c r="AF87" s="495"/>
      <c r="AG87" s="495"/>
      <c r="AH87" s="493"/>
      <c r="AI87" s="495"/>
      <c r="AJ87" s="495"/>
      <c r="AK87" s="495"/>
      <c r="AL87" s="493"/>
      <c r="AM87" s="495"/>
      <c r="AN87" s="495"/>
      <c r="AO87" s="495"/>
      <c r="AP87" s="493"/>
      <c r="AQ87" s="493"/>
      <c r="AR87" s="495"/>
      <c r="AS87" s="495"/>
      <c r="AT87" s="493"/>
      <c r="AU87" s="493"/>
      <c r="AV87" s="495"/>
      <c r="AW87" s="495"/>
      <c r="AX87" s="493"/>
      <c r="AY87" s="493"/>
      <c r="AZ87" s="495"/>
      <c r="BA87" s="495"/>
      <c r="BB87" s="493"/>
      <c r="BC87" s="493"/>
      <c r="BD87" s="495"/>
      <c r="BE87" s="495"/>
      <c r="BF87" s="493"/>
      <c r="BG87" s="493"/>
      <c r="BH87" s="495"/>
      <c r="BI87" s="495"/>
      <c r="BJ87" s="493"/>
      <c r="BK87" s="493"/>
      <c r="BL87" s="495"/>
      <c r="BM87" s="495"/>
      <c r="BN87" s="493"/>
      <c r="BO87" s="493"/>
      <c r="BP87" s="495"/>
      <c r="BQ87" s="495"/>
      <c r="BR87" s="493"/>
      <c r="BS87" s="493"/>
      <c r="BT87" s="495"/>
      <c r="BU87" s="495"/>
      <c r="BV87" s="493"/>
      <c r="BW87" s="493"/>
      <c r="BX87" s="495"/>
      <c r="BY87" s="495"/>
      <c r="BZ87" s="493"/>
      <c r="CA87" s="493"/>
      <c r="CB87" s="495"/>
      <c r="CC87" s="495"/>
      <c r="CD87" s="493"/>
      <c r="CE87" s="493"/>
      <c r="CF87" s="495"/>
      <c r="CG87" s="495"/>
      <c r="CH87" s="493"/>
      <c r="CI87" s="493"/>
      <c r="CJ87" s="495"/>
      <c r="CK87" s="495"/>
      <c r="CL87" s="493"/>
      <c r="CM87" s="445"/>
      <c r="CN87" s="445"/>
      <c r="CO87" s="459"/>
      <c r="CP87" s="459"/>
      <c r="CQ87" s="444"/>
      <c r="CR87" s="459"/>
      <c r="CS87" s="459"/>
      <c r="CT87" s="459"/>
      <c r="CU87" s="444"/>
      <c r="CV87" s="459"/>
      <c r="CW87" s="459"/>
      <c r="CX87" s="459"/>
      <c r="CY87" s="444"/>
      <c r="CZ87" s="459"/>
      <c r="DA87" s="444"/>
      <c r="DB87" s="444"/>
      <c r="DC87" s="445"/>
      <c r="DD87" s="444"/>
      <c r="DE87" s="444"/>
      <c r="DF87" s="444"/>
      <c r="DG87" s="445"/>
      <c r="DH87" s="444"/>
      <c r="DI87" s="444"/>
      <c r="DJ87" s="444"/>
      <c r="DK87" s="445"/>
      <c r="DL87" s="444"/>
      <c r="DM87" s="444"/>
      <c r="DN87" s="444"/>
      <c r="DO87" s="445"/>
      <c r="DP87" s="445"/>
      <c r="DQ87" s="445"/>
      <c r="DR87" s="445"/>
      <c r="DS87" s="445"/>
      <c r="DT87" s="445"/>
      <c r="DU87" s="445"/>
      <c r="DV87" s="445"/>
      <c r="DW87" s="445"/>
      <c r="DX87" s="445"/>
      <c r="DY87" s="445"/>
      <c r="DZ87" s="445"/>
      <c r="EA87" s="445"/>
      <c r="EB87" s="445"/>
      <c r="EC87" s="445"/>
      <c r="ED87" s="445"/>
      <c r="EE87" s="445"/>
      <c r="EF87" s="445"/>
      <c r="EG87" s="445"/>
      <c r="EH87" s="445"/>
      <c r="EI87" s="445"/>
      <c r="EJ87" s="445"/>
      <c r="EK87" s="445"/>
      <c r="EL87" s="445"/>
      <c r="EM87" s="445"/>
      <c r="EN87" s="445"/>
      <c r="EO87" s="445"/>
      <c r="EP87" s="445"/>
      <c r="EQ87" s="445"/>
      <c r="ER87" s="445"/>
      <c r="ES87" s="445"/>
      <c r="ET87" s="445"/>
      <c r="EU87" s="445"/>
      <c r="EV87" s="445"/>
      <c r="EW87" s="445"/>
      <c r="EX87" s="445"/>
      <c r="EY87" s="445"/>
      <c r="EZ87" s="445"/>
      <c r="FA87" s="445"/>
      <c r="FB87" s="445"/>
      <c r="FC87" s="445"/>
      <c r="FD87" s="445"/>
      <c r="FE87" s="445"/>
      <c r="FF87" s="445"/>
      <c r="FG87" s="445"/>
      <c r="FH87" s="445"/>
      <c r="FI87" s="445"/>
      <c r="FJ87" s="445"/>
      <c r="FK87" s="445"/>
      <c r="FL87" s="445"/>
      <c r="FM87" s="445"/>
      <c r="FN87" s="445"/>
      <c r="FO87" s="445"/>
      <c r="FP87" s="445"/>
      <c r="FQ87" s="445"/>
      <c r="FR87" s="445"/>
      <c r="FS87" s="445"/>
      <c r="FT87" s="445"/>
      <c r="FU87" s="445"/>
      <c r="FV87" s="445"/>
      <c r="FW87" s="445"/>
    </row>
    <row r="88" spans="1:179" ht="13.8">
      <c r="A88" s="444"/>
      <c r="B88" s="444"/>
      <c r="C88" s="486"/>
      <c r="D88" s="487"/>
      <c r="E88" s="487"/>
      <c r="F88" s="487"/>
      <c r="G88" s="487"/>
      <c r="H88" s="487"/>
      <c r="I88" s="487"/>
      <c r="J88" s="487"/>
      <c r="K88" s="487"/>
      <c r="L88" s="487"/>
      <c r="M88" s="487"/>
      <c r="N88" s="487"/>
      <c r="O88" s="487"/>
      <c r="P88" s="444"/>
      <c r="Q88" s="444"/>
      <c r="R88" s="444"/>
      <c r="S88" s="444"/>
      <c r="T88" s="444"/>
      <c r="U88" s="444"/>
      <c r="V88" s="444"/>
      <c r="W88" s="444"/>
      <c r="X88" s="444"/>
      <c r="Y88" s="444"/>
      <c r="Z88" s="444"/>
      <c r="AA88" s="495"/>
      <c r="AB88" s="493"/>
      <c r="AC88" s="493"/>
      <c r="AD88" s="493"/>
      <c r="AE88" s="495"/>
      <c r="AF88" s="495"/>
      <c r="AG88" s="495"/>
      <c r="AH88" s="493"/>
      <c r="AI88" s="495"/>
      <c r="AJ88" s="495"/>
      <c r="AK88" s="495"/>
      <c r="AL88" s="493"/>
      <c r="AM88" s="495"/>
      <c r="AN88" s="495"/>
      <c r="AO88" s="495"/>
      <c r="AP88" s="493"/>
      <c r="AQ88" s="493"/>
      <c r="AR88" s="495"/>
      <c r="AS88" s="495"/>
      <c r="AT88" s="493"/>
      <c r="AU88" s="493"/>
      <c r="AV88" s="495"/>
      <c r="AW88" s="495"/>
      <c r="AX88" s="493"/>
      <c r="AY88" s="493"/>
      <c r="AZ88" s="495"/>
      <c r="BA88" s="495"/>
      <c r="BB88" s="493"/>
      <c r="BC88" s="493"/>
      <c r="BD88" s="495"/>
      <c r="BE88" s="495"/>
      <c r="BF88" s="493"/>
      <c r="BG88" s="493"/>
      <c r="BH88" s="495"/>
      <c r="BI88" s="495"/>
      <c r="BJ88" s="493"/>
      <c r="BK88" s="493"/>
      <c r="BL88" s="495"/>
      <c r="BM88" s="495"/>
      <c r="BN88" s="493"/>
      <c r="BO88" s="493"/>
      <c r="BP88" s="495"/>
      <c r="BQ88" s="495"/>
      <c r="BR88" s="493"/>
      <c r="BS88" s="493"/>
      <c r="BT88" s="495"/>
      <c r="BU88" s="495"/>
      <c r="BV88" s="493"/>
      <c r="BW88" s="493"/>
      <c r="BX88" s="495"/>
      <c r="BY88" s="495"/>
      <c r="BZ88" s="493"/>
      <c r="CA88" s="493"/>
      <c r="CB88" s="495"/>
      <c r="CC88" s="495"/>
      <c r="CD88" s="493"/>
      <c r="CE88" s="493"/>
      <c r="CF88" s="495"/>
      <c r="CG88" s="495"/>
      <c r="CH88" s="493"/>
      <c r="CI88" s="493"/>
      <c r="CJ88" s="495"/>
      <c r="CK88" s="495"/>
      <c r="CL88" s="493"/>
      <c r="CM88" s="445"/>
      <c r="CN88" s="445"/>
      <c r="CO88" s="459"/>
      <c r="CP88" s="459"/>
      <c r="CQ88" s="459"/>
      <c r="CR88" s="459"/>
      <c r="CS88" s="459"/>
      <c r="CT88" s="459"/>
      <c r="CU88" s="459"/>
      <c r="CV88" s="459"/>
      <c r="CW88" s="459"/>
      <c r="CX88" s="459"/>
      <c r="CY88" s="459"/>
      <c r="CZ88" s="459"/>
      <c r="DA88" s="444"/>
      <c r="DB88" s="444"/>
      <c r="DC88" s="444"/>
      <c r="DD88" s="444"/>
      <c r="DE88" s="444"/>
      <c r="DF88" s="444"/>
      <c r="DG88" s="444"/>
      <c r="DH88" s="444"/>
      <c r="DI88" s="444"/>
      <c r="DJ88" s="444"/>
      <c r="DK88" s="444"/>
      <c r="DL88" s="444"/>
      <c r="DM88" s="444"/>
      <c r="DN88" s="444"/>
      <c r="DO88" s="444"/>
      <c r="DP88" s="444"/>
      <c r="DQ88" s="444"/>
      <c r="DR88" s="444"/>
      <c r="DS88" s="444"/>
      <c r="DT88" s="444"/>
      <c r="DU88" s="444"/>
      <c r="DV88" s="444"/>
      <c r="DW88" s="444"/>
      <c r="DX88" s="444"/>
      <c r="DY88" s="444"/>
      <c r="DZ88" s="444"/>
      <c r="EA88" s="444"/>
      <c r="EB88" s="444"/>
      <c r="EC88" s="444"/>
      <c r="ED88" s="444"/>
      <c r="EE88" s="444"/>
      <c r="EF88" s="444"/>
      <c r="EG88" s="444"/>
      <c r="EH88" s="444"/>
      <c r="EI88" s="444"/>
      <c r="EJ88" s="444"/>
      <c r="EK88" s="444"/>
      <c r="EL88" s="444"/>
      <c r="EM88" s="444"/>
      <c r="EN88" s="444"/>
      <c r="EO88" s="444"/>
      <c r="EP88" s="444"/>
      <c r="EQ88" s="444"/>
      <c r="ER88" s="444"/>
      <c r="ES88" s="444"/>
      <c r="ET88" s="444"/>
      <c r="EU88" s="444"/>
      <c r="EV88" s="444"/>
      <c r="EW88" s="444"/>
      <c r="EX88" s="444"/>
      <c r="EY88" s="444"/>
      <c r="EZ88" s="444"/>
      <c r="FA88" s="444"/>
      <c r="FB88" s="444"/>
      <c r="FC88" s="444"/>
      <c r="FD88" s="444"/>
      <c r="FE88" s="444"/>
      <c r="FF88" s="444"/>
      <c r="FG88" s="444"/>
      <c r="FH88" s="444"/>
      <c r="FI88" s="444"/>
      <c r="FJ88" s="444"/>
      <c r="FK88" s="444"/>
      <c r="FL88" s="444"/>
      <c r="FM88" s="445"/>
      <c r="FN88" s="445"/>
      <c r="FO88" s="445"/>
      <c r="FP88" s="445"/>
      <c r="FQ88" s="445"/>
      <c r="FR88" s="445"/>
      <c r="FS88" s="445"/>
      <c r="FT88" s="445"/>
      <c r="FU88" s="445"/>
      <c r="FV88" s="445"/>
      <c r="FW88" s="445"/>
    </row>
    <row r="89" spans="1:179" ht="13.8">
      <c r="A89" s="444"/>
      <c r="B89" s="444"/>
      <c r="C89" s="486"/>
      <c r="D89" s="486"/>
      <c r="E89" s="486"/>
      <c r="F89" s="486"/>
      <c r="G89" s="486"/>
      <c r="H89" s="486"/>
      <c r="I89" s="486"/>
      <c r="J89" s="486"/>
      <c r="K89" s="486"/>
      <c r="L89" s="486"/>
      <c r="M89" s="486"/>
      <c r="N89" s="486"/>
      <c r="O89" s="486"/>
      <c r="P89" s="495"/>
      <c r="Q89" s="495"/>
      <c r="R89" s="495"/>
      <c r="S89" s="495"/>
      <c r="T89" s="493"/>
      <c r="U89" s="493"/>
      <c r="V89" s="493"/>
      <c r="W89" s="495"/>
      <c r="X89" s="493"/>
      <c r="Y89" s="493"/>
      <c r="Z89" s="493"/>
      <c r="AA89" s="495"/>
      <c r="AB89" s="493"/>
      <c r="AC89" s="493"/>
      <c r="AD89" s="493"/>
      <c r="AE89" s="495"/>
      <c r="AF89" s="495"/>
      <c r="AG89" s="495"/>
      <c r="AH89" s="493"/>
      <c r="AI89" s="495"/>
      <c r="AJ89" s="495"/>
      <c r="AK89" s="495"/>
      <c r="AL89" s="493"/>
      <c r="AM89" s="495"/>
      <c r="AN89" s="495"/>
      <c r="AO89" s="495"/>
      <c r="AP89" s="493"/>
      <c r="AQ89" s="493"/>
      <c r="AR89" s="495"/>
      <c r="AS89" s="495"/>
      <c r="AT89" s="493"/>
      <c r="AU89" s="493"/>
      <c r="AV89" s="495"/>
      <c r="AW89" s="495"/>
      <c r="AX89" s="493"/>
      <c r="AY89" s="493"/>
      <c r="AZ89" s="495"/>
      <c r="BA89" s="495"/>
      <c r="BB89" s="493"/>
      <c r="BC89" s="493"/>
      <c r="BD89" s="495"/>
      <c r="BE89" s="495"/>
      <c r="BF89" s="493"/>
      <c r="BG89" s="493"/>
      <c r="BH89" s="495"/>
      <c r="BI89" s="495"/>
      <c r="BJ89" s="493"/>
      <c r="BK89" s="493"/>
      <c r="BL89" s="495"/>
      <c r="BM89" s="495"/>
      <c r="BN89" s="493"/>
      <c r="BO89" s="493"/>
      <c r="BP89" s="495"/>
      <c r="BQ89" s="495"/>
      <c r="BR89" s="493"/>
      <c r="BS89" s="493"/>
      <c r="BT89" s="495"/>
      <c r="BU89" s="495"/>
      <c r="BV89" s="493"/>
      <c r="BW89" s="493"/>
      <c r="BX89" s="495"/>
      <c r="BY89" s="495"/>
      <c r="BZ89" s="493"/>
      <c r="CA89" s="493"/>
      <c r="CB89" s="495"/>
      <c r="CC89" s="495"/>
      <c r="CD89" s="493"/>
      <c r="CE89" s="493"/>
      <c r="CF89" s="495"/>
      <c r="CG89" s="495"/>
      <c r="CH89" s="493"/>
      <c r="CI89" s="493"/>
      <c r="CJ89" s="495"/>
      <c r="CK89" s="495"/>
      <c r="CL89" s="493"/>
      <c r="CM89" s="445"/>
      <c r="CN89" s="445"/>
      <c r="CO89" s="459"/>
      <c r="CP89" s="459"/>
      <c r="CQ89" s="459"/>
      <c r="CR89" s="459"/>
      <c r="CS89" s="459"/>
      <c r="CT89" s="459"/>
      <c r="CU89" s="459"/>
      <c r="CV89" s="459"/>
      <c r="CW89" s="459"/>
      <c r="CX89" s="459"/>
      <c r="CY89" s="459"/>
      <c r="CZ89" s="459"/>
      <c r="DA89" s="444"/>
      <c r="DB89" s="444"/>
      <c r="DC89" s="444"/>
      <c r="DD89" s="444"/>
      <c r="DE89" s="444"/>
      <c r="DF89" s="444"/>
      <c r="DG89" s="444"/>
      <c r="DH89" s="444"/>
      <c r="DI89" s="444"/>
      <c r="DJ89" s="444"/>
      <c r="DK89" s="444"/>
      <c r="DL89" s="444"/>
      <c r="DM89" s="444"/>
      <c r="DN89" s="444"/>
      <c r="DO89" s="444"/>
      <c r="DP89" s="444"/>
      <c r="DQ89" s="444"/>
      <c r="DR89" s="444"/>
      <c r="DS89" s="444"/>
      <c r="DT89" s="444"/>
      <c r="DU89" s="444"/>
      <c r="DV89" s="444"/>
      <c r="DW89" s="444"/>
      <c r="DX89" s="444"/>
      <c r="DY89" s="444"/>
      <c r="DZ89" s="444"/>
      <c r="EA89" s="444"/>
      <c r="EB89" s="444"/>
      <c r="EC89" s="444"/>
      <c r="ED89" s="444"/>
      <c r="EE89" s="444"/>
      <c r="EF89" s="444"/>
      <c r="EG89" s="444"/>
      <c r="EH89" s="444"/>
      <c r="EI89" s="444"/>
      <c r="EJ89" s="444"/>
      <c r="EK89" s="444"/>
      <c r="EL89" s="444"/>
      <c r="EM89" s="444"/>
      <c r="EN89" s="444"/>
      <c r="EO89" s="444"/>
      <c r="EP89" s="444"/>
      <c r="EQ89" s="444"/>
      <c r="ER89" s="444"/>
      <c r="ES89" s="444"/>
      <c r="ET89" s="444"/>
      <c r="EU89" s="444"/>
      <c r="EV89" s="444"/>
      <c r="EW89" s="444"/>
      <c r="EX89" s="444"/>
      <c r="EY89" s="444"/>
      <c r="EZ89" s="444"/>
      <c r="FA89" s="444"/>
      <c r="FB89" s="444"/>
      <c r="FC89" s="444"/>
      <c r="FD89" s="444"/>
      <c r="FE89" s="444"/>
      <c r="FF89" s="444"/>
      <c r="FG89" s="444"/>
      <c r="FH89" s="444"/>
      <c r="FI89" s="444"/>
      <c r="FJ89" s="444"/>
      <c r="FK89" s="444"/>
      <c r="FL89" s="444"/>
      <c r="FM89" s="445"/>
      <c r="FN89" s="445"/>
      <c r="FO89" s="445"/>
      <c r="FP89" s="445"/>
      <c r="FQ89" s="445"/>
      <c r="FR89" s="445"/>
      <c r="FS89" s="445"/>
      <c r="FT89" s="445"/>
      <c r="FU89" s="445"/>
      <c r="FV89" s="445"/>
      <c r="FW89" s="445"/>
    </row>
    <row r="90" spans="1:179" ht="13.8">
      <c r="A90" s="444"/>
      <c r="B90" s="444"/>
      <c r="C90" s="486"/>
      <c r="D90" s="486"/>
      <c r="E90" s="486"/>
      <c r="F90" s="486"/>
      <c r="G90" s="486"/>
      <c r="H90" s="486"/>
      <c r="I90" s="486"/>
      <c r="J90" s="486"/>
      <c r="K90" s="486"/>
      <c r="L90" s="486"/>
      <c r="M90" s="486"/>
      <c r="N90" s="486"/>
      <c r="O90" s="486"/>
      <c r="P90" s="495"/>
      <c r="Q90" s="495"/>
      <c r="R90" s="495"/>
      <c r="S90" s="495"/>
      <c r="T90" s="493"/>
      <c r="U90" s="493"/>
      <c r="V90" s="493"/>
      <c r="W90" s="495"/>
      <c r="X90" s="493"/>
      <c r="Y90" s="493"/>
      <c r="Z90" s="493"/>
      <c r="AA90" s="495"/>
      <c r="AB90" s="493"/>
      <c r="AC90" s="493"/>
      <c r="AD90" s="493"/>
      <c r="AE90" s="495"/>
      <c r="AF90" s="495"/>
      <c r="AG90" s="495"/>
      <c r="AH90" s="493"/>
      <c r="AI90" s="495"/>
      <c r="AJ90" s="495"/>
      <c r="AK90" s="495"/>
      <c r="AL90" s="493"/>
      <c r="AM90" s="495"/>
      <c r="AN90" s="495"/>
      <c r="AO90" s="495"/>
      <c r="AP90" s="493"/>
      <c r="AQ90" s="493"/>
      <c r="AR90" s="493"/>
      <c r="AS90" s="493"/>
      <c r="AT90" s="493"/>
      <c r="AU90" s="493"/>
      <c r="AV90" s="493"/>
      <c r="AW90" s="493"/>
      <c r="AX90" s="493"/>
      <c r="AY90" s="493"/>
      <c r="AZ90" s="493"/>
      <c r="BA90" s="493"/>
      <c r="BB90" s="493"/>
      <c r="BC90" s="493"/>
      <c r="BD90" s="493"/>
      <c r="BE90" s="493"/>
      <c r="BF90" s="493"/>
      <c r="BG90" s="493"/>
      <c r="BH90" s="493"/>
      <c r="BI90" s="493"/>
      <c r="BJ90" s="493"/>
      <c r="BK90" s="493"/>
      <c r="BL90" s="493"/>
      <c r="BM90" s="493"/>
      <c r="BN90" s="493"/>
      <c r="BO90" s="493"/>
      <c r="BP90" s="493"/>
      <c r="BQ90" s="493"/>
      <c r="BR90" s="493"/>
      <c r="BS90" s="493"/>
      <c r="BT90" s="493"/>
      <c r="BU90" s="493"/>
      <c r="BV90" s="493"/>
      <c r="BW90" s="493"/>
      <c r="BX90" s="493"/>
      <c r="BY90" s="493"/>
      <c r="BZ90" s="493"/>
      <c r="CA90" s="493"/>
      <c r="CB90" s="493"/>
      <c r="CC90" s="493"/>
      <c r="CD90" s="493"/>
      <c r="CE90" s="493"/>
      <c r="CF90" s="493"/>
      <c r="CG90" s="493"/>
      <c r="CH90" s="493"/>
      <c r="CI90" s="493"/>
      <c r="CJ90" s="493"/>
      <c r="CK90" s="493"/>
      <c r="CL90" s="493"/>
      <c r="CM90" s="445"/>
      <c r="CN90" s="445"/>
      <c r="CO90" s="459"/>
      <c r="CP90" s="459"/>
      <c r="CQ90" s="459"/>
      <c r="CR90" s="459"/>
      <c r="CS90" s="459"/>
      <c r="CT90" s="459"/>
      <c r="CU90" s="459"/>
      <c r="CV90" s="459"/>
      <c r="CW90" s="459"/>
      <c r="CX90" s="459"/>
      <c r="CY90" s="459"/>
      <c r="CZ90" s="459"/>
      <c r="DA90" s="444"/>
      <c r="DB90" s="444"/>
      <c r="DC90" s="444"/>
      <c r="DD90" s="444"/>
      <c r="DE90" s="444"/>
      <c r="DF90" s="444"/>
      <c r="DG90" s="444"/>
      <c r="DH90" s="444"/>
      <c r="DI90" s="444"/>
      <c r="DJ90" s="444"/>
      <c r="DK90" s="444"/>
      <c r="DL90" s="444"/>
      <c r="DM90" s="444"/>
      <c r="DN90" s="444"/>
      <c r="DO90" s="444"/>
      <c r="DP90" s="444"/>
      <c r="DQ90" s="444"/>
      <c r="DR90" s="444"/>
      <c r="DS90" s="444"/>
      <c r="DT90" s="444"/>
      <c r="DU90" s="444"/>
      <c r="DV90" s="444"/>
      <c r="DW90" s="444"/>
      <c r="DX90" s="444"/>
      <c r="DY90" s="444"/>
      <c r="DZ90" s="444"/>
      <c r="EA90" s="444"/>
      <c r="EB90" s="444"/>
      <c r="EC90" s="444"/>
      <c r="ED90" s="444"/>
      <c r="EE90" s="444"/>
      <c r="EF90" s="444"/>
      <c r="EG90" s="444"/>
      <c r="EH90" s="444"/>
      <c r="EI90" s="444"/>
      <c r="EJ90" s="444"/>
      <c r="EK90" s="444"/>
      <c r="EL90" s="444"/>
      <c r="EM90" s="444"/>
      <c r="EN90" s="444"/>
      <c r="EO90" s="444"/>
      <c r="EP90" s="444"/>
      <c r="EQ90" s="444"/>
      <c r="ER90" s="444"/>
      <c r="ES90" s="444"/>
      <c r="ET90" s="444"/>
      <c r="EU90" s="444"/>
      <c r="EV90" s="444"/>
      <c r="EW90" s="444"/>
      <c r="EX90" s="444"/>
      <c r="EY90" s="444"/>
      <c r="EZ90" s="444"/>
      <c r="FA90" s="444"/>
      <c r="FB90" s="444"/>
      <c r="FC90" s="444"/>
      <c r="FD90" s="444"/>
      <c r="FE90" s="444"/>
      <c r="FF90" s="444"/>
      <c r="FG90" s="444"/>
      <c r="FH90" s="444"/>
      <c r="FI90" s="444"/>
      <c r="FJ90" s="444"/>
      <c r="FK90" s="444"/>
      <c r="FL90" s="444"/>
      <c r="FM90" s="445"/>
      <c r="FN90" s="445"/>
      <c r="FO90" s="445"/>
      <c r="FP90" s="445"/>
      <c r="FQ90" s="445"/>
      <c r="FR90" s="445"/>
      <c r="FS90" s="445"/>
      <c r="FT90" s="445"/>
      <c r="FU90" s="445"/>
      <c r="FV90" s="445"/>
      <c r="FW90" s="445"/>
    </row>
    <row r="91" spans="1:179" ht="13.8">
      <c r="A91" s="444"/>
      <c r="B91" s="444"/>
      <c r="C91" s="482"/>
      <c r="D91" s="482"/>
      <c r="E91" s="482"/>
      <c r="F91" s="482"/>
      <c r="G91" s="482"/>
      <c r="H91" s="482"/>
      <c r="I91" s="482"/>
      <c r="J91" s="482"/>
      <c r="K91" s="482"/>
      <c r="L91" s="482"/>
      <c r="M91" s="482"/>
      <c r="N91" s="482"/>
      <c r="O91" s="482"/>
      <c r="P91" s="496"/>
      <c r="Q91" s="496"/>
      <c r="R91" s="496"/>
      <c r="S91" s="496"/>
      <c r="T91" s="496"/>
      <c r="U91" s="496"/>
      <c r="V91" s="496"/>
      <c r="W91" s="496"/>
      <c r="X91" s="496"/>
      <c r="Y91" s="496"/>
      <c r="Z91" s="496"/>
      <c r="AA91" s="496"/>
      <c r="AB91" s="496"/>
      <c r="AC91" s="496"/>
      <c r="AD91" s="496"/>
      <c r="AE91" s="496"/>
      <c r="AF91" s="496"/>
      <c r="AG91" s="496"/>
      <c r="AH91" s="496"/>
      <c r="AI91" s="496"/>
      <c r="AJ91" s="496"/>
      <c r="AK91" s="496"/>
      <c r="AL91" s="496"/>
      <c r="AM91" s="496"/>
      <c r="AN91" s="496"/>
      <c r="AO91" s="496"/>
      <c r="AP91" s="496"/>
      <c r="AQ91" s="496"/>
      <c r="AR91" s="496"/>
      <c r="AS91" s="496"/>
      <c r="AT91" s="496"/>
      <c r="AU91" s="492"/>
      <c r="AV91" s="496"/>
      <c r="AW91" s="496"/>
      <c r="AX91" s="496"/>
      <c r="AY91" s="492"/>
      <c r="AZ91" s="496"/>
      <c r="BA91" s="496"/>
      <c r="BB91" s="496"/>
      <c r="BC91" s="496"/>
      <c r="BD91" s="496"/>
      <c r="BE91" s="496"/>
      <c r="BF91" s="496"/>
      <c r="BG91" s="496"/>
      <c r="BH91" s="496"/>
      <c r="BI91" s="496"/>
      <c r="BJ91" s="496"/>
      <c r="BK91" s="496"/>
      <c r="BL91" s="496"/>
      <c r="BM91" s="496"/>
      <c r="BN91" s="496"/>
      <c r="BO91" s="496"/>
      <c r="BP91" s="496"/>
      <c r="BQ91" s="496"/>
      <c r="BR91" s="496"/>
      <c r="BS91" s="496"/>
      <c r="BT91" s="496"/>
      <c r="BU91" s="496"/>
      <c r="BV91" s="496"/>
      <c r="BW91" s="496"/>
      <c r="BX91" s="496"/>
      <c r="BY91" s="496"/>
      <c r="BZ91" s="496"/>
      <c r="CA91" s="496"/>
      <c r="CB91" s="496"/>
      <c r="CC91" s="496"/>
      <c r="CD91" s="496"/>
      <c r="CE91" s="496"/>
      <c r="CF91" s="496"/>
      <c r="CG91" s="496"/>
      <c r="CH91" s="496"/>
      <c r="CI91" s="496"/>
      <c r="CJ91" s="496"/>
      <c r="CK91" s="496"/>
      <c r="CL91" s="496"/>
      <c r="CM91" s="445"/>
      <c r="CN91" s="445"/>
      <c r="CO91" s="459"/>
      <c r="CP91" s="459"/>
      <c r="CQ91" s="459"/>
      <c r="CR91" s="459"/>
      <c r="CS91" s="459"/>
      <c r="CT91" s="459"/>
      <c r="CU91" s="459"/>
      <c r="CV91" s="459"/>
      <c r="CW91" s="459"/>
      <c r="CX91" s="459"/>
      <c r="CY91" s="459"/>
      <c r="CZ91" s="459"/>
      <c r="DA91" s="444"/>
      <c r="DB91" s="444"/>
      <c r="DC91" s="444"/>
      <c r="DD91" s="444"/>
      <c r="DE91" s="444"/>
      <c r="DF91" s="444"/>
      <c r="DG91" s="444"/>
      <c r="DH91" s="444"/>
      <c r="DI91" s="444"/>
      <c r="DJ91" s="444"/>
      <c r="DK91" s="444"/>
      <c r="DL91" s="444"/>
      <c r="DM91" s="444"/>
      <c r="DN91" s="444"/>
      <c r="DO91" s="444"/>
      <c r="DP91" s="444"/>
      <c r="DQ91" s="444"/>
      <c r="DR91" s="444"/>
      <c r="DS91" s="444"/>
      <c r="DT91" s="444"/>
      <c r="DU91" s="444"/>
      <c r="DV91" s="444"/>
      <c r="DW91" s="444"/>
      <c r="DX91" s="444"/>
      <c r="DY91" s="444"/>
      <c r="DZ91" s="444"/>
      <c r="EA91" s="444"/>
      <c r="EB91" s="444"/>
      <c r="EC91" s="444"/>
      <c r="ED91" s="444"/>
      <c r="EE91" s="444"/>
      <c r="EF91" s="444"/>
      <c r="EG91" s="444"/>
      <c r="EH91" s="444"/>
      <c r="EI91" s="444"/>
      <c r="EJ91" s="444"/>
      <c r="EK91" s="444"/>
      <c r="EL91" s="444"/>
      <c r="EM91" s="444"/>
      <c r="EN91" s="444"/>
      <c r="EO91" s="444"/>
      <c r="EP91" s="444"/>
      <c r="EQ91" s="444"/>
      <c r="ER91" s="444"/>
      <c r="ES91" s="444"/>
      <c r="ET91" s="444"/>
      <c r="EU91" s="444"/>
      <c r="EV91" s="444"/>
      <c r="EW91" s="444"/>
      <c r="EX91" s="444"/>
      <c r="EY91" s="444"/>
      <c r="EZ91" s="444"/>
      <c r="FA91" s="444"/>
      <c r="FB91" s="444"/>
      <c r="FC91" s="444"/>
      <c r="FD91" s="444"/>
      <c r="FE91" s="444"/>
      <c r="FF91" s="444"/>
      <c r="FG91" s="444"/>
      <c r="FH91" s="444"/>
      <c r="FI91" s="444"/>
      <c r="FJ91" s="444"/>
      <c r="FK91" s="444"/>
      <c r="FL91" s="444"/>
      <c r="FM91" s="445"/>
      <c r="FN91" s="445"/>
      <c r="FO91" s="445"/>
      <c r="FP91" s="445"/>
      <c r="FQ91" s="445"/>
      <c r="FR91" s="445"/>
      <c r="FS91" s="445"/>
      <c r="FT91" s="445"/>
      <c r="FU91" s="445"/>
      <c r="FV91" s="445"/>
      <c r="FW91" s="445"/>
    </row>
    <row r="92" spans="1:179" ht="13.8">
      <c r="A92" s="444"/>
      <c r="B92" s="444"/>
      <c r="C92" s="482" t="s">
        <v>780</v>
      </c>
      <c r="D92" s="475"/>
      <c r="E92" s="475"/>
      <c r="F92" s="475"/>
      <c r="G92" s="475"/>
      <c r="H92" s="475"/>
      <c r="I92" s="475"/>
      <c r="J92" s="475"/>
      <c r="K92" s="475"/>
      <c r="L92" s="475"/>
      <c r="M92" s="475"/>
      <c r="N92" s="475"/>
      <c r="O92" s="475"/>
      <c r="P92" s="497"/>
      <c r="Q92" s="497"/>
      <c r="R92" s="498"/>
      <c r="S92" s="496"/>
      <c r="T92" s="497"/>
      <c r="U92" s="497"/>
      <c r="V92" s="498"/>
      <c r="W92" s="496"/>
      <c r="X92" s="497"/>
      <c r="Y92" s="497"/>
      <c r="Z92" s="498"/>
      <c r="AA92" s="496"/>
      <c r="AB92" s="497"/>
      <c r="AC92" s="497"/>
      <c r="AD92" s="498"/>
      <c r="AE92" s="496"/>
      <c r="AF92" s="497"/>
      <c r="AG92" s="497"/>
      <c r="AH92" s="499"/>
      <c r="AI92" s="496"/>
      <c r="AJ92" s="497"/>
      <c r="AK92" s="497"/>
      <c r="AL92" s="498"/>
      <c r="AM92" s="496"/>
      <c r="AN92" s="497"/>
      <c r="AO92" s="497"/>
      <c r="AP92" s="498"/>
      <c r="AQ92" s="498"/>
      <c r="AR92" s="498"/>
      <c r="AS92" s="498"/>
      <c r="AT92" s="498"/>
      <c r="AU92" s="491"/>
      <c r="AV92" s="498"/>
      <c r="AW92" s="498"/>
      <c r="AX92" s="498"/>
      <c r="AY92" s="491"/>
      <c r="AZ92" s="498"/>
      <c r="BA92" s="498"/>
      <c r="BB92" s="498"/>
      <c r="BC92" s="498"/>
      <c r="BD92" s="498"/>
      <c r="BE92" s="498"/>
      <c r="BF92" s="498"/>
      <c r="BG92" s="498"/>
      <c r="BH92" s="498"/>
      <c r="BI92" s="498"/>
      <c r="BJ92" s="498"/>
      <c r="BK92" s="498"/>
      <c r="BL92" s="498"/>
      <c r="BM92" s="498"/>
      <c r="BN92" s="498"/>
      <c r="BO92" s="498"/>
      <c r="BP92" s="498"/>
      <c r="BQ92" s="498"/>
      <c r="BR92" s="498"/>
      <c r="BS92" s="498"/>
      <c r="BT92" s="498"/>
      <c r="BU92" s="498"/>
      <c r="BV92" s="498"/>
      <c r="BW92" s="498"/>
      <c r="BX92" s="498"/>
      <c r="BY92" s="498"/>
      <c r="BZ92" s="498"/>
      <c r="CA92" s="498"/>
      <c r="CB92" s="498"/>
      <c r="CC92" s="498"/>
      <c r="CD92" s="498"/>
      <c r="CE92" s="498"/>
      <c r="CF92" s="498"/>
      <c r="CG92" s="498"/>
      <c r="CH92" s="498"/>
      <c r="CI92" s="498"/>
      <c r="CJ92" s="498"/>
      <c r="CK92" s="498"/>
      <c r="CL92" s="498"/>
      <c r="CM92" s="445"/>
      <c r="CN92" s="445"/>
      <c r="CO92" s="459"/>
      <c r="CP92" s="459"/>
      <c r="CQ92" s="459"/>
      <c r="CR92" s="459"/>
      <c r="CS92" s="459"/>
      <c r="CT92" s="459"/>
      <c r="CU92" s="459"/>
      <c r="CV92" s="459"/>
      <c r="CW92" s="459"/>
      <c r="CX92" s="459"/>
      <c r="CY92" s="459"/>
      <c r="CZ92" s="459"/>
      <c r="DA92" s="444"/>
      <c r="DB92" s="444"/>
      <c r="DC92" s="444"/>
      <c r="DD92" s="444"/>
      <c r="DE92" s="444"/>
      <c r="DF92" s="444"/>
      <c r="DG92" s="444"/>
      <c r="DH92" s="444"/>
      <c r="DI92" s="444"/>
      <c r="DJ92" s="444"/>
      <c r="DK92" s="444"/>
      <c r="DL92" s="444"/>
      <c r="DM92" s="444"/>
      <c r="DN92" s="444"/>
      <c r="DO92" s="444"/>
      <c r="DP92" s="444"/>
      <c r="DQ92" s="444"/>
      <c r="DR92" s="444"/>
      <c r="DS92" s="444"/>
      <c r="DT92" s="444"/>
      <c r="DU92" s="444"/>
      <c r="DV92" s="444"/>
      <c r="DW92" s="444"/>
      <c r="DX92" s="444"/>
      <c r="DY92" s="444"/>
      <c r="DZ92" s="444"/>
      <c r="EA92" s="444"/>
      <c r="EB92" s="444"/>
      <c r="EC92" s="444"/>
      <c r="ED92" s="444"/>
      <c r="EE92" s="444"/>
      <c r="EF92" s="444"/>
      <c r="EG92" s="444"/>
      <c r="EH92" s="444"/>
      <c r="EI92" s="444"/>
      <c r="EJ92" s="444"/>
      <c r="EK92" s="444"/>
      <c r="EL92" s="444"/>
      <c r="EM92" s="444"/>
      <c r="EN92" s="444"/>
      <c r="EO92" s="444"/>
      <c r="EP92" s="444"/>
      <c r="EQ92" s="444"/>
      <c r="ER92" s="444"/>
      <c r="ES92" s="444"/>
      <c r="ET92" s="444"/>
      <c r="EU92" s="444"/>
      <c r="EV92" s="444"/>
      <c r="EW92" s="444"/>
      <c r="EX92" s="444"/>
      <c r="EY92" s="444"/>
      <c r="EZ92" s="444"/>
      <c r="FA92" s="444"/>
      <c r="FB92" s="444"/>
      <c r="FC92" s="444"/>
      <c r="FD92" s="444"/>
      <c r="FE92" s="444"/>
      <c r="FF92" s="444"/>
      <c r="FG92" s="444"/>
      <c r="FH92" s="444"/>
      <c r="FI92" s="444"/>
      <c r="FJ92" s="444"/>
      <c r="FK92" s="444"/>
      <c r="FL92" s="444"/>
      <c r="FM92" s="445"/>
      <c r="FN92" s="445"/>
      <c r="FO92" s="445"/>
      <c r="FP92" s="445"/>
      <c r="FQ92" s="445"/>
      <c r="FR92" s="445"/>
      <c r="FS92" s="445"/>
      <c r="FT92" s="445"/>
      <c r="FU92" s="445"/>
      <c r="FV92" s="445"/>
      <c r="FW92" s="445"/>
    </row>
    <row r="93" spans="1:179" ht="13.8">
      <c r="A93" s="444"/>
      <c r="B93" s="444"/>
      <c r="C93" s="500" t="s">
        <v>351</v>
      </c>
      <c r="D93" s="501"/>
      <c r="E93" s="501"/>
      <c r="F93" s="501"/>
      <c r="G93" s="501"/>
      <c r="H93" s="501"/>
      <c r="I93" s="501"/>
      <c r="J93" s="501"/>
      <c r="K93" s="501"/>
      <c r="L93" s="501"/>
      <c r="M93" s="501"/>
      <c r="N93" s="501"/>
      <c r="O93" s="501"/>
      <c r="P93" s="502"/>
      <c r="Q93" s="502"/>
      <c r="R93" s="502"/>
      <c r="S93" s="502"/>
      <c r="T93" s="502"/>
      <c r="U93" s="502"/>
      <c r="V93" s="502"/>
      <c r="W93" s="502"/>
      <c r="X93" s="502">
        <f>MODEL!BD89</f>
        <v>302252</v>
      </c>
      <c r="Y93" s="502">
        <f>MODEL!BE89</f>
        <v>309742</v>
      </c>
      <c r="Z93" s="502">
        <f>MODEL!BF89</f>
        <v>309742</v>
      </c>
      <c r="AA93" s="502"/>
      <c r="AB93" s="502">
        <f>MODEL!BH89</f>
        <v>317236</v>
      </c>
      <c r="AC93" s="502">
        <f>MODEL!BI89</f>
        <v>326813</v>
      </c>
      <c r="AD93" s="502">
        <f>MODEL!BJ89</f>
        <v>326813</v>
      </c>
      <c r="AE93" s="502"/>
      <c r="AF93" s="502">
        <f>MODEL!BL89</f>
        <v>339012</v>
      </c>
      <c r="AG93" s="502">
        <f>MODEL!BM89</f>
        <v>350727</v>
      </c>
      <c r="AH93" s="502">
        <f>MODEL!BN89</f>
        <v>350727</v>
      </c>
      <c r="AI93" s="502"/>
      <c r="AJ93" s="502">
        <f>MODEL!BP89</f>
        <v>364901</v>
      </c>
      <c r="AK93" s="502">
        <f>MODEL!BQ89</f>
        <v>383155</v>
      </c>
      <c r="AL93" s="502">
        <f>MODEL!BR89</f>
        <v>383155</v>
      </c>
      <c r="AM93" s="502"/>
      <c r="AN93" s="502">
        <f>MODEL!BT89</f>
        <v>388835</v>
      </c>
      <c r="AO93" s="502">
        <f>MODEL!BU89</f>
        <v>396405</v>
      </c>
      <c r="AP93" s="502">
        <f>MODEL!BV89</f>
        <v>396405</v>
      </c>
      <c r="AQ93" s="496"/>
      <c r="AR93" s="502">
        <f>MODEL!BX89</f>
        <v>405189</v>
      </c>
      <c r="AS93" s="502">
        <f>MODEL!BY89</f>
        <v>413256</v>
      </c>
      <c r="AT93" s="502">
        <f>MODEL!BZ89</f>
        <v>413256</v>
      </c>
      <c r="AU93" s="492"/>
      <c r="AV93" s="502">
        <f>MODEL!CB89</f>
        <v>420444</v>
      </c>
      <c r="AW93" s="502">
        <f>MODEL!CC89</f>
        <v>428638</v>
      </c>
      <c r="AX93" s="502">
        <f>MODEL!CD89</f>
        <v>428638</v>
      </c>
      <c r="AY93" s="492"/>
      <c r="AZ93" s="502">
        <f>MODEL!CF89</f>
        <v>423467</v>
      </c>
      <c r="BA93" s="502">
        <f>MODEL!CG89</f>
        <v>431595</v>
      </c>
      <c r="BB93" s="502">
        <f>MODEL!CH89</f>
        <v>431595</v>
      </c>
      <c r="BC93" s="502"/>
      <c r="BD93" s="502">
        <f>MODEL!CJ89</f>
        <v>448254</v>
      </c>
      <c r="BE93" s="502">
        <f>MODEL!CK89</f>
        <v>443150</v>
      </c>
      <c r="BF93" s="502">
        <f>MODEL!CL89</f>
        <v>443150</v>
      </c>
      <c r="BG93" s="502"/>
      <c r="BH93" s="502">
        <f>MODEL!CN89</f>
        <v>436954</v>
      </c>
      <c r="BI93" s="502">
        <f>MODEL!CO89</f>
        <v>434602</v>
      </c>
      <c r="BJ93" s="502">
        <f>MODEL!CP89</f>
        <v>434602</v>
      </c>
      <c r="BK93" s="502"/>
      <c r="BL93" s="502">
        <f>MODEL!CR89</f>
        <v>445555</v>
      </c>
      <c r="BM93" s="502">
        <f>MODEL!CS89</f>
        <v>461606</v>
      </c>
      <c r="BN93" s="502">
        <f>MODEL!CT89</f>
        <v>461606</v>
      </c>
      <c r="BO93" s="502"/>
      <c r="BP93" s="502">
        <f>MODEL!CV89</f>
        <v>473966</v>
      </c>
      <c r="BQ93" s="502">
        <f>MODEL!CW89</f>
        <v>488637</v>
      </c>
      <c r="BR93" s="502">
        <f>MODEL!CX89</f>
        <v>488637</v>
      </c>
      <c r="BS93" s="502"/>
      <c r="BT93" s="502">
        <f>MODEL!CZ89</f>
        <v>502339</v>
      </c>
      <c r="BU93" s="502">
        <f>MODEL!DA89</f>
        <v>588216</v>
      </c>
      <c r="BV93" s="502">
        <f>MODEL!DB89</f>
        <v>588216</v>
      </c>
      <c r="BW93" s="502"/>
      <c r="BX93" s="502">
        <f>MODEL!DD89</f>
        <v>599668</v>
      </c>
      <c r="BY93" s="502">
        <f>MODEL!DE89</f>
        <v>619986</v>
      </c>
      <c r="BZ93" s="502">
        <f>MODEL!DF89</f>
        <v>619986</v>
      </c>
      <c r="CA93" s="502"/>
      <c r="CB93" s="502">
        <f>MODEL!DH89</f>
        <v>628962.34</v>
      </c>
      <c r="CC93" s="502">
        <f>MODEL!DI89</f>
        <v>643480.84580000001</v>
      </c>
      <c r="CD93" s="502">
        <f>MODEL!DJ89</f>
        <v>643480.84580000001</v>
      </c>
      <c r="CE93" s="502"/>
      <c r="CF93" s="502">
        <f>MODEL!DL89</f>
        <v>659069.45519974991</v>
      </c>
      <c r="CG93" s="502">
        <f>MODEL!DM89</f>
        <v>676808.55136791873</v>
      </c>
      <c r="CH93" s="502">
        <f>MODEL!DN89</f>
        <v>676808.55136791873</v>
      </c>
      <c r="CI93" s="502"/>
      <c r="CJ93" s="502">
        <f>MODEL!DP89</f>
        <v>691788.81789899385</v>
      </c>
      <c r="CK93" s="502">
        <f>MODEL!DQ89</f>
        <v>708543.95152131072</v>
      </c>
      <c r="CL93" s="502">
        <f>MODEL!DR89</f>
        <v>708543.95152131072</v>
      </c>
      <c r="CM93" s="445"/>
      <c r="CN93" s="445"/>
      <c r="CO93" s="459"/>
      <c r="CP93" s="459"/>
      <c r="CQ93" s="459"/>
      <c r="CR93" s="459"/>
      <c r="CS93" s="459"/>
      <c r="CT93" s="459"/>
      <c r="CU93" s="459"/>
      <c r="CV93" s="459"/>
      <c r="CW93" s="459"/>
      <c r="CX93" s="459"/>
      <c r="CY93" s="459"/>
      <c r="CZ93" s="459"/>
      <c r="DA93" s="444"/>
      <c r="DB93" s="444"/>
      <c r="DC93" s="444"/>
      <c r="DD93" s="444"/>
      <c r="DE93" s="444"/>
      <c r="DF93" s="444"/>
      <c r="DG93" s="444"/>
      <c r="DH93" s="444"/>
      <c r="DI93" s="444"/>
      <c r="DJ93" s="444"/>
      <c r="DK93" s="444"/>
      <c r="DL93" s="444"/>
      <c r="DM93" s="444"/>
      <c r="DN93" s="444"/>
      <c r="DO93" s="444"/>
      <c r="DP93" s="444"/>
      <c r="DQ93" s="444"/>
      <c r="DR93" s="444"/>
      <c r="DS93" s="444"/>
      <c r="DT93" s="444"/>
      <c r="DU93" s="444"/>
      <c r="DV93" s="444"/>
      <c r="DW93" s="444"/>
      <c r="DX93" s="444"/>
      <c r="DY93" s="444"/>
      <c r="DZ93" s="444"/>
      <c r="EA93" s="444"/>
      <c r="EB93" s="444"/>
      <c r="EC93" s="444"/>
      <c r="ED93" s="444"/>
      <c r="EE93" s="444"/>
      <c r="EF93" s="444"/>
      <c r="EG93" s="444"/>
      <c r="EH93" s="444"/>
      <c r="EI93" s="444"/>
      <c r="EJ93" s="444"/>
      <c r="EK93" s="444"/>
      <c r="EL93" s="444"/>
      <c r="EM93" s="444"/>
      <c r="EN93" s="444"/>
      <c r="EO93" s="444"/>
      <c r="EP93" s="444"/>
      <c r="EQ93" s="444"/>
      <c r="ER93" s="444"/>
      <c r="ES93" s="444"/>
      <c r="ET93" s="444"/>
      <c r="EU93" s="444"/>
      <c r="EV93" s="444"/>
      <c r="EW93" s="444"/>
      <c r="EX93" s="444"/>
      <c r="EY93" s="444"/>
      <c r="EZ93" s="444"/>
      <c r="FA93" s="444"/>
      <c r="FB93" s="444"/>
      <c r="FC93" s="444"/>
      <c r="FD93" s="444"/>
      <c r="FE93" s="444"/>
      <c r="FF93" s="444"/>
      <c r="FG93" s="444"/>
      <c r="FH93" s="444"/>
      <c r="FI93" s="444"/>
      <c r="FJ93" s="444"/>
      <c r="FK93" s="444"/>
      <c r="FL93" s="444"/>
      <c r="FM93" s="445"/>
      <c r="FN93" s="445"/>
      <c r="FO93" s="445"/>
      <c r="FP93" s="445"/>
      <c r="FQ93" s="445"/>
      <c r="FR93" s="445"/>
      <c r="FS93" s="445"/>
      <c r="FT93" s="445"/>
      <c r="FU93" s="445"/>
      <c r="FV93" s="445"/>
      <c r="FW93" s="445"/>
    </row>
    <row r="94" spans="1:179" ht="13.8">
      <c r="A94" s="444"/>
      <c r="B94" s="444"/>
      <c r="C94" s="500" t="s">
        <v>352</v>
      </c>
      <c r="D94" s="501"/>
      <c r="E94" s="501"/>
      <c r="F94" s="501"/>
      <c r="G94" s="501"/>
      <c r="H94" s="501"/>
      <c r="I94" s="501"/>
      <c r="J94" s="501"/>
      <c r="K94" s="501"/>
      <c r="L94" s="501"/>
      <c r="M94" s="501"/>
      <c r="N94" s="501"/>
      <c r="O94" s="501"/>
      <c r="P94" s="502"/>
      <c r="Q94" s="502"/>
      <c r="R94" s="502"/>
      <c r="S94" s="502"/>
      <c r="T94" s="502"/>
      <c r="U94" s="502"/>
      <c r="V94" s="502"/>
      <c r="W94" s="502"/>
      <c r="X94" s="502">
        <f>MODEL!BD120</f>
        <v>95231.309099999999</v>
      </c>
      <c r="Y94" s="502">
        <f>MODEL!BE120</f>
        <v>97389.169899999994</v>
      </c>
      <c r="Z94" s="502">
        <f>MODEL!BF120</f>
        <v>97389.169899999994</v>
      </c>
      <c r="AA94" s="502"/>
      <c r="AB94" s="502">
        <f>MODEL!BH120</f>
        <v>98986.403399999996</v>
      </c>
      <c r="AC94" s="502">
        <f>MODEL!BI120</f>
        <v>100983.54789999999</v>
      </c>
      <c r="AD94" s="502">
        <f>MODEL!BJ120</f>
        <v>100983.54789999999</v>
      </c>
      <c r="AE94" s="502">
        <f>MODEL!BK120</f>
        <v>0</v>
      </c>
      <c r="AF94" s="502">
        <f>MODEL!BL120</f>
        <v>103295.04359999999</v>
      </c>
      <c r="AG94" s="502">
        <f>MODEL!BM120</f>
        <v>106102.57059999999</v>
      </c>
      <c r="AH94" s="502">
        <f>MODEL!BN120</f>
        <v>106102.57059999999</v>
      </c>
      <c r="AI94" s="502"/>
      <c r="AJ94" s="502">
        <f>MODEL!BP120</f>
        <v>109583.14679999999</v>
      </c>
      <c r="AK94" s="502">
        <f>MODEL!BQ120</f>
        <v>114849.31400000001</v>
      </c>
      <c r="AL94" s="502">
        <f>MODEL!BR120</f>
        <v>114849.31400000001</v>
      </c>
      <c r="AM94" s="502"/>
      <c r="AN94" s="502">
        <f>MODEL!BT120</f>
        <v>117910.82489999999</v>
      </c>
      <c r="AO94" s="502">
        <f>MODEL!BU120</f>
        <v>121104.9247</v>
      </c>
      <c r="AP94" s="502">
        <f>MODEL!BV120</f>
        <v>121104.9247</v>
      </c>
      <c r="AQ94" s="496"/>
      <c r="AR94" s="502">
        <f>MODEL!BX120</f>
        <v>123406.1407</v>
      </c>
      <c r="AS94" s="502">
        <f>MODEL!BY120</f>
        <v>125349.7583</v>
      </c>
      <c r="AT94" s="502">
        <f>MODEL!BZ120</f>
        <v>125349.7583</v>
      </c>
      <c r="AU94" s="492"/>
      <c r="AV94" s="502">
        <f>MODEL!CB120</f>
        <v>126753.105</v>
      </c>
      <c r="AW94" s="502">
        <f>MODEL!CC120</f>
        <v>129121.72700000001</v>
      </c>
      <c r="AX94" s="502">
        <f>MODEL!CD120</f>
        <v>129121.72700000001</v>
      </c>
      <c r="AY94" s="492"/>
      <c r="AZ94" s="502">
        <f>MODEL!CF120</f>
        <v>132209.50960000002</v>
      </c>
      <c r="BA94" s="502">
        <f>MODEL!CG120</f>
        <v>133698.80159999998</v>
      </c>
      <c r="BB94" s="502">
        <f>MODEL!CH120</f>
        <v>133698.80159999998</v>
      </c>
      <c r="BC94" s="502"/>
      <c r="BD94" s="502">
        <f>MODEL!CJ120</f>
        <v>136221.36569999999</v>
      </c>
      <c r="BE94" s="502">
        <f>MODEL!CK120</f>
        <v>133382.01579999999</v>
      </c>
      <c r="BF94" s="502">
        <f>MODEL!CL120</f>
        <v>133382.01579999999</v>
      </c>
      <c r="BG94" s="502"/>
      <c r="BH94" s="502">
        <f>MODEL!CN120</f>
        <v>138060.75139999998</v>
      </c>
      <c r="BI94" s="502">
        <f>MODEL!CO120</f>
        <v>141290.19569999998</v>
      </c>
      <c r="BJ94" s="502">
        <f>MODEL!CP120</f>
        <v>141290.19569999998</v>
      </c>
      <c r="BK94" s="502"/>
      <c r="BL94" s="502">
        <f>MODEL!CR120</f>
        <v>146569.492</v>
      </c>
      <c r="BM94" s="502">
        <f>MODEL!CS120</f>
        <v>147614.17319999999</v>
      </c>
      <c r="BN94" s="502">
        <f>MODEL!CT120</f>
        <v>147614.17319999999</v>
      </c>
      <c r="BO94" s="502"/>
      <c r="BP94" s="502">
        <f>MODEL!CV120</f>
        <v>147779.20570000002</v>
      </c>
      <c r="BQ94" s="502">
        <f>MODEL!CW120</f>
        <v>149920.723</v>
      </c>
      <c r="BR94" s="502">
        <f>MODEL!CX120</f>
        <v>149920.723</v>
      </c>
      <c r="BS94" s="502"/>
      <c r="BT94" s="502">
        <f>MODEL!CZ120</f>
        <v>151450.3021</v>
      </c>
      <c r="BU94" s="502">
        <f>MODEL!DA120</f>
        <v>152192.38740000001</v>
      </c>
      <c r="BV94" s="502">
        <f>MODEL!DB120</f>
        <v>152192.38740000001</v>
      </c>
      <c r="BW94" s="502"/>
      <c r="BX94" s="502">
        <f>MODEL!DD120</f>
        <v>154086.90000000002</v>
      </c>
      <c r="BY94" s="502">
        <f>MODEL!DE120</f>
        <v>159022.78660000002</v>
      </c>
      <c r="BZ94" s="502">
        <f>MODEL!DF120</f>
        <v>159022.78660000002</v>
      </c>
      <c r="CA94" s="502"/>
      <c r="CB94" s="502">
        <f>MODEL!DH120</f>
        <v>162498.19862800001</v>
      </c>
      <c r="CC94" s="502">
        <f>MODEL!DI120</f>
        <v>165960.51642115251</v>
      </c>
      <c r="CD94" s="502">
        <f>MODEL!DJ120</f>
        <v>165960.51642115251</v>
      </c>
      <c r="CE94" s="502"/>
      <c r="CF94" s="502">
        <f>MODEL!DL120</f>
        <v>168992.65924252305</v>
      </c>
      <c r="CG94" s="502">
        <f>MODEL!DM120</f>
        <v>171987.84196792316</v>
      </c>
      <c r="CH94" s="502">
        <f>MODEL!DN120</f>
        <v>171987.84196792316</v>
      </c>
      <c r="CI94" s="502"/>
      <c r="CJ94" s="502">
        <f>MODEL!DP120</f>
        <v>174504.46417794799</v>
      </c>
      <c r="CK94" s="502">
        <f>MODEL!DQ120</f>
        <v>176963.80838824229</v>
      </c>
      <c r="CL94" s="502">
        <f>MODEL!DR120</f>
        <v>176963.80838824229</v>
      </c>
      <c r="CM94" s="445"/>
      <c r="CN94" s="445"/>
      <c r="CO94" s="459"/>
      <c r="CP94" s="459"/>
      <c r="CQ94" s="459"/>
      <c r="CR94" s="459"/>
      <c r="CS94" s="459"/>
      <c r="CT94" s="459"/>
      <c r="CU94" s="459"/>
      <c r="CV94" s="459"/>
      <c r="CW94" s="459"/>
      <c r="CX94" s="459"/>
      <c r="CY94" s="459"/>
      <c r="CZ94" s="459"/>
      <c r="DA94" s="444"/>
      <c r="DB94" s="444"/>
      <c r="DC94" s="444"/>
      <c r="DD94" s="444"/>
      <c r="DE94" s="444"/>
      <c r="DF94" s="444"/>
      <c r="DG94" s="444"/>
      <c r="DH94" s="444"/>
      <c r="DI94" s="444"/>
      <c r="DJ94" s="444"/>
      <c r="DK94" s="444"/>
      <c r="DL94" s="444"/>
      <c r="DM94" s="444"/>
      <c r="DN94" s="444"/>
      <c r="DO94" s="444"/>
      <c r="DP94" s="444"/>
      <c r="DQ94" s="444"/>
      <c r="DR94" s="444"/>
      <c r="DS94" s="444"/>
      <c r="DT94" s="444"/>
      <c r="DU94" s="444"/>
      <c r="DV94" s="444"/>
      <c r="DW94" s="444"/>
      <c r="DX94" s="444"/>
      <c r="DY94" s="444"/>
      <c r="DZ94" s="444"/>
      <c r="EA94" s="444"/>
      <c r="EB94" s="444"/>
      <c r="EC94" s="444"/>
      <c r="ED94" s="444"/>
      <c r="EE94" s="444"/>
      <c r="EF94" s="444"/>
      <c r="EG94" s="444"/>
      <c r="EH94" s="444"/>
      <c r="EI94" s="444"/>
      <c r="EJ94" s="444"/>
      <c r="EK94" s="444"/>
      <c r="EL94" s="444"/>
      <c r="EM94" s="444"/>
      <c r="EN94" s="444"/>
      <c r="EO94" s="444"/>
      <c r="EP94" s="444"/>
      <c r="EQ94" s="444"/>
      <c r="ER94" s="444"/>
      <c r="ES94" s="444"/>
      <c r="ET94" s="444"/>
      <c r="EU94" s="444"/>
      <c r="EV94" s="444"/>
      <c r="EW94" s="444"/>
      <c r="EX94" s="444"/>
      <c r="EY94" s="444"/>
      <c r="EZ94" s="444"/>
      <c r="FA94" s="444"/>
      <c r="FB94" s="444"/>
      <c r="FC94" s="444"/>
      <c r="FD94" s="444"/>
      <c r="FE94" s="444"/>
      <c r="FF94" s="444"/>
      <c r="FG94" s="444"/>
      <c r="FH94" s="444"/>
      <c r="FI94" s="444"/>
      <c r="FJ94" s="444"/>
      <c r="FK94" s="444"/>
      <c r="FL94" s="444"/>
      <c r="FM94" s="445"/>
      <c r="FN94" s="445"/>
      <c r="FO94" s="445"/>
      <c r="FP94" s="445"/>
      <c r="FQ94" s="445"/>
      <c r="FR94" s="445"/>
      <c r="FS94" s="445"/>
      <c r="FT94" s="445"/>
      <c r="FU94" s="445"/>
      <c r="FV94" s="445"/>
      <c r="FW94" s="445"/>
    </row>
    <row r="95" spans="1:179" ht="13.8">
      <c r="A95" s="444"/>
      <c r="B95" s="444"/>
      <c r="C95" s="475"/>
      <c r="D95" s="475"/>
      <c r="E95" s="475"/>
      <c r="F95" s="475"/>
      <c r="G95" s="475"/>
      <c r="H95" s="475"/>
      <c r="I95" s="475"/>
      <c r="J95" s="475"/>
      <c r="K95" s="475"/>
      <c r="L95" s="475"/>
      <c r="M95" s="475"/>
      <c r="N95" s="475"/>
      <c r="O95" s="475"/>
      <c r="P95" s="469"/>
      <c r="Q95" s="469"/>
      <c r="R95" s="469"/>
      <c r="S95" s="469"/>
      <c r="T95" s="469"/>
      <c r="U95" s="469"/>
      <c r="V95" s="469"/>
      <c r="W95" s="469"/>
      <c r="X95" s="469"/>
      <c r="Y95" s="469"/>
      <c r="Z95" s="469"/>
      <c r="AA95" s="469"/>
      <c r="AB95" s="469"/>
      <c r="AC95" s="469"/>
      <c r="AD95" s="469"/>
      <c r="AE95" s="469"/>
      <c r="AF95" s="469"/>
      <c r="AG95" s="469"/>
      <c r="AH95" s="469"/>
      <c r="AI95" s="469"/>
      <c r="AJ95" s="469"/>
      <c r="AK95" s="469"/>
      <c r="AL95" s="469"/>
      <c r="AM95" s="469"/>
      <c r="AN95" s="469"/>
      <c r="AO95" s="469"/>
      <c r="AP95" s="469"/>
      <c r="AQ95" s="469"/>
      <c r="AR95" s="469"/>
      <c r="AS95" s="469"/>
      <c r="AT95" s="469"/>
      <c r="AU95" s="469"/>
      <c r="AV95" s="469"/>
      <c r="AW95" s="469"/>
      <c r="AX95" s="469"/>
      <c r="AY95" s="469"/>
      <c r="AZ95" s="469"/>
      <c r="BA95" s="469"/>
      <c r="BB95" s="469"/>
      <c r="BC95" s="469"/>
      <c r="BD95" s="469"/>
      <c r="BE95" s="469"/>
      <c r="BF95" s="469"/>
      <c r="BG95" s="469"/>
      <c r="BH95" s="469"/>
      <c r="BI95" s="469"/>
      <c r="BJ95" s="469"/>
      <c r="BK95" s="469"/>
      <c r="BL95" s="1074">
        <f>BL93/BI93-1</f>
        <v>2.520236906410922E-2</v>
      </c>
      <c r="BM95" s="1074">
        <f>BM93/BL93-1</f>
        <v>3.6024733197921766E-2</v>
      </c>
      <c r="BN95" s="1073">
        <f>BN93/BJ93-1</f>
        <v>6.2135010883521025E-2</v>
      </c>
      <c r="BO95" s="469"/>
      <c r="BP95" s="469"/>
      <c r="BQ95" s="469"/>
      <c r="BR95" s="469"/>
      <c r="BS95" s="469"/>
      <c r="BT95" s="469"/>
      <c r="BU95" s="469"/>
      <c r="BV95" s="469"/>
      <c r="BW95" s="469"/>
      <c r="BX95" s="469"/>
      <c r="BY95" s="469"/>
      <c r="BZ95" s="469"/>
      <c r="CA95" s="469"/>
      <c r="CB95" s="469"/>
      <c r="CC95" s="469"/>
      <c r="CD95" s="469"/>
      <c r="CE95" s="469"/>
      <c r="CF95" s="469"/>
      <c r="CG95" s="469"/>
      <c r="CH95" s="469"/>
      <c r="CI95" s="469"/>
      <c r="CJ95" s="469"/>
      <c r="CK95" s="469"/>
      <c r="CL95" s="469"/>
      <c r="CM95" s="445"/>
      <c r="CN95" s="445"/>
      <c r="CO95" s="459"/>
      <c r="CP95" s="459"/>
      <c r="CQ95" s="459"/>
      <c r="CR95" s="459"/>
      <c r="CS95" s="459"/>
      <c r="CT95" s="459"/>
      <c r="CU95" s="459"/>
      <c r="CV95" s="459"/>
      <c r="CW95" s="459"/>
      <c r="CX95" s="459"/>
      <c r="CY95" s="459"/>
      <c r="CZ95" s="459"/>
      <c r="DA95" s="444"/>
      <c r="DB95" s="444"/>
      <c r="DC95" s="444"/>
      <c r="DD95" s="444"/>
      <c r="DE95" s="444"/>
      <c r="DF95" s="444"/>
      <c r="DG95" s="444"/>
      <c r="DH95" s="444"/>
      <c r="DI95" s="444"/>
      <c r="DJ95" s="444"/>
      <c r="DK95" s="444"/>
      <c r="DL95" s="444"/>
      <c r="DM95" s="444"/>
      <c r="DN95" s="444"/>
      <c r="DO95" s="444"/>
      <c r="DP95" s="444"/>
      <c r="DQ95" s="444"/>
      <c r="DR95" s="444"/>
      <c r="DS95" s="444"/>
      <c r="DT95" s="444"/>
      <c r="DU95" s="444"/>
      <c r="DV95" s="444"/>
      <c r="DW95" s="444"/>
      <c r="DX95" s="444"/>
      <c r="DY95" s="444"/>
      <c r="DZ95" s="444"/>
      <c r="EA95" s="444"/>
      <c r="EB95" s="444"/>
      <c r="EC95" s="444"/>
      <c r="ED95" s="444"/>
      <c r="EE95" s="444"/>
      <c r="EF95" s="444"/>
      <c r="EG95" s="444"/>
      <c r="EH95" s="444"/>
      <c r="EI95" s="444"/>
      <c r="EJ95" s="444"/>
      <c r="EK95" s="444"/>
      <c r="EL95" s="444"/>
      <c r="EM95" s="444"/>
      <c r="EN95" s="444"/>
      <c r="EO95" s="444"/>
      <c r="EP95" s="444"/>
      <c r="EQ95" s="444"/>
      <c r="ER95" s="444"/>
      <c r="ES95" s="444"/>
      <c r="ET95" s="444"/>
      <c r="EU95" s="444"/>
      <c r="EV95" s="444"/>
      <c r="EW95" s="444"/>
      <c r="EX95" s="444"/>
      <c r="EY95" s="444"/>
      <c r="EZ95" s="444"/>
      <c r="FA95" s="444"/>
      <c r="FB95" s="444"/>
      <c r="FC95" s="444"/>
      <c r="FD95" s="444"/>
      <c r="FE95" s="444"/>
      <c r="FF95" s="444"/>
      <c r="FG95" s="444"/>
      <c r="FH95" s="444"/>
      <c r="FI95" s="444"/>
      <c r="FJ95" s="444"/>
      <c r="FK95" s="444"/>
      <c r="FL95" s="444"/>
      <c r="FM95" s="445"/>
      <c r="FN95" s="445"/>
      <c r="FO95" s="445"/>
      <c r="FP95" s="445"/>
      <c r="FQ95" s="445"/>
      <c r="FR95" s="445"/>
      <c r="FS95" s="445"/>
      <c r="FT95" s="445"/>
      <c r="FU95" s="445"/>
      <c r="FV95" s="445"/>
      <c r="FW95" s="445"/>
    </row>
    <row r="96" spans="1:179" ht="13.8">
      <c r="A96" s="444"/>
      <c r="B96" s="444"/>
      <c r="C96" s="454"/>
      <c r="D96" s="454"/>
      <c r="E96" s="454"/>
      <c r="F96" s="454"/>
      <c r="G96" s="454"/>
      <c r="H96" s="454"/>
      <c r="I96" s="454"/>
      <c r="J96" s="454"/>
      <c r="K96" s="454"/>
      <c r="L96" s="454"/>
      <c r="M96" s="454"/>
      <c r="N96" s="454"/>
      <c r="O96" s="454"/>
      <c r="P96" s="503"/>
      <c r="Q96" s="503"/>
      <c r="R96" s="503"/>
      <c r="S96" s="503"/>
      <c r="T96" s="503"/>
      <c r="U96" s="503"/>
      <c r="V96" s="503"/>
      <c r="W96" s="503"/>
      <c r="X96" s="503"/>
      <c r="Y96" s="503"/>
      <c r="Z96" s="503"/>
      <c r="AA96" s="503"/>
      <c r="AB96" s="503"/>
      <c r="AC96" s="503"/>
      <c r="AD96" s="503"/>
      <c r="AE96" s="503"/>
      <c r="AF96" s="503"/>
      <c r="AG96" s="503"/>
      <c r="AH96" s="503"/>
      <c r="AI96" s="503"/>
      <c r="AJ96" s="503"/>
      <c r="AK96" s="503"/>
      <c r="AL96" s="503"/>
      <c r="AM96" s="503"/>
      <c r="AN96" s="503"/>
      <c r="AO96" s="503"/>
      <c r="AP96" s="503"/>
      <c r="AQ96" s="503"/>
      <c r="AR96" s="503"/>
      <c r="AS96" s="503"/>
      <c r="AT96" s="503"/>
      <c r="AU96" s="469"/>
      <c r="AV96" s="503">
        <f>MODEL!CB3</f>
        <v>182</v>
      </c>
      <c r="AW96" s="503">
        <f>MODEL!CC3</f>
        <v>183</v>
      </c>
      <c r="AX96" s="503">
        <f>MODEL!CD3</f>
        <v>365</v>
      </c>
      <c r="AY96" s="469"/>
      <c r="AZ96" s="503">
        <f>MODEL!CF3</f>
        <v>182</v>
      </c>
      <c r="BA96" s="503">
        <f>MODEL!CG3</f>
        <v>183</v>
      </c>
      <c r="BB96" s="503">
        <f>MODEL!CH3</f>
        <v>365</v>
      </c>
      <c r="BC96" s="503"/>
      <c r="BD96" s="503"/>
      <c r="BE96" s="503"/>
      <c r="BF96" s="503">
        <f>MODEL!CL3</f>
        <v>366</v>
      </c>
      <c r="BG96" s="503"/>
      <c r="BH96" s="503"/>
      <c r="BI96" s="503"/>
      <c r="BJ96" s="503">
        <f>MODEL!CP3</f>
        <v>365</v>
      </c>
      <c r="BK96" s="503"/>
      <c r="BL96" s="503"/>
      <c r="BM96" s="503"/>
      <c r="BN96" s="503">
        <f>MODEL!CT3</f>
        <v>365</v>
      </c>
      <c r="BO96" s="503"/>
      <c r="BP96" s="503"/>
      <c r="BQ96" s="503"/>
      <c r="BR96" s="503">
        <f>MODEL!CX3</f>
        <v>365</v>
      </c>
      <c r="BS96" s="503"/>
      <c r="BT96" s="503"/>
      <c r="BU96" s="503"/>
      <c r="BV96" s="503">
        <f>MODEL!DB3</f>
        <v>366</v>
      </c>
      <c r="BW96" s="503"/>
      <c r="BX96" s="503"/>
      <c r="BY96" s="503"/>
      <c r="BZ96" s="503">
        <f>MODEL!DF3</f>
        <v>365</v>
      </c>
      <c r="CA96" s="503"/>
      <c r="CB96" s="503"/>
      <c r="CC96" s="503"/>
      <c r="CD96" s="503">
        <f>MODEL!DJ3</f>
        <v>365</v>
      </c>
      <c r="CE96" s="503"/>
      <c r="CF96" s="503"/>
      <c r="CG96" s="503"/>
      <c r="CH96" s="503">
        <f>MODEL!DN3</f>
        <v>365</v>
      </c>
      <c r="CI96" s="503"/>
      <c r="CJ96" s="503"/>
      <c r="CK96" s="503"/>
      <c r="CL96" s="503">
        <f>MODEL!DR3</f>
        <v>366</v>
      </c>
      <c r="CM96" s="445"/>
      <c r="CN96" s="445"/>
      <c r="CO96" s="459"/>
      <c r="CP96" s="459"/>
      <c r="CQ96" s="459"/>
      <c r="CR96" s="459"/>
      <c r="CS96" s="459"/>
      <c r="CT96" s="459"/>
      <c r="CU96" s="459"/>
      <c r="CV96" s="459"/>
      <c r="CW96" s="459"/>
      <c r="CX96" s="459"/>
      <c r="CY96" s="459"/>
      <c r="CZ96" s="459"/>
      <c r="DA96" s="444"/>
      <c r="DB96" s="444"/>
      <c r="DC96" s="444"/>
      <c r="DD96" s="444"/>
      <c r="DE96" s="444"/>
      <c r="DF96" s="444"/>
      <c r="DG96" s="444"/>
      <c r="DH96" s="444"/>
      <c r="DI96" s="444"/>
      <c r="DJ96" s="444"/>
      <c r="DK96" s="444"/>
      <c r="DL96" s="444"/>
      <c r="DM96" s="444"/>
      <c r="DN96" s="444"/>
      <c r="DO96" s="444"/>
      <c r="DP96" s="444"/>
      <c r="DQ96" s="444"/>
      <c r="DR96" s="444"/>
      <c r="DS96" s="444"/>
      <c r="DT96" s="444"/>
      <c r="DU96" s="444"/>
      <c r="DV96" s="444"/>
      <c r="DW96" s="444"/>
      <c r="DX96" s="444"/>
      <c r="DY96" s="444"/>
      <c r="DZ96" s="444"/>
      <c r="EA96" s="444"/>
      <c r="EB96" s="444"/>
      <c r="EC96" s="444"/>
      <c r="ED96" s="444"/>
      <c r="EE96" s="444"/>
      <c r="EF96" s="444"/>
      <c r="EG96" s="444"/>
      <c r="EH96" s="444"/>
      <c r="EI96" s="444"/>
      <c r="EJ96" s="444"/>
      <c r="EK96" s="444"/>
      <c r="EL96" s="444"/>
      <c r="EM96" s="444"/>
      <c r="EN96" s="444"/>
      <c r="EO96" s="444"/>
      <c r="EP96" s="444"/>
      <c r="EQ96" s="444"/>
      <c r="ER96" s="444"/>
      <c r="ES96" s="444"/>
      <c r="ET96" s="444"/>
      <c r="EU96" s="444"/>
      <c r="EV96" s="444"/>
      <c r="EW96" s="444"/>
      <c r="EX96" s="444"/>
      <c r="EY96" s="444"/>
      <c r="EZ96" s="444"/>
      <c r="FA96" s="444"/>
      <c r="FB96" s="444"/>
      <c r="FC96" s="444"/>
      <c r="FD96" s="444"/>
      <c r="FE96" s="444"/>
      <c r="FF96" s="444"/>
      <c r="FG96" s="444"/>
      <c r="FH96" s="444"/>
      <c r="FI96" s="444"/>
      <c r="FJ96" s="444"/>
      <c r="FK96" s="444"/>
      <c r="FL96" s="444"/>
      <c r="FM96" s="444"/>
      <c r="FN96" s="444"/>
      <c r="FO96" s="444"/>
      <c r="FP96" s="444"/>
      <c r="FQ96" s="444"/>
      <c r="FR96" s="444"/>
      <c r="FS96" s="444"/>
      <c r="FT96" s="444"/>
      <c r="FU96" s="444"/>
      <c r="FV96" s="444"/>
      <c r="FW96" s="444"/>
    </row>
    <row r="97" spans="1:179" ht="13.8">
      <c r="A97" s="444"/>
      <c r="B97" s="444"/>
      <c r="C97" s="454"/>
      <c r="D97" s="454"/>
      <c r="E97" s="454"/>
      <c r="F97" s="454"/>
      <c r="G97" s="454"/>
      <c r="H97" s="454"/>
      <c r="I97" s="454"/>
      <c r="J97" s="454"/>
      <c r="K97" s="454"/>
      <c r="L97" s="454"/>
      <c r="M97" s="454"/>
      <c r="N97" s="454"/>
      <c r="O97" s="454"/>
      <c r="P97" s="503"/>
      <c r="Q97" s="503"/>
      <c r="R97" s="503"/>
      <c r="S97" s="503"/>
      <c r="T97" s="503"/>
      <c r="U97" s="503"/>
      <c r="V97" s="503"/>
      <c r="W97" s="503"/>
      <c r="X97" s="503"/>
      <c r="Y97" s="503"/>
      <c r="Z97" s="503"/>
      <c r="AA97" s="503"/>
      <c r="AB97" s="503"/>
      <c r="AC97" s="503"/>
      <c r="AD97" s="503"/>
      <c r="AE97" s="503"/>
      <c r="AF97" s="503"/>
      <c r="AG97" s="503"/>
      <c r="AH97" s="503"/>
      <c r="AI97" s="503"/>
      <c r="AJ97" s="503"/>
      <c r="AK97" s="503"/>
      <c r="AL97" s="503"/>
      <c r="AM97" s="503"/>
      <c r="AN97" s="503"/>
      <c r="AO97" s="503"/>
      <c r="AP97" s="503"/>
      <c r="AQ97" s="503"/>
      <c r="AR97" s="503"/>
      <c r="AS97" s="503"/>
      <c r="AT97" s="503"/>
      <c r="AU97" s="469"/>
      <c r="AV97" s="503">
        <f>MODEL!CB4</f>
        <v>365</v>
      </c>
      <c r="AW97" s="503">
        <f>MODEL!CC4</f>
        <v>365</v>
      </c>
      <c r="AX97" s="503">
        <f>MODEL!CD4</f>
        <v>365</v>
      </c>
      <c r="AY97" s="469"/>
      <c r="AZ97" s="503">
        <f>MODEL!CF4</f>
        <v>365</v>
      </c>
      <c r="BA97" s="503">
        <f>MODEL!CG4</f>
        <v>365</v>
      </c>
      <c r="BB97" s="503">
        <f>MODEL!CH4</f>
        <v>365</v>
      </c>
      <c r="BC97" s="503"/>
      <c r="BD97" s="503"/>
      <c r="BE97" s="503"/>
      <c r="BF97" s="503">
        <f>MODEL!CL4</f>
        <v>366</v>
      </c>
      <c r="BG97" s="503"/>
      <c r="BH97" s="503"/>
      <c r="BI97" s="503"/>
      <c r="BJ97" s="503">
        <f>MODEL!CP4</f>
        <v>365</v>
      </c>
      <c r="BK97" s="503"/>
      <c r="BL97" s="503"/>
      <c r="BM97" s="503"/>
      <c r="BN97" s="503">
        <f>MODEL!CT4</f>
        <v>365</v>
      </c>
      <c r="BO97" s="503"/>
      <c r="BP97" s="503"/>
      <c r="BQ97" s="503"/>
      <c r="BR97" s="503">
        <f>MODEL!CX4</f>
        <v>365</v>
      </c>
      <c r="BS97" s="503"/>
      <c r="BT97" s="503"/>
      <c r="BU97" s="503"/>
      <c r="BV97" s="503">
        <f>MODEL!DB4</f>
        <v>366</v>
      </c>
      <c r="BW97" s="503"/>
      <c r="BX97" s="503"/>
      <c r="BY97" s="503"/>
      <c r="BZ97" s="503">
        <f>MODEL!DF4</f>
        <v>365</v>
      </c>
      <c r="CA97" s="503"/>
      <c r="CB97" s="503"/>
      <c r="CC97" s="503"/>
      <c r="CD97" s="503">
        <f>MODEL!DJ4</f>
        <v>365</v>
      </c>
      <c r="CE97" s="503"/>
      <c r="CF97" s="503"/>
      <c r="CG97" s="503"/>
      <c r="CH97" s="503">
        <f>MODEL!DN4</f>
        <v>365</v>
      </c>
      <c r="CI97" s="503"/>
      <c r="CJ97" s="503"/>
      <c r="CK97" s="503"/>
      <c r="CL97" s="503">
        <f>MODEL!DR4</f>
        <v>366</v>
      </c>
      <c r="CM97" s="445"/>
      <c r="CN97" s="445"/>
      <c r="CO97" s="459"/>
      <c r="CP97" s="459"/>
      <c r="CQ97" s="459"/>
      <c r="CR97" s="459"/>
      <c r="CS97" s="459"/>
      <c r="CT97" s="459"/>
      <c r="CU97" s="459"/>
      <c r="CV97" s="459"/>
      <c r="CW97" s="459"/>
      <c r="CX97" s="459"/>
      <c r="CY97" s="459"/>
      <c r="CZ97" s="459"/>
      <c r="DA97" s="444"/>
      <c r="DB97" s="444"/>
      <c r="DC97" s="444"/>
      <c r="DD97" s="444"/>
      <c r="DE97" s="444"/>
      <c r="DF97" s="444"/>
      <c r="DG97" s="444"/>
      <c r="DH97" s="444"/>
      <c r="DI97" s="444"/>
      <c r="DJ97" s="444"/>
      <c r="DK97" s="444"/>
      <c r="DL97" s="444"/>
      <c r="DM97" s="444"/>
      <c r="DN97" s="444"/>
      <c r="DO97" s="444"/>
      <c r="DP97" s="444"/>
      <c r="DQ97" s="444"/>
      <c r="DR97" s="444"/>
      <c r="DS97" s="444"/>
      <c r="DT97" s="444"/>
      <c r="DU97" s="444"/>
      <c r="DV97" s="444"/>
      <c r="DW97" s="444"/>
      <c r="DX97" s="444"/>
      <c r="DY97" s="444"/>
      <c r="DZ97" s="444"/>
      <c r="EA97" s="444"/>
      <c r="EB97" s="444"/>
      <c r="EC97" s="444"/>
      <c r="ED97" s="444"/>
      <c r="EE97" s="444"/>
      <c r="EF97" s="444"/>
      <c r="EG97" s="444"/>
      <c r="EH97" s="444"/>
      <c r="EI97" s="444"/>
      <c r="EJ97" s="444"/>
      <c r="EK97" s="444"/>
      <c r="EL97" s="444"/>
      <c r="EM97" s="444"/>
      <c r="EN97" s="444"/>
      <c r="EO97" s="444"/>
      <c r="EP97" s="444"/>
      <c r="EQ97" s="444"/>
      <c r="ER97" s="444"/>
      <c r="ES97" s="444"/>
      <c r="ET97" s="444"/>
      <c r="EU97" s="444"/>
      <c r="EV97" s="444"/>
      <c r="EW97" s="444"/>
      <c r="EX97" s="444"/>
      <c r="EY97" s="444"/>
      <c r="EZ97" s="444"/>
      <c r="FA97" s="444"/>
      <c r="FB97" s="444"/>
      <c r="FC97" s="444"/>
      <c r="FD97" s="444"/>
      <c r="FE97" s="444"/>
      <c r="FF97" s="444"/>
      <c r="FG97" s="444"/>
      <c r="FH97" s="444"/>
      <c r="FI97" s="444"/>
      <c r="FJ97" s="444"/>
      <c r="FK97" s="444"/>
      <c r="FL97" s="444"/>
      <c r="FM97" s="444"/>
      <c r="FN97" s="444"/>
      <c r="FO97" s="444"/>
      <c r="FP97" s="444"/>
      <c r="FQ97" s="444"/>
      <c r="FR97" s="444"/>
      <c r="FS97" s="444"/>
      <c r="FT97" s="444"/>
      <c r="FU97" s="444"/>
      <c r="FV97" s="444"/>
      <c r="FW97" s="444"/>
    </row>
    <row r="98" spans="1:179" ht="13.8">
      <c r="A98" s="444"/>
      <c r="B98" s="444"/>
      <c r="C98" s="454"/>
      <c r="D98" s="454"/>
      <c r="E98" s="454"/>
      <c r="F98" s="454"/>
      <c r="G98" s="454"/>
      <c r="H98" s="454"/>
      <c r="I98" s="454"/>
      <c r="J98" s="454"/>
      <c r="K98" s="454"/>
      <c r="L98" s="454"/>
      <c r="M98" s="454"/>
      <c r="N98" s="454"/>
      <c r="O98" s="454"/>
      <c r="P98" s="503"/>
      <c r="Q98" s="503"/>
      <c r="R98" s="503"/>
      <c r="S98" s="503"/>
      <c r="T98" s="503"/>
      <c r="U98" s="503"/>
      <c r="V98" s="503"/>
      <c r="W98" s="503"/>
      <c r="X98" s="503"/>
      <c r="Y98" s="503"/>
      <c r="Z98" s="503"/>
      <c r="AA98" s="503"/>
      <c r="AB98" s="503"/>
      <c r="AC98" s="503"/>
      <c r="AD98" s="503"/>
      <c r="AE98" s="503"/>
      <c r="AF98" s="503"/>
      <c r="AG98" s="503"/>
      <c r="AH98" s="503"/>
      <c r="AI98" s="503"/>
      <c r="AJ98" s="503"/>
      <c r="AK98" s="503"/>
      <c r="AL98" s="503"/>
      <c r="AM98" s="503"/>
      <c r="AN98" s="503"/>
      <c r="AO98" s="503"/>
      <c r="AP98" s="503"/>
      <c r="AQ98" s="503"/>
      <c r="AR98" s="503"/>
      <c r="AS98" s="503"/>
      <c r="AT98" s="503"/>
      <c r="AU98" s="469"/>
      <c r="AV98" s="503"/>
      <c r="AW98" s="503"/>
      <c r="AX98" s="503"/>
      <c r="AY98" s="469"/>
      <c r="AZ98" s="503"/>
      <c r="BA98" s="503"/>
      <c r="BB98" s="503"/>
      <c r="BC98" s="503"/>
      <c r="BD98" s="503"/>
      <c r="BE98" s="503"/>
      <c r="BF98" s="503"/>
      <c r="BG98" s="503"/>
      <c r="BH98" s="503"/>
      <c r="BI98" s="503"/>
      <c r="BJ98" s="503"/>
      <c r="BK98" s="503"/>
      <c r="BL98" s="503"/>
      <c r="BM98" s="503"/>
      <c r="BN98" s="503"/>
      <c r="BO98" s="503"/>
      <c r="BP98" s="503"/>
      <c r="BQ98" s="503"/>
      <c r="BR98" s="503"/>
      <c r="BS98" s="503"/>
      <c r="BT98" s="503"/>
      <c r="BU98" s="503"/>
      <c r="BV98" s="503"/>
      <c r="BW98" s="503"/>
      <c r="BX98" s="503"/>
      <c r="BY98" s="503"/>
      <c r="BZ98" s="503"/>
      <c r="CA98" s="503"/>
      <c r="CB98" s="503"/>
      <c r="CC98" s="503"/>
      <c r="CD98" s="503"/>
      <c r="CE98" s="503"/>
      <c r="CF98" s="503"/>
      <c r="CG98" s="503"/>
      <c r="CH98" s="503"/>
      <c r="CI98" s="503"/>
      <c r="CJ98" s="503"/>
      <c r="CK98" s="503"/>
      <c r="CL98" s="503"/>
      <c r="CM98" s="445"/>
      <c r="CN98" s="445"/>
      <c r="CO98" s="459"/>
      <c r="CP98" s="459"/>
      <c r="CQ98" s="459"/>
      <c r="CR98" s="459"/>
      <c r="CS98" s="459"/>
      <c r="CT98" s="459"/>
      <c r="CU98" s="459"/>
      <c r="CV98" s="459"/>
      <c r="CW98" s="459"/>
      <c r="CX98" s="459"/>
      <c r="CY98" s="459"/>
      <c r="CZ98" s="459"/>
      <c r="DA98" s="444"/>
      <c r="DB98" s="444"/>
      <c r="DC98" s="444"/>
      <c r="DD98" s="444"/>
      <c r="DE98" s="444"/>
      <c r="DF98" s="444"/>
      <c r="DG98" s="444"/>
      <c r="DH98" s="444"/>
      <c r="DI98" s="444"/>
      <c r="DJ98" s="444"/>
      <c r="DK98" s="444"/>
      <c r="DL98" s="444"/>
      <c r="DM98" s="444"/>
      <c r="DN98" s="444"/>
      <c r="DO98" s="444"/>
      <c r="DP98" s="444"/>
      <c r="DQ98" s="444"/>
      <c r="DR98" s="444"/>
      <c r="DS98" s="444"/>
      <c r="DT98" s="444"/>
      <c r="DU98" s="444"/>
      <c r="DV98" s="444"/>
      <c r="DW98" s="444"/>
      <c r="DX98" s="444"/>
      <c r="DY98" s="444"/>
      <c r="DZ98" s="444"/>
      <c r="EA98" s="444"/>
      <c r="EB98" s="444"/>
      <c r="EC98" s="444"/>
      <c r="ED98" s="444"/>
      <c r="EE98" s="444"/>
      <c r="EF98" s="444"/>
      <c r="EG98" s="444"/>
      <c r="EH98" s="444"/>
      <c r="EI98" s="444"/>
      <c r="EJ98" s="444"/>
      <c r="EK98" s="444"/>
      <c r="EL98" s="444"/>
      <c r="EM98" s="444"/>
      <c r="EN98" s="444"/>
      <c r="EO98" s="444"/>
      <c r="EP98" s="444"/>
      <c r="EQ98" s="444"/>
      <c r="ER98" s="444"/>
      <c r="ES98" s="444"/>
      <c r="ET98" s="444"/>
      <c r="EU98" s="444"/>
      <c r="EV98" s="444"/>
      <c r="EW98" s="444"/>
      <c r="EX98" s="444"/>
      <c r="EY98" s="444"/>
      <c r="EZ98" s="444"/>
      <c r="FA98" s="444"/>
      <c r="FB98" s="444"/>
      <c r="FC98" s="444"/>
      <c r="FD98" s="444"/>
      <c r="FE98" s="444"/>
      <c r="FF98" s="444"/>
      <c r="FG98" s="444"/>
      <c r="FH98" s="444"/>
      <c r="FI98" s="444"/>
      <c r="FJ98" s="444"/>
      <c r="FK98" s="444"/>
      <c r="FL98" s="444"/>
      <c r="FM98" s="444"/>
      <c r="FN98" s="444"/>
      <c r="FO98" s="444"/>
      <c r="FP98" s="444"/>
      <c r="FQ98" s="444"/>
      <c r="FR98" s="444"/>
      <c r="FS98" s="444"/>
      <c r="FT98" s="444"/>
      <c r="FU98" s="444"/>
      <c r="FV98" s="444"/>
      <c r="FW98" s="444"/>
    </row>
    <row r="99" spans="1:179" ht="13.8">
      <c r="A99" s="444"/>
      <c r="B99" s="444"/>
      <c r="C99" s="855" t="s">
        <v>958</v>
      </c>
      <c r="D99" s="856"/>
      <c r="E99" s="856"/>
      <c r="F99" s="856"/>
      <c r="G99" s="856"/>
      <c r="H99" s="856"/>
      <c r="I99" s="856"/>
      <c r="J99" s="856"/>
      <c r="K99" s="856"/>
      <c r="L99" s="856"/>
      <c r="M99" s="856"/>
      <c r="N99" s="856"/>
      <c r="O99" s="856"/>
      <c r="P99" s="857"/>
      <c r="Q99" s="857"/>
      <c r="R99" s="857"/>
      <c r="S99" s="857"/>
      <c r="T99" s="857"/>
      <c r="U99" s="857"/>
      <c r="V99" s="857"/>
      <c r="W99" s="857"/>
      <c r="X99" s="857"/>
      <c r="Y99" s="857"/>
      <c r="Z99" s="857"/>
      <c r="AA99" s="857"/>
      <c r="AB99" s="857"/>
      <c r="AC99" s="857"/>
      <c r="AD99" s="857"/>
      <c r="AE99" s="857"/>
      <c r="AF99" s="857"/>
      <c r="AG99" s="857"/>
      <c r="AH99" s="857"/>
      <c r="AI99" s="857"/>
      <c r="AJ99" s="857"/>
      <c r="AK99" s="857"/>
      <c r="AL99" s="857"/>
      <c r="AM99" s="857"/>
      <c r="AN99" s="857"/>
      <c r="AO99" s="857"/>
      <c r="AP99" s="857"/>
      <c r="AQ99" s="857"/>
      <c r="AR99" s="857"/>
      <c r="AS99" s="857"/>
      <c r="AT99" s="857"/>
      <c r="AU99" s="857"/>
      <c r="AV99" s="857"/>
      <c r="AW99" s="857"/>
      <c r="AX99" s="857"/>
      <c r="AY99" s="857"/>
      <c r="AZ99" s="857"/>
      <c r="BA99" s="857"/>
      <c r="BB99" s="857"/>
      <c r="BC99" s="857"/>
      <c r="BD99" s="857"/>
      <c r="BE99" s="857"/>
      <c r="BF99" s="857"/>
      <c r="BG99" s="857"/>
      <c r="BH99" s="857"/>
      <c r="BI99" s="857"/>
      <c r="BJ99" s="857"/>
      <c r="BK99" s="857"/>
      <c r="BL99" s="857"/>
      <c r="BM99" s="857"/>
      <c r="BN99" s="857"/>
      <c r="BO99" s="857"/>
      <c r="BP99" s="857"/>
      <c r="BQ99" s="857"/>
      <c r="BR99" s="857"/>
      <c r="BS99" s="857"/>
      <c r="BT99" s="857"/>
      <c r="BU99" s="857"/>
      <c r="BV99" s="857"/>
      <c r="BW99" s="857"/>
      <c r="BX99" s="857"/>
      <c r="BY99" s="857"/>
      <c r="BZ99" s="857"/>
      <c r="CA99" s="857"/>
      <c r="CB99" s="857"/>
      <c r="CC99" s="857"/>
      <c r="CD99" s="857"/>
      <c r="CE99" s="857"/>
      <c r="CF99" s="857"/>
      <c r="CG99" s="857"/>
      <c r="CH99" s="857"/>
      <c r="CI99" s="857"/>
      <c r="CJ99" s="857"/>
      <c r="CK99" s="857"/>
      <c r="CL99" s="857"/>
      <c r="CM99" s="445"/>
      <c r="CN99" s="445"/>
      <c r="CO99" s="459"/>
      <c r="CP99" s="459"/>
      <c r="CQ99" s="459"/>
      <c r="CR99" s="459"/>
      <c r="CS99" s="459"/>
      <c r="CT99" s="459"/>
      <c r="CU99" s="459"/>
      <c r="CV99" s="459"/>
      <c r="CW99" s="459"/>
      <c r="CX99" s="459"/>
      <c r="CY99" s="459"/>
      <c r="CZ99" s="459"/>
      <c r="DA99" s="444"/>
      <c r="DB99" s="444"/>
      <c r="DC99" s="444"/>
      <c r="DD99" s="444"/>
      <c r="DE99" s="444"/>
      <c r="DF99" s="444"/>
      <c r="DG99" s="444"/>
      <c r="DH99" s="444"/>
      <c r="DI99" s="444"/>
      <c r="DJ99" s="444"/>
      <c r="DK99" s="444"/>
      <c r="DL99" s="444"/>
      <c r="DM99" s="444"/>
      <c r="DN99" s="444"/>
      <c r="DO99" s="444"/>
      <c r="DP99" s="444"/>
      <c r="DQ99" s="444"/>
      <c r="DR99" s="444"/>
      <c r="DS99" s="444"/>
      <c r="DT99" s="444"/>
      <c r="DU99" s="444"/>
      <c r="DV99" s="444"/>
      <c r="DW99" s="444"/>
      <c r="DX99" s="444"/>
      <c r="DY99" s="444"/>
      <c r="DZ99" s="444"/>
      <c r="EA99" s="444"/>
      <c r="EB99" s="444"/>
      <c r="EC99" s="444"/>
      <c r="ED99" s="444"/>
      <c r="EE99" s="444"/>
      <c r="EF99" s="444"/>
      <c r="EG99" s="444"/>
      <c r="EH99" s="444"/>
      <c r="EI99" s="444"/>
      <c r="EJ99" s="444"/>
      <c r="EK99" s="444"/>
      <c r="EL99" s="444"/>
      <c r="EM99" s="444"/>
      <c r="EN99" s="444"/>
      <c r="EO99" s="444"/>
      <c r="EP99" s="444"/>
      <c r="EQ99" s="444"/>
      <c r="ER99" s="444"/>
      <c r="ES99" s="444"/>
      <c r="ET99" s="444"/>
      <c r="EU99" s="444"/>
      <c r="EV99" s="444"/>
      <c r="EW99" s="444"/>
      <c r="EX99" s="444"/>
      <c r="EY99" s="444"/>
      <c r="EZ99" s="444"/>
      <c r="FA99" s="444"/>
      <c r="FB99" s="444"/>
      <c r="FC99" s="444"/>
      <c r="FD99" s="444"/>
      <c r="FE99" s="444"/>
      <c r="FF99" s="444"/>
      <c r="FG99" s="444"/>
      <c r="FH99" s="444"/>
      <c r="FI99" s="444"/>
      <c r="FJ99" s="444"/>
      <c r="FK99" s="444"/>
      <c r="FL99" s="444"/>
      <c r="FM99" s="444"/>
      <c r="FN99" s="444"/>
      <c r="FO99" s="444"/>
      <c r="FP99" s="444"/>
      <c r="FQ99" s="444"/>
      <c r="FR99" s="444"/>
      <c r="FS99" s="444"/>
      <c r="FT99" s="444"/>
      <c r="FU99" s="444"/>
      <c r="FV99" s="444"/>
      <c r="FW99" s="444"/>
    </row>
    <row r="100" spans="1:179" ht="13.8">
      <c r="A100" s="444"/>
      <c r="B100" s="444"/>
      <c r="C100" s="454" t="s">
        <v>888</v>
      </c>
      <c r="D100" s="454"/>
      <c r="E100" s="454"/>
      <c r="F100" s="454"/>
      <c r="G100" s="454"/>
      <c r="H100" s="454"/>
      <c r="I100" s="454"/>
      <c r="J100" s="454"/>
      <c r="K100" s="454"/>
      <c r="L100" s="454"/>
      <c r="M100" s="454"/>
      <c r="N100" s="454"/>
      <c r="O100" s="454"/>
      <c r="P100" s="503"/>
      <c r="Q100" s="503"/>
      <c r="R100" s="503"/>
      <c r="S100" s="503"/>
      <c r="T100" s="503"/>
      <c r="U100" s="503"/>
      <c r="V100" s="503"/>
      <c r="W100" s="503"/>
      <c r="X100" s="503"/>
      <c r="Y100" s="503"/>
      <c r="Z100" s="503"/>
      <c r="AA100" s="503"/>
      <c r="AB100" s="503"/>
      <c r="AC100" s="503"/>
      <c r="AD100" s="503"/>
      <c r="AE100" s="503"/>
      <c r="AF100" s="503"/>
      <c r="AG100" s="503"/>
      <c r="AH100" s="503"/>
      <c r="AI100" s="503"/>
      <c r="AJ100" s="503"/>
      <c r="AK100" s="503"/>
      <c r="AL100" s="503"/>
      <c r="AM100" s="503"/>
      <c r="AN100" s="503"/>
      <c r="AO100" s="503"/>
      <c r="AP100" s="503"/>
      <c r="AQ100" s="503"/>
      <c r="AR100" s="503"/>
      <c r="AS100" s="503"/>
      <c r="AT100" s="503"/>
      <c r="AU100" s="469"/>
      <c r="AV100" s="503">
        <f>AV24</f>
        <v>3493</v>
      </c>
      <c r="AW100" s="503">
        <f>AW24</f>
        <v>2994</v>
      </c>
      <c r="AX100" s="503">
        <f>AX24</f>
        <v>6487</v>
      </c>
      <c r="AY100" s="469"/>
      <c r="AZ100" s="503">
        <f>AZ24</f>
        <v>3564</v>
      </c>
      <c r="BA100" s="503">
        <f>BA24</f>
        <v>2906</v>
      </c>
      <c r="BB100" s="503">
        <f>BB24</f>
        <v>6470</v>
      </c>
      <c r="BC100" s="503"/>
      <c r="BD100" s="503">
        <f>BD24</f>
        <v>1413</v>
      </c>
      <c r="BE100" s="503">
        <f>BE24</f>
        <v>2345</v>
      </c>
      <c r="BF100" s="503">
        <f>BF24</f>
        <v>3758</v>
      </c>
      <c r="BG100" s="503"/>
      <c r="BH100" s="503">
        <f>BH24</f>
        <v>2990</v>
      </c>
      <c r="BI100" s="503">
        <f>BI24</f>
        <v>3208</v>
      </c>
      <c r="BJ100" s="503">
        <f>BJ24</f>
        <v>6198</v>
      </c>
      <c r="BK100" s="503"/>
      <c r="BL100" s="503">
        <f>BL24</f>
        <v>3113</v>
      </c>
      <c r="BM100" s="503">
        <f>BM24</f>
        <v>3402</v>
      </c>
      <c r="BN100" s="503">
        <f>BN24</f>
        <v>6515</v>
      </c>
      <c r="BO100" s="503"/>
      <c r="BP100" s="503">
        <f>BP24</f>
        <v>3829</v>
      </c>
      <c r="BQ100" s="503">
        <f>BQ24</f>
        <v>3584</v>
      </c>
      <c r="BR100" s="503">
        <f>BR24</f>
        <v>7413</v>
      </c>
      <c r="BS100" s="503"/>
      <c r="BT100" s="503">
        <f>BT24</f>
        <v>3552</v>
      </c>
      <c r="BU100" s="503">
        <f>BU24</f>
        <v>3173</v>
      </c>
      <c r="BV100" s="503">
        <f>BV24</f>
        <v>6725</v>
      </c>
      <c r="BW100" s="503"/>
      <c r="BX100" s="503">
        <f>BX24</f>
        <v>3568</v>
      </c>
      <c r="BY100" s="503">
        <f>BY24</f>
        <v>2219</v>
      </c>
      <c r="BZ100" s="503">
        <f>BZ24</f>
        <v>5787</v>
      </c>
      <c r="CA100" s="503"/>
      <c r="CB100" s="503">
        <f ca="1">CB24</f>
        <v>3701.5536350305647</v>
      </c>
      <c r="CC100" s="503">
        <f ca="1">CC24</f>
        <v>3826.2909150494493</v>
      </c>
      <c r="CD100" s="503">
        <f ca="1">CD24</f>
        <v>7527.8445500800126</v>
      </c>
      <c r="CE100" s="503"/>
      <c r="CF100" s="503">
        <f ca="1">CF24</f>
        <v>3980.3177206167493</v>
      </c>
      <c r="CG100" s="503">
        <f ca="1">CG24</f>
        <v>3994.2697629431987</v>
      </c>
      <c r="CH100" s="503">
        <f ca="1">CH24</f>
        <v>7974.5874835599452</v>
      </c>
      <c r="CI100" s="503"/>
      <c r="CJ100" s="503">
        <f ca="1">CJ24</f>
        <v>4160.9669530092879</v>
      </c>
      <c r="CK100" s="503">
        <f ca="1">CK24</f>
        <v>4318.1038988617502</v>
      </c>
      <c r="CL100" s="503">
        <f ca="1">CL24</f>
        <v>8479.0708518710398</v>
      </c>
      <c r="CM100" s="445"/>
      <c r="CN100" s="445"/>
      <c r="CO100" s="459"/>
      <c r="CP100" s="459"/>
      <c r="CQ100" s="459"/>
      <c r="CR100" s="459"/>
      <c r="CS100" s="459"/>
      <c r="CT100" s="459"/>
      <c r="CU100" s="459"/>
      <c r="CV100" s="459"/>
      <c r="CW100" s="459"/>
      <c r="CX100" s="459"/>
      <c r="CY100" s="459"/>
      <c r="CZ100" s="459"/>
      <c r="DA100" s="444"/>
      <c r="DB100" s="444"/>
      <c r="DC100" s="444"/>
      <c r="DD100" s="444"/>
      <c r="DE100" s="444"/>
      <c r="DF100" s="444"/>
      <c r="DG100" s="444"/>
      <c r="DH100" s="444"/>
      <c r="DI100" s="444"/>
      <c r="DJ100" s="444"/>
      <c r="DK100" s="444"/>
      <c r="DL100" s="444"/>
      <c r="DM100" s="444"/>
      <c r="DN100" s="444"/>
      <c r="DO100" s="444"/>
      <c r="DP100" s="444"/>
      <c r="DQ100" s="444"/>
      <c r="DR100" s="444"/>
      <c r="DS100" s="444"/>
      <c r="DT100" s="444"/>
      <c r="DU100" s="444"/>
      <c r="DV100" s="444"/>
      <c r="DW100" s="444"/>
      <c r="DX100" s="444"/>
      <c r="DY100" s="444"/>
      <c r="DZ100" s="444"/>
      <c r="EA100" s="444"/>
      <c r="EB100" s="444"/>
      <c r="EC100" s="444"/>
      <c r="ED100" s="444"/>
      <c r="EE100" s="444"/>
      <c r="EF100" s="444"/>
      <c r="EG100" s="444"/>
      <c r="EH100" s="444"/>
      <c r="EI100" s="444"/>
      <c r="EJ100" s="444"/>
      <c r="EK100" s="444"/>
      <c r="EL100" s="444"/>
      <c r="EM100" s="444"/>
      <c r="EN100" s="444"/>
      <c r="EO100" s="444"/>
      <c r="EP100" s="444"/>
      <c r="EQ100" s="444"/>
      <c r="ER100" s="444"/>
      <c r="ES100" s="444"/>
      <c r="ET100" s="444"/>
      <c r="EU100" s="444"/>
      <c r="EV100" s="444"/>
      <c r="EW100" s="444"/>
      <c r="EX100" s="444"/>
      <c r="EY100" s="444"/>
      <c r="EZ100" s="444"/>
      <c r="FA100" s="444"/>
      <c r="FB100" s="444"/>
      <c r="FC100" s="444"/>
      <c r="FD100" s="444"/>
      <c r="FE100" s="444"/>
      <c r="FF100" s="444"/>
      <c r="FG100" s="444"/>
      <c r="FH100" s="444"/>
      <c r="FI100" s="444"/>
      <c r="FJ100" s="444"/>
      <c r="FK100" s="444"/>
      <c r="FL100" s="444"/>
      <c r="FM100" s="444"/>
      <c r="FN100" s="444"/>
      <c r="FO100" s="444"/>
      <c r="FP100" s="444"/>
      <c r="FQ100" s="444"/>
      <c r="FR100" s="444"/>
      <c r="FS100" s="444"/>
      <c r="FT100" s="444"/>
      <c r="FU100" s="444"/>
      <c r="FV100" s="444"/>
      <c r="FW100" s="444"/>
    </row>
    <row r="101" spans="1:179" ht="13.8">
      <c r="A101" s="444"/>
      <c r="B101" s="444"/>
      <c r="C101" s="454" t="s">
        <v>954</v>
      </c>
      <c r="D101" s="454"/>
      <c r="E101" s="454"/>
      <c r="F101" s="454"/>
      <c r="G101" s="454"/>
      <c r="H101" s="454"/>
      <c r="I101" s="454"/>
      <c r="J101" s="454"/>
      <c r="K101" s="454"/>
      <c r="L101" s="454"/>
      <c r="M101" s="454"/>
      <c r="N101" s="454"/>
      <c r="O101" s="454"/>
      <c r="P101" s="503"/>
      <c r="Q101" s="503"/>
      <c r="R101" s="503"/>
      <c r="S101" s="503"/>
      <c r="T101" s="503"/>
      <c r="U101" s="503"/>
      <c r="V101" s="503"/>
      <c r="W101" s="503"/>
      <c r="X101" s="503"/>
      <c r="Y101" s="503"/>
      <c r="Z101" s="503"/>
      <c r="AA101" s="503"/>
      <c r="AB101" s="503"/>
      <c r="AC101" s="503"/>
      <c r="AD101" s="503"/>
      <c r="AE101" s="503"/>
      <c r="AF101" s="503"/>
      <c r="AG101" s="503"/>
      <c r="AH101" s="503"/>
      <c r="AI101" s="503"/>
      <c r="AJ101" s="503"/>
      <c r="AK101" s="503"/>
      <c r="AL101" s="503"/>
      <c r="AM101" s="503"/>
      <c r="AN101" s="503"/>
      <c r="AO101" s="503"/>
      <c r="AP101" s="503"/>
      <c r="AQ101" s="503"/>
      <c r="AR101" s="503"/>
      <c r="AS101" s="503"/>
      <c r="AT101" s="503"/>
      <c r="AU101" s="469"/>
      <c r="AV101" s="503">
        <f>+AV134+AV147+AV191</f>
        <v>138</v>
      </c>
      <c r="AW101" s="503">
        <f>+AW134+AW147+AW191</f>
        <v>53</v>
      </c>
      <c r="AX101" s="503">
        <f>+AX134+AX147+AX191</f>
        <v>191</v>
      </c>
      <c r="AY101" s="469"/>
      <c r="AZ101" s="503">
        <f>+AZ134+AZ147+AZ191</f>
        <v>187</v>
      </c>
      <c r="BA101" s="503">
        <f>+BA134+BA147+BA191</f>
        <v>18</v>
      </c>
      <c r="BB101" s="503">
        <f>+BB134+BB147+BB191</f>
        <v>205</v>
      </c>
      <c r="BC101" s="503"/>
      <c r="BD101" s="503">
        <f>+BD134+BD147+BD191</f>
        <v>-570.5</v>
      </c>
      <c r="BE101" s="503">
        <f>+BE134+BE147+BE191</f>
        <v>-26.6</v>
      </c>
      <c r="BF101" s="503">
        <f>+BF134+BF147+BF191</f>
        <v>-597.1</v>
      </c>
      <c r="BG101" s="503"/>
      <c r="BH101" s="503">
        <f>+BH134+BH147+BH191</f>
        <v>-166.60000000000002</v>
      </c>
      <c r="BI101" s="503">
        <f>+BI134+BI147+BI191</f>
        <v>0</v>
      </c>
      <c r="BJ101" s="503">
        <f>+BJ134+BJ147+BJ191</f>
        <v>-166.60000000000002</v>
      </c>
      <c r="BK101" s="503"/>
      <c r="BL101" s="503">
        <f>+BL134+BL147+BL191</f>
        <v>205.8</v>
      </c>
      <c r="BM101" s="503">
        <f>+BM134+BM147+BM191</f>
        <v>18.899999999999999</v>
      </c>
      <c r="BN101" s="503">
        <f>+BN134+BN147+BN191</f>
        <v>224.7</v>
      </c>
      <c r="BO101" s="503"/>
      <c r="BP101" s="503">
        <f>+BP134+BP147+BP191</f>
        <v>-30.1</v>
      </c>
      <c r="BQ101" s="503">
        <f>+BQ134+BQ147+BQ191</f>
        <v>46.2</v>
      </c>
      <c r="BR101" s="503">
        <f>+BR134+BR147+BR191</f>
        <v>16.100000000000001</v>
      </c>
      <c r="BS101" s="503"/>
      <c r="BT101" s="503">
        <f>+BT134+BT147+BT191</f>
        <v>-14.7</v>
      </c>
      <c r="BU101" s="503">
        <f>+BU134+BU147+BU191</f>
        <v>0</v>
      </c>
      <c r="BV101" s="503">
        <f>+BV134+BV147+BV191</f>
        <v>-14.7</v>
      </c>
      <c r="BW101" s="503"/>
      <c r="BX101" s="503">
        <f>+BX134+BX147+BX191</f>
        <v>0</v>
      </c>
      <c r="BY101" s="503">
        <f>+BY134+BY147+BY191</f>
        <v>-199.5</v>
      </c>
      <c r="BZ101" s="503">
        <f>+BZ134+BZ147+BZ191</f>
        <v>-199.5</v>
      </c>
      <c r="CA101" s="503"/>
      <c r="CB101" s="503">
        <f>+CB134+CB147+CB191</f>
        <v>0</v>
      </c>
      <c r="CC101" s="503">
        <f>+CC134+CC147+CC191</f>
        <v>0</v>
      </c>
      <c r="CD101" s="503">
        <f>+CD134+CD147+CD191</f>
        <v>0</v>
      </c>
      <c r="CE101" s="503"/>
      <c r="CF101" s="503">
        <f>+CF134+CF147+CF191</f>
        <v>0</v>
      </c>
      <c r="CG101" s="503">
        <f>+CG134+CG147+CG191</f>
        <v>0</v>
      </c>
      <c r="CH101" s="503">
        <f>+CH134+CH147+CH191</f>
        <v>0</v>
      </c>
      <c r="CI101" s="503"/>
      <c r="CJ101" s="503">
        <f>+CJ134+CJ147+CJ191</f>
        <v>0</v>
      </c>
      <c r="CK101" s="503">
        <f>+CK134+CK147+CK191</f>
        <v>0</v>
      </c>
      <c r="CL101" s="503">
        <f>+CL134+CL147+CL191</f>
        <v>0</v>
      </c>
      <c r="CM101" s="445"/>
      <c r="CN101" s="445"/>
      <c r="CO101" s="459"/>
      <c r="CP101" s="459"/>
      <c r="CQ101" s="459"/>
      <c r="CR101" s="459"/>
      <c r="CS101" s="459"/>
      <c r="CT101" s="459"/>
      <c r="CU101" s="459"/>
      <c r="CV101" s="459"/>
      <c r="CW101" s="459"/>
      <c r="CX101" s="459"/>
      <c r="CY101" s="459"/>
      <c r="CZ101" s="459"/>
      <c r="DA101" s="444"/>
      <c r="DB101" s="444"/>
      <c r="DC101" s="444"/>
      <c r="DD101" s="444"/>
      <c r="DE101" s="444"/>
      <c r="DF101" s="444"/>
      <c r="DG101" s="444"/>
      <c r="DH101" s="444"/>
      <c r="DI101" s="444"/>
      <c r="DJ101" s="444"/>
      <c r="DK101" s="444"/>
      <c r="DL101" s="444"/>
      <c r="DM101" s="444"/>
      <c r="DN101" s="444"/>
      <c r="DO101" s="444"/>
      <c r="DP101" s="444"/>
      <c r="DQ101" s="444"/>
      <c r="DR101" s="444"/>
      <c r="DS101" s="444"/>
      <c r="DT101" s="444"/>
      <c r="DU101" s="444"/>
      <c r="DV101" s="444"/>
      <c r="DW101" s="444"/>
      <c r="DX101" s="444"/>
      <c r="DY101" s="444"/>
      <c r="DZ101" s="444"/>
      <c r="EA101" s="444"/>
      <c r="EB101" s="444"/>
      <c r="EC101" s="444"/>
      <c r="ED101" s="444"/>
      <c r="EE101" s="444"/>
      <c r="EF101" s="444"/>
      <c r="EG101" s="444"/>
      <c r="EH101" s="444"/>
      <c r="EI101" s="444"/>
      <c r="EJ101" s="444"/>
      <c r="EK101" s="444"/>
      <c r="EL101" s="444"/>
      <c r="EM101" s="444"/>
      <c r="EN101" s="444"/>
      <c r="EO101" s="444"/>
      <c r="EP101" s="444"/>
      <c r="EQ101" s="444"/>
      <c r="ER101" s="444"/>
      <c r="ES101" s="444"/>
      <c r="ET101" s="444"/>
      <c r="EU101" s="444"/>
      <c r="EV101" s="444"/>
      <c r="EW101" s="444"/>
      <c r="EX101" s="444"/>
      <c r="EY101" s="444"/>
      <c r="EZ101" s="444"/>
      <c r="FA101" s="444"/>
      <c r="FB101" s="444"/>
      <c r="FC101" s="444"/>
      <c r="FD101" s="444"/>
      <c r="FE101" s="444"/>
      <c r="FF101" s="444"/>
      <c r="FG101" s="444"/>
      <c r="FH101" s="444"/>
      <c r="FI101" s="444"/>
      <c r="FJ101" s="444"/>
      <c r="FK101" s="444"/>
      <c r="FL101" s="444"/>
      <c r="FM101" s="444"/>
      <c r="FN101" s="444"/>
      <c r="FO101" s="444"/>
      <c r="FP101" s="444"/>
      <c r="FQ101" s="444"/>
      <c r="FR101" s="444"/>
      <c r="FS101" s="444"/>
      <c r="FT101" s="444"/>
      <c r="FU101" s="444"/>
      <c r="FV101" s="444"/>
      <c r="FW101" s="444"/>
    </row>
    <row r="102" spans="1:179" ht="13.8">
      <c r="A102" s="444"/>
      <c r="B102" s="444"/>
      <c r="C102" s="454" t="s">
        <v>933</v>
      </c>
      <c r="D102" s="454"/>
      <c r="E102" s="454"/>
      <c r="F102" s="454"/>
      <c r="G102" s="454"/>
      <c r="H102" s="454"/>
      <c r="I102" s="454"/>
      <c r="J102" s="454"/>
      <c r="K102" s="454"/>
      <c r="L102" s="454"/>
      <c r="M102" s="454"/>
      <c r="N102" s="454"/>
      <c r="O102" s="454"/>
      <c r="P102" s="503"/>
      <c r="Q102" s="503"/>
      <c r="R102" s="503"/>
      <c r="S102" s="503"/>
      <c r="T102" s="503"/>
      <c r="U102" s="503"/>
      <c r="V102" s="503"/>
      <c r="W102" s="503"/>
      <c r="X102" s="503"/>
      <c r="Y102" s="503"/>
      <c r="Z102" s="503"/>
      <c r="AA102" s="503"/>
      <c r="AB102" s="503"/>
      <c r="AC102" s="503"/>
      <c r="AD102" s="503"/>
      <c r="AE102" s="503"/>
      <c r="AF102" s="503"/>
      <c r="AG102" s="503"/>
      <c r="AH102" s="503"/>
      <c r="AI102" s="503"/>
      <c r="AJ102" s="503"/>
      <c r="AK102" s="503"/>
      <c r="AL102" s="503"/>
      <c r="AM102" s="503"/>
      <c r="AN102" s="503"/>
      <c r="AO102" s="503"/>
      <c r="AP102" s="503"/>
      <c r="AQ102" s="503"/>
      <c r="AR102" s="503"/>
      <c r="AS102" s="503"/>
      <c r="AT102" s="503"/>
      <c r="AU102" s="469"/>
      <c r="AV102" s="503">
        <f>+AV135+AV148+AV165+AV192</f>
        <v>157</v>
      </c>
      <c r="AW102" s="503">
        <f>+AW135+AW148+AW165+AW192</f>
        <v>90</v>
      </c>
      <c r="AX102" s="503">
        <f>+AX135+AX148+AX165+AX192</f>
        <v>247</v>
      </c>
      <c r="AY102" s="469"/>
      <c r="AZ102" s="503">
        <f>+AZ135+AZ148+AZ165+AZ192+AZ187</f>
        <v>24.5</v>
      </c>
      <c r="BA102" s="503">
        <f>+BA135+BA148+BA165+BA192+BA187</f>
        <v>6.5</v>
      </c>
      <c r="BB102" s="503">
        <f>+BB135+BB148+BB165+BB192+BB187</f>
        <v>33</v>
      </c>
      <c r="BC102" s="503"/>
      <c r="BD102" s="503">
        <f>+BD135+BD148+BD165+BD192</f>
        <v>40.6</v>
      </c>
      <c r="BE102" s="503">
        <f>+BE135+BE148+BE165+BE192</f>
        <v>30.8</v>
      </c>
      <c r="BF102" s="503">
        <f>+BF135+BF148+BF165+BF192</f>
        <v>71.400000000000006</v>
      </c>
      <c r="BG102" s="503"/>
      <c r="BH102" s="503">
        <f>+BH135+BH148+BH165+BH192</f>
        <v>0</v>
      </c>
      <c r="BI102" s="503">
        <f>+BI135+BI148+BI165+BI192</f>
        <v>0</v>
      </c>
      <c r="BJ102" s="503">
        <f>+BJ135+BJ148+BJ165+BJ192</f>
        <v>0</v>
      </c>
      <c r="BK102" s="503"/>
      <c r="BL102" s="503">
        <f>+BL135+BL148+BL165+BL192</f>
        <v>-41.3</v>
      </c>
      <c r="BM102" s="503">
        <f>+BM135+BM148+BM165+BM192</f>
        <v>-7</v>
      </c>
      <c r="BN102" s="503">
        <f>+BN135+BN148+BN165+BN192</f>
        <v>-48.3</v>
      </c>
      <c r="BO102" s="503"/>
      <c r="BP102" s="503">
        <f>+BP135+BP148+BP165+BP192</f>
        <v>-39.200000000000003</v>
      </c>
      <c r="BQ102" s="503">
        <f>+BQ135+BQ148+BQ165+BQ192</f>
        <v>-50.400000000000006</v>
      </c>
      <c r="BR102" s="503">
        <f>+BR135+BR148+BR165+BR192</f>
        <v>-89.6</v>
      </c>
      <c r="BS102" s="503"/>
      <c r="BT102" s="503">
        <f>+BT135+BT148+BT165+BT192</f>
        <v>0</v>
      </c>
      <c r="BU102" s="503">
        <f>+BU135+BU148+BU165+BU192</f>
        <v>0</v>
      </c>
      <c r="BV102" s="503">
        <f>+BV135+BV148+BV165+BV192</f>
        <v>0</v>
      </c>
      <c r="BW102" s="503"/>
      <c r="BX102" s="503">
        <f>+BX135+BX148+BX165+BX192</f>
        <v>0</v>
      </c>
      <c r="BY102" s="503">
        <f>+BY135+BY148+BY165+BY192</f>
        <v>-54.6</v>
      </c>
      <c r="BZ102" s="503">
        <f>+BZ135+BZ148+BZ165+BZ192</f>
        <v>-54.6</v>
      </c>
      <c r="CA102" s="503"/>
      <c r="CB102" s="503">
        <f>+CB135+CB148+CB165+CB192</f>
        <v>0</v>
      </c>
      <c r="CC102" s="503">
        <f>+CC135+CC148+CC165+CC192</f>
        <v>0</v>
      </c>
      <c r="CD102" s="503">
        <f>+CD135+CD148+CD165+CD192</f>
        <v>0</v>
      </c>
      <c r="CE102" s="503"/>
      <c r="CF102" s="503">
        <f>+CF135+CF148+CF165+CF192</f>
        <v>0</v>
      </c>
      <c r="CG102" s="503">
        <f>+CG135+CG148+CG165+CG192</f>
        <v>0</v>
      </c>
      <c r="CH102" s="503">
        <f>+CH135+CH148+CH165+CH192</f>
        <v>0</v>
      </c>
      <c r="CI102" s="503"/>
      <c r="CJ102" s="503">
        <f>+CJ135+CJ148+CJ165+CJ192</f>
        <v>0</v>
      </c>
      <c r="CK102" s="503">
        <f>+CK135+CK148+CK165+CK192</f>
        <v>0</v>
      </c>
      <c r="CL102" s="503">
        <f>+CL135+CL148+CL165+CL192</f>
        <v>0</v>
      </c>
      <c r="CM102" s="445"/>
      <c r="CN102" s="445"/>
      <c r="CO102" s="459"/>
      <c r="CP102" s="459"/>
      <c r="CQ102" s="459"/>
      <c r="CR102" s="459"/>
      <c r="CS102" s="459"/>
      <c r="CT102" s="459"/>
      <c r="CU102" s="459"/>
      <c r="CV102" s="459"/>
      <c r="CW102" s="459"/>
      <c r="CX102" s="459"/>
      <c r="CY102" s="459"/>
      <c r="CZ102" s="459"/>
      <c r="DA102" s="444"/>
      <c r="DB102" s="444"/>
      <c r="DC102" s="444"/>
      <c r="DD102" s="444"/>
      <c r="DE102" s="444"/>
      <c r="DF102" s="444"/>
      <c r="DG102" s="444"/>
      <c r="DH102" s="444"/>
      <c r="DI102" s="444"/>
      <c r="DJ102" s="444"/>
      <c r="DK102" s="444"/>
      <c r="DL102" s="444"/>
      <c r="DM102" s="444"/>
      <c r="DN102" s="444"/>
      <c r="DO102" s="444"/>
      <c r="DP102" s="444"/>
      <c r="DQ102" s="444"/>
      <c r="DR102" s="444"/>
      <c r="DS102" s="444"/>
      <c r="DT102" s="444"/>
      <c r="DU102" s="444"/>
      <c r="DV102" s="444"/>
      <c r="DW102" s="444"/>
      <c r="DX102" s="444"/>
      <c r="DY102" s="444"/>
      <c r="DZ102" s="444"/>
      <c r="EA102" s="444"/>
      <c r="EB102" s="444"/>
      <c r="EC102" s="444"/>
      <c r="ED102" s="444"/>
      <c r="EE102" s="444"/>
      <c r="EF102" s="444"/>
      <c r="EG102" s="444"/>
      <c r="EH102" s="444"/>
      <c r="EI102" s="444"/>
      <c r="EJ102" s="444"/>
      <c r="EK102" s="444"/>
      <c r="EL102" s="444"/>
      <c r="EM102" s="444"/>
      <c r="EN102" s="444"/>
      <c r="EO102" s="444"/>
      <c r="EP102" s="444"/>
      <c r="EQ102" s="444"/>
      <c r="ER102" s="444"/>
      <c r="ES102" s="444"/>
      <c r="ET102" s="444"/>
      <c r="EU102" s="444"/>
      <c r="EV102" s="444"/>
      <c r="EW102" s="444"/>
      <c r="EX102" s="444"/>
      <c r="EY102" s="444"/>
      <c r="EZ102" s="444"/>
      <c r="FA102" s="444"/>
      <c r="FB102" s="444"/>
      <c r="FC102" s="444"/>
      <c r="FD102" s="444"/>
      <c r="FE102" s="444"/>
      <c r="FF102" s="444"/>
      <c r="FG102" s="444"/>
      <c r="FH102" s="444"/>
      <c r="FI102" s="444"/>
      <c r="FJ102" s="444"/>
      <c r="FK102" s="444"/>
      <c r="FL102" s="444"/>
      <c r="FM102" s="444"/>
      <c r="FN102" s="444"/>
      <c r="FO102" s="444"/>
      <c r="FP102" s="444"/>
      <c r="FQ102" s="444"/>
      <c r="FR102" s="444"/>
      <c r="FS102" s="444"/>
      <c r="FT102" s="444"/>
      <c r="FU102" s="444"/>
      <c r="FV102" s="444"/>
      <c r="FW102" s="444"/>
    </row>
    <row r="103" spans="1:179" ht="13.8">
      <c r="A103" s="444"/>
      <c r="B103" s="444"/>
      <c r="C103" s="454" t="s">
        <v>926</v>
      </c>
      <c r="D103" s="454"/>
      <c r="E103" s="454"/>
      <c r="F103" s="454"/>
      <c r="G103" s="454"/>
      <c r="H103" s="454"/>
      <c r="I103" s="454"/>
      <c r="J103" s="454"/>
      <c r="K103" s="454"/>
      <c r="L103" s="454"/>
      <c r="M103" s="454"/>
      <c r="N103" s="454"/>
      <c r="O103" s="454"/>
      <c r="P103" s="503"/>
      <c r="Q103" s="503"/>
      <c r="R103" s="503"/>
      <c r="S103" s="503"/>
      <c r="T103" s="503"/>
      <c r="U103" s="503"/>
      <c r="V103" s="503"/>
      <c r="W103" s="503"/>
      <c r="X103" s="503"/>
      <c r="Y103" s="503"/>
      <c r="Z103" s="503"/>
      <c r="AA103" s="503"/>
      <c r="AB103" s="503"/>
      <c r="AC103" s="503"/>
      <c r="AD103" s="503"/>
      <c r="AE103" s="503"/>
      <c r="AF103" s="503"/>
      <c r="AG103" s="503"/>
      <c r="AH103" s="503"/>
      <c r="AI103" s="503"/>
      <c r="AJ103" s="503"/>
      <c r="AK103" s="503"/>
      <c r="AL103" s="503"/>
      <c r="AM103" s="503"/>
      <c r="AN103" s="503"/>
      <c r="AO103" s="503"/>
      <c r="AP103" s="503"/>
      <c r="AQ103" s="503"/>
      <c r="AR103" s="503"/>
      <c r="AS103" s="503"/>
      <c r="AT103" s="503"/>
      <c r="AU103" s="469"/>
      <c r="AV103" s="503">
        <f t="shared" ref="AV103:BB103" si="118">+AV137+AV149+AV193</f>
        <v>-45</v>
      </c>
      <c r="AW103" s="503">
        <f t="shared" si="118"/>
        <v>-250</v>
      </c>
      <c r="AX103" s="503">
        <f t="shared" si="118"/>
        <v>-295</v>
      </c>
      <c r="AY103" s="503">
        <f t="shared" si="118"/>
        <v>0</v>
      </c>
      <c r="AZ103" s="503">
        <f t="shared" si="118"/>
        <v>-72</v>
      </c>
      <c r="BA103" s="503">
        <f t="shared" si="118"/>
        <v>-376</v>
      </c>
      <c r="BB103" s="503">
        <f t="shared" si="118"/>
        <v>-448</v>
      </c>
      <c r="BC103" s="503"/>
      <c r="BD103" s="503">
        <f>+BD137+BD149+BD193</f>
        <v>-59.5</v>
      </c>
      <c r="BE103" s="503">
        <f>+BE137+BE149+BE193</f>
        <v>-140</v>
      </c>
      <c r="BF103" s="503">
        <f>+BF137+BF149+BF193</f>
        <v>-181</v>
      </c>
      <c r="BG103" s="503"/>
      <c r="BH103" s="503">
        <f>+BH137+BH149+BH193</f>
        <v>-93.1</v>
      </c>
      <c r="BI103" s="503">
        <f>+BI137+BI149+BI193</f>
        <v>-81.900000000000006</v>
      </c>
      <c r="BJ103" s="503">
        <f>+BJ137+BJ149+BJ193</f>
        <v>-152</v>
      </c>
      <c r="BK103" s="503"/>
      <c r="BL103" s="503">
        <f>+BL137+BL149+BL193</f>
        <v>-94.5</v>
      </c>
      <c r="BM103" s="503">
        <f>+BM137+BM149+BM193</f>
        <v>-26.6</v>
      </c>
      <c r="BN103" s="503">
        <f>+BN137+BN149+BN193</f>
        <v>-115</v>
      </c>
      <c r="BO103" s="503"/>
      <c r="BP103" s="503">
        <f>+BP137+BP149+BP193</f>
        <v>-31.5</v>
      </c>
      <c r="BQ103" s="503">
        <f>+BQ137+BQ149+BQ193</f>
        <v>-39.900000000000006</v>
      </c>
      <c r="BR103" s="503">
        <f>+BR137+BR149+BR193</f>
        <v>-76</v>
      </c>
      <c r="BS103" s="503"/>
      <c r="BT103" s="503">
        <f>+BT137+BT149+BT193</f>
        <v>0</v>
      </c>
      <c r="BU103" s="503">
        <f>+BU137+BU149+BU193</f>
        <v>0</v>
      </c>
      <c r="BV103" s="503">
        <f>+BV137+BV149+BV193</f>
        <v>0</v>
      </c>
      <c r="BW103" s="503"/>
      <c r="BX103" s="503">
        <f>+BX137+BX149+BX193</f>
        <v>0</v>
      </c>
      <c r="BY103" s="503">
        <f>+BY137+BY149+BY193</f>
        <v>0</v>
      </c>
      <c r="BZ103" s="503">
        <f>+BZ137+BZ149+BZ193</f>
        <v>0</v>
      </c>
      <c r="CA103" s="503"/>
      <c r="CB103" s="503">
        <f>+CB137+CB149+CB193</f>
        <v>0</v>
      </c>
      <c r="CC103" s="503">
        <f>+CC137+CC149+CC193</f>
        <v>0</v>
      </c>
      <c r="CD103" s="503">
        <f>+CD137+CD149+CD193</f>
        <v>0</v>
      </c>
      <c r="CE103" s="503"/>
      <c r="CF103" s="503">
        <f>+CF137+CF149+CF193</f>
        <v>0</v>
      </c>
      <c r="CG103" s="503">
        <f>+CG137+CG149+CG193</f>
        <v>0</v>
      </c>
      <c r="CH103" s="503">
        <f>+CH137+CH149+CH193</f>
        <v>0</v>
      </c>
      <c r="CI103" s="503"/>
      <c r="CJ103" s="503">
        <f>+CJ137+CJ149+CJ193</f>
        <v>0</v>
      </c>
      <c r="CK103" s="503">
        <f>+CK137+CK149+CK193</f>
        <v>0</v>
      </c>
      <c r="CL103" s="503">
        <f>+CL137+CL149+CL193</f>
        <v>0</v>
      </c>
      <c r="CM103" s="445"/>
      <c r="CN103" s="445"/>
      <c r="CO103" s="459"/>
      <c r="CP103" s="459"/>
      <c r="CQ103" s="459"/>
      <c r="CR103" s="459"/>
      <c r="CS103" s="459"/>
      <c r="CT103" s="459"/>
      <c r="CU103" s="459"/>
      <c r="CV103" s="459"/>
      <c r="CW103" s="459"/>
      <c r="CX103" s="459"/>
      <c r="CY103" s="459"/>
      <c r="CZ103" s="459"/>
      <c r="DA103" s="444"/>
      <c r="DB103" s="444"/>
      <c r="DC103" s="444"/>
      <c r="DD103" s="444"/>
      <c r="DE103" s="444"/>
      <c r="DF103" s="444"/>
      <c r="DG103" s="444"/>
      <c r="DH103" s="444"/>
      <c r="DI103" s="444"/>
      <c r="DJ103" s="444"/>
      <c r="DK103" s="444"/>
      <c r="DL103" s="444"/>
      <c r="DM103" s="444"/>
      <c r="DN103" s="444"/>
      <c r="DO103" s="444"/>
      <c r="DP103" s="444"/>
      <c r="DQ103" s="444"/>
      <c r="DR103" s="444"/>
      <c r="DS103" s="444"/>
      <c r="DT103" s="444"/>
      <c r="DU103" s="444"/>
      <c r="DV103" s="444"/>
      <c r="DW103" s="444"/>
      <c r="DX103" s="444"/>
      <c r="DY103" s="444"/>
      <c r="DZ103" s="444"/>
      <c r="EA103" s="444"/>
      <c r="EB103" s="444"/>
      <c r="EC103" s="444"/>
      <c r="ED103" s="444"/>
      <c r="EE103" s="444"/>
      <c r="EF103" s="444"/>
      <c r="EG103" s="444"/>
      <c r="EH103" s="444"/>
      <c r="EI103" s="444"/>
      <c r="EJ103" s="444"/>
      <c r="EK103" s="444"/>
      <c r="EL103" s="444"/>
      <c r="EM103" s="444"/>
      <c r="EN103" s="444"/>
      <c r="EO103" s="444"/>
      <c r="EP103" s="444"/>
      <c r="EQ103" s="444"/>
      <c r="ER103" s="444"/>
      <c r="ES103" s="444"/>
      <c r="ET103" s="444"/>
      <c r="EU103" s="444"/>
      <c r="EV103" s="444"/>
      <c r="EW103" s="444"/>
      <c r="EX103" s="444"/>
      <c r="EY103" s="444"/>
      <c r="EZ103" s="444"/>
      <c r="FA103" s="444"/>
      <c r="FB103" s="444"/>
      <c r="FC103" s="444"/>
      <c r="FD103" s="444"/>
      <c r="FE103" s="444"/>
      <c r="FF103" s="444"/>
      <c r="FG103" s="444"/>
      <c r="FH103" s="444"/>
      <c r="FI103" s="444"/>
      <c r="FJ103" s="444"/>
      <c r="FK103" s="444"/>
      <c r="FL103" s="444"/>
      <c r="FM103" s="444"/>
      <c r="FN103" s="444"/>
      <c r="FO103" s="444"/>
      <c r="FP103" s="444"/>
      <c r="FQ103" s="444"/>
      <c r="FR103" s="444"/>
      <c r="FS103" s="444"/>
      <c r="FT103" s="444"/>
      <c r="FU103" s="444"/>
      <c r="FV103" s="444"/>
      <c r="FW103" s="444"/>
    </row>
    <row r="104" spans="1:179" ht="13.8">
      <c r="A104" s="444"/>
      <c r="B104" s="444"/>
      <c r="C104" s="454" t="s">
        <v>953</v>
      </c>
      <c r="D104" s="454"/>
      <c r="E104" s="454"/>
      <c r="F104" s="454"/>
      <c r="G104" s="454"/>
      <c r="H104" s="454"/>
      <c r="I104" s="454"/>
      <c r="J104" s="454"/>
      <c r="K104" s="454"/>
      <c r="L104" s="454"/>
      <c r="M104" s="454"/>
      <c r="N104" s="454"/>
      <c r="O104" s="454"/>
      <c r="P104" s="503"/>
      <c r="Q104" s="503"/>
      <c r="R104" s="503"/>
      <c r="S104" s="503"/>
      <c r="T104" s="503"/>
      <c r="U104" s="503"/>
      <c r="V104" s="503"/>
      <c r="W104" s="503"/>
      <c r="X104" s="503"/>
      <c r="Y104" s="503"/>
      <c r="Z104" s="503"/>
      <c r="AA104" s="503"/>
      <c r="AB104" s="503"/>
      <c r="AC104" s="503"/>
      <c r="AD104" s="503"/>
      <c r="AE104" s="503"/>
      <c r="AF104" s="503"/>
      <c r="AG104" s="503"/>
      <c r="AH104" s="503"/>
      <c r="AI104" s="503"/>
      <c r="AJ104" s="503"/>
      <c r="AK104" s="503"/>
      <c r="AL104" s="503"/>
      <c r="AM104" s="503"/>
      <c r="AN104" s="503"/>
      <c r="AO104" s="503"/>
      <c r="AP104" s="503"/>
      <c r="AQ104" s="503"/>
      <c r="AR104" s="503"/>
      <c r="AS104" s="503"/>
      <c r="AT104" s="503"/>
      <c r="AU104" s="469"/>
      <c r="AV104" s="503">
        <f t="shared" ref="AV104:AX106" si="119">+AV150+AV194</f>
        <v>-11</v>
      </c>
      <c r="AW104" s="503">
        <f t="shared" si="119"/>
        <v>-27.5</v>
      </c>
      <c r="AX104" s="503">
        <f t="shared" si="119"/>
        <v>-38.5</v>
      </c>
      <c r="AY104" s="469"/>
      <c r="AZ104" s="503">
        <f t="shared" ref="AZ104:BB106" si="120">+AZ150+AZ194</f>
        <v>-9</v>
      </c>
      <c r="BA104" s="503">
        <f t="shared" si="120"/>
        <v>-1.4</v>
      </c>
      <c r="BB104" s="503">
        <f t="shared" si="120"/>
        <v>-10.4</v>
      </c>
      <c r="BC104" s="503"/>
      <c r="BD104" s="503">
        <f t="shared" ref="BD104:BF106" si="121">+BD150+BD194</f>
        <v>0</v>
      </c>
      <c r="BE104" s="503">
        <f t="shared" si="121"/>
        <v>0</v>
      </c>
      <c r="BF104" s="503">
        <f t="shared" si="121"/>
        <v>0</v>
      </c>
      <c r="BG104" s="503"/>
      <c r="BH104" s="503">
        <f t="shared" ref="BH104:BJ106" si="122">+BH150+BH194</f>
        <v>0</v>
      </c>
      <c r="BI104" s="503">
        <f t="shared" si="122"/>
        <v>0</v>
      </c>
      <c r="BJ104" s="503">
        <f t="shared" si="122"/>
        <v>0</v>
      </c>
      <c r="BK104" s="503"/>
      <c r="BL104" s="503">
        <f t="shared" ref="BL104:BN106" si="123">+BL150+BL194</f>
        <v>0</v>
      </c>
      <c r="BM104" s="503">
        <f t="shared" si="123"/>
        <v>0</v>
      </c>
      <c r="BN104" s="503">
        <f t="shared" si="123"/>
        <v>0</v>
      </c>
      <c r="BO104" s="503"/>
      <c r="BP104" s="503">
        <f t="shared" ref="BP104:BR106" si="124">+BP150+BP194</f>
        <v>0</v>
      </c>
      <c r="BQ104" s="503">
        <f t="shared" si="124"/>
        <v>-28</v>
      </c>
      <c r="BR104" s="503">
        <f t="shared" si="124"/>
        <v>-28</v>
      </c>
      <c r="BS104" s="503"/>
      <c r="BT104" s="503">
        <f t="shared" ref="BT104:BV104" si="125">+BT150+BT194</f>
        <v>0</v>
      </c>
      <c r="BU104" s="503">
        <f t="shared" si="125"/>
        <v>0</v>
      </c>
      <c r="BV104" s="503">
        <f t="shared" si="125"/>
        <v>0</v>
      </c>
      <c r="BW104" s="503"/>
      <c r="BX104" s="503">
        <f t="shared" ref="BX104:BZ104" si="126">+BX150+BX194</f>
        <v>0</v>
      </c>
      <c r="BY104" s="503">
        <f t="shared" si="126"/>
        <v>-189.7</v>
      </c>
      <c r="BZ104" s="503">
        <f t="shared" si="126"/>
        <v>-189.7</v>
      </c>
      <c r="CA104" s="503"/>
      <c r="CB104" s="503">
        <f t="shared" ref="CB104:CD104" si="127">+CB150+CB194</f>
        <v>0</v>
      </c>
      <c r="CC104" s="503">
        <f t="shared" si="127"/>
        <v>0</v>
      </c>
      <c r="CD104" s="503">
        <f t="shared" si="127"/>
        <v>0</v>
      </c>
      <c r="CE104" s="503"/>
      <c r="CF104" s="503">
        <f t="shared" ref="CF104:CH104" si="128">+CF150+CF194</f>
        <v>0</v>
      </c>
      <c r="CG104" s="503">
        <f t="shared" si="128"/>
        <v>0</v>
      </c>
      <c r="CH104" s="503">
        <f t="shared" si="128"/>
        <v>0</v>
      </c>
      <c r="CI104" s="503"/>
      <c r="CJ104" s="503">
        <f t="shared" ref="CJ104:CL104" si="129">+CJ150+CJ194</f>
        <v>0</v>
      </c>
      <c r="CK104" s="503">
        <f t="shared" si="129"/>
        <v>0</v>
      </c>
      <c r="CL104" s="503">
        <f t="shared" si="129"/>
        <v>0</v>
      </c>
      <c r="CM104" s="463"/>
      <c r="CN104" s="463"/>
      <c r="CO104" s="801"/>
      <c r="CP104" s="801"/>
      <c r="CQ104" s="801"/>
      <c r="CR104" s="801"/>
      <c r="CS104" s="801"/>
      <c r="CT104" s="801"/>
      <c r="CU104" s="801"/>
      <c r="CV104" s="801"/>
      <c r="CW104" s="801"/>
      <c r="CX104" s="801"/>
      <c r="CY104" s="801"/>
      <c r="CZ104" s="801"/>
      <c r="DA104" s="584"/>
      <c r="DB104" s="584"/>
      <c r="DC104" s="584"/>
      <c r="DD104" s="584"/>
      <c r="DE104" s="584"/>
      <c r="DF104" s="584"/>
      <c r="DG104" s="584"/>
      <c r="DH104" s="584"/>
      <c r="DI104" s="584"/>
      <c r="DJ104" s="584"/>
      <c r="DK104" s="584"/>
      <c r="DL104" s="584"/>
      <c r="DM104" s="584"/>
      <c r="DN104" s="584"/>
      <c r="DO104" s="584"/>
      <c r="DP104" s="584"/>
      <c r="DQ104" s="584"/>
      <c r="DR104" s="584"/>
      <c r="DS104" s="584"/>
      <c r="DT104" s="584"/>
      <c r="DU104" s="584"/>
      <c r="DV104" s="584"/>
      <c r="DW104" s="584"/>
      <c r="DX104" s="584"/>
      <c r="DY104" s="584"/>
      <c r="DZ104" s="584"/>
      <c r="EA104" s="584"/>
      <c r="EB104" s="584"/>
      <c r="EC104" s="584"/>
      <c r="ED104" s="584"/>
      <c r="EE104" s="584"/>
      <c r="EF104" s="584"/>
      <c r="EG104" s="584"/>
      <c r="EH104" s="584"/>
      <c r="EI104" s="584"/>
      <c r="EJ104" s="584"/>
      <c r="EK104" s="584"/>
      <c r="EL104" s="584"/>
      <c r="EM104" s="584"/>
      <c r="EN104" s="584"/>
      <c r="EO104" s="584"/>
      <c r="EP104" s="584"/>
      <c r="EQ104" s="584"/>
      <c r="ER104" s="584"/>
      <c r="ES104" s="584"/>
      <c r="ET104" s="584"/>
      <c r="EU104" s="584"/>
      <c r="EV104" s="584"/>
      <c r="EW104" s="584"/>
      <c r="EX104" s="584"/>
      <c r="EY104" s="584"/>
      <c r="EZ104" s="584"/>
      <c r="FA104" s="584"/>
      <c r="FB104" s="584"/>
      <c r="FC104" s="584"/>
      <c r="FD104" s="584"/>
      <c r="FE104" s="584"/>
      <c r="FF104" s="584"/>
      <c r="FG104" s="584"/>
      <c r="FH104" s="584"/>
      <c r="FI104" s="584"/>
      <c r="FJ104" s="584"/>
      <c r="FK104" s="584"/>
      <c r="FL104" s="444"/>
      <c r="FM104" s="444"/>
      <c r="FN104" s="444"/>
      <c r="FO104" s="444"/>
      <c r="FP104" s="444"/>
      <c r="FQ104" s="444"/>
      <c r="FR104" s="444"/>
      <c r="FS104" s="444"/>
      <c r="FT104" s="444"/>
      <c r="FU104" s="444"/>
      <c r="FV104" s="444"/>
      <c r="FW104" s="444"/>
    </row>
    <row r="105" spans="1:179" ht="13.8">
      <c r="A105" s="444"/>
      <c r="B105" s="444"/>
      <c r="C105" s="454" t="s">
        <v>925</v>
      </c>
      <c r="D105" s="454"/>
      <c r="E105" s="454"/>
      <c r="F105" s="454"/>
      <c r="G105" s="454"/>
      <c r="H105" s="454"/>
      <c r="I105" s="454"/>
      <c r="J105" s="454"/>
      <c r="K105" s="454"/>
      <c r="L105" s="454"/>
      <c r="M105" s="454"/>
      <c r="N105" s="454"/>
      <c r="O105" s="454"/>
      <c r="P105" s="503"/>
      <c r="Q105" s="503"/>
      <c r="R105" s="503"/>
      <c r="S105" s="503"/>
      <c r="T105" s="503"/>
      <c r="U105" s="503"/>
      <c r="V105" s="503"/>
      <c r="W105" s="503"/>
      <c r="X105" s="503"/>
      <c r="Y105" s="503"/>
      <c r="Z105" s="503"/>
      <c r="AA105" s="503"/>
      <c r="AB105" s="503"/>
      <c r="AC105" s="503"/>
      <c r="AD105" s="503"/>
      <c r="AE105" s="503"/>
      <c r="AF105" s="503"/>
      <c r="AG105" s="503"/>
      <c r="AH105" s="503"/>
      <c r="AI105" s="503"/>
      <c r="AJ105" s="503"/>
      <c r="AK105" s="503"/>
      <c r="AL105" s="503"/>
      <c r="AM105" s="503"/>
      <c r="AN105" s="503"/>
      <c r="AO105" s="503"/>
      <c r="AP105" s="503"/>
      <c r="AQ105" s="503"/>
      <c r="AR105" s="503"/>
      <c r="AS105" s="503"/>
      <c r="AT105" s="503"/>
      <c r="AU105" s="469"/>
      <c r="AV105" s="503">
        <f t="shared" si="119"/>
        <v>0</v>
      </c>
      <c r="AW105" s="503">
        <f t="shared" si="119"/>
        <v>-206</v>
      </c>
      <c r="AX105" s="503">
        <f t="shared" si="119"/>
        <v>-206</v>
      </c>
      <c r="AY105" s="469"/>
      <c r="AZ105" s="503">
        <f t="shared" si="120"/>
        <v>0</v>
      </c>
      <c r="BA105" s="503">
        <f t="shared" si="120"/>
        <v>0</v>
      </c>
      <c r="BB105" s="503">
        <f t="shared" si="120"/>
        <v>0</v>
      </c>
      <c r="BC105" s="503"/>
      <c r="BD105" s="503">
        <f t="shared" si="121"/>
        <v>0</v>
      </c>
      <c r="BE105" s="503">
        <f t="shared" si="121"/>
        <v>-137.9</v>
      </c>
      <c r="BF105" s="503">
        <f t="shared" si="121"/>
        <v>-137.9</v>
      </c>
      <c r="BG105" s="503"/>
      <c r="BH105" s="503">
        <f t="shared" si="122"/>
        <v>0</v>
      </c>
      <c r="BI105" s="503">
        <f t="shared" si="122"/>
        <v>0</v>
      </c>
      <c r="BJ105" s="503">
        <f t="shared" si="122"/>
        <v>0</v>
      </c>
      <c r="BK105" s="503"/>
      <c r="BL105" s="503">
        <f t="shared" si="123"/>
        <v>0</v>
      </c>
      <c r="BM105" s="503">
        <f t="shared" si="123"/>
        <v>0</v>
      </c>
      <c r="BN105" s="503">
        <f t="shared" si="123"/>
        <v>0</v>
      </c>
      <c r="BO105" s="503"/>
      <c r="BP105" s="503">
        <f t="shared" si="124"/>
        <v>0</v>
      </c>
      <c r="BQ105" s="503">
        <f t="shared" si="124"/>
        <v>0</v>
      </c>
      <c r="BR105" s="503">
        <f t="shared" si="124"/>
        <v>0</v>
      </c>
      <c r="BS105" s="503"/>
      <c r="BT105" s="503">
        <f t="shared" ref="BT105:BV105" si="130">+BT151+BT195</f>
        <v>0</v>
      </c>
      <c r="BU105" s="503">
        <f t="shared" si="130"/>
        <v>0</v>
      </c>
      <c r="BV105" s="503">
        <f t="shared" si="130"/>
        <v>0</v>
      </c>
      <c r="BW105" s="503"/>
      <c r="BX105" s="503">
        <f t="shared" ref="BX105:BZ105" si="131">+BX151+BX195</f>
        <v>0</v>
      </c>
      <c r="BY105" s="503">
        <f t="shared" si="131"/>
        <v>0</v>
      </c>
      <c r="BZ105" s="503">
        <f t="shared" si="131"/>
        <v>0</v>
      </c>
      <c r="CA105" s="503"/>
      <c r="CB105" s="503">
        <f t="shared" ref="CB105:CD105" si="132">+CB151+CB195</f>
        <v>0</v>
      </c>
      <c r="CC105" s="503">
        <f t="shared" si="132"/>
        <v>0</v>
      </c>
      <c r="CD105" s="503">
        <f t="shared" si="132"/>
        <v>0</v>
      </c>
      <c r="CE105" s="503"/>
      <c r="CF105" s="503">
        <f t="shared" ref="CF105:CH105" si="133">+CF151+CF195</f>
        <v>0</v>
      </c>
      <c r="CG105" s="503">
        <f t="shared" si="133"/>
        <v>0</v>
      </c>
      <c r="CH105" s="503">
        <f t="shared" si="133"/>
        <v>0</v>
      </c>
      <c r="CI105" s="503"/>
      <c r="CJ105" s="503">
        <f t="shared" ref="CJ105:CL105" si="134">+CJ151+CJ195</f>
        <v>0</v>
      </c>
      <c r="CK105" s="503">
        <f t="shared" si="134"/>
        <v>0</v>
      </c>
      <c r="CL105" s="503">
        <f t="shared" si="134"/>
        <v>0</v>
      </c>
      <c r="CM105" s="445"/>
      <c r="CN105" s="445"/>
      <c r="CO105" s="459"/>
      <c r="CP105" s="459"/>
      <c r="CQ105" s="459"/>
      <c r="CR105" s="459"/>
      <c r="CS105" s="459"/>
      <c r="CT105" s="459"/>
      <c r="CU105" s="459"/>
      <c r="CV105" s="459"/>
      <c r="CW105" s="459"/>
      <c r="CX105" s="459"/>
      <c r="CY105" s="459"/>
      <c r="CZ105" s="459"/>
      <c r="DA105" s="444"/>
      <c r="DB105" s="444"/>
      <c r="DC105" s="444"/>
      <c r="DD105" s="444"/>
      <c r="DE105" s="444"/>
      <c r="DF105" s="444"/>
      <c r="DG105" s="444"/>
      <c r="DH105" s="444"/>
      <c r="DI105" s="444"/>
      <c r="DJ105" s="444"/>
      <c r="DK105" s="444"/>
      <c r="DL105" s="444"/>
      <c r="DM105" s="444"/>
      <c r="DN105" s="444"/>
      <c r="DO105" s="444"/>
      <c r="DP105" s="444"/>
      <c r="DQ105" s="444"/>
      <c r="DR105" s="444"/>
      <c r="DS105" s="444"/>
      <c r="DT105" s="444"/>
      <c r="DU105" s="444"/>
      <c r="DV105" s="444"/>
      <c r="DW105" s="444"/>
      <c r="DX105" s="444"/>
      <c r="DY105" s="444"/>
      <c r="DZ105" s="444"/>
      <c r="EA105" s="444"/>
      <c r="EB105" s="444"/>
      <c r="EC105" s="444"/>
      <c r="ED105" s="444"/>
      <c r="EE105" s="444"/>
      <c r="EF105" s="444"/>
      <c r="EG105" s="444"/>
      <c r="EH105" s="444"/>
      <c r="EI105" s="444"/>
      <c r="EJ105" s="444"/>
      <c r="EK105" s="444"/>
      <c r="EL105" s="444"/>
      <c r="EM105" s="444"/>
      <c r="EN105" s="444"/>
      <c r="EO105" s="444"/>
      <c r="EP105" s="444"/>
      <c r="EQ105" s="444"/>
      <c r="ER105" s="444"/>
      <c r="ES105" s="444"/>
      <c r="ET105" s="444"/>
      <c r="EU105" s="444"/>
      <c r="EV105" s="444"/>
      <c r="EW105" s="444"/>
      <c r="EX105" s="444"/>
      <c r="EY105" s="444"/>
      <c r="EZ105" s="444"/>
      <c r="FA105" s="444"/>
      <c r="FB105" s="444"/>
      <c r="FC105" s="444"/>
      <c r="FD105" s="444"/>
      <c r="FE105" s="444"/>
      <c r="FF105" s="444"/>
      <c r="FG105" s="444"/>
      <c r="FH105" s="444"/>
      <c r="FI105" s="444"/>
      <c r="FJ105" s="444"/>
      <c r="FK105" s="444"/>
      <c r="FL105" s="444"/>
      <c r="FM105" s="444"/>
      <c r="FN105" s="444"/>
      <c r="FO105" s="444"/>
      <c r="FP105" s="444"/>
      <c r="FQ105" s="444"/>
      <c r="FR105" s="444"/>
      <c r="FS105" s="444"/>
      <c r="FT105" s="444"/>
      <c r="FU105" s="444"/>
      <c r="FV105" s="444"/>
      <c r="FW105" s="444"/>
    </row>
    <row r="106" spans="1:179" s="565" customFormat="1" ht="13.8">
      <c r="A106" s="584"/>
      <c r="B106" s="584"/>
      <c r="C106" s="454" t="s">
        <v>807</v>
      </c>
      <c r="D106" s="454"/>
      <c r="E106" s="454"/>
      <c r="F106" s="454"/>
      <c r="G106" s="454"/>
      <c r="H106" s="454"/>
      <c r="I106" s="454"/>
      <c r="J106" s="454"/>
      <c r="K106" s="454"/>
      <c r="L106" s="454"/>
      <c r="M106" s="454"/>
      <c r="N106" s="454"/>
      <c r="O106" s="454"/>
      <c r="P106" s="503"/>
      <c r="Q106" s="503"/>
      <c r="R106" s="503"/>
      <c r="S106" s="503"/>
      <c r="T106" s="503"/>
      <c r="U106" s="503"/>
      <c r="V106" s="503"/>
      <c r="W106" s="503"/>
      <c r="X106" s="503"/>
      <c r="Y106" s="503"/>
      <c r="Z106" s="503"/>
      <c r="AA106" s="503"/>
      <c r="AB106" s="503"/>
      <c r="AC106" s="503"/>
      <c r="AD106" s="503"/>
      <c r="AE106" s="503"/>
      <c r="AF106" s="503"/>
      <c r="AG106" s="503"/>
      <c r="AH106" s="503"/>
      <c r="AI106" s="503"/>
      <c r="AJ106" s="503"/>
      <c r="AK106" s="503"/>
      <c r="AL106" s="503"/>
      <c r="AM106" s="503"/>
      <c r="AN106" s="503"/>
      <c r="AO106" s="503"/>
      <c r="AP106" s="503"/>
      <c r="AQ106" s="503"/>
      <c r="AR106" s="503"/>
      <c r="AS106" s="503"/>
      <c r="AT106" s="503"/>
      <c r="AU106" s="469"/>
      <c r="AV106" s="503">
        <f t="shared" si="119"/>
        <v>-55</v>
      </c>
      <c r="AW106" s="503">
        <f t="shared" si="119"/>
        <v>-103.9</v>
      </c>
      <c r="AX106" s="503">
        <f t="shared" si="119"/>
        <v>-158.9</v>
      </c>
      <c r="AY106" s="469"/>
      <c r="AZ106" s="503">
        <f t="shared" si="120"/>
        <v>-11</v>
      </c>
      <c r="BA106" s="503">
        <f t="shared" si="120"/>
        <v>2.1</v>
      </c>
      <c r="BB106" s="503">
        <f t="shared" si="120"/>
        <v>-8.9</v>
      </c>
      <c r="BC106" s="503"/>
      <c r="BD106" s="503">
        <f t="shared" si="121"/>
        <v>-22.4</v>
      </c>
      <c r="BE106" s="503">
        <f t="shared" si="121"/>
        <v>-10.5</v>
      </c>
      <c r="BF106" s="503">
        <f t="shared" si="121"/>
        <v>-32.9</v>
      </c>
      <c r="BG106" s="503"/>
      <c r="BH106" s="503">
        <f t="shared" si="122"/>
        <v>-105</v>
      </c>
      <c r="BI106" s="503">
        <f t="shared" si="122"/>
        <v>-0.7</v>
      </c>
      <c r="BJ106" s="503">
        <f t="shared" si="122"/>
        <v>-105.7</v>
      </c>
      <c r="BK106" s="503"/>
      <c r="BL106" s="503">
        <f t="shared" si="123"/>
        <v>-0.7</v>
      </c>
      <c r="BM106" s="503">
        <f t="shared" si="123"/>
        <v>-14.7</v>
      </c>
      <c r="BN106" s="503">
        <f t="shared" si="123"/>
        <v>-15.4</v>
      </c>
      <c r="BO106" s="503"/>
      <c r="BP106" s="503">
        <f t="shared" si="124"/>
        <v>-13.3</v>
      </c>
      <c r="BQ106" s="503">
        <f t="shared" si="124"/>
        <v>-10.5</v>
      </c>
      <c r="BR106" s="503">
        <f t="shared" si="124"/>
        <v>-23.8</v>
      </c>
      <c r="BS106" s="503"/>
      <c r="BT106" s="503">
        <f t="shared" ref="BT106:BV106" si="135">+BT152+BT196</f>
        <v>-14.7</v>
      </c>
      <c r="BU106" s="503">
        <f t="shared" si="135"/>
        <v>0</v>
      </c>
      <c r="BV106" s="503">
        <f t="shared" si="135"/>
        <v>-14.7</v>
      </c>
      <c r="BW106" s="503"/>
      <c r="BX106" s="503">
        <f t="shared" ref="BX106:BZ106" si="136">+BX152+BX196</f>
        <v>0</v>
      </c>
      <c r="BY106" s="503">
        <f t="shared" si="136"/>
        <v>0</v>
      </c>
      <c r="BZ106" s="503">
        <f t="shared" si="136"/>
        <v>0</v>
      </c>
      <c r="CA106" s="503"/>
      <c r="CB106" s="503">
        <f t="shared" ref="CB106:CD106" si="137">+CB152+CB196</f>
        <v>0</v>
      </c>
      <c r="CC106" s="503">
        <f t="shared" si="137"/>
        <v>0</v>
      </c>
      <c r="CD106" s="503">
        <f t="shared" si="137"/>
        <v>0</v>
      </c>
      <c r="CE106" s="503"/>
      <c r="CF106" s="503">
        <f t="shared" ref="CF106:CH106" si="138">+CF152+CF196</f>
        <v>0</v>
      </c>
      <c r="CG106" s="503">
        <f t="shared" si="138"/>
        <v>0</v>
      </c>
      <c r="CH106" s="503">
        <f t="shared" si="138"/>
        <v>0</v>
      </c>
      <c r="CI106" s="503"/>
      <c r="CJ106" s="503">
        <f t="shared" ref="CJ106:CL106" si="139">+CJ152+CJ196</f>
        <v>0</v>
      </c>
      <c r="CK106" s="503">
        <f t="shared" si="139"/>
        <v>0</v>
      </c>
      <c r="CL106" s="503">
        <f t="shared" si="139"/>
        <v>0</v>
      </c>
      <c r="CM106" s="445"/>
      <c r="CN106" s="445"/>
      <c r="CO106" s="459"/>
      <c r="CP106" s="459"/>
      <c r="CQ106" s="459"/>
      <c r="CR106" s="459"/>
      <c r="CS106" s="459"/>
      <c r="CT106" s="459"/>
      <c r="CU106" s="459"/>
      <c r="CV106" s="459"/>
      <c r="CW106" s="459"/>
      <c r="CX106" s="459"/>
      <c r="CY106" s="459"/>
      <c r="CZ106" s="459"/>
      <c r="DA106" s="444"/>
      <c r="DB106" s="444"/>
      <c r="DC106" s="444"/>
      <c r="DD106" s="444"/>
      <c r="DE106" s="444"/>
      <c r="DF106" s="444"/>
      <c r="DG106" s="444"/>
      <c r="DH106" s="444"/>
      <c r="DI106" s="444"/>
      <c r="DJ106" s="444"/>
      <c r="DK106" s="444"/>
      <c r="DL106" s="444"/>
      <c r="DM106" s="444"/>
      <c r="DN106" s="444"/>
      <c r="DO106" s="444"/>
      <c r="DP106" s="444"/>
      <c r="DQ106" s="444"/>
      <c r="DR106" s="444"/>
      <c r="DS106" s="444"/>
      <c r="DT106" s="444"/>
      <c r="DU106" s="444"/>
      <c r="DV106" s="444"/>
      <c r="DW106" s="444"/>
      <c r="DX106" s="444"/>
      <c r="DY106" s="444"/>
      <c r="DZ106" s="444"/>
      <c r="EA106" s="444"/>
      <c r="EB106" s="444"/>
      <c r="EC106" s="444"/>
      <c r="ED106" s="444"/>
      <c r="EE106" s="444"/>
      <c r="EF106" s="444"/>
      <c r="EG106" s="444"/>
      <c r="EH106" s="444"/>
      <c r="EI106" s="444"/>
      <c r="EJ106" s="444"/>
      <c r="EK106" s="444"/>
      <c r="EL106" s="444"/>
      <c r="EM106" s="444"/>
      <c r="EN106" s="444"/>
      <c r="EO106" s="444"/>
      <c r="EP106" s="444"/>
      <c r="EQ106" s="444"/>
      <c r="ER106" s="444"/>
      <c r="ES106" s="444"/>
      <c r="ET106" s="444"/>
      <c r="EU106" s="444"/>
      <c r="EV106" s="444"/>
      <c r="EW106" s="444"/>
      <c r="EX106" s="444"/>
      <c r="EY106" s="444"/>
      <c r="EZ106" s="444"/>
      <c r="FA106" s="444"/>
      <c r="FB106" s="444"/>
      <c r="FC106" s="444"/>
      <c r="FD106" s="444"/>
      <c r="FE106" s="444"/>
      <c r="FF106" s="444"/>
      <c r="FG106" s="444"/>
      <c r="FH106" s="444"/>
      <c r="FI106" s="444"/>
      <c r="FJ106" s="444"/>
      <c r="FK106" s="444"/>
      <c r="FL106" s="584"/>
      <c r="FM106" s="584"/>
      <c r="FN106" s="584"/>
      <c r="FO106" s="584"/>
      <c r="FP106" s="584"/>
      <c r="FQ106" s="584"/>
      <c r="FR106" s="584"/>
      <c r="FS106" s="584"/>
      <c r="FT106" s="584"/>
      <c r="FU106" s="584"/>
      <c r="FV106" s="584"/>
      <c r="FW106" s="584"/>
    </row>
    <row r="107" spans="1:179" ht="13.8">
      <c r="A107" s="444"/>
      <c r="B107" s="444"/>
      <c r="C107" s="454" t="s">
        <v>854</v>
      </c>
      <c r="D107" s="454"/>
      <c r="E107" s="454"/>
      <c r="F107" s="454"/>
      <c r="G107" s="454"/>
      <c r="H107" s="454"/>
      <c r="I107" s="454"/>
      <c r="J107" s="454"/>
      <c r="K107" s="454"/>
      <c r="L107" s="454"/>
      <c r="M107" s="454"/>
      <c r="N107" s="454"/>
      <c r="O107" s="454"/>
      <c r="P107" s="503"/>
      <c r="Q107" s="503"/>
      <c r="R107" s="503"/>
      <c r="S107" s="503"/>
      <c r="T107" s="503"/>
      <c r="U107" s="503"/>
      <c r="V107" s="503"/>
      <c r="W107" s="503"/>
      <c r="X107" s="503"/>
      <c r="Y107" s="503"/>
      <c r="Z107" s="503"/>
      <c r="AA107" s="503"/>
      <c r="AB107" s="503"/>
      <c r="AC107" s="503"/>
      <c r="AD107" s="503"/>
      <c r="AE107" s="503"/>
      <c r="AF107" s="503"/>
      <c r="AG107" s="503"/>
      <c r="AH107" s="503"/>
      <c r="AI107" s="503"/>
      <c r="AJ107" s="503"/>
      <c r="AK107" s="503"/>
      <c r="AL107" s="503"/>
      <c r="AM107" s="503"/>
      <c r="AN107" s="503"/>
      <c r="AO107" s="503"/>
      <c r="AP107" s="503"/>
      <c r="AQ107" s="503"/>
      <c r="AR107" s="503"/>
      <c r="AS107" s="503"/>
      <c r="AT107" s="503"/>
      <c r="AU107" s="469"/>
      <c r="AV107" s="503">
        <f>SUM(AV101:AV106)</f>
        <v>184</v>
      </c>
      <c r="AW107" s="503">
        <f>SUM(AW101:AW106)</f>
        <v>-444.4</v>
      </c>
      <c r="AX107" s="503">
        <f>SUM(AX101:AX106)</f>
        <v>-260.39999999999998</v>
      </c>
      <c r="AY107" s="469"/>
      <c r="AZ107" s="503">
        <f>SUM(AZ101:AZ106)</f>
        <v>119.5</v>
      </c>
      <c r="BA107" s="503">
        <f>SUM(BA101:BA106)</f>
        <v>-350.79999999999995</v>
      </c>
      <c r="BB107" s="503">
        <f>SUM(BB101:BB106)</f>
        <v>-229.3</v>
      </c>
      <c r="BC107" s="503"/>
      <c r="BD107" s="503">
        <f>SUM(BD101:BD106)</f>
        <v>-611.79999999999995</v>
      </c>
      <c r="BE107" s="503">
        <f>SUM(BE101:BE106)</f>
        <v>-284.20000000000005</v>
      </c>
      <c r="BF107" s="503">
        <f>SUM(BF101:BF106)</f>
        <v>-877.5</v>
      </c>
      <c r="BG107" s="503"/>
      <c r="BH107" s="503">
        <f>SUM(BH101:BH106)</f>
        <v>-364.70000000000005</v>
      </c>
      <c r="BI107" s="503">
        <f>SUM(BI101:BI106)</f>
        <v>-82.600000000000009</v>
      </c>
      <c r="BJ107" s="503">
        <f>SUM(BJ101:BJ106)</f>
        <v>-424.3</v>
      </c>
      <c r="BK107" s="503"/>
      <c r="BL107" s="503">
        <f>SUM(BL101:BL106)</f>
        <v>69.3</v>
      </c>
      <c r="BM107" s="503">
        <f>SUM(BM101:BM106)</f>
        <v>-29.400000000000002</v>
      </c>
      <c r="BN107" s="503">
        <f>SUM(BN101:BN106)</f>
        <v>45.999999999999979</v>
      </c>
      <c r="BO107" s="503"/>
      <c r="BP107" s="503">
        <f>SUM(BP101:BP106)</f>
        <v>-114.10000000000001</v>
      </c>
      <c r="BQ107" s="503">
        <f>SUM(BQ101:BQ106)</f>
        <v>-82.600000000000009</v>
      </c>
      <c r="BR107" s="503">
        <f>SUM(BR101:BR106)</f>
        <v>-201.3</v>
      </c>
      <c r="BS107" s="503"/>
      <c r="BT107" s="503">
        <f>SUM(BT101:BT106)</f>
        <v>-29.4</v>
      </c>
      <c r="BU107" s="503">
        <f>SUM(BU101:BU106)</f>
        <v>0</v>
      </c>
      <c r="BV107" s="503">
        <f>SUM(BV101:BV106)</f>
        <v>-29.4</v>
      </c>
      <c r="BW107" s="503"/>
      <c r="BX107" s="503">
        <f>SUM(BX101:BX106)</f>
        <v>0</v>
      </c>
      <c r="BY107" s="503">
        <f>SUM(BY101:BY106)</f>
        <v>-443.79999999999995</v>
      </c>
      <c r="BZ107" s="503">
        <f>SUM(BZ101:BZ106)</f>
        <v>-443.79999999999995</v>
      </c>
      <c r="CA107" s="503"/>
      <c r="CB107" s="503">
        <f>SUM(CB101:CB106)</f>
        <v>0</v>
      </c>
      <c r="CC107" s="503">
        <f>SUM(CC101:CC106)</f>
        <v>0</v>
      </c>
      <c r="CD107" s="503">
        <f>SUM(CD101:CD106)</f>
        <v>0</v>
      </c>
      <c r="CE107" s="503"/>
      <c r="CF107" s="503">
        <f>SUM(CF101:CF106)</f>
        <v>0</v>
      </c>
      <c r="CG107" s="503">
        <f>SUM(CG101:CG106)</f>
        <v>0</v>
      </c>
      <c r="CH107" s="503">
        <f>SUM(CH101:CH106)</f>
        <v>0</v>
      </c>
      <c r="CI107" s="503"/>
      <c r="CJ107" s="503">
        <f>SUM(CJ101:CJ106)</f>
        <v>0</v>
      </c>
      <c r="CK107" s="503">
        <f>SUM(CK101:CK106)</f>
        <v>0</v>
      </c>
      <c r="CL107" s="503">
        <f>SUM(CL101:CL106)</f>
        <v>0</v>
      </c>
      <c r="CM107" s="445"/>
      <c r="CN107" s="445"/>
      <c r="CO107" s="459"/>
      <c r="CP107" s="459"/>
      <c r="CQ107" s="459"/>
      <c r="CR107" s="459"/>
      <c r="CS107" s="459"/>
      <c r="CT107" s="459"/>
      <c r="CU107" s="459"/>
      <c r="CV107" s="459"/>
      <c r="CW107" s="459"/>
      <c r="CX107" s="459"/>
      <c r="CY107" s="459"/>
      <c r="CZ107" s="459"/>
      <c r="DA107" s="444"/>
      <c r="DB107" s="444"/>
      <c r="DC107" s="444"/>
      <c r="DD107" s="444"/>
      <c r="DE107" s="444"/>
      <c r="DF107" s="444"/>
      <c r="DG107" s="444"/>
      <c r="DH107" s="444"/>
      <c r="DI107" s="444"/>
      <c r="DJ107" s="444"/>
      <c r="DK107" s="444"/>
      <c r="DL107" s="444"/>
      <c r="DM107" s="444"/>
      <c r="DN107" s="444"/>
      <c r="DO107" s="444"/>
      <c r="DP107" s="444"/>
      <c r="DQ107" s="444"/>
      <c r="DR107" s="444"/>
      <c r="DS107" s="444"/>
      <c r="DT107" s="444"/>
      <c r="DU107" s="444"/>
      <c r="DV107" s="444"/>
      <c r="DW107" s="444"/>
      <c r="DX107" s="444"/>
      <c r="DY107" s="444"/>
      <c r="DZ107" s="444"/>
      <c r="EA107" s="444"/>
      <c r="EB107" s="444"/>
      <c r="EC107" s="444"/>
      <c r="ED107" s="444"/>
      <c r="EE107" s="444"/>
      <c r="EF107" s="444"/>
      <c r="EG107" s="444"/>
      <c r="EH107" s="444"/>
      <c r="EI107" s="444"/>
      <c r="EJ107" s="444"/>
      <c r="EK107" s="444"/>
      <c r="EL107" s="444"/>
      <c r="EM107" s="444"/>
      <c r="EN107" s="444"/>
      <c r="EO107" s="444"/>
      <c r="EP107" s="444"/>
      <c r="EQ107" s="444"/>
      <c r="ER107" s="444"/>
      <c r="ES107" s="444"/>
      <c r="ET107" s="444"/>
      <c r="EU107" s="444"/>
      <c r="EV107" s="444"/>
      <c r="EW107" s="444"/>
      <c r="EX107" s="444"/>
      <c r="EY107" s="444"/>
      <c r="EZ107" s="444"/>
      <c r="FA107" s="444"/>
      <c r="FB107" s="444"/>
      <c r="FC107" s="444"/>
      <c r="FD107" s="444"/>
      <c r="FE107" s="444"/>
      <c r="FF107" s="444"/>
      <c r="FG107" s="444"/>
      <c r="FH107" s="444"/>
      <c r="FI107" s="444"/>
      <c r="FJ107" s="444"/>
      <c r="FK107" s="444"/>
      <c r="FL107" s="444"/>
      <c r="FM107" s="444"/>
      <c r="FN107" s="444"/>
      <c r="FO107" s="444"/>
      <c r="FP107" s="444"/>
      <c r="FQ107" s="444"/>
      <c r="FR107" s="444"/>
      <c r="FS107" s="444"/>
      <c r="FT107" s="444"/>
      <c r="FU107" s="444"/>
      <c r="FV107" s="444"/>
      <c r="FW107" s="444"/>
    </row>
    <row r="108" spans="1:179" ht="13.8">
      <c r="A108" s="444"/>
      <c r="B108" s="444"/>
      <c r="C108" s="853" t="s">
        <v>955</v>
      </c>
      <c r="D108" s="853"/>
      <c r="E108" s="853"/>
      <c r="F108" s="853"/>
      <c r="G108" s="853"/>
      <c r="H108" s="853"/>
      <c r="I108" s="853"/>
      <c r="J108" s="853"/>
      <c r="K108" s="853"/>
      <c r="L108" s="853"/>
      <c r="M108" s="853"/>
      <c r="N108" s="853"/>
      <c r="O108" s="853"/>
      <c r="P108" s="858"/>
      <c r="Q108" s="858"/>
      <c r="R108" s="858"/>
      <c r="S108" s="858"/>
      <c r="T108" s="858"/>
      <c r="U108" s="858"/>
      <c r="V108" s="858"/>
      <c r="W108" s="858"/>
      <c r="X108" s="858"/>
      <c r="Y108" s="858"/>
      <c r="Z108" s="858"/>
      <c r="AA108" s="858"/>
      <c r="AB108" s="858"/>
      <c r="AC108" s="858"/>
      <c r="AD108" s="858"/>
      <c r="AE108" s="858"/>
      <c r="AF108" s="858"/>
      <c r="AG108" s="858"/>
      <c r="AH108" s="858"/>
      <c r="AI108" s="858"/>
      <c r="AJ108" s="858"/>
      <c r="AK108" s="858"/>
      <c r="AL108" s="858"/>
      <c r="AM108" s="858"/>
      <c r="AN108" s="858"/>
      <c r="AO108" s="858"/>
      <c r="AP108" s="858"/>
      <c r="AQ108" s="858"/>
      <c r="AR108" s="858"/>
      <c r="AS108" s="858"/>
      <c r="AT108" s="858"/>
      <c r="AU108" s="858"/>
      <c r="AV108" s="858">
        <f>AV100-AV107</f>
        <v>3309</v>
      </c>
      <c r="AW108" s="858">
        <f>AW100-AW107</f>
        <v>3438.4</v>
      </c>
      <c r="AX108" s="858">
        <f>AX100-AX107</f>
        <v>6747.4</v>
      </c>
      <c r="AY108" s="858"/>
      <c r="AZ108" s="858">
        <f>AZ100-AZ107</f>
        <v>3444.5</v>
      </c>
      <c r="BA108" s="858">
        <f>BA100-BA107</f>
        <v>3256.8</v>
      </c>
      <c r="BB108" s="858">
        <f>BB100-BB107</f>
        <v>6699.3</v>
      </c>
      <c r="BC108" s="858"/>
      <c r="BD108" s="858">
        <f>BD100-BD107</f>
        <v>2024.8</v>
      </c>
      <c r="BE108" s="858">
        <f>BE100-BE107</f>
        <v>2629.2</v>
      </c>
      <c r="BF108" s="858">
        <f>BF100-BF107</f>
        <v>4635.5</v>
      </c>
      <c r="BG108" s="858"/>
      <c r="BH108" s="858">
        <f>BH100-BH107</f>
        <v>3354.7</v>
      </c>
      <c r="BI108" s="858">
        <f>BI100-BI107</f>
        <v>3290.6</v>
      </c>
      <c r="BJ108" s="858">
        <f>BJ100-BJ107</f>
        <v>6622.3</v>
      </c>
      <c r="BK108" s="858"/>
      <c r="BL108" s="858">
        <f>BL100-BL107</f>
        <v>3043.7</v>
      </c>
      <c r="BM108" s="858">
        <f>BM100-BM107</f>
        <v>3431.4</v>
      </c>
      <c r="BN108" s="858">
        <f>BN100-BN107</f>
        <v>6469</v>
      </c>
      <c r="BO108" s="858"/>
      <c r="BP108" s="858">
        <f>BP100-BP107</f>
        <v>3943.1</v>
      </c>
      <c r="BQ108" s="858">
        <f>BQ100-BQ107</f>
        <v>3666.6</v>
      </c>
      <c r="BR108" s="858">
        <f>BR100-BR107</f>
        <v>7614.3</v>
      </c>
      <c r="BS108" s="858"/>
      <c r="BT108" s="858">
        <f>BT100-BT107</f>
        <v>3581.4</v>
      </c>
      <c r="BU108" s="858">
        <f>BU100-BU107</f>
        <v>3173</v>
      </c>
      <c r="BV108" s="858">
        <f>BV100-BV107</f>
        <v>6754.4</v>
      </c>
      <c r="BW108" s="858"/>
      <c r="BX108" s="858">
        <f>BX100-BX107</f>
        <v>3568</v>
      </c>
      <c r="BY108" s="858">
        <f>BY100-BY107</f>
        <v>2662.8</v>
      </c>
      <c r="BZ108" s="858">
        <f>BZ100-BZ107</f>
        <v>6230.8</v>
      </c>
      <c r="CA108" s="858"/>
      <c r="CB108" s="858">
        <f ca="1">CB100-CB107</f>
        <v>3701.5536350305647</v>
      </c>
      <c r="CC108" s="858">
        <f ca="1">CC100-CC107</f>
        <v>3826.2909150494493</v>
      </c>
      <c r="CD108" s="858">
        <f ca="1">CD100-CD107</f>
        <v>7527.8445500800126</v>
      </c>
      <c r="CE108" s="858"/>
      <c r="CF108" s="858">
        <f ca="1">CF100-CF107</f>
        <v>3980.3177206167493</v>
      </c>
      <c r="CG108" s="858">
        <f ca="1">CG100-CG107</f>
        <v>3994.2697629431987</v>
      </c>
      <c r="CH108" s="858">
        <f ca="1">CH100-CH107</f>
        <v>7974.5874835599452</v>
      </c>
      <c r="CI108" s="858"/>
      <c r="CJ108" s="858">
        <f ca="1">CJ100-CJ107</f>
        <v>4160.9669530092879</v>
      </c>
      <c r="CK108" s="858">
        <f ca="1">CK100-CK107</f>
        <v>4318.1038988617502</v>
      </c>
      <c r="CL108" s="858">
        <f ca="1">CL100-CL107</f>
        <v>8479.0708518710398</v>
      </c>
      <c r="CM108" s="445"/>
      <c r="CN108" s="445"/>
      <c r="CO108" s="459"/>
      <c r="CP108" s="459"/>
      <c r="CQ108" s="459"/>
      <c r="CR108" s="459"/>
      <c r="CS108" s="459"/>
      <c r="CT108" s="459"/>
      <c r="CU108" s="459"/>
      <c r="CV108" s="459"/>
      <c r="CW108" s="459"/>
      <c r="CX108" s="459"/>
      <c r="CY108" s="459"/>
      <c r="CZ108" s="459"/>
      <c r="DA108" s="444"/>
      <c r="DB108" s="444"/>
      <c r="DC108" s="444"/>
      <c r="DD108" s="444"/>
      <c r="DE108" s="444"/>
      <c r="DF108" s="444"/>
      <c r="DG108" s="444"/>
      <c r="DH108" s="444"/>
      <c r="DI108" s="444"/>
      <c r="DJ108" s="444"/>
      <c r="DK108" s="444"/>
      <c r="DL108" s="444"/>
      <c r="DM108" s="444"/>
      <c r="DN108" s="444"/>
      <c r="DO108" s="444"/>
      <c r="DP108" s="444"/>
      <c r="DQ108" s="444"/>
      <c r="DR108" s="444"/>
      <c r="DS108" s="444"/>
      <c r="DT108" s="444"/>
      <c r="DU108" s="444"/>
      <c r="DV108" s="444"/>
      <c r="DW108" s="444"/>
      <c r="DX108" s="444"/>
      <c r="DY108" s="444"/>
      <c r="DZ108" s="444"/>
      <c r="EA108" s="444"/>
      <c r="EB108" s="444"/>
      <c r="EC108" s="444"/>
      <c r="ED108" s="444"/>
      <c r="EE108" s="444"/>
      <c r="EF108" s="444"/>
      <c r="EG108" s="444"/>
      <c r="EH108" s="444"/>
      <c r="EI108" s="444"/>
      <c r="EJ108" s="444"/>
      <c r="EK108" s="444"/>
      <c r="EL108" s="444"/>
      <c r="EM108" s="444"/>
      <c r="EN108" s="444"/>
      <c r="EO108" s="444"/>
      <c r="EP108" s="444"/>
      <c r="EQ108" s="444"/>
      <c r="ER108" s="444"/>
      <c r="ES108" s="444"/>
      <c r="ET108" s="444"/>
      <c r="EU108" s="444"/>
      <c r="EV108" s="444"/>
      <c r="EW108" s="444"/>
      <c r="EX108" s="444"/>
      <c r="EY108" s="444"/>
      <c r="EZ108" s="444"/>
      <c r="FA108" s="444"/>
      <c r="FB108" s="444"/>
      <c r="FC108" s="444"/>
      <c r="FD108" s="444"/>
      <c r="FE108" s="444"/>
      <c r="FF108" s="444"/>
      <c r="FG108" s="444"/>
      <c r="FH108" s="444"/>
      <c r="FI108" s="444"/>
      <c r="FJ108" s="444"/>
      <c r="FK108" s="444"/>
      <c r="FL108" s="444"/>
      <c r="FM108" s="444"/>
      <c r="FN108" s="444"/>
      <c r="FO108" s="444"/>
      <c r="FP108" s="444"/>
      <c r="FQ108" s="444"/>
      <c r="FR108" s="444"/>
      <c r="FS108" s="444"/>
      <c r="FT108" s="444"/>
      <c r="FU108" s="444"/>
      <c r="FV108" s="444"/>
      <c r="FW108" s="444"/>
    </row>
    <row r="109" spans="1:179" ht="13.8">
      <c r="A109" s="444"/>
      <c r="B109" s="444"/>
      <c r="C109" s="454"/>
      <c r="D109" s="454"/>
      <c r="E109" s="454"/>
      <c r="F109" s="454"/>
      <c r="G109" s="454"/>
      <c r="H109" s="454"/>
      <c r="I109" s="454"/>
      <c r="J109" s="454"/>
      <c r="K109" s="454"/>
      <c r="L109" s="454"/>
      <c r="M109" s="454"/>
      <c r="N109" s="454"/>
      <c r="O109" s="454"/>
      <c r="P109" s="503"/>
      <c r="Q109" s="503"/>
      <c r="R109" s="503"/>
      <c r="S109" s="503"/>
      <c r="T109" s="503"/>
      <c r="U109" s="503"/>
      <c r="V109" s="503"/>
      <c r="W109" s="503"/>
      <c r="X109" s="503"/>
      <c r="Y109" s="503"/>
      <c r="Z109" s="503"/>
      <c r="AA109" s="503"/>
      <c r="AB109" s="503"/>
      <c r="AC109" s="503"/>
      <c r="AD109" s="503"/>
      <c r="AE109" s="503"/>
      <c r="AF109" s="503"/>
      <c r="AG109" s="503"/>
      <c r="AH109" s="503"/>
      <c r="AI109" s="503"/>
      <c r="AJ109" s="503"/>
      <c r="AK109" s="503"/>
      <c r="AL109" s="503"/>
      <c r="AM109" s="503"/>
      <c r="AN109" s="503"/>
      <c r="AO109" s="503"/>
      <c r="AP109" s="503"/>
      <c r="AQ109" s="503"/>
      <c r="AR109" s="503"/>
      <c r="AS109" s="503"/>
      <c r="AT109" s="503"/>
      <c r="AU109" s="469"/>
      <c r="AV109" s="849">
        <v>3407</v>
      </c>
      <c r="AW109" s="849">
        <v>3483</v>
      </c>
      <c r="AX109" s="503"/>
      <c r="AY109" s="469"/>
      <c r="AZ109" s="849">
        <v>3467</v>
      </c>
      <c r="BA109" s="849">
        <v>3305</v>
      </c>
      <c r="BB109" s="849">
        <f>+AZ109+BA109</f>
        <v>6772</v>
      </c>
      <c r="BC109" s="503"/>
      <c r="BD109" s="503"/>
      <c r="BE109" s="503"/>
      <c r="BF109" s="503"/>
      <c r="BG109" s="503"/>
      <c r="BH109" s="503"/>
      <c r="BI109" s="503"/>
      <c r="BJ109" s="503"/>
      <c r="BK109" s="503"/>
      <c r="BL109" s="503"/>
      <c r="BM109" s="503"/>
      <c r="BN109" s="503"/>
      <c r="BO109" s="503"/>
      <c r="BP109" s="503"/>
      <c r="BQ109" s="503"/>
      <c r="BR109" s="503"/>
      <c r="BS109" s="503"/>
      <c r="BT109" s="503"/>
      <c r="BU109" s="503"/>
      <c r="BV109" s="503"/>
      <c r="BW109" s="503"/>
      <c r="BX109" s="503"/>
      <c r="BY109" s="503"/>
      <c r="BZ109" s="503"/>
      <c r="CA109" s="503"/>
      <c r="CB109" s="503"/>
      <c r="CC109" s="503"/>
      <c r="CD109" s="503"/>
      <c r="CE109" s="503"/>
      <c r="CF109" s="503"/>
      <c r="CG109" s="503"/>
      <c r="CH109" s="503"/>
      <c r="CI109" s="503"/>
      <c r="CJ109" s="503"/>
      <c r="CK109" s="503"/>
      <c r="CL109" s="503"/>
      <c r="CM109" s="445"/>
      <c r="CN109" s="445"/>
      <c r="CO109" s="459"/>
      <c r="CP109" s="459"/>
      <c r="CQ109" s="459"/>
      <c r="CR109" s="459"/>
      <c r="CS109" s="459"/>
      <c r="CT109" s="459"/>
      <c r="CU109" s="459"/>
      <c r="CV109" s="459"/>
      <c r="CW109" s="459"/>
      <c r="CX109" s="459"/>
      <c r="CY109" s="459"/>
      <c r="CZ109" s="459"/>
      <c r="DA109" s="444"/>
      <c r="DB109" s="444"/>
      <c r="DC109" s="444"/>
      <c r="DD109" s="444"/>
      <c r="DE109" s="444"/>
      <c r="DF109" s="444"/>
      <c r="DG109" s="444"/>
      <c r="DH109" s="444"/>
      <c r="DI109" s="444"/>
      <c r="DJ109" s="444"/>
      <c r="DK109" s="444"/>
      <c r="DL109" s="444"/>
      <c r="DM109" s="444"/>
      <c r="DN109" s="444"/>
      <c r="DO109" s="444"/>
      <c r="DP109" s="444"/>
      <c r="DQ109" s="444"/>
      <c r="DR109" s="444"/>
      <c r="DS109" s="444"/>
      <c r="DT109" s="444"/>
      <c r="DU109" s="444"/>
      <c r="DV109" s="444"/>
      <c r="DW109" s="444"/>
      <c r="DX109" s="444"/>
      <c r="DY109" s="444"/>
      <c r="DZ109" s="444"/>
      <c r="EA109" s="444"/>
      <c r="EB109" s="444"/>
      <c r="EC109" s="444"/>
      <c r="ED109" s="444"/>
      <c r="EE109" s="444"/>
      <c r="EF109" s="444"/>
      <c r="EG109" s="444"/>
      <c r="EH109" s="444"/>
      <c r="EI109" s="444"/>
      <c r="EJ109" s="444"/>
      <c r="EK109" s="444"/>
      <c r="EL109" s="444"/>
      <c r="EM109" s="444"/>
      <c r="EN109" s="444"/>
      <c r="EO109" s="444"/>
      <c r="EP109" s="444"/>
      <c r="EQ109" s="444"/>
      <c r="ER109" s="444"/>
      <c r="ES109" s="444"/>
      <c r="ET109" s="444"/>
      <c r="EU109" s="444"/>
      <c r="EV109" s="444"/>
      <c r="EW109" s="444"/>
      <c r="EX109" s="444"/>
      <c r="EY109" s="444"/>
      <c r="EZ109" s="444"/>
      <c r="FA109" s="444"/>
      <c r="FB109" s="444"/>
      <c r="FC109" s="444"/>
      <c r="FD109" s="444"/>
      <c r="FE109" s="444"/>
      <c r="FF109" s="444"/>
      <c r="FG109" s="444"/>
      <c r="FH109" s="444"/>
      <c r="FI109" s="444"/>
      <c r="FJ109" s="444"/>
      <c r="FK109" s="444"/>
      <c r="FL109" s="444"/>
      <c r="FM109" s="444"/>
      <c r="FN109" s="444"/>
      <c r="FO109" s="444"/>
      <c r="FP109" s="444"/>
      <c r="FQ109" s="444"/>
      <c r="FR109" s="444"/>
      <c r="FS109" s="444"/>
      <c r="FT109" s="444"/>
      <c r="FU109" s="444"/>
      <c r="FV109" s="444"/>
      <c r="FW109" s="444"/>
    </row>
    <row r="110" spans="1:179" ht="13.8">
      <c r="A110" s="444"/>
      <c r="B110" s="444"/>
      <c r="C110" s="898" t="s">
        <v>779</v>
      </c>
      <c r="D110" s="898"/>
      <c r="E110" s="898"/>
      <c r="F110" s="898"/>
      <c r="G110" s="898"/>
      <c r="H110" s="898"/>
      <c r="I110" s="898"/>
      <c r="J110" s="898"/>
      <c r="K110" s="898"/>
      <c r="L110" s="898"/>
      <c r="M110" s="898"/>
      <c r="N110" s="898"/>
      <c r="O110" s="898"/>
      <c r="P110" s="850"/>
      <c r="Q110" s="850"/>
      <c r="R110" s="850"/>
      <c r="S110" s="850"/>
      <c r="T110" s="850"/>
      <c r="U110" s="850"/>
      <c r="V110" s="850"/>
      <c r="W110" s="850"/>
      <c r="X110" s="850"/>
      <c r="Y110" s="850"/>
      <c r="Z110" s="850"/>
      <c r="AA110" s="850"/>
      <c r="AB110" s="850"/>
      <c r="AC110" s="850"/>
      <c r="AD110" s="850"/>
      <c r="AE110" s="850"/>
      <c r="AF110" s="850"/>
      <c r="AG110" s="850"/>
      <c r="AH110" s="850"/>
      <c r="AI110" s="850"/>
      <c r="AJ110" s="850"/>
      <c r="AK110" s="850"/>
      <c r="AL110" s="850"/>
      <c r="AM110" s="850"/>
      <c r="AN110" s="850"/>
      <c r="AO110" s="850"/>
      <c r="AP110" s="850"/>
      <c r="AQ110" s="850"/>
      <c r="AR110" s="850"/>
      <c r="AS110" s="850"/>
      <c r="AT110" s="850"/>
      <c r="AU110" s="899"/>
      <c r="AV110" s="849"/>
      <c r="AW110" s="849"/>
      <c r="AX110" s="850"/>
      <c r="AY110" s="899"/>
      <c r="AZ110" s="852">
        <f>+AZ108/AV108-1</f>
        <v>4.0948927168328764E-2</v>
      </c>
      <c r="BA110" s="852">
        <f>+BA108/AW108-1</f>
        <v>-5.2815262912982774E-2</v>
      </c>
      <c r="BB110" s="852">
        <f>+BB108/AX108-1</f>
        <v>-7.128671784687346E-3</v>
      </c>
      <c r="BC110" s="850"/>
      <c r="BD110" s="850"/>
      <c r="BE110" s="850"/>
      <c r="BF110" s="852">
        <f>+BF108/BB108-1</f>
        <v>-0.30806203633215412</v>
      </c>
      <c r="BG110" s="850"/>
      <c r="BH110" s="850"/>
      <c r="BI110" s="850"/>
      <c r="BJ110" s="852">
        <f>+BJ108/BF108-1</f>
        <v>0.42860532844353361</v>
      </c>
      <c r="BK110" s="850"/>
      <c r="BL110" s="850"/>
      <c r="BM110" s="850"/>
      <c r="BN110" s="852">
        <f>+BN108/BJ108-1</f>
        <v>-2.3149056974163029E-2</v>
      </c>
      <c r="BO110" s="850"/>
      <c r="BP110" s="850"/>
      <c r="BQ110" s="850"/>
      <c r="BR110" s="852">
        <f>+BR108/BN108-1</f>
        <v>0.17704436543515234</v>
      </c>
      <c r="BS110" s="850"/>
      <c r="BT110" s="850"/>
      <c r="BU110" s="850"/>
      <c r="BV110" s="852">
        <f>+BV108/BR108-1</f>
        <v>-0.11293224590573003</v>
      </c>
      <c r="BW110" s="850"/>
      <c r="BX110" s="850"/>
      <c r="BY110" s="850"/>
      <c r="BZ110" s="852">
        <f>+BZ108/BV108-1</f>
        <v>-7.7519838919815176E-2</v>
      </c>
      <c r="CA110" s="850"/>
      <c r="CB110" s="850"/>
      <c r="CC110" s="850"/>
      <c r="CD110" s="852">
        <f ca="1">+CD108/BZ108-1</f>
        <v>0.2081666158567137</v>
      </c>
      <c r="CE110" s="850"/>
      <c r="CF110" s="850"/>
      <c r="CG110" s="850"/>
      <c r="CH110" s="852">
        <f ca="1">+CH108/CD108-1</f>
        <v>5.934539834183794E-2</v>
      </c>
      <c r="CI110" s="850"/>
      <c r="CJ110" s="850"/>
      <c r="CK110" s="850"/>
      <c r="CL110" s="852">
        <f ca="1">+CL108/CH108-1</f>
        <v>6.3261374880031696E-2</v>
      </c>
      <c r="CM110" s="445"/>
      <c r="CN110" s="445"/>
      <c r="CO110" s="459"/>
      <c r="CP110" s="459"/>
      <c r="CQ110" s="459"/>
      <c r="CR110" s="459"/>
      <c r="CS110" s="459"/>
      <c r="CT110" s="459"/>
      <c r="CU110" s="459"/>
      <c r="CV110" s="459"/>
      <c r="CW110" s="459"/>
      <c r="CX110" s="459"/>
      <c r="CY110" s="459"/>
      <c r="CZ110" s="459"/>
      <c r="DA110" s="444"/>
      <c r="DB110" s="444"/>
      <c r="DC110" s="444"/>
      <c r="DD110" s="444"/>
      <c r="DE110" s="444"/>
      <c r="DF110" s="444"/>
      <c r="DG110" s="444"/>
      <c r="DH110" s="444"/>
      <c r="DI110" s="444"/>
      <c r="DJ110" s="444"/>
      <c r="DK110" s="444"/>
      <c r="DL110" s="444"/>
      <c r="DM110" s="444"/>
      <c r="DN110" s="444"/>
      <c r="DO110" s="444"/>
      <c r="DP110" s="444"/>
      <c r="DQ110" s="444"/>
      <c r="DR110" s="444"/>
      <c r="DS110" s="444"/>
      <c r="DT110" s="444"/>
      <c r="DU110" s="444"/>
      <c r="DV110" s="444"/>
      <c r="DW110" s="444"/>
      <c r="DX110" s="444"/>
      <c r="DY110" s="444"/>
      <c r="DZ110" s="444"/>
      <c r="EA110" s="444"/>
      <c r="EB110" s="444"/>
      <c r="EC110" s="444"/>
      <c r="ED110" s="444"/>
      <c r="EE110" s="444"/>
      <c r="EF110" s="444"/>
      <c r="EG110" s="444"/>
      <c r="EH110" s="444"/>
      <c r="EI110" s="444"/>
      <c r="EJ110" s="444"/>
      <c r="EK110" s="444"/>
      <c r="EL110" s="444"/>
      <c r="EM110" s="444"/>
      <c r="EN110" s="444"/>
      <c r="EO110" s="444"/>
      <c r="EP110" s="444"/>
      <c r="EQ110" s="444"/>
      <c r="ER110" s="444"/>
      <c r="ES110" s="444"/>
      <c r="ET110" s="444"/>
      <c r="EU110" s="444"/>
      <c r="EV110" s="444"/>
      <c r="EW110" s="444"/>
      <c r="EX110" s="444"/>
      <c r="EY110" s="444"/>
      <c r="EZ110" s="444"/>
      <c r="FA110" s="444"/>
      <c r="FB110" s="444"/>
      <c r="FC110" s="444"/>
      <c r="FD110" s="444"/>
      <c r="FE110" s="444"/>
      <c r="FF110" s="444"/>
      <c r="FG110" s="444"/>
      <c r="FH110" s="444"/>
      <c r="FI110" s="444"/>
      <c r="FJ110" s="444"/>
      <c r="FK110" s="444"/>
      <c r="FL110" s="444"/>
      <c r="FM110" s="444"/>
      <c r="FN110" s="444"/>
      <c r="FO110" s="444"/>
      <c r="FP110" s="444"/>
      <c r="FQ110" s="444"/>
      <c r="FR110" s="444"/>
      <c r="FS110" s="444"/>
      <c r="FT110" s="444"/>
      <c r="FU110" s="444"/>
      <c r="FV110" s="444"/>
      <c r="FW110" s="444"/>
    </row>
    <row r="111" spans="1:179" ht="13.8">
      <c r="A111" s="444"/>
      <c r="B111" s="444"/>
      <c r="C111" s="898" t="s">
        <v>838</v>
      </c>
      <c r="D111" s="898"/>
      <c r="E111" s="898"/>
      <c r="F111" s="898"/>
      <c r="G111" s="898"/>
      <c r="H111" s="898"/>
      <c r="I111" s="898"/>
      <c r="J111" s="898"/>
      <c r="K111" s="898"/>
      <c r="L111" s="898"/>
      <c r="M111" s="898"/>
      <c r="N111" s="898"/>
      <c r="O111" s="898"/>
      <c r="P111" s="850"/>
      <c r="Q111" s="850"/>
      <c r="R111" s="850"/>
      <c r="S111" s="850"/>
      <c r="T111" s="850"/>
      <c r="U111" s="850"/>
      <c r="V111" s="850"/>
      <c r="W111" s="850"/>
      <c r="X111" s="850"/>
      <c r="Y111" s="850"/>
      <c r="Z111" s="850"/>
      <c r="AA111" s="850"/>
      <c r="AB111" s="850"/>
      <c r="AC111" s="850"/>
      <c r="AD111" s="850"/>
      <c r="AE111" s="850"/>
      <c r="AF111" s="850"/>
      <c r="AG111" s="850"/>
      <c r="AH111" s="850"/>
      <c r="AI111" s="850"/>
      <c r="AJ111" s="850"/>
      <c r="AK111" s="850"/>
      <c r="AL111" s="850"/>
      <c r="AM111" s="850"/>
      <c r="AN111" s="850"/>
      <c r="AO111" s="850"/>
      <c r="AP111" s="850"/>
      <c r="AQ111" s="850"/>
      <c r="AR111" s="850"/>
      <c r="AS111" s="850"/>
      <c r="AT111" s="850"/>
      <c r="AU111" s="899"/>
      <c r="AV111" s="849"/>
      <c r="AW111" s="852">
        <f>+AW108/AV108-1</f>
        <v>3.9105469930492687E-2</v>
      </c>
      <c r="AX111" s="850"/>
      <c r="AY111" s="899"/>
      <c r="AZ111" s="852">
        <f>+AZ108/AW108-1</f>
        <v>1.774080967892111E-3</v>
      </c>
      <c r="BA111" s="852">
        <f>+BA108/AZ108-1</f>
        <v>-5.4492669473072963E-2</v>
      </c>
      <c r="BB111" s="849"/>
      <c r="BC111" s="850"/>
      <c r="BD111" s="850"/>
      <c r="BE111" s="850"/>
      <c r="BF111" s="850"/>
      <c r="BG111" s="850"/>
      <c r="BH111" s="850"/>
      <c r="BI111" s="850"/>
      <c r="BJ111" s="850"/>
      <c r="BK111" s="850"/>
      <c r="BL111" s="850"/>
      <c r="BM111" s="850"/>
      <c r="BN111" s="850"/>
      <c r="BO111" s="850"/>
      <c r="BP111" s="850"/>
      <c r="BQ111" s="850"/>
      <c r="BR111" s="850"/>
      <c r="BS111" s="850"/>
      <c r="BT111" s="850"/>
      <c r="BU111" s="850"/>
      <c r="BV111" s="850"/>
      <c r="BW111" s="850"/>
      <c r="BX111" s="850"/>
      <c r="BY111" s="850"/>
      <c r="BZ111" s="850"/>
      <c r="CA111" s="850"/>
      <c r="CB111" s="850"/>
      <c r="CC111" s="850"/>
      <c r="CD111" s="850"/>
      <c r="CE111" s="850"/>
      <c r="CF111" s="850"/>
      <c r="CG111" s="850"/>
      <c r="CH111" s="850"/>
      <c r="CI111" s="850"/>
      <c r="CJ111" s="850"/>
      <c r="CK111" s="850"/>
      <c r="CL111" s="850"/>
      <c r="CM111" s="445"/>
      <c r="CN111" s="445"/>
      <c r="CO111" s="459"/>
      <c r="CP111" s="459"/>
      <c r="CQ111" s="459"/>
      <c r="CR111" s="459"/>
      <c r="CS111" s="459"/>
      <c r="CT111" s="459"/>
      <c r="CU111" s="459"/>
      <c r="CV111" s="459"/>
      <c r="CW111" s="459"/>
      <c r="CX111" s="459"/>
      <c r="CY111" s="459"/>
      <c r="CZ111" s="459"/>
      <c r="DA111" s="444"/>
      <c r="DB111" s="444"/>
      <c r="DC111" s="444"/>
      <c r="DD111" s="444"/>
      <c r="DE111" s="444"/>
      <c r="DF111" s="444"/>
      <c r="DG111" s="444"/>
      <c r="DH111" s="444"/>
      <c r="DI111" s="444"/>
      <c r="DJ111" s="444"/>
      <c r="DK111" s="444"/>
      <c r="DL111" s="444"/>
      <c r="DM111" s="444"/>
      <c r="DN111" s="444"/>
      <c r="DO111" s="444"/>
      <c r="DP111" s="444"/>
      <c r="DQ111" s="444"/>
      <c r="DR111" s="444"/>
      <c r="DS111" s="444"/>
      <c r="DT111" s="444"/>
      <c r="DU111" s="444"/>
      <c r="DV111" s="444"/>
      <c r="DW111" s="444"/>
      <c r="DX111" s="444"/>
      <c r="DY111" s="444"/>
      <c r="DZ111" s="444"/>
      <c r="EA111" s="444"/>
      <c r="EB111" s="444"/>
      <c r="EC111" s="444"/>
      <c r="ED111" s="444"/>
      <c r="EE111" s="444"/>
      <c r="EF111" s="444"/>
      <c r="EG111" s="444"/>
      <c r="EH111" s="444"/>
      <c r="EI111" s="444"/>
      <c r="EJ111" s="444"/>
      <c r="EK111" s="444"/>
      <c r="EL111" s="444"/>
      <c r="EM111" s="444"/>
      <c r="EN111" s="444"/>
      <c r="EO111" s="444"/>
      <c r="EP111" s="444"/>
      <c r="EQ111" s="444"/>
      <c r="ER111" s="444"/>
      <c r="ES111" s="444"/>
      <c r="ET111" s="444"/>
      <c r="EU111" s="444"/>
      <c r="EV111" s="444"/>
      <c r="EW111" s="444"/>
      <c r="EX111" s="444"/>
      <c r="EY111" s="444"/>
      <c r="EZ111" s="444"/>
      <c r="FA111" s="444"/>
      <c r="FB111" s="444"/>
      <c r="FC111" s="444"/>
      <c r="FD111" s="444"/>
      <c r="FE111" s="444"/>
      <c r="FF111" s="444"/>
      <c r="FG111" s="444"/>
      <c r="FH111" s="444"/>
      <c r="FI111" s="444"/>
      <c r="FJ111" s="444"/>
      <c r="FK111" s="444"/>
      <c r="FL111" s="444"/>
      <c r="FM111" s="444"/>
      <c r="FN111" s="444"/>
      <c r="FO111" s="444"/>
      <c r="FP111" s="444"/>
      <c r="FQ111" s="444"/>
      <c r="FR111" s="444"/>
      <c r="FS111" s="444"/>
      <c r="FT111" s="444"/>
      <c r="FU111" s="444"/>
      <c r="FV111" s="444"/>
      <c r="FW111" s="444"/>
    </row>
    <row r="112" spans="1:179" ht="13.8">
      <c r="A112" s="444"/>
      <c r="B112" s="444"/>
      <c r="D112" s="454"/>
      <c r="E112" s="454"/>
      <c r="F112" s="454"/>
      <c r="G112" s="454"/>
      <c r="H112" s="454"/>
      <c r="I112" s="454"/>
      <c r="J112" s="454"/>
      <c r="K112" s="454"/>
      <c r="L112" s="454"/>
      <c r="M112" s="454"/>
      <c r="N112" s="454"/>
      <c r="O112" s="454"/>
      <c r="P112" s="503"/>
      <c r="Q112" s="503"/>
      <c r="R112" s="503"/>
      <c r="S112" s="503"/>
      <c r="T112" s="503"/>
      <c r="U112" s="503"/>
      <c r="V112" s="503"/>
      <c r="W112" s="503"/>
      <c r="X112" s="503"/>
      <c r="Y112" s="503"/>
      <c r="Z112" s="503"/>
      <c r="AA112" s="503"/>
      <c r="AB112" s="503"/>
      <c r="AC112" s="503"/>
      <c r="AD112" s="503"/>
      <c r="AE112" s="503"/>
      <c r="AF112" s="503"/>
      <c r="AG112" s="503"/>
      <c r="AH112" s="503"/>
      <c r="AI112" s="503"/>
      <c r="AJ112" s="503"/>
      <c r="AK112" s="503"/>
      <c r="AL112" s="503"/>
      <c r="AM112" s="503"/>
      <c r="AN112" s="503"/>
      <c r="AO112" s="503"/>
      <c r="AP112" s="503"/>
      <c r="AQ112" s="503"/>
      <c r="AR112" s="503"/>
      <c r="AS112" s="503"/>
      <c r="AT112" s="503"/>
      <c r="AU112" s="469"/>
      <c r="AV112" s="503"/>
      <c r="AW112" s="503"/>
      <c r="AX112" s="503"/>
      <c r="AY112" s="469"/>
      <c r="AZ112" s="503"/>
      <c r="BA112" s="503"/>
      <c r="BB112" s="503"/>
      <c r="BC112" s="503"/>
      <c r="BD112" s="503"/>
      <c r="BE112" s="503"/>
      <c r="BF112" s="503"/>
      <c r="BG112" s="503"/>
      <c r="BH112" s="503"/>
      <c r="BI112" s="503"/>
      <c r="BJ112" s="503"/>
      <c r="BK112" s="503"/>
      <c r="BL112" s="503"/>
      <c r="BM112" s="503"/>
      <c r="BN112" s="503"/>
      <c r="BO112" s="503"/>
      <c r="BP112" s="503"/>
      <c r="BQ112" s="503"/>
      <c r="BR112" s="503"/>
      <c r="BS112" s="503"/>
      <c r="BT112" s="503"/>
      <c r="BU112" s="503"/>
      <c r="BV112" s="503"/>
      <c r="BW112" s="503"/>
      <c r="BX112" s="503"/>
      <c r="BY112" s="503"/>
      <c r="BZ112" s="503"/>
      <c r="CA112" s="503"/>
      <c r="CB112" s="503"/>
      <c r="CC112" s="503"/>
      <c r="CD112" s="503"/>
      <c r="CE112" s="503"/>
      <c r="CF112" s="503"/>
      <c r="CG112" s="503"/>
      <c r="CH112" s="503"/>
      <c r="CI112" s="503"/>
      <c r="CJ112" s="503"/>
      <c r="CK112" s="503"/>
      <c r="CL112" s="503"/>
      <c r="CM112" s="445"/>
      <c r="CN112" s="445"/>
      <c r="CO112" s="459"/>
      <c r="CP112" s="459"/>
      <c r="CQ112" s="459"/>
      <c r="CR112" s="459"/>
      <c r="CS112" s="459"/>
      <c r="CT112" s="459"/>
      <c r="CU112" s="459"/>
      <c r="CV112" s="459"/>
      <c r="CW112" s="459"/>
      <c r="CX112" s="459"/>
      <c r="CY112" s="459"/>
      <c r="CZ112" s="459"/>
      <c r="DA112" s="444"/>
      <c r="DB112" s="444"/>
      <c r="DC112" s="444"/>
      <c r="DD112" s="444"/>
      <c r="DE112" s="444"/>
      <c r="DF112" s="444"/>
      <c r="DG112" s="444"/>
      <c r="DH112" s="444"/>
      <c r="DI112" s="444"/>
      <c r="DJ112" s="444"/>
      <c r="DK112" s="444"/>
      <c r="DL112" s="444"/>
      <c r="DM112" s="444"/>
      <c r="DN112" s="444"/>
      <c r="DO112" s="444"/>
      <c r="DP112" s="444"/>
      <c r="DQ112" s="444"/>
      <c r="DR112" s="444"/>
      <c r="DS112" s="444"/>
      <c r="DT112" s="444"/>
      <c r="DU112" s="444"/>
      <c r="DV112" s="444"/>
      <c r="DW112" s="444"/>
      <c r="DX112" s="444"/>
      <c r="DY112" s="444"/>
      <c r="DZ112" s="444"/>
      <c r="EA112" s="444"/>
      <c r="EB112" s="444"/>
      <c r="EC112" s="444"/>
      <c r="ED112" s="444"/>
      <c r="EE112" s="444"/>
      <c r="EF112" s="444"/>
      <c r="EG112" s="444"/>
      <c r="EH112" s="444"/>
      <c r="EI112" s="444"/>
      <c r="EJ112" s="444"/>
      <c r="EK112" s="444"/>
      <c r="EL112" s="444"/>
      <c r="EM112" s="444"/>
      <c r="EN112" s="444"/>
      <c r="EO112" s="444"/>
      <c r="EP112" s="444"/>
      <c r="EQ112" s="444"/>
      <c r="ER112" s="444"/>
      <c r="ES112" s="444"/>
      <c r="ET112" s="444"/>
      <c r="EU112" s="444"/>
      <c r="EV112" s="444"/>
      <c r="EW112" s="444"/>
      <c r="EX112" s="444"/>
      <c r="EY112" s="444"/>
      <c r="EZ112" s="444"/>
      <c r="FA112" s="444"/>
      <c r="FB112" s="444"/>
      <c r="FC112" s="444"/>
      <c r="FD112" s="444"/>
      <c r="FE112" s="444"/>
      <c r="FF112" s="444"/>
      <c r="FG112" s="444"/>
      <c r="FH112" s="444"/>
      <c r="FI112" s="444"/>
      <c r="FJ112" s="444"/>
      <c r="FK112" s="444"/>
      <c r="FL112" s="444"/>
      <c r="FM112" s="444"/>
      <c r="FN112" s="444"/>
      <c r="FO112" s="444"/>
      <c r="FP112" s="444"/>
      <c r="FQ112" s="444"/>
      <c r="FR112" s="444"/>
      <c r="FS112" s="444"/>
      <c r="FT112" s="444"/>
      <c r="FU112" s="444"/>
      <c r="FV112" s="444"/>
      <c r="FW112" s="444"/>
    </row>
    <row r="113" spans="1:179" ht="13.8">
      <c r="A113" s="444"/>
      <c r="B113" s="444"/>
      <c r="C113" s="454"/>
      <c r="D113" s="454"/>
      <c r="E113" s="454"/>
      <c r="F113" s="454"/>
      <c r="G113" s="454"/>
      <c r="H113" s="454"/>
      <c r="I113" s="454"/>
      <c r="J113" s="454"/>
      <c r="K113" s="454"/>
      <c r="L113" s="454"/>
      <c r="M113" s="454"/>
      <c r="N113" s="454"/>
      <c r="O113" s="454"/>
      <c r="P113" s="503"/>
      <c r="Q113" s="503"/>
      <c r="R113" s="503"/>
      <c r="S113" s="503"/>
      <c r="T113" s="503"/>
      <c r="U113" s="503"/>
      <c r="V113" s="503"/>
      <c r="W113" s="503"/>
      <c r="X113" s="503"/>
      <c r="Y113" s="503"/>
      <c r="Z113" s="503"/>
      <c r="AA113" s="503"/>
      <c r="AB113" s="503"/>
      <c r="AC113" s="503"/>
      <c r="AD113" s="503"/>
      <c r="AE113" s="503"/>
      <c r="AF113" s="503"/>
      <c r="AG113" s="503"/>
      <c r="AH113" s="503"/>
      <c r="AI113" s="503"/>
      <c r="AJ113" s="503"/>
      <c r="AK113" s="503"/>
      <c r="AL113" s="503"/>
      <c r="AM113" s="503"/>
      <c r="AN113" s="503"/>
      <c r="AO113" s="503"/>
      <c r="AP113" s="503"/>
      <c r="AQ113" s="503"/>
      <c r="AR113" s="503"/>
      <c r="AS113" s="503"/>
      <c r="AT113" s="503"/>
      <c r="AU113" s="469"/>
      <c r="AV113" s="503"/>
      <c r="AW113" s="503"/>
      <c r="AX113" s="503"/>
      <c r="AY113" s="469"/>
      <c r="AZ113" s="503"/>
      <c r="BA113" s="503"/>
      <c r="BB113" s="503"/>
      <c r="BC113" s="503"/>
      <c r="BD113" s="503"/>
      <c r="BE113" s="503"/>
      <c r="BF113" s="503"/>
      <c r="BG113" s="503"/>
      <c r="BH113" s="503"/>
      <c r="BI113" s="503"/>
      <c r="BJ113" s="503"/>
      <c r="BK113" s="503"/>
      <c r="BL113" s="503"/>
      <c r="BM113" s="503"/>
      <c r="BN113" s="503"/>
      <c r="BO113" s="503"/>
      <c r="BP113" s="503"/>
      <c r="BQ113" s="503"/>
      <c r="BR113" s="503"/>
      <c r="BS113" s="503"/>
      <c r="BT113" s="503"/>
      <c r="BU113" s="503"/>
      <c r="BV113" s="503"/>
      <c r="BW113" s="503"/>
      <c r="BX113" s="503"/>
      <c r="BY113" s="503"/>
      <c r="BZ113" s="503"/>
      <c r="CA113" s="503"/>
      <c r="CB113" s="503"/>
      <c r="CC113" s="503"/>
      <c r="CD113" s="503"/>
      <c r="CE113" s="503"/>
      <c r="CF113" s="503"/>
      <c r="CG113" s="503"/>
      <c r="CH113" s="503"/>
      <c r="CI113" s="503"/>
      <c r="CJ113" s="503"/>
      <c r="CK113" s="503"/>
      <c r="CL113" s="503"/>
      <c r="CM113" s="445"/>
      <c r="CN113" s="445"/>
      <c r="CO113" s="459"/>
      <c r="CP113" s="459"/>
      <c r="CQ113" s="459"/>
      <c r="CR113" s="459"/>
      <c r="CS113" s="459"/>
      <c r="CT113" s="459"/>
      <c r="CU113" s="459"/>
      <c r="CV113" s="459"/>
      <c r="CW113" s="459"/>
      <c r="CX113" s="459"/>
      <c r="CY113" s="459"/>
      <c r="CZ113" s="459"/>
      <c r="DA113" s="444"/>
      <c r="DB113" s="444"/>
      <c r="DC113" s="444"/>
      <c r="DD113" s="444"/>
      <c r="DE113" s="444"/>
      <c r="DF113" s="444"/>
      <c r="DG113" s="444"/>
      <c r="DH113" s="444"/>
      <c r="DI113" s="444"/>
      <c r="DJ113" s="444"/>
      <c r="DK113" s="444"/>
      <c r="DL113" s="444"/>
      <c r="DM113" s="444"/>
      <c r="DN113" s="444"/>
      <c r="DO113" s="444"/>
      <c r="DP113" s="444"/>
      <c r="DQ113" s="444"/>
      <c r="DR113" s="444"/>
      <c r="DS113" s="444"/>
      <c r="DT113" s="444"/>
      <c r="DU113" s="444"/>
      <c r="DV113" s="444"/>
      <c r="DW113" s="444"/>
      <c r="DX113" s="444"/>
      <c r="DY113" s="444"/>
      <c r="DZ113" s="444"/>
      <c r="EA113" s="444"/>
      <c r="EB113" s="444"/>
      <c r="EC113" s="444"/>
      <c r="ED113" s="444"/>
      <c r="EE113" s="444"/>
      <c r="EF113" s="444"/>
      <c r="EG113" s="444"/>
      <c r="EH113" s="444"/>
      <c r="EI113" s="444"/>
      <c r="EJ113" s="444"/>
      <c r="EK113" s="444"/>
      <c r="EL113" s="444"/>
      <c r="EM113" s="444"/>
      <c r="EN113" s="444"/>
      <c r="EO113" s="444"/>
      <c r="EP113" s="444"/>
      <c r="EQ113" s="444"/>
      <c r="ER113" s="444"/>
      <c r="ES113" s="444"/>
      <c r="ET113" s="444"/>
      <c r="EU113" s="444"/>
      <c r="EV113" s="444"/>
      <c r="EW113" s="444"/>
      <c r="EX113" s="444"/>
      <c r="EY113" s="444"/>
      <c r="EZ113" s="444"/>
      <c r="FA113" s="444"/>
      <c r="FB113" s="444"/>
      <c r="FC113" s="444"/>
      <c r="FD113" s="444"/>
      <c r="FE113" s="444"/>
      <c r="FF113" s="444"/>
      <c r="FG113" s="444"/>
      <c r="FH113" s="444"/>
      <c r="FI113" s="444"/>
      <c r="FJ113" s="444"/>
      <c r="FK113" s="444"/>
      <c r="FL113" s="444"/>
      <c r="FM113" s="444"/>
      <c r="FN113" s="444"/>
      <c r="FO113" s="444"/>
      <c r="FP113" s="444"/>
      <c r="FQ113" s="444"/>
      <c r="FR113" s="444"/>
      <c r="FS113" s="444"/>
      <c r="FT113" s="444"/>
      <c r="FU113" s="444"/>
      <c r="FV113" s="444"/>
      <c r="FW113" s="444"/>
    </row>
    <row r="114" spans="1:179" ht="13.8">
      <c r="A114" s="444"/>
      <c r="B114" s="444"/>
      <c r="C114" s="855" t="s">
        <v>958</v>
      </c>
      <c r="D114" s="856"/>
      <c r="E114" s="856"/>
      <c r="F114" s="856"/>
      <c r="G114" s="856"/>
      <c r="H114" s="856"/>
      <c r="I114" s="856"/>
      <c r="J114" s="856"/>
      <c r="K114" s="856"/>
      <c r="L114" s="856"/>
      <c r="M114" s="856"/>
      <c r="N114" s="856"/>
      <c r="O114" s="856"/>
      <c r="P114" s="857"/>
      <c r="Q114" s="857"/>
      <c r="R114" s="857"/>
      <c r="S114" s="857"/>
      <c r="T114" s="857"/>
      <c r="U114" s="857"/>
      <c r="V114" s="857"/>
      <c r="W114" s="857"/>
      <c r="X114" s="857"/>
      <c r="Y114" s="857"/>
      <c r="Z114" s="857"/>
      <c r="AA114" s="857"/>
      <c r="AB114" s="857"/>
      <c r="AC114" s="857"/>
      <c r="AD114" s="857"/>
      <c r="AE114" s="857"/>
      <c r="AF114" s="857"/>
      <c r="AG114" s="857"/>
      <c r="AH114" s="857"/>
      <c r="AI114" s="857"/>
      <c r="AJ114" s="857"/>
      <c r="AK114" s="857"/>
      <c r="AL114" s="857"/>
      <c r="AM114" s="857"/>
      <c r="AN114" s="857"/>
      <c r="AO114" s="857"/>
      <c r="AP114" s="857"/>
      <c r="AQ114" s="857"/>
      <c r="AR114" s="857"/>
      <c r="AS114" s="857"/>
      <c r="AT114" s="857"/>
      <c r="AU114" s="857"/>
      <c r="AV114" s="857"/>
      <c r="AW114" s="857"/>
      <c r="AX114" s="857"/>
      <c r="AY114" s="857"/>
      <c r="AZ114" s="857"/>
      <c r="BA114" s="857"/>
      <c r="BB114" s="857"/>
      <c r="BC114" s="857"/>
      <c r="BD114" s="857"/>
      <c r="BE114" s="857"/>
      <c r="BF114" s="857"/>
      <c r="BG114" s="857"/>
      <c r="BH114" s="857"/>
      <c r="BI114" s="857"/>
      <c r="BJ114" s="857"/>
      <c r="BK114" s="857"/>
      <c r="BL114" s="857"/>
      <c r="BM114" s="857"/>
      <c r="BN114" s="857"/>
      <c r="BO114" s="857"/>
      <c r="BP114" s="857"/>
      <c r="BQ114" s="857"/>
      <c r="BR114" s="857"/>
      <c r="BS114" s="857"/>
      <c r="BT114" s="857"/>
      <c r="BU114" s="857"/>
      <c r="BV114" s="857"/>
      <c r="BW114" s="857"/>
      <c r="BX114" s="857"/>
      <c r="BY114" s="857"/>
      <c r="BZ114" s="857"/>
      <c r="CA114" s="857"/>
      <c r="CB114" s="857"/>
      <c r="CC114" s="857"/>
      <c r="CD114" s="857"/>
      <c r="CE114" s="857"/>
      <c r="CF114" s="857"/>
      <c r="CG114" s="857"/>
      <c r="CH114" s="857"/>
      <c r="CI114" s="857"/>
      <c r="CJ114" s="857"/>
      <c r="CK114" s="857"/>
      <c r="CL114" s="857"/>
      <c r="CM114" s="445"/>
      <c r="CN114" s="863"/>
      <c r="CO114" s="459"/>
      <c r="CP114" s="459"/>
      <c r="CQ114" s="459"/>
      <c r="CR114" s="459"/>
      <c r="CS114" s="459"/>
      <c r="CT114" s="459"/>
      <c r="CU114" s="459"/>
      <c r="CV114" s="459"/>
      <c r="CW114" s="459"/>
      <c r="CX114" s="459"/>
      <c r="CY114" s="459"/>
      <c r="CZ114" s="459"/>
      <c r="DA114" s="444"/>
      <c r="DB114" s="444"/>
      <c r="DC114" s="444"/>
      <c r="DD114" s="444"/>
      <c r="DE114" s="444"/>
      <c r="DF114" s="444"/>
      <c r="DG114" s="444"/>
      <c r="DH114" s="444"/>
      <c r="DI114" s="444"/>
      <c r="DJ114" s="444"/>
      <c r="DK114" s="444"/>
      <c r="DL114" s="444"/>
      <c r="DM114" s="444"/>
      <c r="DN114" s="444"/>
      <c r="DO114" s="444"/>
      <c r="DP114" s="444"/>
      <c r="DQ114" s="444"/>
      <c r="DR114" s="444"/>
      <c r="DS114" s="444"/>
      <c r="DT114" s="444"/>
      <c r="DU114" s="444"/>
      <c r="DV114" s="444"/>
      <c r="DW114" s="444"/>
      <c r="DX114" s="444"/>
      <c r="DY114" s="444"/>
      <c r="DZ114" s="444"/>
      <c r="EA114" s="444"/>
      <c r="EB114" s="444"/>
      <c r="EC114" s="444"/>
      <c r="ED114" s="444"/>
      <c r="EE114" s="444"/>
      <c r="EF114" s="444"/>
      <c r="EG114" s="444"/>
      <c r="EH114" s="444"/>
      <c r="EI114" s="444"/>
      <c r="EJ114" s="444"/>
      <c r="EK114" s="444"/>
      <c r="EL114" s="444"/>
      <c r="EM114" s="444"/>
      <c r="EN114" s="444"/>
      <c r="EO114" s="444"/>
      <c r="EP114" s="444"/>
      <c r="EQ114" s="444"/>
      <c r="ER114" s="444"/>
      <c r="ES114" s="444"/>
      <c r="ET114" s="444"/>
      <c r="EU114" s="444"/>
      <c r="EV114" s="444"/>
      <c r="EW114" s="444"/>
      <c r="EX114" s="444"/>
      <c r="EY114" s="444"/>
      <c r="EZ114" s="444"/>
      <c r="FA114" s="444"/>
      <c r="FB114" s="444"/>
      <c r="FC114" s="444"/>
      <c r="FD114" s="444"/>
      <c r="FE114" s="444"/>
      <c r="FF114" s="444"/>
      <c r="FG114" s="444"/>
      <c r="FH114" s="444"/>
      <c r="FI114" s="444"/>
      <c r="FJ114" s="444"/>
      <c r="FK114" s="444"/>
      <c r="FL114" s="444"/>
      <c r="FM114" s="444"/>
      <c r="FN114" s="444"/>
      <c r="FO114" s="444"/>
      <c r="FP114" s="444"/>
      <c r="FQ114" s="444"/>
      <c r="FR114" s="444"/>
      <c r="FS114" s="444"/>
      <c r="FT114" s="444"/>
      <c r="FU114" s="444"/>
      <c r="FV114" s="444"/>
      <c r="FW114" s="444"/>
    </row>
    <row r="115" spans="1:179" ht="13.8">
      <c r="A115" s="444"/>
      <c r="B115" s="444"/>
      <c r="C115" s="454" t="s">
        <v>957</v>
      </c>
      <c r="D115" s="454"/>
      <c r="E115" s="454"/>
      <c r="F115" s="454"/>
      <c r="G115" s="454"/>
      <c r="H115" s="454"/>
      <c r="I115" s="454"/>
      <c r="J115" s="454"/>
      <c r="K115" s="454"/>
      <c r="L115" s="454"/>
      <c r="M115" s="454"/>
      <c r="N115" s="454"/>
      <c r="O115" s="454"/>
      <c r="P115" s="503"/>
      <c r="Q115" s="503"/>
      <c r="R115" s="503"/>
      <c r="S115" s="503"/>
      <c r="T115" s="503"/>
      <c r="U115" s="503"/>
      <c r="V115" s="503"/>
      <c r="W115" s="503"/>
      <c r="X115" s="503"/>
      <c r="Y115" s="503"/>
      <c r="Z115" s="503"/>
      <c r="AA115" s="503"/>
      <c r="AB115" s="503"/>
      <c r="AC115" s="503"/>
      <c r="AD115" s="503"/>
      <c r="AE115" s="503"/>
      <c r="AF115" s="503"/>
      <c r="AG115" s="503"/>
      <c r="AH115" s="503"/>
      <c r="AI115" s="503"/>
      <c r="AJ115" s="503"/>
      <c r="AK115" s="503"/>
      <c r="AL115" s="503"/>
      <c r="AM115" s="503"/>
      <c r="AN115" s="503"/>
      <c r="AO115" s="503"/>
      <c r="AP115" s="503"/>
      <c r="AQ115" s="503"/>
      <c r="AR115" s="503"/>
      <c r="AS115" s="503"/>
      <c r="AT115" s="503"/>
      <c r="AU115" s="469"/>
      <c r="AV115" s="503">
        <f>AV139</f>
        <v>9464</v>
      </c>
      <c r="AW115" s="503">
        <f>AW139</f>
        <v>9516</v>
      </c>
      <c r="AX115" s="503">
        <f>AX139</f>
        <v>18980</v>
      </c>
      <c r="AY115" s="469"/>
      <c r="AZ115" s="503">
        <f>AZ139</f>
        <v>9508</v>
      </c>
      <c r="BA115" s="503">
        <f>BA139</f>
        <v>9378</v>
      </c>
      <c r="BB115" s="503">
        <f>BB139</f>
        <v>18886</v>
      </c>
      <c r="BC115" s="503"/>
      <c r="BD115" s="503">
        <f>BD139</f>
        <v>9376</v>
      </c>
      <c r="BE115" s="503">
        <f>BE139</f>
        <v>9267</v>
      </c>
      <c r="BF115" s="503">
        <f>BF139</f>
        <v>18643</v>
      </c>
      <c r="BG115" s="852">
        <f t="shared" ref="BG115:BG121" si="140">+BF115/BB115-1</f>
        <v>-1.286667372656991E-2</v>
      </c>
      <c r="BH115" s="503">
        <f>BH139</f>
        <v>8735</v>
      </c>
      <c r="BI115" s="503">
        <f>BI139</f>
        <v>9092</v>
      </c>
      <c r="BJ115" s="503">
        <f>BJ139</f>
        <v>17827</v>
      </c>
      <c r="BK115" s="852"/>
      <c r="BL115" s="503">
        <f>BL139</f>
        <v>8679</v>
      </c>
      <c r="BM115" s="503">
        <f>BM139</f>
        <v>9581</v>
      </c>
      <c r="BN115" s="503">
        <f>BN139</f>
        <v>18260</v>
      </c>
      <c r="BO115" s="852"/>
      <c r="BP115" s="503">
        <f>BP139</f>
        <v>10600</v>
      </c>
      <c r="BQ115" s="503">
        <f>BQ139</f>
        <v>10330</v>
      </c>
      <c r="BR115" s="503">
        <f>BR139</f>
        <v>20930</v>
      </c>
      <c r="BS115" s="852"/>
      <c r="BT115" s="503">
        <f>BT139</f>
        <v>10368</v>
      </c>
      <c r="BU115" s="503">
        <f>BU139</f>
        <v>10462</v>
      </c>
      <c r="BV115" s="503">
        <f>BV139</f>
        <v>20830</v>
      </c>
      <c r="BW115" s="852"/>
      <c r="BX115" s="503">
        <f>BX139</f>
        <v>10995</v>
      </c>
      <c r="BY115" s="503">
        <f>BY139</f>
        <v>11189</v>
      </c>
      <c r="BZ115" s="503">
        <f>BZ139</f>
        <v>22184</v>
      </c>
      <c r="CA115" s="852"/>
      <c r="CB115" s="503">
        <f ca="1">CB139</f>
        <v>11288.984147560002</v>
      </c>
      <c r="CC115" s="503">
        <f ca="1">CC139</f>
        <v>11374.515751326247</v>
      </c>
      <c r="CD115" s="503">
        <f ca="1">CD139</f>
        <v>22663.49989888625</v>
      </c>
      <c r="CE115" s="852"/>
      <c r="CF115" s="503">
        <f ca="1">CF139</f>
        <v>11626.422084593729</v>
      </c>
      <c r="CG115" s="503">
        <f ca="1">CG139</f>
        <v>11798.408556718041</v>
      </c>
      <c r="CH115" s="503">
        <f ca="1">CH139</f>
        <v>23424.830641311768</v>
      </c>
      <c r="CI115" s="852"/>
      <c r="CJ115" s="503">
        <f ca="1">CJ139</f>
        <v>12079.634094440933</v>
      </c>
      <c r="CK115" s="503">
        <f ca="1">CK139</f>
        <v>12244.903307413953</v>
      </c>
      <c r="CL115" s="503">
        <f ca="1">CL139</f>
        <v>24324.537401854886</v>
      </c>
      <c r="CM115" s="445"/>
      <c r="CN115" s="445"/>
      <c r="CO115" s="459"/>
      <c r="CP115" s="459"/>
      <c r="CQ115" s="459"/>
      <c r="CR115" s="459"/>
      <c r="CS115" s="459"/>
      <c r="CT115" s="459"/>
      <c r="CU115" s="459"/>
      <c r="CV115" s="459"/>
      <c r="CW115" s="459"/>
      <c r="CX115" s="459"/>
      <c r="CY115" s="459"/>
      <c r="CZ115" s="459"/>
      <c r="DA115" s="444"/>
      <c r="DB115" s="444"/>
      <c r="DC115" s="444"/>
      <c r="DD115" s="444"/>
      <c r="DE115" s="444"/>
      <c r="DF115" s="444"/>
      <c r="DG115" s="444"/>
      <c r="DH115" s="444"/>
      <c r="DI115" s="444"/>
      <c r="DJ115" s="444"/>
      <c r="DK115" s="444"/>
      <c r="DL115" s="444"/>
      <c r="DM115" s="444"/>
      <c r="DN115" s="444"/>
      <c r="DO115" s="444"/>
      <c r="DP115" s="444"/>
      <c r="DQ115" s="444"/>
      <c r="DR115" s="444"/>
      <c r="DS115" s="444"/>
      <c r="DT115" s="444"/>
      <c r="DU115" s="444"/>
      <c r="DV115" s="444"/>
      <c r="DW115" s="444"/>
      <c r="DX115" s="444"/>
      <c r="DY115" s="444"/>
      <c r="DZ115" s="444"/>
      <c r="EA115" s="444"/>
      <c r="EB115" s="444"/>
      <c r="EC115" s="444"/>
      <c r="ED115" s="444"/>
      <c r="EE115" s="444"/>
      <c r="EF115" s="444"/>
      <c r="EG115" s="444"/>
      <c r="EH115" s="444"/>
      <c r="EI115" s="444"/>
      <c r="EJ115" s="444"/>
      <c r="EK115" s="444"/>
      <c r="EL115" s="444"/>
      <c r="EM115" s="444"/>
      <c r="EN115" s="444"/>
      <c r="EO115" s="444"/>
      <c r="EP115" s="444"/>
      <c r="EQ115" s="444"/>
      <c r="ER115" s="444"/>
      <c r="ES115" s="444"/>
      <c r="ET115" s="444"/>
      <c r="EU115" s="444"/>
      <c r="EV115" s="444"/>
      <c r="EW115" s="444"/>
      <c r="EX115" s="444"/>
      <c r="EY115" s="444"/>
      <c r="EZ115" s="444"/>
      <c r="FA115" s="444"/>
      <c r="FB115" s="444"/>
      <c r="FC115" s="444"/>
      <c r="FD115" s="444"/>
      <c r="FE115" s="444"/>
      <c r="FF115" s="444"/>
      <c r="FG115" s="444"/>
      <c r="FH115" s="444"/>
      <c r="FI115" s="444"/>
      <c r="FJ115" s="444"/>
      <c r="FK115" s="444"/>
      <c r="FL115" s="444"/>
      <c r="FM115" s="444"/>
      <c r="FN115" s="444"/>
      <c r="FO115" s="444"/>
      <c r="FP115" s="444"/>
      <c r="FQ115" s="444"/>
      <c r="FR115" s="444"/>
      <c r="FS115" s="444"/>
      <c r="FT115" s="444"/>
      <c r="FU115" s="444"/>
      <c r="FV115" s="444"/>
      <c r="FW115" s="444"/>
    </row>
    <row r="116" spans="1:179" ht="13.8">
      <c r="A116" s="444"/>
      <c r="B116" s="444"/>
      <c r="C116" s="454" t="s">
        <v>238</v>
      </c>
      <c r="D116" s="454"/>
      <c r="E116" s="454"/>
      <c r="F116" s="454"/>
      <c r="G116" s="454"/>
      <c r="H116" s="454"/>
      <c r="I116" s="454"/>
      <c r="J116" s="454"/>
      <c r="K116" s="454"/>
      <c r="L116" s="454"/>
      <c r="M116" s="454"/>
      <c r="N116" s="454"/>
      <c r="O116" s="454"/>
      <c r="P116" s="503"/>
      <c r="Q116" s="503"/>
      <c r="R116" s="503"/>
      <c r="S116" s="503"/>
      <c r="T116" s="503"/>
      <c r="U116" s="503"/>
      <c r="V116" s="503"/>
      <c r="W116" s="503"/>
      <c r="X116" s="503"/>
      <c r="Y116" s="503"/>
      <c r="Z116" s="503"/>
      <c r="AA116" s="503"/>
      <c r="AB116" s="503"/>
      <c r="AC116" s="503"/>
      <c r="AD116" s="503"/>
      <c r="AE116" s="503"/>
      <c r="AF116" s="503"/>
      <c r="AG116" s="503"/>
      <c r="AH116" s="503"/>
      <c r="AI116" s="503"/>
      <c r="AJ116" s="503"/>
      <c r="AK116" s="503"/>
      <c r="AL116" s="503"/>
      <c r="AM116" s="503"/>
      <c r="AN116" s="503"/>
      <c r="AO116" s="503"/>
      <c r="AP116" s="503"/>
      <c r="AQ116" s="503"/>
      <c r="AR116" s="503"/>
      <c r="AS116" s="503"/>
      <c r="AT116" s="503"/>
      <c r="AU116" s="469"/>
      <c r="AV116" s="503">
        <f>AV154</f>
        <v>-4294</v>
      </c>
      <c r="AW116" s="503">
        <f>AW154</f>
        <v>-4308</v>
      </c>
      <c r="AX116" s="503">
        <f>AX154</f>
        <v>-8602</v>
      </c>
      <c r="AY116" s="469"/>
      <c r="AZ116" s="503">
        <f>AZ154</f>
        <v>-4263</v>
      </c>
      <c r="BA116" s="503">
        <f>BA154</f>
        <v>-4380</v>
      </c>
      <c r="BB116" s="503">
        <f>BB154</f>
        <v>-8643</v>
      </c>
      <c r="BC116" s="503"/>
      <c r="BD116" s="503">
        <f>BD154</f>
        <v>-4528</v>
      </c>
      <c r="BE116" s="503">
        <f>BE154</f>
        <v>-4466</v>
      </c>
      <c r="BF116" s="503">
        <f>BF154</f>
        <v>-8994</v>
      </c>
      <c r="BG116" s="852">
        <f t="shared" si="140"/>
        <v>4.0610898993405087E-2</v>
      </c>
      <c r="BH116" s="503">
        <f>BH154</f>
        <v>-4273</v>
      </c>
      <c r="BI116" s="503">
        <f>BI154</f>
        <v>-4519</v>
      </c>
      <c r="BJ116" s="503">
        <f>BJ154</f>
        <v>-8792</v>
      </c>
      <c r="BK116" s="852"/>
      <c r="BL116" s="503">
        <f>BL154</f>
        <v>-4621</v>
      </c>
      <c r="BM116" s="503">
        <f>BM154</f>
        <v>-4728</v>
      </c>
      <c r="BN116" s="503">
        <f>BN154</f>
        <v>-9349</v>
      </c>
      <c r="BO116" s="852"/>
      <c r="BP116" s="503">
        <f>BP154</f>
        <v>-4894</v>
      </c>
      <c r="BQ116" s="503">
        <f>BQ154</f>
        <v>-4989</v>
      </c>
      <c r="BR116" s="503">
        <f>BR154</f>
        <v>-9883</v>
      </c>
      <c r="BS116" s="852"/>
      <c r="BT116" s="503">
        <f>BT154</f>
        <v>-5194</v>
      </c>
      <c r="BU116" s="503">
        <f>BU154</f>
        <v>-5526</v>
      </c>
      <c r="BV116" s="503">
        <f>BV154</f>
        <v>-10720</v>
      </c>
      <c r="BW116" s="852"/>
      <c r="BX116" s="503">
        <f>BX154</f>
        <v>-5742</v>
      </c>
      <c r="BY116" s="503">
        <f>BY154</f>
        <v>-6789</v>
      </c>
      <c r="BZ116" s="503">
        <f>BZ154</f>
        <v>-12531</v>
      </c>
      <c r="CA116" s="852"/>
      <c r="CB116" s="503">
        <f>CB154</f>
        <v>-5800.8062475343522</v>
      </c>
      <c r="CC116" s="503">
        <f>CC154</f>
        <v>-5574.622973129075</v>
      </c>
      <c r="CD116" s="503">
        <f>CD154</f>
        <v>-11375.429220663427</v>
      </c>
      <c r="CE116" s="852"/>
      <c r="CF116" s="503">
        <f>CF154</f>
        <v>-5558.5700572482638</v>
      </c>
      <c r="CG116" s="503">
        <f>CG154</f>
        <v>-5699.0026403776892</v>
      </c>
      <c r="CH116" s="503">
        <f>CH154</f>
        <v>-11257.572697625954</v>
      </c>
      <c r="CI116" s="852"/>
      <c r="CJ116" s="503">
        <f>CJ154</f>
        <v>-5690.9196519848028</v>
      </c>
      <c r="CK116" s="503">
        <f>CK154</f>
        <v>-5623.3690907090013</v>
      </c>
      <c r="CL116" s="503">
        <f>CL154</f>
        <v>-11314.288742693803</v>
      </c>
      <c r="CM116" s="445"/>
      <c r="CN116" s="445"/>
      <c r="CO116" s="459"/>
      <c r="CP116" s="459"/>
      <c r="CQ116" s="459"/>
      <c r="CR116" s="459"/>
      <c r="CS116" s="459"/>
      <c r="CT116" s="459"/>
      <c r="CU116" s="459"/>
      <c r="CV116" s="459"/>
      <c r="CW116" s="459"/>
      <c r="CX116" s="459"/>
      <c r="CY116" s="459"/>
      <c r="CZ116" s="459"/>
      <c r="DA116" s="444"/>
      <c r="DB116" s="444"/>
      <c r="DC116" s="444"/>
      <c r="DD116" s="444"/>
      <c r="DE116" s="444"/>
      <c r="DF116" s="444"/>
      <c r="DG116" s="444"/>
      <c r="DH116" s="444"/>
      <c r="DI116" s="444"/>
      <c r="DJ116" s="444"/>
      <c r="DK116" s="444"/>
      <c r="DL116" s="444"/>
      <c r="DM116" s="444"/>
      <c r="DN116" s="444"/>
      <c r="DO116" s="444"/>
      <c r="DP116" s="444"/>
      <c r="DQ116" s="444"/>
      <c r="DR116" s="444"/>
      <c r="DS116" s="444"/>
      <c r="DT116" s="444"/>
      <c r="DU116" s="444"/>
      <c r="DV116" s="444"/>
      <c r="DW116" s="444"/>
      <c r="DX116" s="444"/>
      <c r="DY116" s="444"/>
      <c r="DZ116" s="444"/>
      <c r="EA116" s="444"/>
      <c r="EB116" s="444"/>
      <c r="EC116" s="444"/>
      <c r="ED116" s="444"/>
      <c r="EE116" s="444"/>
      <c r="EF116" s="444"/>
      <c r="EG116" s="444"/>
      <c r="EH116" s="444"/>
      <c r="EI116" s="444"/>
      <c r="EJ116" s="444"/>
      <c r="EK116" s="444"/>
      <c r="EL116" s="444"/>
      <c r="EM116" s="444"/>
      <c r="EN116" s="444"/>
      <c r="EO116" s="444"/>
      <c r="EP116" s="444"/>
      <c r="EQ116" s="444"/>
      <c r="ER116" s="444"/>
      <c r="ES116" s="444"/>
      <c r="ET116" s="444"/>
      <c r="EU116" s="444"/>
      <c r="EV116" s="444"/>
      <c r="EW116" s="444"/>
      <c r="EX116" s="444"/>
      <c r="EY116" s="444"/>
      <c r="EZ116" s="444"/>
      <c r="FA116" s="444"/>
      <c r="FB116" s="444"/>
      <c r="FC116" s="444"/>
      <c r="FD116" s="444"/>
      <c r="FE116" s="444"/>
      <c r="FF116" s="444"/>
      <c r="FG116" s="444"/>
      <c r="FH116" s="444"/>
      <c r="FI116" s="444"/>
      <c r="FJ116" s="444"/>
      <c r="FK116" s="444"/>
      <c r="FL116" s="444"/>
      <c r="FM116" s="444"/>
      <c r="FN116" s="444"/>
      <c r="FO116" s="444"/>
      <c r="FP116" s="444"/>
      <c r="FQ116" s="444"/>
      <c r="FR116" s="444"/>
      <c r="FS116" s="444"/>
      <c r="FT116" s="444"/>
      <c r="FU116" s="444"/>
      <c r="FV116" s="444"/>
      <c r="FW116" s="444"/>
    </row>
    <row r="117" spans="1:179" ht="13.8">
      <c r="A117" s="444"/>
      <c r="B117" s="444"/>
      <c r="C117" s="454" t="s">
        <v>448</v>
      </c>
      <c r="D117" s="454"/>
      <c r="E117" s="454"/>
      <c r="F117" s="454"/>
      <c r="G117" s="454"/>
      <c r="H117" s="454"/>
      <c r="I117" s="454"/>
      <c r="J117" s="454"/>
      <c r="K117" s="454"/>
      <c r="L117" s="454"/>
      <c r="M117" s="454"/>
      <c r="N117" s="454"/>
      <c r="O117" s="454"/>
      <c r="P117" s="503"/>
      <c r="Q117" s="503"/>
      <c r="R117" s="503"/>
      <c r="S117" s="503"/>
      <c r="T117" s="503"/>
      <c r="U117" s="503"/>
      <c r="V117" s="503"/>
      <c r="W117" s="503"/>
      <c r="X117" s="503"/>
      <c r="Y117" s="503"/>
      <c r="Z117" s="503"/>
      <c r="AA117" s="503"/>
      <c r="AB117" s="503"/>
      <c r="AC117" s="503"/>
      <c r="AD117" s="503"/>
      <c r="AE117" s="503"/>
      <c r="AF117" s="503"/>
      <c r="AG117" s="503"/>
      <c r="AH117" s="503"/>
      <c r="AI117" s="503"/>
      <c r="AJ117" s="503"/>
      <c r="AK117" s="503"/>
      <c r="AL117" s="503"/>
      <c r="AM117" s="503"/>
      <c r="AN117" s="503"/>
      <c r="AO117" s="503"/>
      <c r="AP117" s="503"/>
      <c r="AQ117" s="503"/>
      <c r="AR117" s="503"/>
      <c r="AS117" s="503"/>
      <c r="AT117" s="503"/>
      <c r="AU117" s="469"/>
      <c r="AV117" s="503">
        <f>SUM(AV115:AV116)</f>
        <v>5170</v>
      </c>
      <c r="AW117" s="503">
        <f>SUM(AW115:AW116)</f>
        <v>5208</v>
      </c>
      <c r="AX117" s="503">
        <f>SUM(AX115:AX116)</f>
        <v>10378</v>
      </c>
      <c r="AY117" s="469"/>
      <c r="AZ117" s="503">
        <f>SUM(AZ115:AZ116)</f>
        <v>5245</v>
      </c>
      <c r="BA117" s="503">
        <f>SUM(BA115:BA116)</f>
        <v>4998</v>
      </c>
      <c r="BB117" s="503">
        <f>SUM(BB115:BB116)</f>
        <v>10243</v>
      </c>
      <c r="BC117" s="503"/>
      <c r="BD117" s="503">
        <f>SUM(BD115:BD116)</f>
        <v>4848</v>
      </c>
      <c r="BE117" s="503">
        <f>SUM(BE115:BE116)</f>
        <v>4801</v>
      </c>
      <c r="BF117" s="503">
        <f>SUM(BF115:BF116)</f>
        <v>9649</v>
      </c>
      <c r="BG117" s="852">
        <f t="shared" si="140"/>
        <v>-5.7990823001073943E-2</v>
      </c>
      <c r="BH117" s="503">
        <f>SUM(BH115:BH116)</f>
        <v>4462</v>
      </c>
      <c r="BI117" s="503">
        <f>SUM(BI115:BI116)</f>
        <v>4573</v>
      </c>
      <c r="BJ117" s="503">
        <f>SUM(BJ115:BJ116)</f>
        <v>9035</v>
      </c>
      <c r="BK117" s="852"/>
      <c r="BL117" s="503">
        <f>SUM(BL115:BL116)</f>
        <v>4058</v>
      </c>
      <c r="BM117" s="503">
        <f>SUM(BM115:BM116)</f>
        <v>4853</v>
      </c>
      <c r="BN117" s="503">
        <f>SUM(BN115:BN116)</f>
        <v>8911</v>
      </c>
      <c r="BO117" s="852"/>
      <c r="BP117" s="503">
        <f>SUM(BP115:BP116)</f>
        <v>5706</v>
      </c>
      <c r="BQ117" s="503">
        <f>SUM(BQ115:BQ116)</f>
        <v>5341</v>
      </c>
      <c r="BR117" s="503">
        <f>SUM(BR115:BR116)</f>
        <v>11047</v>
      </c>
      <c r="BS117" s="852"/>
      <c r="BT117" s="503">
        <f>SUM(BT115:BT116)</f>
        <v>5174</v>
      </c>
      <c r="BU117" s="503">
        <f>SUM(BU115:BU116)</f>
        <v>4936</v>
      </c>
      <c r="BV117" s="503">
        <f>SUM(BV115:BV116)</f>
        <v>10110</v>
      </c>
      <c r="BW117" s="852"/>
      <c r="BX117" s="503">
        <f>SUM(BX115:BX116)</f>
        <v>5253</v>
      </c>
      <c r="BY117" s="503">
        <f>SUM(BY115:BY116)</f>
        <v>4400</v>
      </c>
      <c r="BZ117" s="503">
        <f>SUM(BZ115:BZ116)</f>
        <v>9653</v>
      </c>
      <c r="CA117" s="852"/>
      <c r="CB117" s="503">
        <f ca="1">SUM(CB115:CB116)</f>
        <v>5488.1779000256502</v>
      </c>
      <c r="CC117" s="503">
        <f ca="1">SUM(CC115:CC116)</f>
        <v>5799.8927781971724</v>
      </c>
      <c r="CD117" s="503">
        <f ca="1">SUM(CD115:CD116)</f>
        <v>11288.070678222823</v>
      </c>
      <c r="CE117" s="852"/>
      <c r="CF117" s="503">
        <f ca="1">SUM(CF115:CF116)</f>
        <v>6067.8520273454651</v>
      </c>
      <c r="CG117" s="503">
        <f ca="1">SUM(CG115:CG116)</f>
        <v>6099.4059163403517</v>
      </c>
      <c r="CH117" s="503">
        <f ca="1">SUM(CH115:CH116)</f>
        <v>12167.257943685814</v>
      </c>
      <c r="CI117" s="852"/>
      <c r="CJ117" s="503">
        <f ca="1">SUM(CJ115:CJ116)</f>
        <v>6388.7144424561302</v>
      </c>
      <c r="CK117" s="503">
        <f ca="1">SUM(CK115:CK116)</f>
        <v>6621.5342167049521</v>
      </c>
      <c r="CL117" s="503">
        <f ca="1">SUM(CL115:CL116)</f>
        <v>13010.248659161083</v>
      </c>
      <c r="CM117" s="445"/>
      <c r="CN117" s="445"/>
      <c r="CO117" s="459"/>
      <c r="CP117" s="459"/>
      <c r="CQ117" s="459"/>
      <c r="CR117" s="459"/>
      <c r="CS117" s="459"/>
      <c r="CT117" s="459"/>
      <c r="CU117" s="459"/>
      <c r="CV117" s="459"/>
      <c r="CW117" s="459"/>
      <c r="CX117" s="459"/>
      <c r="CY117" s="459"/>
      <c r="CZ117" s="459"/>
      <c r="DA117" s="444"/>
      <c r="DB117" s="444"/>
      <c r="DC117" s="444"/>
      <c r="DD117" s="444"/>
      <c r="DE117" s="444"/>
      <c r="DF117" s="444"/>
      <c r="DG117" s="444"/>
      <c r="DH117" s="444"/>
      <c r="DI117" s="444"/>
      <c r="DJ117" s="444"/>
      <c r="DK117" s="444"/>
      <c r="DL117" s="444"/>
      <c r="DM117" s="444"/>
      <c r="DN117" s="444"/>
      <c r="DO117" s="444"/>
      <c r="DP117" s="444"/>
      <c r="DQ117" s="444"/>
      <c r="DR117" s="444"/>
      <c r="DS117" s="444"/>
      <c r="DT117" s="444"/>
      <c r="DU117" s="444"/>
      <c r="DV117" s="444"/>
      <c r="DW117" s="444"/>
      <c r="DX117" s="444"/>
      <c r="DY117" s="444"/>
      <c r="DZ117" s="444"/>
      <c r="EA117" s="444"/>
      <c r="EB117" s="444"/>
      <c r="EC117" s="444"/>
      <c r="ED117" s="444"/>
      <c r="EE117" s="444"/>
      <c r="EF117" s="444"/>
      <c r="EG117" s="444"/>
      <c r="EH117" s="444"/>
      <c r="EI117" s="444"/>
      <c r="EJ117" s="444"/>
      <c r="EK117" s="444"/>
      <c r="EL117" s="444"/>
      <c r="EM117" s="444"/>
      <c r="EN117" s="444"/>
      <c r="EO117" s="444"/>
      <c r="EP117" s="444"/>
      <c r="EQ117" s="444"/>
      <c r="ER117" s="444"/>
      <c r="ES117" s="444"/>
      <c r="ET117" s="444"/>
      <c r="EU117" s="444"/>
      <c r="EV117" s="444"/>
      <c r="EW117" s="444"/>
      <c r="EX117" s="444"/>
      <c r="EY117" s="444"/>
      <c r="EZ117" s="444"/>
      <c r="FA117" s="444"/>
      <c r="FB117" s="444"/>
      <c r="FC117" s="444"/>
      <c r="FD117" s="444"/>
      <c r="FE117" s="444"/>
      <c r="FF117" s="444"/>
      <c r="FG117" s="444"/>
      <c r="FH117" s="444"/>
      <c r="FI117" s="444"/>
      <c r="FJ117" s="444"/>
      <c r="FK117" s="444"/>
      <c r="FL117" s="444"/>
      <c r="FM117" s="444"/>
      <c r="FN117" s="444"/>
      <c r="FO117" s="444"/>
      <c r="FP117" s="444"/>
      <c r="FQ117" s="444"/>
      <c r="FR117" s="444"/>
      <c r="FS117" s="444"/>
      <c r="FT117" s="444"/>
      <c r="FU117" s="444"/>
      <c r="FV117" s="444"/>
      <c r="FW117" s="444"/>
    </row>
    <row r="118" spans="1:179" ht="13.8">
      <c r="A118" s="444"/>
      <c r="B118" s="444"/>
      <c r="C118" s="454" t="s">
        <v>726</v>
      </c>
      <c r="D118" s="454"/>
      <c r="E118" s="454"/>
      <c r="F118" s="454"/>
      <c r="G118" s="454"/>
      <c r="H118" s="454"/>
      <c r="I118" s="454"/>
      <c r="J118" s="454"/>
      <c r="K118" s="454"/>
      <c r="L118" s="454"/>
      <c r="M118" s="454"/>
      <c r="N118" s="454"/>
      <c r="O118" s="454"/>
      <c r="P118" s="503"/>
      <c r="Q118" s="503"/>
      <c r="R118" s="503"/>
      <c r="S118" s="503"/>
      <c r="T118" s="503"/>
      <c r="U118" s="503"/>
      <c r="V118" s="503"/>
      <c r="W118" s="503"/>
      <c r="X118" s="503"/>
      <c r="Y118" s="503"/>
      <c r="Z118" s="503"/>
      <c r="AA118" s="503"/>
      <c r="AB118" s="503"/>
      <c r="AC118" s="503"/>
      <c r="AD118" s="503"/>
      <c r="AE118" s="503"/>
      <c r="AF118" s="503"/>
      <c r="AG118" s="503"/>
      <c r="AH118" s="503"/>
      <c r="AI118" s="503"/>
      <c r="AJ118" s="503"/>
      <c r="AK118" s="503"/>
      <c r="AL118" s="503"/>
      <c r="AM118" s="503"/>
      <c r="AN118" s="503"/>
      <c r="AO118" s="503"/>
      <c r="AP118" s="503"/>
      <c r="AQ118" s="503"/>
      <c r="AR118" s="503"/>
      <c r="AS118" s="503"/>
      <c r="AT118" s="503"/>
      <c r="AU118" s="469"/>
      <c r="AV118" s="503">
        <f>AV166</f>
        <v>-382</v>
      </c>
      <c r="AW118" s="503">
        <f>AW166</f>
        <v>-280</v>
      </c>
      <c r="AX118" s="503">
        <f>AX166</f>
        <v>-662</v>
      </c>
      <c r="AY118" s="469"/>
      <c r="AZ118" s="503">
        <f>AZ166</f>
        <v>-393</v>
      </c>
      <c r="BA118" s="503">
        <f>BA166</f>
        <v>-402</v>
      </c>
      <c r="BB118" s="503">
        <f>BB166</f>
        <v>-795</v>
      </c>
      <c r="BC118" s="503"/>
      <c r="BD118" s="503">
        <f>BD166</f>
        <v>-1674</v>
      </c>
      <c r="BE118" s="503">
        <f>BE166</f>
        <v>-1064</v>
      </c>
      <c r="BF118" s="503">
        <f>BF166</f>
        <v>-2738</v>
      </c>
      <c r="BG118" s="852">
        <f t="shared" si="140"/>
        <v>2.4440251572327045</v>
      </c>
      <c r="BH118" s="503">
        <f>BH166</f>
        <v>491</v>
      </c>
      <c r="BI118" s="503">
        <f>BI166</f>
        <v>76</v>
      </c>
      <c r="BJ118" s="503">
        <f>BJ166</f>
        <v>567</v>
      </c>
      <c r="BK118" s="852"/>
      <c r="BL118" s="503">
        <f>BL166</f>
        <v>284</v>
      </c>
      <c r="BM118" s="503">
        <f>BM166</f>
        <v>-52</v>
      </c>
      <c r="BN118" s="503">
        <f>BN166</f>
        <v>232</v>
      </c>
      <c r="BO118" s="852"/>
      <c r="BP118" s="503">
        <f>BP166</f>
        <v>-133</v>
      </c>
      <c r="BQ118" s="503">
        <f>BQ166</f>
        <v>-112</v>
      </c>
      <c r="BR118" s="503">
        <f>BR166</f>
        <v>-245</v>
      </c>
      <c r="BS118" s="852"/>
      <c r="BT118" s="503">
        <f>BT166</f>
        <v>-70</v>
      </c>
      <c r="BU118" s="503">
        <f>BU166</f>
        <v>-336</v>
      </c>
      <c r="BV118" s="503">
        <f>BV166</f>
        <v>-406</v>
      </c>
      <c r="BW118" s="852"/>
      <c r="BX118" s="503">
        <f>BX166</f>
        <v>-145</v>
      </c>
      <c r="BY118" s="503">
        <f>BY166</f>
        <v>-296</v>
      </c>
      <c r="BZ118" s="503">
        <f>BZ166</f>
        <v>-441</v>
      </c>
      <c r="CA118" s="852"/>
      <c r="CB118" s="503">
        <f>CB166</f>
        <v>-209.3784177127927</v>
      </c>
      <c r="CC118" s="503">
        <f>CC166</f>
        <v>-344.16098380079086</v>
      </c>
      <c r="CD118" s="503">
        <f>CD166</f>
        <v>-553.53940151358358</v>
      </c>
      <c r="CE118" s="852"/>
      <c r="CF118" s="503">
        <f>CF166</f>
        <v>-393.64249455575055</v>
      </c>
      <c r="CG118" s="503">
        <f>CG166</f>
        <v>-405.40625259113426</v>
      </c>
      <c r="CH118" s="503">
        <f>CH166</f>
        <v>-799.04874714688481</v>
      </c>
      <c r="CI118" s="852"/>
      <c r="CJ118" s="503">
        <f>CJ166</f>
        <v>-458.2648637195523</v>
      </c>
      <c r="CK118" s="503">
        <f>CK166</f>
        <v>-468.19535307126404</v>
      </c>
      <c r="CL118" s="503">
        <f>CL166</f>
        <v>-926.46021679081628</v>
      </c>
      <c r="CM118" s="445"/>
      <c r="CN118" s="445"/>
      <c r="CO118" s="459"/>
      <c r="CP118" s="459"/>
      <c r="CQ118" s="459"/>
      <c r="CR118" s="459"/>
      <c r="CS118" s="459"/>
      <c r="CT118" s="459"/>
      <c r="CU118" s="459"/>
      <c r="CV118" s="459"/>
      <c r="CW118" s="459"/>
      <c r="CX118" s="459"/>
      <c r="CY118" s="459"/>
      <c r="CZ118" s="459"/>
      <c r="DA118" s="444"/>
      <c r="DB118" s="444"/>
      <c r="DC118" s="444"/>
      <c r="DD118" s="444"/>
      <c r="DE118" s="444"/>
      <c r="DF118" s="444"/>
      <c r="DG118" s="444"/>
      <c r="DH118" s="444"/>
      <c r="DI118" s="444"/>
      <c r="DJ118" s="444"/>
      <c r="DK118" s="444"/>
      <c r="DL118" s="444"/>
      <c r="DM118" s="444"/>
      <c r="DN118" s="444"/>
      <c r="DO118" s="444"/>
      <c r="DP118" s="444"/>
      <c r="DQ118" s="444"/>
      <c r="DR118" s="444"/>
      <c r="DS118" s="444"/>
      <c r="DT118" s="444"/>
      <c r="DU118" s="444"/>
      <c r="DV118" s="444"/>
      <c r="DW118" s="444"/>
      <c r="DX118" s="444"/>
      <c r="DY118" s="444"/>
      <c r="DZ118" s="444"/>
      <c r="EA118" s="444"/>
      <c r="EB118" s="444"/>
      <c r="EC118" s="444"/>
      <c r="ED118" s="444"/>
      <c r="EE118" s="444"/>
      <c r="EF118" s="444"/>
      <c r="EG118" s="444"/>
      <c r="EH118" s="444"/>
      <c r="EI118" s="444"/>
      <c r="EJ118" s="444"/>
      <c r="EK118" s="444"/>
      <c r="EL118" s="444"/>
      <c r="EM118" s="444"/>
      <c r="EN118" s="444"/>
      <c r="EO118" s="444"/>
      <c r="EP118" s="444"/>
      <c r="EQ118" s="444"/>
      <c r="ER118" s="444"/>
      <c r="ES118" s="444"/>
      <c r="ET118" s="444"/>
      <c r="EU118" s="444"/>
      <c r="EV118" s="444"/>
      <c r="EW118" s="444"/>
      <c r="EX118" s="444"/>
      <c r="EY118" s="444"/>
      <c r="EZ118" s="444"/>
      <c r="FA118" s="444"/>
      <c r="FB118" s="444"/>
      <c r="FC118" s="444"/>
      <c r="FD118" s="444"/>
      <c r="FE118" s="444"/>
      <c r="FF118" s="444"/>
      <c r="FG118" s="444"/>
      <c r="FH118" s="444"/>
      <c r="FI118" s="444"/>
      <c r="FJ118" s="444"/>
      <c r="FK118" s="444"/>
      <c r="FL118" s="444"/>
      <c r="FM118" s="444"/>
      <c r="FN118" s="444"/>
      <c r="FO118" s="444"/>
      <c r="FP118" s="444"/>
      <c r="FQ118" s="444"/>
      <c r="FR118" s="444"/>
      <c r="FS118" s="444"/>
      <c r="FT118" s="444"/>
      <c r="FU118" s="444"/>
      <c r="FV118" s="444"/>
      <c r="FW118" s="444"/>
    </row>
    <row r="119" spans="1:179" ht="13.8">
      <c r="A119" s="444"/>
      <c r="B119" s="444"/>
      <c r="C119" s="454" t="s">
        <v>281</v>
      </c>
      <c r="D119" s="454"/>
      <c r="E119" s="454"/>
      <c r="F119" s="454"/>
      <c r="G119" s="454"/>
      <c r="H119" s="454"/>
      <c r="I119" s="454"/>
      <c r="J119" s="454"/>
      <c r="K119" s="454"/>
      <c r="L119" s="454"/>
      <c r="M119" s="454"/>
      <c r="N119" s="454"/>
      <c r="O119" s="454"/>
      <c r="P119" s="503"/>
      <c r="Q119" s="503"/>
      <c r="R119" s="503"/>
      <c r="S119" s="503"/>
      <c r="T119" s="503"/>
      <c r="U119" s="503"/>
      <c r="V119" s="503"/>
      <c r="W119" s="503"/>
      <c r="X119" s="503"/>
      <c r="Y119" s="503"/>
      <c r="Z119" s="503"/>
      <c r="AA119" s="503"/>
      <c r="AB119" s="503"/>
      <c r="AC119" s="503"/>
      <c r="AD119" s="503"/>
      <c r="AE119" s="503"/>
      <c r="AF119" s="503"/>
      <c r="AG119" s="503"/>
      <c r="AH119" s="503"/>
      <c r="AI119" s="503"/>
      <c r="AJ119" s="503"/>
      <c r="AK119" s="503"/>
      <c r="AL119" s="503"/>
      <c r="AM119" s="503"/>
      <c r="AN119" s="503"/>
      <c r="AO119" s="503"/>
      <c r="AP119" s="503"/>
      <c r="AQ119" s="503"/>
      <c r="AR119" s="503"/>
      <c r="AS119" s="503"/>
      <c r="AT119" s="503"/>
      <c r="AU119" s="469"/>
      <c r="AV119" s="503">
        <f>SUM(AV117:AV118)</f>
        <v>4788</v>
      </c>
      <c r="AW119" s="503">
        <f>SUM(AW117:AW118)</f>
        <v>4928</v>
      </c>
      <c r="AX119" s="503">
        <f>SUM(AX117:AX118)</f>
        <v>9716</v>
      </c>
      <c r="AY119" s="469"/>
      <c r="AZ119" s="503">
        <f>SUM(AZ117:AZ118)</f>
        <v>4852</v>
      </c>
      <c r="BA119" s="503">
        <f>SUM(BA117:BA118)</f>
        <v>4596</v>
      </c>
      <c r="BB119" s="503">
        <f>SUM(BB117:BB118)</f>
        <v>9448</v>
      </c>
      <c r="BC119" s="503"/>
      <c r="BD119" s="503">
        <f>SUM(BD117:BD118)</f>
        <v>3174</v>
      </c>
      <c r="BE119" s="503">
        <f>SUM(BE117:BE118)</f>
        <v>3737</v>
      </c>
      <c r="BF119" s="503">
        <f>SUM(BF117:BF118)</f>
        <v>6911</v>
      </c>
      <c r="BG119" s="852">
        <f t="shared" si="140"/>
        <v>-0.26852243861134628</v>
      </c>
      <c r="BH119" s="503">
        <f>SUM(BH117:BH118)</f>
        <v>4953</v>
      </c>
      <c r="BI119" s="503">
        <f>SUM(BI117:BI118)</f>
        <v>4649</v>
      </c>
      <c r="BJ119" s="503">
        <f>SUM(BJ117:BJ118)</f>
        <v>9602</v>
      </c>
      <c r="BK119" s="852"/>
      <c r="BL119" s="503">
        <f>SUM(BL117:BL118)</f>
        <v>4342</v>
      </c>
      <c r="BM119" s="503">
        <f>SUM(BM117:BM118)</f>
        <v>4801</v>
      </c>
      <c r="BN119" s="503">
        <f>SUM(BN117:BN118)</f>
        <v>9143</v>
      </c>
      <c r="BO119" s="852"/>
      <c r="BP119" s="503">
        <f>SUM(BP117:BP118)</f>
        <v>5573</v>
      </c>
      <c r="BQ119" s="503">
        <f>SUM(BQ117:BQ118)</f>
        <v>5229</v>
      </c>
      <c r="BR119" s="503">
        <f>SUM(BR117:BR118)</f>
        <v>10802</v>
      </c>
      <c r="BS119" s="852"/>
      <c r="BT119" s="503">
        <f>SUM(BT117:BT118)</f>
        <v>5104</v>
      </c>
      <c r="BU119" s="503">
        <f>SUM(BU117:BU118)</f>
        <v>4600</v>
      </c>
      <c r="BV119" s="503">
        <f>SUM(BV117:BV118)</f>
        <v>9704</v>
      </c>
      <c r="BW119" s="852"/>
      <c r="BX119" s="503">
        <f>SUM(BX117:BX118)</f>
        <v>5108</v>
      </c>
      <c r="BY119" s="503">
        <f>SUM(BY117:BY118)</f>
        <v>4104</v>
      </c>
      <c r="BZ119" s="503">
        <f>SUM(BZ117:BZ118)</f>
        <v>9212</v>
      </c>
      <c r="CA119" s="852"/>
      <c r="CB119" s="503">
        <f ca="1">SUM(CB117:CB118)</f>
        <v>5278.7994823128574</v>
      </c>
      <c r="CC119" s="503">
        <f ca="1">SUM(CC117:CC118)</f>
        <v>5455.7317943963817</v>
      </c>
      <c r="CD119" s="503">
        <f ca="1">SUM(CD117:CD118)</f>
        <v>10734.531276709238</v>
      </c>
      <c r="CE119" s="852"/>
      <c r="CF119" s="503">
        <f ca="1">SUM(CF117:CF118)</f>
        <v>5674.209532789715</v>
      </c>
      <c r="CG119" s="503">
        <f ca="1">SUM(CG117:CG118)</f>
        <v>5693.9996637492177</v>
      </c>
      <c r="CH119" s="503">
        <f ca="1">SUM(CH117:CH118)</f>
        <v>11368.20919653893</v>
      </c>
      <c r="CI119" s="852"/>
      <c r="CJ119" s="503">
        <f ca="1">SUM(CJ117:CJ118)</f>
        <v>5930.4495787365777</v>
      </c>
      <c r="CK119" s="503">
        <f ca="1">SUM(CK117:CK118)</f>
        <v>6153.3388636336877</v>
      </c>
      <c r="CL119" s="503">
        <f ca="1">SUM(CL117:CL118)</f>
        <v>12083.788442370267</v>
      </c>
      <c r="CM119" s="445"/>
      <c r="CN119" s="445"/>
      <c r="CO119" s="459"/>
      <c r="CP119" s="459"/>
      <c r="CQ119" s="459"/>
      <c r="CR119" s="459"/>
      <c r="CS119" s="459"/>
      <c r="CT119" s="459"/>
      <c r="CU119" s="459"/>
      <c r="CV119" s="459"/>
      <c r="CW119" s="459"/>
      <c r="CX119" s="459"/>
      <c r="CY119" s="459"/>
      <c r="CZ119" s="459"/>
      <c r="DA119" s="444"/>
      <c r="DB119" s="444"/>
      <c r="DC119" s="444"/>
      <c r="DD119" s="444"/>
      <c r="DE119" s="444"/>
      <c r="DF119" s="444"/>
      <c r="DG119" s="444"/>
      <c r="DH119" s="444"/>
      <c r="DI119" s="444"/>
      <c r="DJ119" s="444"/>
      <c r="DK119" s="444"/>
      <c r="DL119" s="444"/>
      <c r="DM119" s="444"/>
      <c r="DN119" s="444"/>
      <c r="DO119" s="444"/>
      <c r="DP119" s="444"/>
      <c r="DQ119" s="444"/>
      <c r="DR119" s="444"/>
      <c r="DS119" s="444"/>
      <c r="DT119" s="444"/>
      <c r="DU119" s="444"/>
      <c r="DV119" s="444"/>
      <c r="DW119" s="444"/>
      <c r="DX119" s="444"/>
      <c r="DY119" s="444"/>
      <c r="DZ119" s="444"/>
      <c r="EA119" s="444"/>
      <c r="EB119" s="444"/>
      <c r="EC119" s="444"/>
      <c r="ED119" s="444"/>
      <c r="EE119" s="444"/>
      <c r="EF119" s="444"/>
      <c r="EG119" s="444"/>
      <c r="EH119" s="444"/>
      <c r="EI119" s="444"/>
      <c r="EJ119" s="444"/>
      <c r="EK119" s="444"/>
      <c r="EL119" s="444"/>
      <c r="EM119" s="444"/>
      <c r="EN119" s="444"/>
      <c r="EO119" s="444"/>
      <c r="EP119" s="444"/>
      <c r="EQ119" s="444"/>
      <c r="ER119" s="444"/>
      <c r="ES119" s="444"/>
      <c r="ET119" s="444"/>
      <c r="EU119" s="444"/>
      <c r="EV119" s="444"/>
      <c r="EW119" s="444"/>
      <c r="EX119" s="444"/>
      <c r="EY119" s="444"/>
      <c r="EZ119" s="444"/>
      <c r="FA119" s="444"/>
      <c r="FB119" s="444"/>
      <c r="FC119" s="444"/>
      <c r="FD119" s="444"/>
      <c r="FE119" s="444"/>
      <c r="FF119" s="444"/>
      <c r="FG119" s="444"/>
      <c r="FH119" s="444"/>
      <c r="FI119" s="444"/>
      <c r="FJ119" s="444"/>
      <c r="FK119" s="444"/>
      <c r="FL119" s="444"/>
      <c r="FM119" s="444"/>
      <c r="FN119" s="444"/>
      <c r="FO119" s="444"/>
      <c r="FP119" s="444"/>
      <c r="FQ119" s="444"/>
      <c r="FR119" s="444"/>
      <c r="FS119" s="444"/>
      <c r="FT119" s="444"/>
      <c r="FU119" s="444"/>
      <c r="FV119" s="444"/>
      <c r="FW119" s="444"/>
    </row>
    <row r="120" spans="1:179" ht="13.8">
      <c r="A120" s="444"/>
      <c r="B120" s="444"/>
      <c r="C120" s="454" t="s">
        <v>493</v>
      </c>
      <c r="D120" s="454"/>
      <c r="E120" s="454"/>
      <c r="F120" s="454"/>
      <c r="G120" s="454"/>
      <c r="H120" s="454"/>
      <c r="I120" s="454"/>
      <c r="J120" s="454"/>
      <c r="K120" s="454"/>
      <c r="L120" s="454"/>
      <c r="M120" s="454"/>
      <c r="N120" s="454"/>
      <c r="O120" s="454"/>
      <c r="P120" s="503"/>
      <c r="Q120" s="503"/>
      <c r="R120" s="503"/>
      <c r="S120" s="503"/>
      <c r="T120" s="503"/>
      <c r="U120" s="503"/>
      <c r="V120" s="503"/>
      <c r="W120" s="503"/>
      <c r="X120" s="503"/>
      <c r="Y120" s="503"/>
      <c r="Z120" s="503"/>
      <c r="AA120" s="503"/>
      <c r="AB120" s="503"/>
      <c r="AC120" s="503"/>
      <c r="AD120" s="503"/>
      <c r="AE120" s="503"/>
      <c r="AF120" s="503"/>
      <c r="AG120" s="503"/>
      <c r="AH120" s="503"/>
      <c r="AI120" s="503"/>
      <c r="AJ120" s="503"/>
      <c r="AK120" s="503"/>
      <c r="AL120" s="503"/>
      <c r="AM120" s="503"/>
      <c r="AN120" s="503"/>
      <c r="AO120" s="503"/>
      <c r="AP120" s="503"/>
      <c r="AQ120" s="503"/>
      <c r="AR120" s="503"/>
      <c r="AS120" s="503"/>
      <c r="AT120" s="503"/>
      <c r="AU120" s="469"/>
      <c r="AV120" s="503">
        <f>AV198</f>
        <v>-1427</v>
      </c>
      <c r="AW120" s="503">
        <f>AW198</f>
        <v>-1489.6</v>
      </c>
      <c r="AX120" s="503">
        <f>AX198</f>
        <v>-2916.6</v>
      </c>
      <c r="AY120" s="469"/>
      <c r="AZ120" s="503">
        <f>AZ198</f>
        <v>-1407.5</v>
      </c>
      <c r="BA120" s="503">
        <f>BA198</f>
        <v>-1341.2</v>
      </c>
      <c r="BB120" s="503">
        <f>BB198</f>
        <v>-2748.7</v>
      </c>
      <c r="BC120" s="503"/>
      <c r="BD120" s="503">
        <f>BD198</f>
        <v>-1149.2</v>
      </c>
      <c r="BE120" s="503">
        <f>BE198</f>
        <v>-1107.8</v>
      </c>
      <c r="BF120" s="503">
        <f>BF198</f>
        <v>-2275.5</v>
      </c>
      <c r="BG120" s="852">
        <f t="shared" si="140"/>
        <v>-0.17215410921526531</v>
      </c>
      <c r="BH120" s="503">
        <f>BH198</f>
        <v>-1598.3</v>
      </c>
      <c r="BI120" s="503">
        <f>BI198</f>
        <v>-1358.4</v>
      </c>
      <c r="BJ120" s="503">
        <f>BJ198</f>
        <v>-2979.7</v>
      </c>
      <c r="BK120" s="852"/>
      <c r="BL120" s="503">
        <f>BL198</f>
        <v>-1298.3</v>
      </c>
      <c r="BM120" s="503">
        <f>BM198</f>
        <v>-1369.6</v>
      </c>
      <c r="BN120" s="503">
        <f>BN198</f>
        <v>-2674</v>
      </c>
      <c r="BO120" s="852"/>
      <c r="BP120" s="503">
        <f>BP198</f>
        <v>-1629.9</v>
      </c>
      <c r="BQ120" s="503">
        <f>BQ198</f>
        <v>-1562.4</v>
      </c>
      <c r="BR120" s="503">
        <f>BR198</f>
        <v>-3187.7</v>
      </c>
      <c r="BS120" s="852"/>
      <c r="BT120" s="503">
        <f>BT198</f>
        <v>-1522.6</v>
      </c>
      <c r="BU120" s="503">
        <f>BU198</f>
        <v>-1427</v>
      </c>
      <c r="BV120" s="503">
        <f>BV198</f>
        <v>-2949.6</v>
      </c>
      <c r="BW120" s="852"/>
      <c r="BX120" s="503">
        <f>BX198</f>
        <v>-1540</v>
      </c>
      <c r="BY120" s="503">
        <f>BY198</f>
        <v>-1441.2</v>
      </c>
      <c r="BZ120" s="503">
        <f>BZ198</f>
        <v>-2981.2</v>
      </c>
      <c r="CA120" s="852"/>
      <c r="CB120" s="503">
        <f ca="1">CB198</f>
        <v>-1577.245847282293</v>
      </c>
      <c r="CC120" s="503">
        <f ca="1">CC198</f>
        <v>-1629.4408793469324</v>
      </c>
      <c r="CD120" s="503">
        <f ca="1">CD198</f>
        <v>-3206.6867266292256</v>
      </c>
      <c r="CE120" s="852"/>
      <c r="CF120" s="503">
        <f ca="1">CF198</f>
        <v>-1693.8918121729657</v>
      </c>
      <c r="CG120" s="503">
        <f ca="1">CG198</f>
        <v>-1699.729900806019</v>
      </c>
      <c r="CH120" s="503">
        <f ca="1">CH198</f>
        <v>-3393.6217129789848</v>
      </c>
      <c r="CI120" s="852"/>
      <c r="CJ120" s="503">
        <f ca="1">CJ198</f>
        <v>-1769.4826257272898</v>
      </c>
      <c r="CK120" s="503">
        <f ca="1">CK198</f>
        <v>-1835.2349647719377</v>
      </c>
      <c r="CL120" s="503">
        <f ca="1">CL198</f>
        <v>-3604.7175904992273</v>
      </c>
      <c r="CM120" s="445"/>
      <c r="CN120" s="445"/>
      <c r="CO120" s="459"/>
      <c r="CP120" s="459"/>
      <c r="CQ120" s="459"/>
      <c r="CR120" s="459"/>
      <c r="CS120" s="459"/>
      <c r="CT120" s="459"/>
      <c r="CU120" s="459"/>
      <c r="CV120" s="459"/>
      <c r="CW120" s="459"/>
      <c r="CX120" s="459"/>
      <c r="CY120" s="459"/>
      <c r="CZ120" s="459"/>
      <c r="DA120" s="444"/>
      <c r="DB120" s="444"/>
      <c r="DC120" s="444"/>
      <c r="DD120" s="444"/>
      <c r="DE120" s="444"/>
      <c r="DF120" s="444"/>
      <c r="DG120" s="444"/>
      <c r="DH120" s="444"/>
      <c r="DI120" s="444"/>
      <c r="DJ120" s="444"/>
      <c r="DK120" s="444"/>
      <c r="DL120" s="444"/>
      <c r="DM120" s="444"/>
      <c r="DN120" s="444"/>
      <c r="DO120" s="444"/>
      <c r="DP120" s="444"/>
      <c r="DQ120" s="444"/>
      <c r="DR120" s="444"/>
      <c r="DS120" s="444"/>
      <c r="DT120" s="444"/>
      <c r="DU120" s="444"/>
      <c r="DV120" s="444"/>
      <c r="DW120" s="444"/>
      <c r="DX120" s="444"/>
      <c r="DY120" s="444"/>
      <c r="DZ120" s="444"/>
      <c r="EA120" s="444"/>
      <c r="EB120" s="444"/>
      <c r="EC120" s="444"/>
      <c r="ED120" s="444"/>
      <c r="EE120" s="444"/>
      <c r="EF120" s="444"/>
      <c r="EG120" s="444"/>
      <c r="EH120" s="444"/>
      <c r="EI120" s="444"/>
      <c r="EJ120" s="444"/>
      <c r="EK120" s="444"/>
      <c r="EL120" s="444"/>
      <c r="EM120" s="444"/>
      <c r="EN120" s="444"/>
      <c r="EO120" s="444"/>
      <c r="EP120" s="444"/>
      <c r="EQ120" s="444"/>
      <c r="ER120" s="444"/>
      <c r="ES120" s="444"/>
      <c r="ET120" s="444"/>
      <c r="EU120" s="444"/>
      <c r="EV120" s="444"/>
      <c r="EW120" s="444"/>
      <c r="EX120" s="444"/>
      <c r="EY120" s="444"/>
      <c r="EZ120" s="444"/>
      <c r="FA120" s="444"/>
      <c r="FB120" s="444"/>
      <c r="FC120" s="444"/>
      <c r="FD120" s="444"/>
      <c r="FE120" s="444"/>
      <c r="FF120" s="444"/>
      <c r="FG120" s="444"/>
      <c r="FH120" s="444"/>
      <c r="FI120" s="444"/>
      <c r="FJ120" s="444"/>
      <c r="FK120" s="444"/>
      <c r="FL120" s="444"/>
      <c r="FM120" s="444"/>
      <c r="FN120" s="444"/>
      <c r="FO120" s="444"/>
      <c r="FP120" s="444"/>
      <c r="FQ120" s="444"/>
      <c r="FR120" s="444"/>
      <c r="FS120" s="444"/>
      <c r="FT120" s="444"/>
      <c r="FU120" s="444"/>
      <c r="FV120" s="444"/>
      <c r="FW120" s="444"/>
    </row>
    <row r="121" spans="1:179" ht="13.8">
      <c r="A121" s="444"/>
      <c r="B121" s="444"/>
      <c r="C121" s="853" t="s">
        <v>955</v>
      </c>
      <c r="D121" s="853"/>
      <c r="E121" s="853"/>
      <c r="F121" s="853"/>
      <c r="G121" s="853"/>
      <c r="H121" s="853"/>
      <c r="I121" s="853"/>
      <c r="J121" s="853"/>
      <c r="K121" s="853"/>
      <c r="L121" s="853"/>
      <c r="M121" s="853"/>
      <c r="N121" s="853"/>
      <c r="O121" s="853"/>
      <c r="P121" s="858"/>
      <c r="Q121" s="858"/>
      <c r="R121" s="858"/>
      <c r="S121" s="858"/>
      <c r="T121" s="858"/>
      <c r="U121" s="858"/>
      <c r="V121" s="858"/>
      <c r="W121" s="858"/>
      <c r="X121" s="858"/>
      <c r="Y121" s="858"/>
      <c r="Z121" s="858"/>
      <c r="AA121" s="858"/>
      <c r="AB121" s="858"/>
      <c r="AC121" s="858"/>
      <c r="AD121" s="858"/>
      <c r="AE121" s="858"/>
      <c r="AF121" s="858"/>
      <c r="AG121" s="858"/>
      <c r="AH121" s="858"/>
      <c r="AI121" s="858"/>
      <c r="AJ121" s="858"/>
      <c r="AK121" s="858"/>
      <c r="AL121" s="858"/>
      <c r="AM121" s="858"/>
      <c r="AN121" s="858"/>
      <c r="AO121" s="858"/>
      <c r="AP121" s="858"/>
      <c r="AQ121" s="858"/>
      <c r="AR121" s="858"/>
      <c r="AS121" s="858"/>
      <c r="AT121" s="858"/>
      <c r="AU121" s="858"/>
      <c r="AV121" s="858">
        <f>SUM(AV119:AV120)</f>
        <v>3361</v>
      </c>
      <c r="AW121" s="858">
        <f>SUM(AW119:AW120)</f>
        <v>3438.4</v>
      </c>
      <c r="AX121" s="858">
        <f>SUM(AX119:AX120)</f>
        <v>6799.4</v>
      </c>
      <c r="AY121" s="854"/>
      <c r="AZ121" s="858">
        <f>SUM(AZ119:AZ120)</f>
        <v>3444.5</v>
      </c>
      <c r="BA121" s="858">
        <f>SUM(BA119:BA120)</f>
        <v>3254.8</v>
      </c>
      <c r="BB121" s="858">
        <f>SUM(BB119:BB120)</f>
        <v>6699.3</v>
      </c>
      <c r="BC121" s="854"/>
      <c r="BD121" s="858">
        <f>SUM(BD119:BD120)</f>
        <v>2024.8</v>
      </c>
      <c r="BE121" s="858">
        <f>SUM(BE119:BE120)</f>
        <v>2629.2</v>
      </c>
      <c r="BF121" s="858">
        <f>SUM(BF119:BF120)</f>
        <v>4635.5</v>
      </c>
      <c r="BG121" s="859">
        <f t="shared" si="140"/>
        <v>-0.30806203633215412</v>
      </c>
      <c r="BH121" s="858">
        <f>SUM(BH119:BH120)</f>
        <v>3354.7</v>
      </c>
      <c r="BI121" s="858">
        <f>SUM(BI119:BI120)</f>
        <v>3290.6</v>
      </c>
      <c r="BJ121" s="858">
        <f>SUM(BJ119:BJ120)</f>
        <v>6622.3</v>
      </c>
      <c r="BK121" s="859"/>
      <c r="BL121" s="858">
        <f>SUM(BL119:BL120)</f>
        <v>3043.7</v>
      </c>
      <c r="BM121" s="858">
        <f>SUM(BM119:BM120)</f>
        <v>3431.4</v>
      </c>
      <c r="BN121" s="858">
        <f>SUM(BN119:BN120)</f>
        <v>6469</v>
      </c>
      <c r="BO121" s="859"/>
      <c r="BP121" s="858">
        <f>SUM(BP119:BP120)</f>
        <v>3943.1</v>
      </c>
      <c r="BQ121" s="858">
        <f>SUM(BQ119:BQ120)</f>
        <v>3666.6</v>
      </c>
      <c r="BR121" s="858">
        <f>SUM(BR119:BR120)</f>
        <v>7614.3</v>
      </c>
      <c r="BS121" s="859"/>
      <c r="BT121" s="858">
        <f>SUM(BT119:BT120)</f>
        <v>3581.4</v>
      </c>
      <c r="BU121" s="858">
        <f>SUM(BU119:BU120)</f>
        <v>3173</v>
      </c>
      <c r="BV121" s="858">
        <f>SUM(BV119:BV120)</f>
        <v>6754.4</v>
      </c>
      <c r="BW121" s="859"/>
      <c r="BX121" s="858">
        <f>SUM(BX119:BX120)</f>
        <v>3568</v>
      </c>
      <c r="BY121" s="858">
        <f>SUM(BY119:BY120)</f>
        <v>2662.8</v>
      </c>
      <c r="BZ121" s="858">
        <f>SUM(BZ119:BZ120)</f>
        <v>6230.8</v>
      </c>
      <c r="CA121" s="859"/>
      <c r="CB121" s="858">
        <f ca="1">SUM(CB119:CB120)</f>
        <v>3701.5536350305647</v>
      </c>
      <c r="CC121" s="858">
        <f ca="1">SUM(CC119:CC120)</f>
        <v>3826.2909150494493</v>
      </c>
      <c r="CD121" s="858">
        <f ca="1">SUM(CD119:CD120)</f>
        <v>7527.8445500800126</v>
      </c>
      <c r="CE121" s="859"/>
      <c r="CF121" s="858">
        <f ca="1">SUM(CF119:CF120)</f>
        <v>3980.3177206167493</v>
      </c>
      <c r="CG121" s="858">
        <f ca="1">SUM(CG119:CG120)</f>
        <v>3994.2697629431987</v>
      </c>
      <c r="CH121" s="858">
        <f ca="1">SUM(CH119:CH120)</f>
        <v>7974.5874835599452</v>
      </c>
      <c r="CI121" s="859"/>
      <c r="CJ121" s="858">
        <f ca="1">SUM(CJ119:CJ120)</f>
        <v>4160.9669530092879</v>
      </c>
      <c r="CK121" s="858">
        <f ca="1">SUM(CK119:CK120)</f>
        <v>4318.1038988617502</v>
      </c>
      <c r="CL121" s="858">
        <f ca="1">SUM(CL119:CL120)</f>
        <v>8479.0708518710398</v>
      </c>
      <c r="CM121" s="444"/>
      <c r="CN121" s="445"/>
      <c r="CO121" s="459"/>
      <c r="CP121" s="459"/>
      <c r="CQ121" s="459"/>
      <c r="CR121" s="459"/>
      <c r="CS121" s="459"/>
      <c r="CT121" s="459"/>
      <c r="CU121" s="459"/>
      <c r="CV121" s="459"/>
      <c r="CW121" s="459"/>
      <c r="CX121" s="459"/>
      <c r="CY121" s="459"/>
      <c r="CZ121" s="459"/>
      <c r="DA121" s="444"/>
      <c r="DB121" s="444"/>
      <c r="DC121" s="444"/>
      <c r="DD121" s="444"/>
      <c r="DE121" s="444"/>
      <c r="DF121" s="444"/>
      <c r="DG121" s="444"/>
      <c r="DH121" s="444"/>
      <c r="DI121" s="444"/>
      <c r="DJ121" s="444"/>
      <c r="DK121" s="444"/>
      <c r="DL121" s="444"/>
      <c r="DM121" s="444"/>
      <c r="DN121" s="444"/>
      <c r="DO121" s="444"/>
      <c r="DP121" s="444"/>
      <c r="DQ121" s="444"/>
      <c r="DR121" s="444"/>
      <c r="DS121" s="444"/>
      <c r="DT121" s="444"/>
      <c r="DU121" s="444"/>
      <c r="DV121" s="444"/>
      <c r="DW121" s="444"/>
      <c r="DX121" s="444"/>
      <c r="DY121" s="444"/>
      <c r="DZ121" s="444"/>
      <c r="EA121" s="444"/>
      <c r="EB121" s="444"/>
      <c r="EC121" s="444"/>
      <c r="ED121" s="444"/>
      <c r="EE121" s="444"/>
      <c r="EF121" s="444"/>
      <c r="EG121" s="444"/>
      <c r="EH121" s="444"/>
      <c r="EI121" s="444"/>
      <c r="EJ121" s="444"/>
      <c r="EK121" s="444"/>
      <c r="EL121" s="444"/>
      <c r="EM121" s="444"/>
      <c r="EN121" s="444"/>
      <c r="EO121" s="444"/>
      <c r="EP121" s="444"/>
      <c r="EQ121" s="444"/>
      <c r="ER121" s="444"/>
      <c r="ES121" s="444"/>
      <c r="ET121" s="444"/>
      <c r="EU121" s="444"/>
      <c r="EV121" s="444"/>
      <c r="EW121" s="444"/>
      <c r="EX121" s="444"/>
      <c r="EY121" s="444"/>
      <c r="EZ121" s="444"/>
      <c r="FA121" s="444"/>
      <c r="FB121" s="444"/>
      <c r="FC121" s="444"/>
      <c r="FD121" s="444"/>
      <c r="FE121" s="444"/>
      <c r="FF121" s="444"/>
      <c r="FG121" s="444"/>
      <c r="FH121" s="444"/>
      <c r="FI121" s="444"/>
      <c r="FJ121" s="444"/>
      <c r="FK121" s="444"/>
      <c r="FL121" s="444"/>
      <c r="FM121" s="444"/>
      <c r="FN121" s="444"/>
      <c r="FO121" s="444"/>
      <c r="FP121" s="444"/>
      <c r="FQ121" s="444"/>
      <c r="FR121" s="444"/>
      <c r="FS121" s="444"/>
      <c r="FT121" s="444"/>
      <c r="FU121" s="444"/>
      <c r="FV121" s="444"/>
      <c r="FW121" s="444"/>
    </row>
    <row r="122" spans="1:179" ht="13.8">
      <c r="A122" s="444"/>
      <c r="B122" s="444"/>
      <c r="C122" s="454"/>
      <c r="D122" s="454"/>
      <c r="E122" s="454"/>
      <c r="F122" s="454"/>
      <c r="G122" s="454"/>
      <c r="H122" s="454"/>
      <c r="I122" s="454"/>
      <c r="J122" s="454"/>
      <c r="K122" s="454"/>
      <c r="L122" s="454"/>
      <c r="M122" s="454"/>
      <c r="N122" s="454"/>
      <c r="O122" s="454"/>
      <c r="P122" s="503"/>
      <c r="Q122" s="503"/>
      <c r="R122" s="503"/>
      <c r="S122" s="503"/>
      <c r="T122" s="503"/>
      <c r="U122" s="503"/>
      <c r="V122" s="503"/>
      <c r="W122" s="503"/>
      <c r="X122" s="503"/>
      <c r="Y122" s="503"/>
      <c r="Z122" s="503"/>
      <c r="AA122" s="503"/>
      <c r="AB122" s="503"/>
      <c r="AC122" s="503"/>
      <c r="AD122" s="503"/>
      <c r="AE122" s="503"/>
      <c r="AF122" s="503"/>
      <c r="AG122" s="503"/>
      <c r="AH122" s="503"/>
      <c r="AI122" s="503"/>
      <c r="AJ122" s="503"/>
      <c r="AK122" s="503"/>
      <c r="AL122" s="503"/>
      <c r="AM122" s="503"/>
      <c r="AN122" s="503"/>
      <c r="AO122" s="503"/>
      <c r="AP122" s="503"/>
      <c r="AQ122" s="503"/>
      <c r="AR122" s="503"/>
      <c r="AS122" s="503"/>
      <c r="AT122" s="503"/>
      <c r="AU122" s="469"/>
      <c r="AV122" s="850">
        <f>AV109</f>
        <v>3407</v>
      </c>
      <c r="AW122" s="850">
        <f>AW109</f>
        <v>3483</v>
      </c>
      <c r="AX122" s="850"/>
      <c r="AY122" s="469"/>
      <c r="AZ122" s="850">
        <f>AZ109</f>
        <v>3467</v>
      </c>
      <c r="BA122" s="850"/>
      <c r="BB122" s="850"/>
      <c r="BC122" s="503"/>
      <c r="BD122" s="850">
        <f>BD109</f>
        <v>0</v>
      </c>
      <c r="BE122" s="850"/>
      <c r="BF122" s="850"/>
      <c r="BG122" s="503"/>
      <c r="BH122" s="850">
        <f>BH109</f>
        <v>0</v>
      </c>
      <c r="BI122" s="850"/>
      <c r="BJ122" s="850"/>
      <c r="BK122" s="503"/>
      <c r="BL122" s="850">
        <f>BL109</f>
        <v>0</v>
      </c>
      <c r="BM122" s="850"/>
      <c r="BN122" s="850"/>
      <c r="BO122" s="503"/>
      <c r="BP122" s="850">
        <f>BP109</f>
        <v>0</v>
      </c>
      <c r="BQ122" s="850"/>
      <c r="BR122" s="850"/>
      <c r="BS122" s="503"/>
      <c r="BT122" s="850">
        <f>BT109</f>
        <v>0</v>
      </c>
      <c r="BU122" s="850"/>
      <c r="BV122" s="850"/>
      <c r="BW122" s="503"/>
      <c r="BX122" s="850">
        <f>BX109</f>
        <v>0</v>
      </c>
      <c r="BY122" s="850"/>
      <c r="BZ122" s="850"/>
      <c r="CA122" s="503"/>
      <c r="CB122" s="850">
        <f>CB109</f>
        <v>0</v>
      </c>
      <c r="CC122" s="850"/>
      <c r="CD122" s="850"/>
      <c r="CE122" s="503"/>
      <c r="CF122" s="850">
        <f>CF109</f>
        <v>0</v>
      </c>
      <c r="CG122" s="850"/>
      <c r="CH122" s="850"/>
      <c r="CI122" s="503"/>
      <c r="CJ122" s="850">
        <f>CJ109</f>
        <v>0</v>
      </c>
      <c r="CK122" s="850"/>
      <c r="CL122" s="850"/>
      <c r="CM122" s="444"/>
      <c r="CN122" s="445"/>
      <c r="CO122" s="459"/>
      <c r="CP122" s="459"/>
      <c r="CQ122" s="459"/>
      <c r="CR122" s="459"/>
      <c r="CS122" s="459"/>
      <c r="CT122" s="459"/>
      <c r="CU122" s="459"/>
      <c r="CV122" s="459"/>
      <c r="CW122" s="459"/>
      <c r="CX122" s="459"/>
      <c r="CY122" s="459"/>
      <c r="CZ122" s="459"/>
      <c r="DA122" s="444"/>
      <c r="DB122" s="444"/>
      <c r="DC122" s="444"/>
      <c r="DD122" s="444"/>
      <c r="DE122" s="444"/>
      <c r="DF122" s="444"/>
      <c r="DG122" s="444"/>
      <c r="DH122" s="444"/>
      <c r="DI122" s="444"/>
      <c r="DJ122" s="444"/>
      <c r="DK122" s="444"/>
      <c r="DL122" s="444"/>
      <c r="DM122" s="444"/>
      <c r="DN122" s="444"/>
      <c r="DO122" s="444"/>
      <c r="DP122" s="444"/>
      <c r="DQ122" s="444"/>
      <c r="DR122" s="444"/>
      <c r="DS122" s="444"/>
      <c r="DT122" s="444"/>
      <c r="DU122" s="444"/>
      <c r="DV122" s="444"/>
      <c r="DW122" s="444"/>
      <c r="DX122" s="444"/>
      <c r="DY122" s="444"/>
      <c r="DZ122" s="444"/>
      <c r="EA122" s="444"/>
      <c r="EB122" s="444"/>
      <c r="EC122" s="444"/>
      <c r="ED122" s="444"/>
      <c r="EE122" s="444"/>
      <c r="EF122" s="444"/>
      <c r="EG122" s="444"/>
      <c r="EH122" s="444"/>
      <c r="EI122" s="444"/>
      <c r="EJ122" s="444"/>
      <c r="EK122" s="444"/>
      <c r="EL122" s="444"/>
      <c r="EM122" s="444"/>
      <c r="EN122" s="444"/>
      <c r="EO122" s="444"/>
      <c r="EP122" s="444"/>
      <c r="EQ122" s="444"/>
      <c r="ER122" s="444"/>
      <c r="ES122" s="444"/>
      <c r="ET122" s="444"/>
      <c r="EU122" s="444"/>
      <c r="EV122" s="444"/>
      <c r="EW122" s="444"/>
      <c r="EX122" s="444"/>
      <c r="EY122" s="444"/>
      <c r="EZ122" s="444"/>
      <c r="FA122" s="444"/>
      <c r="FB122" s="444"/>
      <c r="FC122" s="444"/>
      <c r="FD122" s="444"/>
      <c r="FE122" s="444"/>
      <c r="FF122" s="444"/>
      <c r="FG122" s="444"/>
      <c r="FH122" s="444"/>
      <c r="FI122" s="444"/>
      <c r="FJ122" s="444"/>
      <c r="FK122" s="444"/>
      <c r="FL122" s="444"/>
      <c r="FM122" s="444"/>
      <c r="FN122" s="444"/>
      <c r="FO122" s="444"/>
      <c r="FP122" s="444"/>
      <c r="FQ122" s="444"/>
      <c r="FR122" s="444"/>
      <c r="FS122" s="444"/>
      <c r="FT122" s="444"/>
      <c r="FU122" s="444"/>
      <c r="FV122" s="444"/>
      <c r="FW122" s="444"/>
    </row>
    <row r="123" spans="1:179" ht="13.8">
      <c r="A123" s="444"/>
      <c r="B123" s="444"/>
      <c r="C123" s="454"/>
      <c r="D123" s="454"/>
      <c r="E123" s="454"/>
      <c r="F123" s="454"/>
      <c r="G123" s="454"/>
      <c r="H123" s="454"/>
      <c r="I123" s="454"/>
      <c r="J123" s="454"/>
      <c r="K123" s="454"/>
      <c r="L123" s="454"/>
      <c r="M123" s="454"/>
      <c r="N123" s="454"/>
      <c r="O123" s="454"/>
      <c r="P123" s="503"/>
      <c r="Q123" s="503"/>
      <c r="R123" s="503"/>
      <c r="S123" s="503"/>
      <c r="T123" s="503"/>
      <c r="U123" s="503"/>
      <c r="V123" s="503"/>
      <c r="W123" s="503"/>
      <c r="X123" s="503"/>
      <c r="Y123" s="503"/>
      <c r="Z123" s="503"/>
      <c r="AA123" s="503"/>
      <c r="AB123" s="503"/>
      <c r="AC123" s="503"/>
      <c r="AD123" s="503"/>
      <c r="AE123" s="503"/>
      <c r="AF123" s="503"/>
      <c r="AG123" s="503"/>
      <c r="AH123" s="503"/>
      <c r="AI123" s="503"/>
      <c r="AJ123" s="503"/>
      <c r="AK123" s="503"/>
      <c r="AL123" s="503"/>
      <c r="AM123" s="503"/>
      <c r="AN123" s="503"/>
      <c r="AO123" s="503"/>
      <c r="AP123" s="503"/>
      <c r="AQ123" s="503"/>
      <c r="AR123" s="503"/>
      <c r="AS123" s="503"/>
      <c r="AT123" s="503"/>
      <c r="AU123" s="469"/>
      <c r="AV123" s="851">
        <f>-AV120/AV119</f>
        <v>0.29803675856307438</v>
      </c>
      <c r="AW123" s="851">
        <f>-AW120/AW119</f>
        <v>0.30227272727272725</v>
      </c>
      <c r="AX123" s="851">
        <f>-AX120/AX119</f>
        <v>0.30018526142445451</v>
      </c>
      <c r="AY123" s="469"/>
      <c r="AZ123" s="851">
        <f>-AZ120/AZ119</f>
        <v>0.29008656224237428</v>
      </c>
      <c r="BA123" s="851">
        <f>-BA120/BA119</f>
        <v>0.29181897302001741</v>
      </c>
      <c r="BB123" s="851">
        <f>-BB120/BB119</f>
        <v>0.29092929720575783</v>
      </c>
      <c r="BC123" s="503"/>
      <c r="BD123" s="851">
        <f>-BD120/BD119</f>
        <v>0.36206679269061121</v>
      </c>
      <c r="BE123" s="851">
        <f>-BE120/BE119</f>
        <v>0.29644099545089642</v>
      </c>
      <c r="BF123" s="851">
        <f>-BF120/BF119</f>
        <v>0.32925770510779917</v>
      </c>
      <c r="BG123" s="503"/>
      <c r="BH123" s="851">
        <f>-BH120/BH119</f>
        <v>0.32269331718150612</v>
      </c>
      <c r="BI123" s="851">
        <f>-BI120/BI119</f>
        <v>0.29219186921918694</v>
      </c>
      <c r="BJ123" s="851">
        <f>-BJ120/BJ119</f>
        <v>0.31032076650697771</v>
      </c>
      <c r="BK123" s="503"/>
      <c r="BL123" s="851">
        <f>-BL120/BL119</f>
        <v>0.29900967296176878</v>
      </c>
      <c r="BM123" s="851">
        <f>-BM120/BM119</f>
        <v>0.28527390127056862</v>
      </c>
      <c r="BN123" s="851">
        <f>-BN120/BN119</f>
        <v>0.29246418024718362</v>
      </c>
      <c r="BO123" s="503"/>
      <c r="BP123" s="851">
        <f>-BP120/BP119</f>
        <v>0.2924636640947425</v>
      </c>
      <c r="BQ123" s="851">
        <f>-BQ120/BQ119</f>
        <v>0.29879518072289157</v>
      </c>
      <c r="BR123" s="851">
        <f>-BR120/BR119</f>
        <v>0.29510275874837993</v>
      </c>
      <c r="BS123" s="503"/>
      <c r="BT123" s="851">
        <f>-BT120/BT119</f>
        <v>0.29831504702194356</v>
      </c>
      <c r="BU123" s="851">
        <f>-BU120/BU119</f>
        <v>0.31021739130434783</v>
      </c>
      <c r="BV123" s="851">
        <f>-BV120/BV119</f>
        <v>0.30395713107996702</v>
      </c>
      <c r="BW123" s="503"/>
      <c r="BX123" s="851">
        <f>-BX120/BX119</f>
        <v>0.30148786217697732</v>
      </c>
      <c r="BY123" s="851">
        <f>-BY120/BY119</f>
        <v>0.35116959064327485</v>
      </c>
      <c r="BZ123" s="851">
        <f>-BZ120/BZ119</f>
        <v>0.32362136343899262</v>
      </c>
      <c r="CA123" s="503"/>
      <c r="CB123" s="851">
        <f ca="1">-CB120/CB119</f>
        <v>0.29878874023667917</v>
      </c>
      <c r="CC123" s="851">
        <f ca="1">-CC120/CC119</f>
        <v>0.29866586935606732</v>
      </c>
      <c r="CD123" s="851">
        <f ca="1">-CD120/CD119</f>
        <v>0.29872629218443741</v>
      </c>
      <c r="CE123" s="503"/>
      <c r="CF123" s="851">
        <f ca="1">-CF120/CF119</f>
        <v>0.29852472003094443</v>
      </c>
      <c r="CG123" s="851">
        <f ca="1">-CG120/CG119</f>
        <v>0.29851246947331761</v>
      </c>
      <c r="CH123" s="851">
        <f ca="1">-CH120/CH119</f>
        <v>0.29851858408905585</v>
      </c>
      <c r="CI123" s="503"/>
      <c r="CJ123" s="851">
        <f ca="1">-CJ120/CJ119</f>
        <v>0.29837242560356786</v>
      </c>
      <c r="CK123" s="851">
        <f ca="1">-CK120/CK119</f>
        <v>0.29825026793473053</v>
      </c>
      <c r="CL123" s="851">
        <f ca="1">-CL120/CL119</f>
        <v>0.29831022015080499</v>
      </c>
      <c r="CM123" s="588"/>
      <c r="CN123" s="560"/>
      <c r="CO123" s="588"/>
      <c r="CP123" s="588"/>
      <c r="CQ123" s="588"/>
      <c r="CR123" s="588"/>
      <c r="CS123" s="588"/>
      <c r="CT123" s="588"/>
      <c r="CU123" s="588"/>
      <c r="CV123" s="588"/>
      <c r="CW123" s="588"/>
      <c r="CX123" s="588"/>
      <c r="CY123" s="588"/>
      <c r="CZ123" s="588"/>
      <c r="DA123" s="588"/>
      <c r="DB123" s="588"/>
      <c r="DC123" s="588"/>
      <c r="DD123" s="588"/>
      <c r="DE123" s="588"/>
      <c r="DF123" s="588"/>
      <c r="DG123" s="588"/>
      <c r="DH123" s="588"/>
      <c r="DI123" s="588"/>
      <c r="DJ123" s="588"/>
      <c r="DK123" s="588"/>
      <c r="DL123" s="588"/>
      <c r="DM123" s="588"/>
      <c r="DN123" s="588"/>
      <c r="DO123" s="588"/>
      <c r="DP123" s="588"/>
      <c r="DQ123" s="588"/>
      <c r="DR123" s="588"/>
      <c r="DS123" s="588"/>
      <c r="DT123" s="588"/>
      <c r="DU123" s="588"/>
      <c r="DV123" s="588"/>
      <c r="DW123" s="588"/>
      <c r="DX123" s="588"/>
      <c r="DY123" s="588"/>
      <c r="DZ123" s="588"/>
      <c r="EA123" s="588"/>
      <c r="EB123" s="588"/>
      <c r="EC123" s="588"/>
      <c r="ED123" s="588"/>
      <c r="EE123" s="588"/>
      <c r="EF123" s="588"/>
      <c r="EG123" s="588"/>
      <c r="EH123" s="588"/>
      <c r="EI123" s="588"/>
      <c r="EJ123" s="588"/>
      <c r="EK123" s="588"/>
      <c r="EL123" s="588"/>
      <c r="EM123" s="588"/>
      <c r="EN123" s="588"/>
      <c r="EO123" s="588"/>
      <c r="EP123" s="588"/>
      <c r="EQ123" s="588"/>
      <c r="ER123" s="588"/>
      <c r="ES123" s="588"/>
      <c r="ET123" s="588"/>
      <c r="EU123" s="588"/>
      <c r="EV123" s="588"/>
      <c r="EW123" s="588"/>
      <c r="EX123" s="588"/>
      <c r="EY123" s="588"/>
      <c r="EZ123" s="588"/>
      <c r="FA123" s="588"/>
      <c r="FB123" s="588"/>
      <c r="FC123" s="588"/>
      <c r="FD123" s="588"/>
      <c r="FE123" s="588"/>
      <c r="FF123" s="588"/>
      <c r="FG123" s="588"/>
      <c r="FH123" s="588"/>
      <c r="FI123" s="588"/>
      <c r="FJ123" s="588"/>
      <c r="FK123" s="588"/>
      <c r="FL123" s="444"/>
      <c r="FM123" s="444"/>
      <c r="FN123" s="444"/>
      <c r="FO123" s="444"/>
      <c r="FP123" s="444"/>
      <c r="FQ123" s="444"/>
      <c r="FR123" s="444"/>
      <c r="FS123" s="444"/>
      <c r="FT123" s="444"/>
      <c r="FU123" s="444"/>
      <c r="FV123" s="444"/>
      <c r="FW123" s="444"/>
    </row>
    <row r="124" spans="1:179" ht="13.8">
      <c r="A124" s="444"/>
      <c r="B124" s="480"/>
      <c r="C124" s="454"/>
      <c r="D124" s="454"/>
      <c r="E124" s="454"/>
      <c r="F124" s="454"/>
      <c r="G124" s="454"/>
      <c r="H124" s="454"/>
      <c r="I124" s="454"/>
      <c r="J124" s="454"/>
      <c r="K124" s="454"/>
      <c r="L124" s="454"/>
      <c r="M124" s="454"/>
      <c r="N124" s="454"/>
      <c r="O124" s="454"/>
      <c r="P124" s="503"/>
      <c r="Q124" s="503"/>
      <c r="R124" s="503"/>
      <c r="S124" s="503"/>
      <c r="T124" s="503"/>
      <c r="U124" s="503"/>
      <c r="V124" s="503"/>
      <c r="W124" s="503"/>
      <c r="X124" s="503"/>
      <c r="Y124" s="503"/>
      <c r="Z124" s="503"/>
      <c r="AA124" s="503"/>
      <c r="AB124" s="503"/>
      <c r="AC124" s="503"/>
      <c r="AD124" s="503"/>
      <c r="AE124" s="503"/>
      <c r="AF124" s="503"/>
      <c r="AG124" s="503"/>
      <c r="AH124" s="503"/>
      <c r="AI124" s="503"/>
      <c r="AJ124" s="503"/>
      <c r="AK124" s="503"/>
      <c r="AL124" s="503"/>
      <c r="AM124" s="503"/>
      <c r="AN124" s="503"/>
      <c r="AO124" s="503"/>
      <c r="AP124" s="503"/>
      <c r="AQ124" s="503"/>
      <c r="AR124" s="503"/>
      <c r="AS124" s="503"/>
      <c r="AT124" s="503"/>
      <c r="AU124" s="469"/>
      <c r="AV124" s="503"/>
      <c r="AW124" s="503"/>
      <c r="AX124" s="503"/>
      <c r="AY124" s="469"/>
      <c r="AZ124" s="503"/>
      <c r="BA124" s="503"/>
      <c r="BB124" s="503"/>
      <c r="BC124" s="503"/>
      <c r="BD124" s="503"/>
      <c r="BE124" s="503"/>
      <c r="BF124" s="503"/>
      <c r="BG124" s="503"/>
      <c r="BH124" s="503"/>
      <c r="BI124" s="503"/>
      <c r="BJ124" s="503"/>
      <c r="BK124" s="503"/>
      <c r="BL124" s="503"/>
      <c r="BM124" s="503"/>
      <c r="BN124" s="503"/>
      <c r="BO124" s="503"/>
      <c r="BP124" s="503"/>
      <c r="BQ124" s="503"/>
      <c r="BR124" s="503"/>
      <c r="BS124" s="503"/>
      <c r="BT124" s="503"/>
      <c r="BU124" s="503"/>
      <c r="BV124" s="503"/>
      <c r="BW124" s="503"/>
      <c r="BX124" s="503"/>
      <c r="BY124" s="503"/>
      <c r="BZ124" s="503"/>
      <c r="CA124" s="503"/>
      <c r="CB124" s="503"/>
      <c r="CC124" s="503"/>
      <c r="CD124" s="503"/>
      <c r="CE124" s="503"/>
      <c r="CF124" s="503"/>
      <c r="CG124" s="503"/>
      <c r="CH124" s="503"/>
      <c r="CI124" s="503"/>
      <c r="CJ124" s="503"/>
      <c r="CK124" s="503"/>
      <c r="CL124" s="503"/>
      <c r="CM124" s="444"/>
      <c r="CN124" s="445"/>
      <c r="CO124" s="459"/>
      <c r="CP124" s="459"/>
      <c r="CQ124" s="459"/>
      <c r="CR124" s="459"/>
      <c r="CS124" s="459"/>
      <c r="CT124" s="459"/>
      <c r="CU124" s="459"/>
      <c r="CV124" s="459"/>
      <c r="CW124" s="459"/>
      <c r="CX124" s="459"/>
      <c r="CY124" s="459"/>
      <c r="CZ124" s="459"/>
      <c r="DA124" s="444"/>
      <c r="DB124" s="444"/>
      <c r="DC124" s="444"/>
      <c r="DD124" s="444"/>
      <c r="DE124" s="444"/>
      <c r="DF124" s="444"/>
      <c r="DG124" s="444"/>
      <c r="DH124" s="444"/>
      <c r="DI124" s="444"/>
      <c r="DJ124" s="444"/>
      <c r="DK124" s="444"/>
      <c r="DL124" s="444"/>
      <c r="DM124" s="444"/>
      <c r="DN124" s="444"/>
      <c r="DO124" s="444"/>
      <c r="DP124" s="444"/>
      <c r="DQ124" s="444"/>
      <c r="DR124" s="444"/>
      <c r="DS124" s="444"/>
      <c r="DT124" s="444"/>
      <c r="DU124" s="444"/>
      <c r="DV124" s="444"/>
      <c r="DW124" s="444"/>
      <c r="DX124" s="444"/>
      <c r="DY124" s="444"/>
      <c r="DZ124" s="444"/>
      <c r="EA124" s="444"/>
      <c r="EB124" s="444"/>
      <c r="EC124" s="444"/>
      <c r="ED124" s="444"/>
      <c r="EE124" s="444"/>
      <c r="EF124" s="444"/>
      <c r="EG124" s="444"/>
      <c r="EH124" s="444"/>
      <c r="EI124" s="444"/>
      <c r="EJ124" s="444"/>
      <c r="EK124" s="444"/>
      <c r="EL124" s="444"/>
      <c r="EM124" s="444"/>
      <c r="EN124" s="444"/>
      <c r="EO124" s="444"/>
      <c r="EP124" s="444"/>
      <c r="EQ124" s="444"/>
      <c r="ER124" s="444"/>
      <c r="ES124" s="444"/>
      <c r="ET124" s="444"/>
      <c r="EU124" s="444"/>
      <c r="EV124" s="444"/>
      <c r="EW124" s="444"/>
      <c r="EX124" s="444"/>
      <c r="EY124" s="444"/>
      <c r="EZ124" s="444"/>
      <c r="FA124" s="444"/>
      <c r="FB124" s="444"/>
      <c r="FC124" s="444"/>
      <c r="FD124" s="444"/>
      <c r="FE124" s="444"/>
      <c r="FF124" s="444"/>
      <c r="FG124" s="444"/>
      <c r="FH124" s="444"/>
      <c r="FI124" s="444"/>
      <c r="FJ124" s="444"/>
      <c r="FK124" s="444"/>
      <c r="FL124" s="444"/>
      <c r="FM124" s="444"/>
      <c r="FN124" s="444"/>
      <c r="FO124" s="444"/>
      <c r="FP124" s="444"/>
      <c r="FQ124" s="444"/>
      <c r="FR124" s="444"/>
      <c r="FS124" s="444"/>
      <c r="FT124" s="444"/>
      <c r="FU124" s="444"/>
      <c r="FV124" s="444"/>
      <c r="FW124" s="444"/>
    </row>
    <row r="125" spans="1:179" s="593" customFormat="1" ht="13.8">
      <c r="A125" s="588"/>
      <c r="B125" s="480"/>
      <c r="C125" s="475"/>
      <c r="D125" s="475"/>
      <c r="E125" s="475"/>
      <c r="F125" s="475"/>
      <c r="G125" s="475"/>
      <c r="H125" s="475"/>
      <c r="I125" s="475"/>
      <c r="J125" s="475"/>
      <c r="K125" s="475"/>
      <c r="L125" s="475"/>
      <c r="M125" s="475"/>
      <c r="N125" s="475"/>
      <c r="O125" s="475"/>
      <c r="P125" s="469"/>
      <c r="Q125" s="469"/>
      <c r="R125" s="469"/>
      <c r="S125" s="469"/>
      <c r="T125" s="469"/>
      <c r="U125" s="469"/>
      <c r="V125" s="469"/>
      <c r="W125" s="469"/>
      <c r="X125" s="469"/>
      <c r="Y125" s="469"/>
      <c r="Z125" s="469"/>
      <c r="AA125" s="469"/>
      <c r="AB125" s="469"/>
      <c r="AC125" s="469"/>
      <c r="AD125" s="469"/>
      <c r="AE125" s="469"/>
      <c r="AF125" s="469"/>
      <c r="AG125" s="469"/>
      <c r="AH125" s="469"/>
      <c r="AI125" s="469"/>
      <c r="AJ125" s="469"/>
      <c r="AK125" s="469"/>
      <c r="AL125" s="469"/>
      <c r="AM125" s="469"/>
      <c r="AN125" s="469"/>
      <c r="AO125" s="469"/>
      <c r="AP125" s="469"/>
      <c r="AQ125" s="469"/>
      <c r="AR125" s="469"/>
      <c r="AS125" s="469"/>
      <c r="AT125" s="469"/>
      <c r="AU125" s="469"/>
      <c r="AV125" s="469"/>
      <c r="AW125" s="469"/>
      <c r="AX125" s="469"/>
      <c r="AY125" s="469"/>
      <c r="AZ125" s="469"/>
      <c r="BA125" s="469"/>
      <c r="BB125" s="469"/>
      <c r="BC125" s="469"/>
      <c r="BD125" s="469"/>
      <c r="BE125" s="469"/>
      <c r="BF125" s="469"/>
      <c r="BG125" s="469"/>
      <c r="BH125" s="469"/>
      <c r="BI125" s="469"/>
      <c r="BJ125" s="469"/>
      <c r="BK125" s="469"/>
      <c r="BL125" s="469"/>
      <c r="BM125" s="469"/>
      <c r="BN125" s="469"/>
      <c r="BO125" s="469"/>
      <c r="BP125" s="469"/>
      <c r="BQ125" s="469"/>
      <c r="BR125" s="469"/>
      <c r="BS125" s="469"/>
      <c r="BT125" s="469"/>
      <c r="BU125" s="469"/>
      <c r="BV125" s="469"/>
      <c r="BW125" s="469"/>
      <c r="BX125" s="469"/>
      <c r="BY125" s="469"/>
      <c r="BZ125" s="469"/>
      <c r="CA125" s="469"/>
      <c r="CB125" s="469"/>
      <c r="CC125" s="469"/>
      <c r="CD125" s="469"/>
      <c r="CE125" s="469"/>
      <c r="CF125" s="469"/>
      <c r="CG125" s="469"/>
      <c r="CH125" s="469"/>
      <c r="CI125" s="469"/>
      <c r="CJ125" s="469"/>
      <c r="CK125" s="469"/>
      <c r="CL125" s="469"/>
      <c r="CM125" s="444"/>
      <c r="CN125" s="445"/>
      <c r="CO125" s="459"/>
      <c r="CP125" s="459"/>
      <c r="CQ125" s="459"/>
      <c r="CR125" s="459"/>
      <c r="CS125" s="459"/>
      <c r="CT125" s="459"/>
      <c r="CU125" s="459"/>
      <c r="CV125" s="459"/>
      <c r="CW125" s="459"/>
      <c r="CX125" s="459"/>
      <c r="CY125" s="459"/>
      <c r="CZ125" s="459"/>
      <c r="DA125" s="444"/>
      <c r="DB125" s="444"/>
      <c r="DC125" s="444"/>
      <c r="DD125" s="444"/>
      <c r="DE125" s="444"/>
      <c r="DF125" s="444"/>
      <c r="DG125" s="444"/>
      <c r="DH125" s="444"/>
      <c r="DI125" s="444"/>
      <c r="DJ125" s="444"/>
      <c r="DK125" s="444"/>
      <c r="DL125" s="444"/>
      <c r="DM125" s="444"/>
      <c r="DN125" s="444"/>
      <c r="DO125" s="444"/>
      <c r="DP125" s="444"/>
      <c r="DQ125" s="444"/>
      <c r="DR125" s="444"/>
      <c r="DS125" s="444"/>
      <c r="DT125" s="444"/>
      <c r="DU125" s="444"/>
      <c r="DV125" s="444"/>
      <c r="DW125" s="444"/>
      <c r="DX125" s="444"/>
      <c r="DY125" s="444"/>
      <c r="DZ125" s="444"/>
      <c r="EA125" s="444"/>
      <c r="EB125" s="444"/>
      <c r="EC125" s="444"/>
      <c r="ED125" s="444"/>
      <c r="EE125" s="444"/>
      <c r="EF125" s="444"/>
      <c r="EG125" s="444"/>
      <c r="EH125" s="444"/>
      <c r="EI125" s="444"/>
      <c r="EJ125" s="444"/>
      <c r="EK125" s="444"/>
      <c r="EL125" s="444"/>
      <c r="EM125" s="444"/>
      <c r="EN125" s="444"/>
      <c r="EO125" s="444"/>
      <c r="EP125" s="444"/>
      <c r="EQ125" s="444"/>
      <c r="ER125" s="444"/>
      <c r="ES125" s="444"/>
      <c r="ET125" s="444"/>
      <c r="EU125" s="444"/>
      <c r="EV125" s="444"/>
      <c r="EW125" s="444"/>
      <c r="EX125" s="444"/>
      <c r="EY125" s="444"/>
      <c r="EZ125" s="444"/>
      <c r="FA125" s="444"/>
      <c r="FB125" s="444"/>
      <c r="FC125" s="444"/>
      <c r="FD125" s="444"/>
      <c r="FE125" s="444"/>
      <c r="FF125" s="444"/>
      <c r="FG125" s="444"/>
      <c r="FH125" s="444"/>
      <c r="FI125" s="444"/>
      <c r="FJ125" s="444"/>
      <c r="FK125" s="444"/>
      <c r="FL125" s="588"/>
      <c r="FM125" s="588"/>
      <c r="FN125" s="588"/>
      <c r="FO125" s="588"/>
      <c r="FP125" s="588"/>
      <c r="FQ125" s="588"/>
      <c r="FR125" s="588"/>
      <c r="FS125" s="588"/>
      <c r="FT125" s="588"/>
      <c r="FU125" s="588"/>
      <c r="FV125" s="588"/>
      <c r="FW125" s="588"/>
    </row>
    <row r="126" spans="1:179" ht="13.8">
      <c r="A126" s="444"/>
      <c r="B126" s="589"/>
      <c r="C126" s="826"/>
      <c r="D126" s="826"/>
      <c r="E126" s="826"/>
      <c r="F126" s="826"/>
      <c r="G126" s="826"/>
      <c r="H126" s="826"/>
      <c r="I126" s="826"/>
      <c r="J126" s="826"/>
      <c r="K126" s="826"/>
      <c r="L126" s="826"/>
      <c r="M126" s="826"/>
      <c r="N126" s="826"/>
      <c r="O126" s="826"/>
      <c r="P126" s="827"/>
      <c r="Q126" s="827"/>
      <c r="R126" s="827"/>
      <c r="S126" s="827"/>
      <c r="T126" s="827"/>
      <c r="U126" s="827"/>
      <c r="V126" s="827"/>
      <c r="W126" s="827"/>
      <c r="X126" s="827"/>
      <c r="Y126" s="827"/>
      <c r="Z126" s="827"/>
      <c r="AA126" s="827"/>
      <c r="AB126" s="827"/>
      <c r="AC126" s="827"/>
      <c r="AD126" s="827"/>
      <c r="AE126" s="827"/>
      <c r="AF126" s="827"/>
      <c r="AG126" s="827"/>
      <c r="AH126" s="827"/>
      <c r="AI126" s="827"/>
      <c r="AJ126" s="827"/>
      <c r="AK126" s="827"/>
      <c r="AL126" s="827"/>
      <c r="AM126" s="827"/>
      <c r="AN126" s="827"/>
      <c r="AO126" s="827"/>
      <c r="AP126" s="827"/>
      <c r="AQ126" s="827"/>
      <c r="AR126" s="827"/>
      <c r="AS126" s="827"/>
      <c r="AT126" s="827" t="str">
        <f>AT$5</f>
        <v>FY17</v>
      </c>
      <c r="AU126" s="828"/>
      <c r="AV126" s="827" t="str">
        <f>AV$5</f>
        <v>1H18</v>
      </c>
      <c r="AW126" s="827" t="str">
        <f>AW$5</f>
        <v>2H18</v>
      </c>
      <c r="AX126" s="827" t="str">
        <f>AX$5</f>
        <v>FY18</v>
      </c>
      <c r="AY126" s="828"/>
      <c r="AZ126" s="827" t="str">
        <f>AZ$5</f>
        <v>1H19</v>
      </c>
      <c r="BA126" s="827" t="str">
        <f>BA$5</f>
        <v>2H19</v>
      </c>
      <c r="BB126" s="827" t="str">
        <f>BB$5</f>
        <v>FY19</v>
      </c>
      <c r="BC126" s="827"/>
      <c r="BD126" s="827" t="str">
        <f>BD$5</f>
        <v>1H20</v>
      </c>
      <c r="BE126" s="827" t="str">
        <f>BE$5</f>
        <v>2H20</v>
      </c>
      <c r="BF126" s="827" t="str">
        <f>BF$5</f>
        <v>FY20</v>
      </c>
      <c r="BG126" s="827"/>
      <c r="BH126" s="827" t="str">
        <f>BH$5</f>
        <v>1H21</v>
      </c>
      <c r="BI126" s="827" t="str">
        <f>BI$5</f>
        <v>2H21</v>
      </c>
      <c r="BJ126" s="827" t="str">
        <f>BJ$5</f>
        <v>FY21</v>
      </c>
      <c r="BK126" s="827"/>
      <c r="BL126" s="827" t="str">
        <f>BL$5</f>
        <v>1H22</v>
      </c>
      <c r="BM126" s="827" t="str">
        <f>BM$5</f>
        <v>2H22</v>
      </c>
      <c r="BN126" s="827" t="str">
        <f>BN$5</f>
        <v>FY22</v>
      </c>
      <c r="BO126" s="827"/>
      <c r="BP126" s="827" t="str">
        <f>BP$5</f>
        <v>1H23</v>
      </c>
      <c r="BQ126" s="827" t="str">
        <f>BQ$5</f>
        <v>2H23</v>
      </c>
      <c r="BR126" s="827" t="str">
        <f>BR$5</f>
        <v>FY23</v>
      </c>
      <c r="BS126" s="827"/>
      <c r="BT126" s="827" t="str">
        <f>BT$5</f>
        <v>1H24</v>
      </c>
      <c r="BU126" s="827" t="str">
        <f>BU$5</f>
        <v>2H24</v>
      </c>
      <c r="BV126" s="827" t="str">
        <f>BV$5</f>
        <v>FY24</v>
      </c>
      <c r="BW126" s="827"/>
      <c r="BX126" s="827" t="str">
        <f>BX$5</f>
        <v>1H25</v>
      </c>
      <c r="BY126" s="827" t="str">
        <f>BY$5</f>
        <v>2H25</v>
      </c>
      <c r="BZ126" s="827" t="str">
        <f>BZ$5</f>
        <v>FY25</v>
      </c>
      <c r="CA126" s="827"/>
      <c r="CB126" s="827" t="str">
        <f>CB$5</f>
        <v>1H26E</v>
      </c>
      <c r="CC126" s="827" t="str">
        <f>CC$5</f>
        <v>2H26E</v>
      </c>
      <c r="CD126" s="827" t="str">
        <f>CD$5</f>
        <v>FY26E</v>
      </c>
      <c r="CE126" s="827"/>
      <c r="CF126" s="827" t="str">
        <f>CF$5</f>
        <v>1H27E</v>
      </c>
      <c r="CG126" s="827" t="str">
        <f>CG$5</f>
        <v>2H27E</v>
      </c>
      <c r="CH126" s="827" t="str">
        <f>CH$5</f>
        <v>FY27E</v>
      </c>
      <c r="CI126" s="827"/>
      <c r="CJ126" s="827" t="str">
        <f>CJ$5</f>
        <v>1H28E</v>
      </c>
      <c r="CK126" s="827" t="str">
        <f>CK$5</f>
        <v>2H28E</v>
      </c>
      <c r="CL126" s="827" t="str">
        <f>CL$5</f>
        <v>FY28E</v>
      </c>
      <c r="CM126" s="444"/>
      <c r="CN126" s="445"/>
      <c r="CO126" s="459"/>
      <c r="CP126" s="459"/>
      <c r="CQ126" s="459"/>
      <c r="CR126" s="459"/>
      <c r="CS126" s="459"/>
      <c r="CT126" s="459"/>
      <c r="CU126" s="459"/>
      <c r="CV126" s="459"/>
      <c r="CW126" s="459"/>
      <c r="CX126" s="459"/>
      <c r="CY126" s="459"/>
      <c r="CZ126" s="459"/>
      <c r="DA126" s="444"/>
      <c r="DB126" s="444"/>
      <c r="DC126" s="444"/>
      <c r="DD126" s="444"/>
      <c r="DE126" s="444"/>
      <c r="DF126" s="444"/>
      <c r="DG126" s="444"/>
      <c r="DH126" s="444"/>
      <c r="DI126" s="444"/>
      <c r="DJ126" s="444"/>
      <c r="DK126" s="444"/>
      <c r="DL126" s="444"/>
      <c r="DM126" s="444"/>
      <c r="DN126" s="444"/>
      <c r="DO126" s="444"/>
      <c r="DP126" s="444"/>
      <c r="DQ126" s="444"/>
      <c r="DR126" s="444"/>
      <c r="DS126" s="444"/>
      <c r="DT126" s="444"/>
      <c r="DU126" s="444"/>
      <c r="DV126" s="444"/>
      <c r="DW126" s="444"/>
      <c r="DX126" s="444"/>
      <c r="DY126" s="444"/>
      <c r="DZ126" s="444"/>
      <c r="EA126" s="444"/>
      <c r="EB126" s="444"/>
      <c r="EC126" s="444"/>
      <c r="ED126" s="444"/>
      <c r="EE126" s="444"/>
      <c r="EF126" s="444"/>
      <c r="EG126" s="444"/>
      <c r="EH126" s="444"/>
      <c r="EI126" s="444"/>
      <c r="EJ126" s="444"/>
      <c r="EK126" s="444"/>
      <c r="EL126" s="444"/>
      <c r="EM126" s="444"/>
      <c r="EN126" s="444"/>
      <c r="EO126" s="444"/>
      <c r="EP126" s="444"/>
      <c r="EQ126" s="444"/>
      <c r="ER126" s="444"/>
      <c r="ES126" s="444"/>
      <c r="ET126" s="444"/>
      <c r="EU126" s="444"/>
      <c r="EV126" s="444"/>
      <c r="EW126" s="444"/>
      <c r="EX126" s="444"/>
      <c r="EY126" s="444"/>
      <c r="EZ126" s="444"/>
      <c r="FA126" s="444"/>
      <c r="FB126" s="444"/>
      <c r="FC126" s="444"/>
      <c r="FD126" s="444"/>
      <c r="FE126" s="444"/>
      <c r="FF126" s="444"/>
      <c r="FG126" s="444"/>
      <c r="FH126" s="444"/>
      <c r="FI126" s="444"/>
      <c r="FJ126" s="444"/>
      <c r="FK126" s="444"/>
      <c r="FL126" s="444"/>
      <c r="FM126" s="444"/>
      <c r="FN126" s="444"/>
      <c r="FO126" s="444"/>
      <c r="FP126" s="444"/>
      <c r="FQ126" s="444"/>
      <c r="FR126" s="444"/>
      <c r="FS126" s="444"/>
      <c r="FT126" s="444"/>
      <c r="FU126" s="444"/>
      <c r="FV126" s="444"/>
      <c r="FW126" s="444"/>
    </row>
    <row r="127" spans="1:179" ht="13.8">
      <c r="A127" s="444"/>
      <c r="B127" s="480"/>
      <c r="C127" s="468" t="s">
        <v>527</v>
      </c>
      <c r="D127" s="454"/>
      <c r="E127" s="454"/>
      <c r="F127" s="454"/>
      <c r="G127" s="454"/>
      <c r="H127" s="454"/>
      <c r="I127" s="454"/>
      <c r="J127" s="454"/>
      <c r="K127" s="454"/>
      <c r="L127" s="454"/>
      <c r="M127" s="454"/>
      <c r="N127" s="454"/>
      <c r="O127" s="454"/>
      <c r="P127" s="503"/>
      <c r="Q127" s="503"/>
      <c r="R127" s="503"/>
      <c r="S127" s="503"/>
      <c r="T127" s="503"/>
      <c r="U127" s="503"/>
      <c r="V127" s="503"/>
      <c r="W127" s="503"/>
      <c r="X127" s="503"/>
      <c r="Y127" s="503"/>
      <c r="Z127" s="503"/>
      <c r="AA127" s="503"/>
      <c r="AB127" s="503"/>
      <c r="AC127" s="503"/>
      <c r="AD127" s="503"/>
      <c r="AE127" s="503"/>
      <c r="AF127" s="503"/>
      <c r="AG127" s="503"/>
      <c r="AH127" s="503"/>
      <c r="AI127" s="503"/>
      <c r="AJ127" s="503">
        <f>AJ17</f>
        <v>10195</v>
      </c>
      <c r="AK127" s="503">
        <f>AK17</f>
        <v>10342</v>
      </c>
      <c r="AL127" s="503">
        <f>AL17</f>
        <v>20537</v>
      </c>
      <c r="AM127" s="503"/>
      <c r="AN127" s="503">
        <f>AN17</f>
        <v>10325</v>
      </c>
      <c r="AO127" s="503">
        <f>AO17</f>
        <v>10269</v>
      </c>
      <c r="AP127" s="503">
        <f>AP17</f>
        <v>20594</v>
      </c>
      <c r="AQ127" s="503"/>
      <c r="AR127" s="503">
        <f>AR17</f>
        <v>9976</v>
      </c>
      <c r="AS127" s="503">
        <f>AS17</f>
        <v>9840</v>
      </c>
      <c r="AT127" s="503">
        <f>AT17</f>
        <v>19816</v>
      </c>
      <c r="AU127" s="469"/>
      <c r="AV127" s="503">
        <f>AV17</f>
        <v>9870</v>
      </c>
      <c r="AW127" s="503">
        <f>AW17</f>
        <v>9497</v>
      </c>
      <c r="AX127" s="503">
        <f>AX17</f>
        <v>19367</v>
      </c>
      <c r="AY127" s="469"/>
      <c r="AZ127" s="503">
        <f>AZ17</f>
        <v>9746</v>
      </c>
      <c r="BA127" s="503">
        <f>BA17</f>
        <v>9283</v>
      </c>
      <c r="BB127" s="503">
        <f>BB17</f>
        <v>19029</v>
      </c>
      <c r="BC127" s="503"/>
      <c r="BD127" s="503">
        <f>BD17</f>
        <v>8579</v>
      </c>
      <c r="BE127" s="503">
        <f>BE17</f>
        <v>9173</v>
      </c>
      <c r="BF127" s="503">
        <f>BF17</f>
        <v>17752</v>
      </c>
      <c r="BG127" s="503"/>
      <c r="BH127" s="503">
        <f>BH17</f>
        <v>8423</v>
      </c>
      <c r="BI127" s="503">
        <f>BI17</f>
        <v>9024</v>
      </c>
      <c r="BJ127" s="503">
        <f>BJ17</f>
        <v>17447</v>
      </c>
      <c r="BK127" s="503"/>
      <c r="BL127" s="503">
        <f>BL17</f>
        <v>8948</v>
      </c>
      <c r="BM127" s="503">
        <f>BM17</f>
        <v>9599</v>
      </c>
      <c r="BN127" s="503">
        <f>BN17</f>
        <v>18547</v>
      </c>
      <c r="BO127" s="503"/>
      <c r="BP127" s="503">
        <f>BP17</f>
        <v>10540</v>
      </c>
      <c r="BQ127" s="503">
        <f>BQ17</f>
        <v>10365</v>
      </c>
      <c r="BR127" s="503">
        <f>BR17</f>
        <v>20905</v>
      </c>
      <c r="BS127" s="503"/>
      <c r="BT127" s="503">
        <f>BT17</f>
        <v>10347</v>
      </c>
      <c r="BU127" s="503">
        <f>BU17</f>
        <v>10462</v>
      </c>
      <c r="BV127" s="503">
        <f>BV17</f>
        <v>20809</v>
      </c>
      <c r="BW127" s="503"/>
      <c r="BX127" s="503">
        <f>BX17</f>
        <v>10995</v>
      </c>
      <c r="BY127" s="503">
        <f>BY17</f>
        <v>10904</v>
      </c>
      <c r="BZ127" s="503">
        <f>BZ17</f>
        <v>21899</v>
      </c>
      <c r="CA127" s="503"/>
      <c r="CB127" s="503">
        <f ca="1">CB17</f>
        <v>11288.984147560002</v>
      </c>
      <c r="CC127" s="503">
        <f ca="1">CC17</f>
        <v>11374.515751326247</v>
      </c>
      <c r="CD127" s="503">
        <f ca="1">CD17</f>
        <v>22663.49989888625</v>
      </c>
      <c r="CE127" s="503"/>
      <c r="CF127" s="503">
        <f ca="1">CF17</f>
        <v>11626.422084593729</v>
      </c>
      <c r="CG127" s="503">
        <f ca="1">CG17</f>
        <v>11798.408556718041</v>
      </c>
      <c r="CH127" s="503">
        <f ca="1">CH17</f>
        <v>23424.830641311768</v>
      </c>
      <c r="CI127" s="503"/>
      <c r="CJ127" s="503">
        <f ca="1">CJ17</f>
        <v>12079.634094440933</v>
      </c>
      <c r="CK127" s="503">
        <f ca="1">CK17</f>
        <v>12244.903307413953</v>
      </c>
      <c r="CL127" s="503">
        <f ca="1">CL17</f>
        <v>24324.537401854886</v>
      </c>
      <c r="CM127" s="444"/>
      <c r="CN127" s="444"/>
      <c r="CO127" s="459"/>
      <c r="CP127" s="459"/>
      <c r="CQ127" s="459"/>
      <c r="CR127" s="459"/>
      <c r="CS127" s="459"/>
      <c r="CT127" s="459"/>
      <c r="CU127" s="459"/>
      <c r="CV127" s="459"/>
      <c r="CW127" s="459"/>
      <c r="CX127" s="459"/>
      <c r="CY127" s="459"/>
      <c r="CZ127" s="459"/>
      <c r="DA127" s="444"/>
      <c r="DB127" s="444"/>
      <c r="DC127" s="444"/>
      <c r="DD127" s="444"/>
      <c r="DE127" s="444"/>
      <c r="DF127" s="444"/>
      <c r="DG127" s="444"/>
      <c r="DH127" s="444"/>
      <c r="DI127" s="444"/>
      <c r="DJ127" s="444"/>
      <c r="DK127" s="444"/>
      <c r="DL127" s="444"/>
      <c r="DM127" s="444"/>
      <c r="DN127" s="444"/>
      <c r="DO127" s="444"/>
      <c r="DP127" s="444"/>
      <c r="DQ127" s="444"/>
      <c r="DR127" s="444"/>
      <c r="DS127" s="444"/>
      <c r="DT127" s="444"/>
      <c r="DU127" s="444"/>
      <c r="DV127" s="444"/>
      <c r="DW127" s="444"/>
      <c r="DX127" s="444"/>
      <c r="DY127" s="444"/>
      <c r="DZ127" s="444"/>
      <c r="EA127" s="444"/>
      <c r="EB127" s="444"/>
      <c r="EC127" s="444"/>
      <c r="ED127" s="444"/>
      <c r="EE127" s="444"/>
      <c r="EF127" s="444"/>
      <c r="EG127" s="444"/>
      <c r="EH127" s="444"/>
      <c r="EI127" s="444"/>
      <c r="EJ127" s="444"/>
      <c r="EK127" s="444"/>
      <c r="EL127" s="444"/>
      <c r="EM127" s="444"/>
      <c r="EN127" s="444"/>
      <c r="EO127" s="444"/>
      <c r="EP127" s="444"/>
      <c r="EQ127" s="444"/>
      <c r="ER127" s="444"/>
      <c r="ES127" s="444"/>
      <c r="ET127" s="444"/>
      <c r="EU127" s="444"/>
      <c r="EV127" s="444"/>
      <c r="EW127" s="444"/>
      <c r="EX127" s="444"/>
      <c r="EY127" s="444"/>
      <c r="EZ127" s="444"/>
      <c r="FA127" s="444"/>
      <c r="FB127" s="444"/>
      <c r="FC127" s="444"/>
      <c r="FD127" s="444"/>
      <c r="FE127" s="444"/>
      <c r="FF127" s="444"/>
      <c r="FG127" s="444"/>
      <c r="FH127" s="444"/>
      <c r="FI127" s="444"/>
      <c r="FJ127" s="444"/>
      <c r="FK127" s="444"/>
      <c r="FL127" s="444"/>
      <c r="FM127" s="444"/>
      <c r="FN127" s="444"/>
      <c r="FO127" s="444"/>
      <c r="FP127" s="444"/>
      <c r="FQ127" s="444"/>
      <c r="FR127" s="444"/>
      <c r="FS127" s="444"/>
      <c r="FT127" s="444"/>
      <c r="FU127" s="444"/>
      <c r="FV127" s="444"/>
      <c r="FW127" s="444"/>
    </row>
    <row r="128" spans="1:179" ht="13.8">
      <c r="A128" s="444"/>
      <c r="B128" s="480"/>
      <c r="C128" s="454" t="s">
        <v>876</v>
      </c>
      <c r="D128" s="454"/>
      <c r="E128" s="454"/>
      <c r="F128" s="454"/>
      <c r="G128" s="454"/>
      <c r="H128" s="454"/>
      <c r="I128" s="454"/>
      <c r="J128" s="454"/>
      <c r="K128" s="454"/>
      <c r="L128" s="454"/>
      <c r="M128" s="454"/>
      <c r="N128" s="454"/>
      <c r="O128" s="454"/>
      <c r="P128" s="503"/>
      <c r="Q128" s="503"/>
      <c r="R128" s="503"/>
      <c r="S128" s="503"/>
      <c r="T128" s="503"/>
      <c r="U128" s="503"/>
      <c r="V128" s="503"/>
      <c r="W128" s="503"/>
      <c r="X128" s="503"/>
      <c r="Y128" s="503"/>
      <c r="Z128" s="503"/>
      <c r="AA128" s="503"/>
      <c r="AB128" s="503"/>
      <c r="AC128" s="503"/>
      <c r="AD128" s="503"/>
      <c r="AE128" s="503"/>
      <c r="AF128" s="503"/>
      <c r="AG128" s="503"/>
      <c r="AH128" s="503"/>
      <c r="AI128" s="503"/>
      <c r="AJ128" s="503">
        <f>MODEL!BP663</f>
        <v>675</v>
      </c>
      <c r="AK128" s="503">
        <f>MODEL!BQ663</f>
        <v>388</v>
      </c>
      <c r="AL128" s="503">
        <f>MODEL!BR663</f>
        <v>1063</v>
      </c>
      <c r="AM128" s="503"/>
      <c r="AN128" s="503">
        <f>MODEL!BT663</f>
        <v>401</v>
      </c>
      <c r="AO128" s="503">
        <f>MODEL!BU663</f>
        <v>365</v>
      </c>
      <c r="AP128" s="503">
        <f>MODEL!BV663</f>
        <v>766</v>
      </c>
      <c r="AQ128" s="503"/>
      <c r="AR128" s="503">
        <f>MODEL!BX663</f>
        <v>886</v>
      </c>
      <c r="AS128" s="503">
        <f>MODEL!BY663</f>
        <v>550</v>
      </c>
      <c r="AT128" s="503">
        <f>MODEL!BZ663</f>
        <v>1436</v>
      </c>
      <c r="AU128" s="469"/>
      <c r="AV128" s="503">
        <f>MODEL!CB663</f>
        <v>552</v>
      </c>
      <c r="AW128" s="503">
        <f>MODEL!CC663</f>
        <v>577</v>
      </c>
      <c r="AX128" s="503">
        <f>MODEL!CD663</f>
        <v>1129</v>
      </c>
      <c r="AY128" s="469"/>
      <c r="AZ128" s="503">
        <f>MODEL!CF663</f>
        <v>667</v>
      </c>
      <c r="BA128" s="503">
        <f>MODEL!CG663</f>
        <v>619</v>
      </c>
      <c r="BB128" s="503">
        <f>MODEL!CH663</f>
        <v>1286</v>
      </c>
      <c r="BC128" s="503"/>
      <c r="BD128" s="503">
        <f>MODEL!CJ663</f>
        <v>764</v>
      </c>
      <c r="BE128" s="503">
        <f>MODEL!CK663</f>
        <v>1120</v>
      </c>
      <c r="BF128" s="503">
        <f>MODEL!CL663</f>
        <v>1884</v>
      </c>
      <c r="BG128" s="503"/>
      <c r="BH128" s="503">
        <f>MODEL!CN663</f>
        <v>638</v>
      </c>
      <c r="BI128" s="503">
        <f>MODEL!CO663</f>
        <v>492</v>
      </c>
      <c r="BJ128" s="503">
        <f>MODEL!CP663</f>
        <v>1130</v>
      </c>
      <c r="BK128" s="503"/>
      <c r="BL128" s="503">
        <f>MODEL!CR663</f>
        <v>396</v>
      </c>
      <c r="BM128" s="503">
        <f>MODEL!CS663</f>
        <v>464</v>
      </c>
      <c r="BN128" s="503">
        <f>MODEL!CT663</f>
        <v>860</v>
      </c>
      <c r="BO128" s="503"/>
      <c r="BP128" s="503">
        <f>MODEL!CV663</f>
        <v>985</v>
      </c>
      <c r="BQ128" s="503">
        <f>MODEL!CW663</f>
        <v>938</v>
      </c>
      <c r="BR128" s="503">
        <f>MODEL!CX663</f>
        <v>1923</v>
      </c>
      <c r="BS128" s="503"/>
      <c r="BT128" s="503">
        <f>MODEL!CZ663</f>
        <v>1276</v>
      </c>
      <c r="BU128" s="503">
        <f>MODEL!DA663</f>
        <v>1039</v>
      </c>
      <c r="BV128" s="503">
        <f>MODEL!DB663</f>
        <v>2315</v>
      </c>
      <c r="BW128" s="503"/>
      <c r="BX128" s="503">
        <f>MODEL!DD663</f>
        <v>991</v>
      </c>
      <c r="BY128" s="503">
        <f>MODEL!DE663</f>
        <v>870</v>
      </c>
      <c r="BZ128" s="503">
        <f>MODEL!DF663</f>
        <v>1861</v>
      </c>
      <c r="CA128" s="503"/>
      <c r="CB128" s="503">
        <f>MODEL!DH663</f>
        <v>913.76</v>
      </c>
      <c r="CC128" s="503">
        <f>MODEL!DI663</f>
        <v>818.93</v>
      </c>
      <c r="CD128" s="503">
        <f>MODEL!DJ663</f>
        <v>1732.69</v>
      </c>
      <c r="CE128" s="503"/>
      <c r="CF128" s="503">
        <f>MODEL!DL663</f>
        <v>940.21019999999999</v>
      </c>
      <c r="CG128" s="503">
        <f>MODEL!DM663</f>
        <v>842.51909999999998</v>
      </c>
      <c r="CH128" s="503">
        <f>MODEL!DN663</f>
        <v>1782.7293</v>
      </c>
      <c r="CI128" s="503"/>
      <c r="CJ128" s="503">
        <f>MODEL!DP663</f>
        <v>967.43465400000002</v>
      </c>
      <c r="CK128" s="503">
        <f>MODEL!DQ663</f>
        <v>866.7962970000001</v>
      </c>
      <c r="CL128" s="503">
        <f>MODEL!DR663</f>
        <v>1834.230951</v>
      </c>
      <c r="CM128" s="444"/>
      <c r="CN128" s="444"/>
      <c r="CO128" s="459"/>
      <c r="CP128" s="459"/>
      <c r="CQ128" s="459"/>
      <c r="CR128" s="459"/>
      <c r="CS128" s="459"/>
      <c r="CT128" s="459"/>
      <c r="CU128" s="459"/>
      <c r="CV128" s="459"/>
      <c r="CW128" s="459"/>
      <c r="CX128" s="459"/>
      <c r="CY128" s="459"/>
      <c r="CZ128" s="459"/>
      <c r="DA128" s="444"/>
      <c r="DB128" s="444"/>
      <c r="DC128" s="444"/>
      <c r="DD128" s="444"/>
      <c r="DE128" s="444"/>
      <c r="DF128" s="444"/>
      <c r="DG128" s="444"/>
      <c r="DH128" s="444"/>
      <c r="DI128" s="444"/>
      <c r="DJ128" s="444"/>
      <c r="DK128" s="444"/>
      <c r="DL128" s="444"/>
      <c r="DM128" s="444"/>
      <c r="DN128" s="444"/>
      <c r="DO128" s="444"/>
      <c r="DP128" s="444"/>
      <c r="DQ128" s="444"/>
      <c r="DR128" s="444"/>
      <c r="DS128" s="444"/>
      <c r="DT128" s="444"/>
      <c r="DU128" s="444"/>
      <c r="DV128" s="444"/>
      <c r="DW128" s="444"/>
      <c r="DX128" s="444"/>
      <c r="DY128" s="444"/>
      <c r="DZ128" s="444"/>
      <c r="EA128" s="444"/>
      <c r="EB128" s="444"/>
      <c r="EC128" s="444"/>
      <c r="ED128" s="444"/>
      <c r="EE128" s="444"/>
      <c r="EF128" s="444"/>
      <c r="EG128" s="444"/>
      <c r="EH128" s="444"/>
      <c r="EI128" s="444"/>
      <c r="EJ128" s="444"/>
      <c r="EK128" s="444"/>
      <c r="EL128" s="444"/>
      <c r="EM128" s="444"/>
      <c r="EN128" s="444"/>
      <c r="EO128" s="444"/>
      <c r="EP128" s="444"/>
      <c r="EQ128" s="444"/>
      <c r="ER128" s="444"/>
      <c r="ES128" s="444"/>
      <c r="ET128" s="444"/>
      <c r="EU128" s="444"/>
      <c r="EV128" s="444"/>
      <c r="EW128" s="444"/>
      <c r="EX128" s="444"/>
      <c r="EY128" s="444"/>
      <c r="EZ128" s="444"/>
      <c r="FA128" s="444"/>
      <c r="FB128" s="444"/>
      <c r="FC128" s="444"/>
      <c r="FD128" s="444"/>
      <c r="FE128" s="444"/>
      <c r="FF128" s="444"/>
      <c r="FG128" s="444"/>
      <c r="FH128" s="444"/>
      <c r="FI128" s="444"/>
      <c r="FJ128" s="444"/>
      <c r="FK128" s="444"/>
      <c r="FL128" s="444"/>
      <c r="FM128" s="444"/>
      <c r="FN128" s="444"/>
      <c r="FO128" s="444"/>
      <c r="FP128" s="444"/>
      <c r="FQ128" s="444"/>
      <c r="FR128" s="444"/>
      <c r="FS128" s="444"/>
      <c r="FT128" s="444"/>
      <c r="FU128" s="444"/>
      <c r="FV128" s="444"/>
      <c r="FW128" s="444"/>
    </row>
    <row r="129" spans="1:179" ht="13.8">
      <c r="A129" s="444"/>
      <c r="B129" s="480"/>
      <c r="C129" s="444" t="s">
        <v>879</v>
      </c>
      <c r="D129" s="444"/>
      <c r="E129" s="444"/>
      <c r="F129" s="444"/>
      <c r="G129" s="444"/>
      <c r="H129" s="444"/>
      <c r="I129" s="444"/>
      <c r="J129" s="444"/>
      <c r="K129" s="444"/>
      <c r="L129" s="444"/>
      <c r="M129" s="444"/>
      <c r="N129" s="444"/>
      <c r="O129" s="444"/>
      <c r="P129" s="444"/>
      <c r="Q129" s="444"/>
      <c r="R129" s="444"/>
      <c r="S129" s="444"/>
      <c r="T129" s="444"/>
      <c r="U129" s="444"/>
      <c r="V129" s="444"/>
      <c r="W129" s="444"/>
      <c r="X129" s="444"/>
      <c r="Y129" s="444"/>
      <c r="Z129" s="444"/>
      <c r="AA129" s="444"/>
      <c r="AB129" s="444"/>
      <c r="AC129" s="444"/>
      <c r="AD129" s="444"/>
      <c r="AE129" s="444"/>
      <c r="AF129" s="444"/>
      <c r="AG129" s="444"/>
      <c r="AH129" s="444"/>
      <c r="AI129" s="444"/>
      <c r="AJ129" s="444">
        <f>MODEL!BP741+MODEL!BP742</f>
        <v>0</v>
      </c>
      <c r="AK129" s="444">
        <f>MODEL!BQ741+MODEL!BQ742</f>
        <v>0</v>
      </c>
      <c r="AL129" s="444">
        <f>MODEL!BR741+MODEL!BR742</f>
        <v>0</v>
      </c>
      <c r="AM129" s="444"/>
      <c r="AN129" s="444">
        <f>MODEL!BT741+MODEL!BT742</f>
        <v>-165</v>
      </c>
      <c r="AO129" s="444">
        <f>MODEL!BU741+MODEL!BU742</f>
        <v>0</v>
      </c>
      <c r="AP129" s="444">
        <f>MODEL!BV741+MODEL!BV742</f>
        <v>-165</v>
      </c>
      <c r="AQ129" s="444"/>
      <c r="AR129" s="444">
        <f>MODEL!BX741+MODEL!BX742</f>
        <v>-210</v>
      </c>
      <c r="AS129" s="444">
        <f>MODEL!BY741+MODEL!BY742</f>
        <v>14</v>
      </c>
      <c r="AT129" s="444">
        <f>MODEL!BZ741+MODEL!BZ742</f>
        <v>-196</v>
      </c>
      <c r="AU129" s="444"/>
      <c r="AV129" s="444">
        <f>MODEL!CB741+MODEL!CB742</f>
        <v>238</v>
      </c>
      <c r="AW129" s="444">
        <f>MODEL!CC741+MODEL!CC742</f>
        <v>60</v>
      </c>
      <c r="AX129" s="444">
        <f>MODEL!CD741+MODEL!CD742</f>
        <v>298</v>
      </c>
      <c r="AY129" s="586"/>
      <c r="AZ129" s="444">
        <f>MODEL!CF741+MODEL!CF742</f>
        <v>234</v>
      </c>
      <c r="BA129" s="444">
        <f>MODEL!CG741+MODEL!CG742</f>
        <v>18</v>
      </c>
      <c r="BB129" s="444">
        <f>MODEL!CH741+MODEL!CH742</f>
        <v>252</v>
      </c>
      <c r="BC129" s="586"/>
      <c r="BD129" s="444">
        <f>MODEL!CJ741+MODEL!CJ742</f>
        <v>-815</v>
      </c>
      <c r="BE129" s="444">
        <f>MODEL!CK741+MODEL!CK742</f>
        <v>-38</v>
      </c>
      <c r="BF129" s="444">
        <f>MODEL!CL741+MODEL!CL742</f>
        <v>-853</v>
      </c>
      <c r="BG129" s="586"/>
      <c r="BH129" s="444">
        <f>MODEL!CN741+MODEL!CN742</f>
        <v>-238</v>
      </c>
      <c r="BI129" s="444">
        <f>MODEL!CO741+MODEL!CO742</f>
        <v>0</v>
      </c>
      <c r="BJ129" s="444">
        <f>MODEL!CP741+MODEL!CP742</f>
        <v>-238</v>
      </c>
      <c r="BK129" s="586"/>
      <c r="BL129" s="444">
        <f>MODEL!CR741+MODEL!CR742</f>
        <v>294</v>
      </c>
      <c r="BM129" s="444">
        <f>MODEL!CS741+MODEL!CS742</f>
        <v>27</v>
      </c>
      <c r="BN129" s="444">
        <f>MODEL!CT741+MODEL!CT742</f>
        <v>321</v>
      </c>
      <c r="BO129" s="586"/>
      <c r="BP129" s="444">
        <f>MODEL!CV741+MODEL!CV742</f>
        <v>-43</v>
      </c>
      <c r="BQ129" s="444">
        <f>MODEL!CW741+MODEL!CW742</f>
        <v>66</v>
      </c>
      <c r="BR129" s="444">
        <f>MODEL!CX741+MODEL!CX742</f>
        <v>23</v>
      </c>
      <c r="BS129" s="586"/>
      <c r="BT129" s="444">
        <f>MODEL!CZ741+MODEL!CZ742</f>
        <v>-21</v>
      </c>
      <c r="BU129" s="444">
        <f>MODEL!DA741+MODEL!DA742</f>
        <v>0</v>
      </c>
      <c r="BV129" s="444">
        <f>MODEL!DB741+MODEL!DB742</f>
        <v>-21</v>
      </c>
      <c r="BW129" s="586"/>
      <c r="BX129" s="444">
        <f>MODEL!DD741+MODEL!DD742</f>
        <v>0</v>
      </c>
      <c r="BY129" s="444">
        <f>MODEL!DE741+MODEL!DE742</f>
        <v>-285</v>
      </c>
      <c r="BZ129" s="444">
        <f>MODEL!DF741+MODEL!DF742</f>
        <v>-285</v>
      </c>
      <c r="CA129" s="586"/>
      <c r="CB129" s="444">
        <f>MODEL!DH741+MODEL!DH742</f>
        <v>0</v>
      </c>
      <c r="CC129" s="444">
        <f>MODEL!DI741+MODEL!DI742</f>
        <v>0</v>
      </c>
      <c r="CD129" s="444">
        <f>MODEL!DJ741+MODEL!DJ742</f>
        <v>0</v>
      </c>
      <c r="CE129" s="586"/>
      <c r="CF129" s="444">
        <f>MODEL!DL741+MODEL!DL742</f>
        <v>0</v>
      </c>
      <c r="CG129" s="444">
        <f>MODEL!DM741+MODEL!DM742</f>
        <v>0</v>
      </c>
      <c r="CH129" s="444">
        <f>MODEL!DN741+MODEL!DN742</f>
        <v>0</v>
      </c>
      <c r="CI129" s="586"/>
      <c r="CJ129" s="444">
        <f>MODEL!DP741+MODEL!DP742</f>
        <v>0</v>
      </c>
      <c r="CK129" s="444">
        <f>MODEL!DQ741+MODEL!DQ742</f>
        <v>0</v>
      </c>
      <c r="CL129" s="444">
        <f>MODEL!DR741+MODEL!DR742</f>
        <v>0</v>
      </c>
      <c r="CM129" s="444"/>
      <c r="CN129" s="444"/>
      <c r="CO129" s="459"/>
      <c r="CP129" s="459"/>
      <c r="CQ129" s="459"/>
      <c r="CR129" s="459"/>
      <c r="CS129" s="459"/>
      <c r="CT129" s="459"/>
      <c r="CU129" s="459"/>
      <c r="CV129" s="459"/>
      <c r="CW129" s="459"/>
      <c r="CX129" s="459"/>
      <c r="CY129" s="459"/>
      <c r="CZ129" s="459"/>
      <c r="DA129" s="444"/>
      <c r="DB129" s="444"/>
      <c r="DC129" s="444"/>
      <c r="DD129" s="444"/>
      <c r="DE129" s="444"/>
      <c r="DF129" s="444"/>
      <c r="DG129" s="444"/>
      <c r="DH129" s="444"/>
      <c r="DI129" s="444"/>
      <c r="DJ129" s="444"/>
      <c r="DK129" s="444"/>
      <c r="DL129" s="444"/>
      <c r="DM129" s="444"/>
      <c r="DN129" s="444"/>
      <c r="DO129" s="444"/>
      <c r="DP129" s="444"/>
      <c r="DQ129" s="444"/>
      <c r="DR129" s="444"/>
      <c r="DS129" s="444"/>
      <c r="DT129" s="444"/>
      <c r="DU129" s="444"/>
      <c r="DV129" s="444"/>
      <c r="DW129" s="444"/>
      <c r="DX129" s="444"/>
      <c r="DY129" s="444"/>
      <c r="DZ129" s="444"/>
      <c r="EA129" s="444"/>
      <c r="EB129" s="444"/>
      <c r="EC129" s="444"/>
      <c r="ED129" s="444"/>
      <c r="EE129" s="444"/>
      <c r="EF129" s="444"/>
      <c r="EG129" s="444"/>
      <c r="EH129" s="444"/>
      <c r="EI129" s="444"/>
      <c r="EJ129" s="444"/>
      <c r="EK129" s="444"/>
      <c r="EL129" s="444"/>
      <c r="EM129" s="444"/>
      <c r="EN129" s="444"/>
      <c r="EO129" s="444"/>
      <c r="EP129" s="444"/>
      <c r="EQ129" s="444"/>
      <c r="ER129" s="444"/>
      <c r="ES129" s="444"/>
      <c r="ET129" s="444"/>
      <c r="EU129" s="444"/>
      <c r="EV129" s="444"/>
      <c r="EW129" s="444"/>
      <c r="EX129" s="444"/>
      <c r="EY129" s="444"/>
      <c r="EZ129" s="444"/>
      <c r="FA129" s="444"/>
      <c r="FB129" s="444"/>
      <c r="FC129" s="444"/>
      <c r="FD129" s="444"/>
      <c r="FE129" s="444"/>
      <c r="FF129" s="444"/>
      <c r="FG129" s="444"/>
      <c r="FH129" s="444"/>
      <c r="FI129" s="444"/>
      <c r="FJ129" s="444"/>
      <c r="FK129" s="444"/>
      <c r="FL129" s="444"/>
      <c r="FM129" s="444"/>
      <c r="FN129" s="444"/>
      <c r="FO129" s="444"/>
      <c r="FP129" s="444"/>
      <c r="FQ129" s="444"/>
      <c r="FR129" s="444"/>
      <c r="FS129" s="444"/>
      <c r="FT129" s="444"/>
      <c r="FU129" s="444"/>
      <c r="FV129" s="444"/>
      <c r="FW129" s="444"/>
    </row>
    <row r="130" spans="1:179" ht="13.8">
      <c r="A130" s="444"/>
      <c r="B130" s="480"/>
      <c r="C130" s="584" t="s">
        <v>877</v>
      </c>
      <c r="D130" s="584"/>
      <c r="E130" s="584"/>
      <c r="F130" s="584"/>
      <c r="G130" s="584"/>
      <c r="H130" s="584"/>
      <c r="I130" s="584"/>
      <c r="J130" s="584"/>
      <c r="K130" s="584"/>
      <c r="L130" s="584"/>
      <c r="M130" s="584"/>
      <c r="N130" s="584"/>
      <c r="O130" s="584"/>
      <c r="P130" s="584"/>
      <c r="Q130" s="584"/>
      <c r="R130" s="584"/>
      <c r="S130" s="584"/>
      <c r="T130" s="584"/>
      <c r="U130" s="584"/>
      <c r="V130" s="584"/>
      <c r="W130" s="584"/>
      <c r="X130" s="584"/>
      <c r="Y130" s="584"/>
      <c r="Z130" s="584"/>
      <c r="AA130" s="584"/>
      <c r="AB130" s="584"/>
      <c r="AC130" s="584"/>
      <c r="AD130" s="584"/>
      <c r="AE130" s="584"/>
      <c r="AF130" s="584"/>
      <c r="AG130" s="584"/>
      <c r="AH130" s="584"/>
      <c r="AI130" s="584"/>
      <c r="AJ130" s="461">
        <f>+AJ127-AJ128-AJ129</f>
        <v>9520</v>
      </c>
      <c r="AK130" s="461">
        <f>+AK127-AK128-AK129</f>
        <v>9954</v>
      </c>
      <c r="AL130" s="461">
        <f>+AL127-AL128-AL129</f>
        <v>19474</v>
      </c>
      <c r="AM130" s="461"/>
      <c r="AN130" s="461">
        <f>+AN127-AN128-AN129</f>
        <v>10089</v>
      </c>
      <c r="AO130" s="461">
        <f>+AO127-AO128-AO129</f>
        <v>9904</v>
      </c>
      <c r="AP130" s="461">
        <f>+AP127-AP128-AP129</f>
        <v>19993</v>
      </c>
      <c r="AQ130" s="461"/>
      <c r="AR130" s="461">
        <f>+AR127-AR128-AR129</f>
        <v>9300</v>
      </c>
      <c r="AS130" s="461">
        <f>+AS127-AS128-AS129</f>
        <v>9276</v>
      </c>
      <c r="AT130" s="461">
        <f>+AT127-AT128-AT129</f>
        <v>18576</v>
      </c>
      <c r="AU130" s="461"/>
      <c r="AV130" s="461">
        <f>+AV127-AV128-AV129</f>
        <v>9080</v>
      </c>
      <c r="AW130" s="461">
        <f>+AW127-AW128-AW129</f>
        <v>8860</v>
      </c>
      <c r="AX130" s="461">
        <f>+AX127-AX128-AX129</f>
        <v>17940</v>
      </c>
      <c r="AY130" s="461"/>
      <c r="AZ130" s="461">
        <f>+AZ127-AZ128-AZ129</f>
        <v>8845</v>
      </c>
      <c r="BA130" s="461">
        <f>+BA127-BA128-BA129</f>
        <v>8646</v>
      </c>
      <c r="BB130" s="461">
        <f>+BB127-BB128-BB129</f>
        <v>17491</v>
      </c>
      <c r="BC130" s="466"/>
      <c r="BD130" s="461">
        <f>+BD127-BD128-BD129</f>
        <v>8630</v>
      </c>
      <c r="BE130" s="461">
        <f>+BE127-BE128-BE129</f>
        <v>8091</v>
      </c>
      <c r="BF130" s="461">
        <f>+BF127-BF128-BF129</f>
        <v>16721</v>
      </c>
      <c r="BG130" s="466"/>
      <c r="BH130" s="461">
        <f>+BH127-BH128-BH129</f>
        <v>8023</v>
      </c>
      <c r="BI130" s="461">
        <f>+BI127-BI128-BI129</f>
        <v>8532</v>
      </c>
      <c r="BJ130" s="461">
        <f>+BJ127-BJ128-BJ129</f>
        <v>16555</v>
      </c>
      <c r="BK130" s="466"/>
      <c r="BL130" s="461">
        <f>+BL127-BL128-BL129</f>
        <v>8258</v>
      </c>
      <c r="BM130" s="461">
        <f>+BM127-BM128-BM129</f>
        <v>9108</v>
      </c>
      <c r="BN130" s="461">
        <f>+BN127-BN128-BN129</f>
        <v>17366</v>
      </c>
      <c r="BO130" s="466"/>
      <c r="BP130" s="461">
        <f>+BP127-BP128-BP129</f>
        <v>9598</v>
      </c>
      <c r="BQ130" s="461">
        <f>+BQ127-BQ128-BQ129</f>
        <v>9361</v>
      </c>
      <c r="BR130" s="461">
        <f>+BR127-BR128-BR129</f>
        <v>18959</v>
      </c>
      <c r="BS130" s="466"/>
      <c r="BT130" s="461">
        <f>+BT127-BT128-BT129</f>
        <v>9092</v>
      </c>
      <c r="BU130" s="461">
        <f>+BU127-BU128-BU129</f>
        <v>9423</v>
      </c>
      <c r="BV130" s="461">
        <f>+BV127-BV128-BV129</f>
        <v>18515</v>
      </c>
      <c r="BW130" s="466"/>
      <c r="BX130" s="461">
        <f>+BX127-BX128-BX129</f>
        <v>10004</v>
      </c>
      <c r="BY130" s="461">
        <f>+BY127-BY128-BY129</f>
        <v>10319</v>
      </c>
      <c r="BZ130" s="461">
        <f>+BZ127-BZ128-BZ129</f>
        <v>20323</v>
      </c>
      <c r="CA130" s="466"/>
      <c r="CB130" s="461">
        <f ca="1">+CB127-CB128-CB129</f>
        <v>10375.224147560002</v>
      </c>
      <c r="CC130" s="461">
        <f ca="1">+CC127-CC128-CC129</f>
        <v>10555.585751326247</v>
      </c>
      <c r="CD130" s="461">
        <f ca="1">+CD127-CD128-CD129</f>
        <v>20930.809898886251</v>
      </c>
      <c r="CE130" s="466"/>
      <c r="CF130" s="461">
        <f ca="1">+CF127-CF128-CF129</f>
        <v>10686.211884593729</v>
      </c>
      <c r="CG130" s="461">
        <f ca="1">+CG127-CG128-CG129</f>
        <v>10955.889456718041</v>
      </c>
      <c r="CH130" s="461">
        <f ca="1">+CH127-CH128-CH129</f>
        <v>21642.101341311769</v>
      </c>
      <c r="CI130" s="466"/>
      <c r="CJ130" s="461">
        <f ca="1">+CJ127-CJ128-CJ129</f>
        <v>11112.199440440932</v>
      </c>
      <c r="CK130" s="461">
        <f ca="1">+CK127-CK128-CK129</f>
        <v>11378.107010413953</v>
      </c>
      <c r="CL130" s="461">
        <f ca="1">+CL127-CL128-CL129</f>
        <v>22490.306450854885</v>
      </c>
      <c r="CM130" s="444"/>
      <c r="CN130" s="445"/>
      <c r="CO130" s="444"/>
      <c r="CP130" s="444"/>
      <c r="CQ130" s="444"/>
      <c r="CR130" s="444"/>
      <c r="CS130" s="444"/>
      <c r="CT130" s="444"/>
      <c r="CU130" s="444"/>
      <c r="CV130" s="444"/>
      <c r="CW130" s="444"/>
      <c r="CX130" s="444"/>
      <c r="CY130" s="444"/>
      <c r="CZ130" s="444"/>
      <c r="DA130" s="445"/>
      <c r="DB130" s="445"/>
      <c r="DC130" s="445"/>
      <c r="DD130" s="445"/>
      <c r="DE130" s="445"/>
      <c r="DF130" s="445"/>
      <c r="DG130" s="445"/>
      <c r="DH130" s="445"/>
      <c r="DI130" s="445"/>
      <c r="DJ130" s="445"/>
      <c r="DK130" s="445"/>
      <c r="DL130" s="445"/>
      <c r="DM130" s="445"/>
      <c r="DN130" s="445"/>
      <c r="DO130" s="445"/>
      <c r="DP130" s="445"/>
      <c r="DQ130" s="445"/>
      <c r="DR130" s="445"/>
      <c r="DS130" s="445"/>
      <c r="DT130" s="445"/>
      <c r="DU130" s="445"/>
      <c r="DV130" s="445"/>
      <c r="DW130" s="445"/>
      <c r="DX130" s="445"/>
      <c r="DY130" s="445"/>
      <c r="DZ130" s="445"/>
      <c r="EA130" s="445"/>
      <c r="EB130" s="445"/>
      <c r="EC130" s="445"/>
      <c r="ED130" s="445"/>
      <c r="EE130" s="445"/>
      <c r="EF130" s="445"/>
      <c r="EG130" s="445"/>
      <c r="EH130" s="445"/>
      <c r="EI130" s="445"/>
      <c r="EJ130" s="445"/>
      <c r="EK130" s="445"/>
      <c r="EL130" s="445"/>
      <c r="EM130" s="445"/>
      <c r="EN130" s="445"/>
      <c r="EO130" s="445"/>
      <c r="EP130" s="445"/>
      <c r="EQ130" s="445"/>
      <c r="ER130" s="445"/>
      <c r="ES130" s="445"/>
      <c r="ET130" s="445"/>
      <c r="EU130" s="445"/>
      <c r="EV130" s="445"/>
      <c r="EW130" s="445"/>
      <c r="EX130" s="445"/>
      <c r="EY130" s="445"/>
      <c r="EZ130" s="445"/>
      <c r="FA130" s="445"/>
      <c r="FB130" s="445"/>
      <c r="FC130" s="445"/>
      <c r="FD130" s="445"/>
      <c r="FE130" s="445"/>
      <c r="FF130" s="445"/>
      <c r="FG130" s="445"/>
      <c r="FH130" s="445"/>
      <c r="FI130" s="445"/>
      <c r="FJ130" s="445"/>
      <c r="FK130" s="445"/>
      <c r="FL130" s="444"/>
      <c r="FM130" s="444"/>
      <c r="FN130" s="444"/>
      <c r="FO130" s="444"/>
      <c r="FP130" s="444"/>
      <c r="FQ130" s="444"/>
      <c r="FR130" s="444"/>
      <c r="FS130" s="444"/>
      <c r="FT130" s="444"/>
      <c r="FU130" s="444"/>
      <c r="FV130" s="444"/>
      <c r="FW130" s="444"/>
    </row>
    <row r="131" spans="1:179" ht="13.8">
      <c r="A131" s="444"/>
      <c r="B131" s="444"/>
      <c r="C131" s="585" t="s">
        <v>127</v>
      </c>
      <c r="D131" s="590"/>
      <c r="E131" s="590"/>
      <c r="F131" s="590"/>
      <c r="G131" s="590"/>
      <c r="H131" s="590"/>
      <c r="I131" s="590"/>
      <c r="J131" s="590"/>
      <c r="K131" s="590"/>
      <c r="L131" s="590"/>
      <c r="M131" s="590"/>
      <c r="N131" s="590"/>
      <c r="O131" s="590"/>
      <c r="P131" s="590"/>
      <c r="Q131" s="590"/>
      <c r="R131" s="590"/>
      <c r="S131" s="590"/>
      <c r="T131" s="590"/>
      <c r="U131" s="590"/>
      <c r="V131" s="590"/>
      <c r="W131" s="590"/>
      <c r="X131" s="590"/>
      <c r="Y131" s="590"/>
      <c r="Z131" s="590"/>
      <c r="AA131" s="590"/>
      <c r="AB131" s="590"/>
      <c r="AC131" s="590"/>
      <c r="AD131" s="590"/>
      <c r="AE131" s="590"/>
      <c r="AF131" s="590"/>
      <c r="AG131" s="590"/>
      <c r="AH131" s="590"/>
      <c r="AI131" s="590"/>
      <c r="AJ131" s="590"/>
      <c r="AK131" s="590"/>
      <c r="AL131" s="591"/>
      <c r="AM131" s="590"/>
      <c r="AN131" s="590"/>
      <c r="AO131" s="590"/>
      <c r="AP131" s="591"/>
      <c r="AQ131" s="592"/>
      <c r="AR131" s="481">
        <f>+AR130/AN130-1</f>
        <v>-7.8203984537615234E-2</v>
      </c>
      <c r="AS131" s="481">
        <f>+AS130/AO130-1</f>
        <v>-6.3408723747980567E-2</v>
      </c>
      <c r="AT131" s="481">
        <f>+AT130/AP130-1</f>
        <v>-7.0874806182163796E-2</v>
      </c>
      <c r="AU131" s="750"/>
      <c r="AV131" s="816">
        <f>+AV130/AR130-1</f>
        <v>-2.3655913978494647E-2</v>
      </c>
      <c r="AW131" s="816">
        <f>+AW130/AS130-1</f>
        <v>-4.4846916774471723E-2</v>
      </c>
      <c r="AX131" s="816">
        <f>+AX130/AT130-1</f>
        <v>-3.4237726098191201E-2</v>
      </c>
      <c r="AY131" s="592"/>
      <c r="AZ131" s="816">
        <f>+AZ130/AV130-1</f>
        <v>-2.5881057268722474E-2</v>
      </c>
      <c r="BA131" s="816">
        <f>+BA130/AW130-1</f>
        <v>-2.415349887133178E-2</v>
      </c>
      <c r="BB131" s="816">
        <f>+BB130/AX130-1</f>
        <v>-2.5027870680044639E-2</v>
      </c>
      <c r="BC131" s="592"/>
      <c r="BD131" s="816">
        <f>+BD130/AZ130-1</f>
        <v>-2.4307518371961545E-2</v>
      </c>
      <c r="BE131" s="816">
        <f>+BE130/BA130-1</f>
        <v>-6.4191533657182553E-2</v>
      </c>
      <c r="BF131" s="816">
        <f>+BF130/BB130-1</f>
        <v>-4.4022640214967712E-2</v>
      </c>
      <c r="BG131" s="592"/>
      <c r="BH131" s="816">
        <f>+BH130/BD130-1</f>
        <v>-7.0336037079953617E-2</v>
      </c>
      <c r="BI131" s="816">
        <f>+BI130/BE130-1</f>
        <v>5.450500556173532E-2</v>
      </c>
      <c r="BJ131" s="816">
        <f>+BJ130/BF130-1</f>
        <v>-9.927635906943344E-3</v>
      </c>
      <c r="BK131" s="592"/>
      <c r="BL131" s="816">
        <f>+BL130/BH130-1</f>
        <v>2.9290788981677585E-2</v>
      </c>
      <c r="BM131" s="816">
        <f>+BM130/BI130-1</f>
        <v>6.7510548523206815E-2</v>
      </c>
      <c r="BN131" s="816">
        <f>+BN130/BJ130-1</f>
        <v>4.8988221081244232E-2</v>
      </c>
      <c r="BO131" s="592"/>
      <c r="BP131" s="816">
        <f>+BP130/BL130-1</f>
        <v>0.1622668927100992</v>
      </c>
      <c r="BQ131" s="816">
        <f>+BQ130/BM130-1</f>
        <v>2.7777777777777679E-2</v>
      </c>
      <c r="BR131" s="816">
        <f>+BR130/BN130-1</f>
        <v>9.1730968559253778E-2</v>
      </c>
      <c r="BS131" s="592"/>
      <c r="BT131" s="816">
        <f>+BT130/BP130-1</f>
        <v>-5.2719316524275861E-2</v>
      </c>
      <c r="BU131" s="816">
        <f>+BU130/BQ130-1</f>
        <v>6.6232240145283061E-3</v>
      </c>
      <c r="BV131" s="816">
        <f>+BV130/BR130-1</f>
        <v>-2.3418956696028226E-2</v>
      </c>
      <c r="BW131" s="592"/>
      <c r="BX131" s="816">
        <f>+BX130/BT130-1</f>
        <v>0.10030796304443457</v>
      </c>
      <c r="BY131" s="816">
        <f>+BY130/BU130-1</f>
        <v>9.5086490501963272E-2</v>
      </c>
      <c r="BZ131" s="816">
        <f>+BZ130/BV130-1</f>
        <v>9.7650553605185042E-2</v>
      </c>
      <c r="CA131" s="592"/>
      <c r="CB131" s="816">
        <f ca="1">+CB130/BX130-1</f>
        <v>3.7107571727309274E-2</v>
      </c>
      <c r="CC131" s="816">
        <f ca="1">+CC130/BY130-1</f>
        <v>2.2927197531373844E-2</v>
      </c>
      <c r="CD131" s="816">
        <f ca="1">+CD130/BZ130-1</f>
        <v>2.9907488997010789E-2</v>
      </c>
      <c r="CE131" s="592"/>
      <c r="CF131" s="816">
        <f ca="1">+CF130/CB130-1</f>
        <v>2.9974074064401224E-2</v>
      </c>
      <c r="CG131" s="816">
        <f ca="1">+CG130/CC130-1</f>
        <v>3.7923400446204347E-2</v>
      </c>
      <c r="CH131" s="816">
        <f ca="1">+CH130/CD130-1</f>
        <v>3.3982987082758154E-2</v>
      </c>
      <c r="CI131" s="592"/>
      <c r="CJ131" s="816">
        <f ca="1">+CJ130/CF130-1</f>
        <v>3.9863289297243698E-2</v>
      </c>
      <c r="CK131" s="816">
        <f ca="1">+CK130/CG130-1</f>
        <v>3.8537953067517616E-2</v>
      </c>
      <c r="CL131" s="816">
        <f ca="1">+CL130/CH130-1</f>
        <v>3.9192363817464049E-2</v>
      </c>
      <c r="CM131" s="444"/>
      <c r="CN131" s="445"/>
      <c r="CO131" s="444"/>
      <c r="CP131" s="444"/>
      <c r="CQ131" s="444"/>
      <c r="CR131" s="444"/>
      <c r="CS131" s="444"/>
      <c r="CT131" s="444"/>
      <c r="CU131" s="444"/>
      <c r="CV131" s="444"/>
      <c r="CW131" s="444"/>
      <c r="CX131" s="444"/>
      <c r="CY131" s="444"/>
      <c r="CZ131" s="444"/>
      <c r="DA131" s="445"/>
      <c r="DB131" s="445"/>
      <c r="DC131" s="445"/>
      <c r="DD131" s="445"/>
      <c r="DE131" s="445"/>
      <c r="DF131" s="445"/>
      <c r="DG131" s="445"/>
      <c r="DH131" s="445"/>
      <c r="DI131" s="445"/>
      <c r="DJ131" s="445"/>
      <c r="DK131" s="445"/>
      <c r="DL131" s="445"/>
      <c r="DM131" s="445"/>
      <c r="DN131" s="445"/>
      <c r="DO131" s="445"/>
      <c r="DP131" s="445"/>
      <c r="DQ131" s="445"/>
      <c r="DR131" s="445"/>
      <c r="DS131" s="445"/>
      <c r="DT131" s="445"/>
      <c r="DU131" s="445"/>
      <c r="DV131" s="445"/>
      <c r="DW131" s="445"/>
      <c r="DX131" s="445"/>
      <c r="DY131" s="445"/>
      <c r="DZ131" s="445"/>
      <c r="EA131" s="445"/>
      <c r="EB131" s="445"/>
      <c r="EC131" s="445"/>
      <c r="ED131" s="445"/>
      <c r="EE131" s="445"/>
      <c r="EF131" s="445"/>
      <c r="EG131" s="445"/>
      <c r="EH131" s="445"/>
      <c r="EI131" s="445"/>
      <c r="EJ131" s="445"/>
      <c r="EK131" s="445"/>
      <c r="EL131" s="445"/>
      <c r="EM131" s="445"/>
      <c r="EN131" s="445"/>
      <c r="EO131" s="445"/>
      <c r="EP131" s="445"/>
      <c r="EQ131" s="445"/>
      <c r="ER131" s="445"/>
      <c r="ES131" s="445"/>
      <c r="ET131" s="445"/>
      <c r="EU131" s="445"/>
      <c r="EV131" s="445"/>
      <c r="EW131" s="445"/>
      <c r="EX131" s="445"/>
      <c r="EY131" s="445"/>
      <c r="EZ131" s="445"/>
      <c r="FA131" s="445"/>
      <c r="FB131" s="445"/>
      <c r="FC131" s="445"/>
      <c r="FD131" s="445"/>
      <c r="FE131" s="445"/>
      <c r="FF131" s="445"/>
      <c r="FG131" s="445"/>
      <c r="FH131" s="445"/>
      <c r="FI131" s="445"/>
      <c r="FJ131" s="445"/>
      <c r="FK131" s="445"/>
      <c r="FL131" s="444"/>
      <c r="FM131" s="444"/>
      <c r="FN131" s="444"/>
      <c r="FO131" s="444"/>
      <c r="FP131" s="444"/>
      <c r="FQ131" s="444"/>
      <c r="FR131" s="444"/>
      <c r="FS131" s="444"/>
      <c r="FT131" s="444"/>
      <c r="FU131" s="444"/>
      <c r="FV131" s="444"/>
      <c r="FW131" s="444"/>
    </row>
    <row r="132" spans="1:179" ht="13.8">
      <c r="A132" s="444"/>
      <c r="B132" s="444"/>
      <c r="C132" s="444"/>
      <c r="D132" s="444"/>
      <c r="E132" s="444"/>
      <c r="F132" s="444"/>
      <c r="G132" s="444"/>
      <c r="H132" s="444"/>
      <c r="I132" s="444"/>
      <c r="J132" s="444"/>
      <c r="K132" s="444"/>
      <c r="L132" s="444"/>
      <c r="M132" s="444"/>
      <c r="N132" s="444"/>
      <c r="O132" s="444"/>
      <c r="P132" s="444"/>
      <c r="Q132" s="444"/>
      <c r="R132" s="444"/>
      <c r="S132" s="444"/>
      <c r="T132" s="444"/>
      <c r="U132" s="444"/>
      <c r="V132" s="444"/>
      <c r="W132" s="444"/>
      <c r="X132" s="444"/>
      <c r="Y132" s="444"/>
      <c r="Z132" s="444"/>
      <c r="AA132" s="444"/>
      <c r="AB132" s="444"/>
      <c r="AC132" s="444"/>
      <c r="AD132" s="444"/>
      <c r="AE132" s="444"/>
      <c r="AF132" s="444"/>
      <c r="AG132" s="444"/>
      <c r="AH132" s="444"/>
      <c r="AI132" s="444"/>
      <c r="AJ132" s="751"/>
      <c r="AK132" s="466"/>
      <c r="AL132" s="504" t="str">
        <f>AL$5</f>
        <v>FY15</v>
      </c>
      <c r="AM132" s="466"/>
      <c r="AN132" s="751"/>
      <c r="AO132" s="466"/>
      <c r="AP132" s="504" t="str">
        <f>AP$5</f>
        <v>FY16</v>
      </c>
      <c r="AQ132" s="466"/>
      <c r="AR132" s="751"/>
      <c r="AS132" s="752"/>
      <c r="AT132" s="504" t="str">
        <f>AT$5</f>
        <v>FY17</v>
      </c>
      <c r="AU132" s="723"/>
      <c r="AV132" s="504" t="str">
        <f>AV$5</f>
        <v>1H18</v>
      </c>
      <c r="AW132" s="504" t="str">
        <f>AW$5</f>
        <v>2H18</v>
      </c>
      <c r="AX132" s="504" t="str">
        <f>AX$5</f>
        <v>FY18</v>
      </c>
      <c r="AY132" s="723"/>
      <c r="AZ132" s="504" t="str">
        <f>AZ$5</f>
        <v>1H19</v>
      </c>
      <c r="BA132" s="504" t="str">
        <f>BA$5</f>
        <v>2H19</v>
      </c>
      <c r="BB132" s="504" t="str">
        <f>BB$5</f>
        <v>FY19</v>
      </c>
      <c r="BC132" s="504"/>
      <c r="BD132" s="504" t="str">
        <f>BD$5</f>
        <v>1H20</v>
      </c>
      <c r="BE132" s="504" t="str">
        <f>BE$5</f>
        <v>2H20</v>
      </c>
      <c r="BF132" s="504" t="str">
        <f>BF$5</f>
        <v>FY20</v>
      </c>
      <c r="BG132" s="504"/>
      <c r="BH132" s="504" t="str">
        <f>BH$5</f>
        <v>1H21</v>
      </c>
      <c r="BI132" s="504" t="str">
        <f>BI$5</f>
        <v>2H21</v>
      </c>
      <c r="BJ132" s="504" t="str">
        <f>BJ$5</f>
        <v>FY21</v>
      </c>
      <c r="BK132" s="504"/>
      <c r="BL132" s="504" t="str">
        <f>BL$5</f>
        <v>1H22</v>
      </c>
      <c r="BM132" s="504" t="str">
        <f>BM$5</f>
        <v>2H22</v>
      </c>
      <c r="BN132" s="504" t="str">
        <f>BN$5</f>
        <v>FY22</v>
      </c>
      <c r="BO132" s="504"/>
      <c r="BP132" s="504" t="str">
        <f>BP$5</f>
        <v>1H23</v>
      </c>
      <c r="BQ132" s="504" t="str">
        <f>BQ$5</f>
        <v>2H23</v>
      </c>
      <c r="BR132" s="504" t="str">
        <f>BR$5</f>
        <v>FY23</v>
      </c>
      <c r="BS132" s="504"/>
      <c r="BT132" s="504" t="str">
        <f>BT$5</f>
        <v>1H24</v>
      </c>
      <c r="BU132" s="504" t="str">
        <f>BU$5</f>
        <v>2H24</v>
      </c>
      <c r="BV132" s="504" t="str">
        <f>BV$5</f>
        <v>FY24</v>
      </c>
      <c r="BW132" s="504"/>
      <c r="BX132" s="504" t="str">
        <f>BX$5</f>
        <v>1H25</v>
      </c>
      <c r="BY132" s="504" t="str">
        <f>BY$5</f>
        <v>2H25</v>
      </c>
      <c r="BZ132" s="504" t="str">
        <f>BZ$5</f>
        <v>FY25</v>
      </c>
      <c r="CA132" s="504"/>
      <c r="CB132" s="504" t="str">
        <f>CB$5</f>
        <v>1H26E</v>
      </c>
      <c r="CC132" s="504" t="str">
        <f>CC$5</f>
        <v>2H26E</v>
      </c>
      <c r="CD132" s="504" t="str">
        <f>CD$5</f>
        <v>FY26E</v>
      </c>
      <c r="CE132" s="504"/>
      <c r="CF132" s="504" t="str">
        <f>CF$5</f>
        <v>1H27E</v>
      </c>
      <c r="CG132" s="504" t="str">
        <f>CG$5</f>
        <v>2H27E</v>
      </c>
      <c r="CH132" s="504" t="str">
        <f>CH$5</f>
        <v>FY27E</v>
      </c>
      <c r="CI132" s="504"/>
      <c r="CJ132" s="504" t="str">
        <f>CJ$5</f>
        <v>1H28E</v>
      </c>
      <c r="CK132" s="504" t="str">
        <f>CK$5</f>
        <v>2H28E</v>
      </c>
      <c r="CL132" s="504" t="str">
        <f>CL$5</f>
        <v>FY28E</v>
      </c>
      <c r="CM132" s="444"/>
      <c r="CN132" s="445"/>
      <c r="CO132" s="444"/>
      <c r="CP132" s="444"/>
      <c r="CQ132" s="444"/>
      <c r="CR132" s="444"/>
      <c r="CS132" s="444"/>
      <c r="CT132" s="444"/>
      <c r="CU132" s="444"/>
      <c r="CV132" s="444"/>
      <c r="CW132" s="444"/>
      <c r="CX132" s="444"/>
      <c r="CY132" s="444"/>
      <c r="CZ132" s="444"/>
      <c r="DA132" s="445"/>
      <c r="DB132" s="445"/>
      <c r="DC132" s="445"/>
      <c r="DD132" s="445"/>
      <c r="DE132" s="445"/>
      <c r="DF132" s="445"/>
      <c r="DG132" s="445"/>
      <c r="DH132" s="445"/>
      <c r="DI132" s="445"/>
      <c r="DJ132" s="445"/>
      <c r="DK132" s="445"/>
      <c r="DL132" s="445"/>
      <c r="DM132" s="445"/>
      <c r="DN132" s="445"/>
      <c r="DO132" s="445"/>
      <c r="DP132" s="445"/>
      <c r="DQ132" s="445"/>
      <c r="DR132" s="445"/>
      <c r="DS132" s="445"/>
      <c r="DT132" s="445"/>
      <c r="DU132" s="445"/>
      <c r="DV132" s="445"/>
      <c r="DW132" s="445"/>
      <c r="DX132" s="445"/>
      <c r="DY132" s="445"/>
      <c r="DZ132" s="445"/>
      <c r="EA132" s="445"/>
      <c r="EB132" s="445"/>
      <c r="EC132" s="445"/>
      <c r="ED132" s="445"/>
      <c r="EE132" s="445"/>
      <c r="EF132" s="445"/>
      <c r="EG132" s="445"/>
      <c r="EH132" s="445"/>
      <c r="EI132" s="445"/>
      <c r="EJ132" s="445"/>
      <c r="EK132" s="445"/>
      <c r="EL132" s="445"/>
      <c r="EM132" s="445"/>
      <c r="EN132" s="445"/>
      <c r="EO132" s="445"/>
      <c r="EP132" s="445"/>
      <c r="EQ132" s="445"/>
      <c r="ER132" s="445"/>
      <c r="ES132" s="445"/>
      <c r="ET132" s="445"/>
      <c r="EU132" s="445"/>
      <c r="EV132" s="445"/>
      <c r="EW132" s="445"/>
      <c r="EX132" s="445"/>
      <c r="EY132" s="445"/>
      <c r="EZ132" s="445"/>
      <c r="FA132" s="445"/>
      <c r="FB132" s="445"/>
      <c r="FC132" s="445"/>
      <c r="FD132" s="445"/>
      <c r="FE132" s="445"/>
      <c r="FF132" s="445"/>
      <c r="FG132" s="445"/>
      <c r="FH132" s="445"/>
      <c r="FI132" s="445"/>
      <c r="FJ132" s="445"/>
      <c r="FK132" s="445"/>
      <c r="FL132" s="444"/>
      <c r="FM132" s="444"/>
      <c r="FN132" s="444"/>
      <c r="FO132" s="444"/>
      <c r="FP132" s="444"/>
      <c r="FQ132" s="444"/>
      <c r="FR132" s="444"/>
      <c r="FS132" s="444"/>
      <c r="FT132" s="444"/>
      <c r="FU132" s="444"/>
      <c r="FV132" s="444"/>
      <c r="FW132" s="444"/>
    </row>
    <row r="133" spans="1:179" ht="13.8">
      <c r="A133" s="444"/>
      <c r="B133" s="444"/>
      <c r="C133" s="584" t="s">
        <v>527</v>
      </c>
      <c r="D133" s="584"/>
      <c r="E133" s="584"/>
      <c r="F133" s="584"/>
      <c r="G133" s="584"/>
      <c r="H133" s="584"/>
      <c r="I133" s="584"/>
      <c r="J133" s="584"/>
      <c r="K133" s="584"/>
      <c r="L133" s="584"/>
      <c r="M133" s="584"/>
      <c r="N133" s="584"/>
      <c r="O133" s="584"/>
      <c r="P133" s="584"/>
      <c r="Q133" s="584"/>
      <c r="R133" s="584"/>
      <c r="S133" s="584"/>
      <c r="T133" s="584"/>
      <c r="U133" s="584"/>
      <c r="V133" s="584"/>
      <c r="W133" s="584"/>
      <c r="X133" s="584"/>
      <c r="Y133" s="584"/>
      <c r="Z133" s="584"/>
      <c r="AA133" s="584"/>
      <c r="AB133" s="584"/>
      <c r="AC133" s="584"/>
      <c r="AD133" s="584"/>
      <c r="AE133" s="584"/>
      <c r="AF133" s="584"/>
      <c r="AG133" s="584"/>
      <c r="AH133" s="584"/>
      <c r="AI133" s="584"/>
      <c r="AJ133" s="504"/>
      <c r="AK133" s="504"/>
      <c r="AL133" s="504">
        <f>AL17</f>
        <v>20537</v>
      </c>
      <c r="AM133" s="461"/>
      <c r="AN133" s="504"/>
      <c r="AO133" s="504"/>
      <c r="AP133" s="504">
        <f>AP17</f>
        <v>20594</v>
      </c>
      <c r="AQ133" s="461"/>
      <c r="AR133" s="504"/>
      <c r="AS133" s="504"/>
      <c r="AT133" s="504">
        <f>AT17</f>
        <v>19816</v>
      </c>
      <c r="AU133" s="461"/>
      <c r="AV133" s="504">
        <f>AV17</f>
        <v>9870</v>
      </c>
      <c r="AW133" s="504">
        <f>AW17</f>
        <v>9497</v>
      </c>
      <c r="AX133" s="504">
        <f>AX17</f>
        <v>19367</v>
      </c>
      <c r="AY133" s="461"/>
      <c r="AZ133" s="504">
        <f>AZ17</f>
        <v>9746</v>
      </c>
      <c r="BA133" s="504">
        <f>BA17</f>
        <v>9283</v>
      </c>
      <c r="BB133" s="504">
        <f>BB17</f>
        <v>19029</v>
      </c>
      <c r="BC133" s="461"/>
      <c r="BD133" s="504">
        <f>BD17</f>
        <v>8579</v>
      </c>
      <c r="BE133" s="504">
        <f>BE17</f>
        <v>9173</v>
      </c>
      <c r="BF133" s="504">
        <f>BF17</f>
        <v>17752</v>
      </c>
      <c r="BG133" s="461"/>
      <c r="BH133" s="504">
        <f>BH17</f>
        <v>8423</v>
      </c>
      <c r="BI133" s="504">
        <f>BI17</f>
        <v>9024</v>
      </c>
      <c r="BJ133" s="504">
        <f>BJ17</f>
        <v>17447</v>
      </c>
      <c r="BK133" s="461"/>
      <c r="BL133" s="504">
        <f>BL17</f>
        <v>8948</v>
      </c>
      <c r="BM133" s="504">
        <f>BM17</f>
        <v>9599</v>
      </c>
      <c r="BN133" s="504">
        <f>BN17</f>
        <v>18547</v>
      </c>
      <c r="BO133" s="461"/>
      <c r="BP133" s="504">
        <f>BP17</f>
        <v>10540</v>
      </c>
      <c r="BQ133" s="504">
        <f>BQ17</f>
        <v>10365</v>
      </c>
      <c r="BR133" s="504">
        <f>BR17</f>
        <v>20905</v>
      </c>
      <c r="BS133" s="461"/>
      <c r="BT133" s="504">
        <f>BT17</f>
        <v>10347</v>
      </c>
      <c r="BU133" s="504">
        <f>BU17</f>
        <v>10462</v>
      </c>
      <c r="BV133" s="504">
        <f>BV17</f>
        <v>20809</v>
      </c>
      <c r="BW133" s="461"/>
      <c r="BX133" s="504">
        <f>BX17</f>
        <v>10995</v>
      </c>
      <c r="BY133" s="504">
        <f>BY17</f>
        <v>10904</v>
      </c>
      <c r="BZ133" s="504">
        <f>BZ17</f>
        <v>21899</v>
      </c>
      <c r="CA133" s="461"/>
      <c r="CB133" s="504">
        <f ca="1">CB17</f>
        <v>11288.984147560002</v>
      </c>
      <c r="CC133" s="504">
        <f ca="1">CC17</f>
        <v>11374.515751326247</v>
      </c>
      <c r="CD133" s="504">
        <f ca="1">CD17</f>
        <v>22663.49989888625</v>
      </c>
      <c r="CE133" s="461"/>
      <c r="CF133" s="504">
        <f ca="1">CF17</f>
        <v>11626.422084593729</v>
      </c>
      <c r="CG133" s="504">
        <f ca="1">CG17</f>
        <v>11798.408556718041</v>
      </c>
      <c r="CH133" s="504">
        <f ca="1">CH17</f>
        <v>23424.830641311768</v>
      </c>
      <c r="CI133" s="461"/>
      <c r="CJ133" s="504">
        <f ca="1">CJ17</f>
        <v>12079.634094440933</v>
      </c>
      <c r="CK133" s="504">
        <f ca="1">CK17</f>
        <v>12244.903307413953</v>
      </c>
      <c r="CL133" s="504">
        <f ca="1">CL17</f>
        <v>24324.537401854886</v>
      </c>
      <c r="CM133" s="444"/>
      <c r="CN133" s="445"/>
      <c r="CO133" s="444"/>
      <c r="CP133" s="444"/>
      <c r="CQ133" s="444"/>
      <c r="CR133" s="444"/>
      <c r="CS133" s="444"/>
      <c r="CT133" s="444"/>
      <c r="CU133" s="444"/>
      <c r="CV133" s="444"/>
      <c r="CW133" s="444"/>
      <c r="CX133" s="444"/>
      <c r="CY133" s="444"/>
      <c r="CZ133" s="444"/>
      <c r="DA133" s="445"/>
      <c r="DB133" s="445"/>
      <c r="DC133" s="445"/>
      <c r="DD133" s="445"/>
      <c r="DE133" s="445"/>
      <c r="DF133" s="445"/>
      <c r="DG133" s="445"/>
      <c r="DH133" s="445"/>
      <c r="DI133" s="445"/>
      <c r="DJ133" s="445"/>
      <c r="DK133" s="445"/>
      <c r="DL133" s="445"/>
      <c r="DM133" s="445"/>
      <c r="DN133" s="445"/>
      <c r="DO133" s="445"/>
      <c r="DP133" s="445"/>
      <c r="DQ133" s="445"/>
      <c r="DR133" s="445"/>
      <c r="DS133" s="445"/>
      <c r="DT133" s="445"/>
      <c r="DU133" s="445"/>
      <c r="DV133" s="445"/>
      <c r="DW133" s="445"/>
      <c r="DX133" s="445"/>
      <c r="DY133" s="445"/>
      <c r="DZ133" s="445"/>
      <c r="EA133" s="445"/>
      <c r="EB133" s="445"/>
      <c r="EC133" s="445"/>
      <c r="ED133" s="445"/>
      <c r="EE133" s="445"/>
      <c r="EF133" s="445"/>
      <c r="EG133" s="445"/>
      <c r="EH133" s="445"/>
      <c r="EI133" s="445"/>
      <c r="EJ133" s="445"/>
      <c r="EK133" s="445"/>
      <c r="EL133" s="445"/>
      <c r="EM133" s="445"/>
      <c r="EN133" s="445"/>
      <c r="EO133" s="445"/>
      <c r="EP133" s="445"/>
      <c r="EQ133" s="445"/>
      <c r="ER133" s="445"/>
      <c r="ES133" s="445"/>
      <c r="ET133" s="445"/>
      <c r="EU133" s="445"/>
      <c r="EV133" s="445"/>
      <c r="EW133" s="445"/>
      <c r="EX133" s="445"/>
      <c r="EY133" s="445"/>
      <c r="EZ133" s="445"/>
      <c r="FA133" s="445"/>
      <c r="FB133" s="445"/>
      <c r="FC133" s="445"/>
      <c r="FD133" s="445"/>
      <c r="FE133" s="445"/>
      <c r="FF133" s="445"/>
      <c r="FG133" s="445"/>
      <c r="FH133" s="445"/>
      <c r="FI133" s="445"/>
      <c r="FJ133" s="445"/>
      <c r="FK133" s="445"/>
      <c r="FL133" s="444"/>
      <c r="FM133" s="444"/>
      <c r="FN133" s="444"/>
      <c r="FO133" s="444"/>
      <c r="FP133" s="444"/>
      <c r="FQ133" s="444"/>
      <c r="FR133" s="444"/>
      <c r="FS133" s="444"/>
      <c r="FT133" s="444"/>
      <c r="FU133" s="444"/>
      <c r="FV133" s="444"/>
      <c r="FW133" s="444"/>
    </row>
    <row r="134" spans="1:179" ht="13.8">
      <c r="A134" s="444"/>
      <c r="B134" s="444"/>
      <c r="C134" s="444" t="s">
        <v>879</v>
      </c>
      <c r="D134" s="585"/>
      <c r="E134" s="585"/>
      <c r="F134" s="585"/>
      <c r="G134" s="585"/>
      <c r="H134" s="585"/>
      <c r="I134" s="585"/>
      <c r="J134" s="585"/>
      <c r="K134" s="585"/>
      <c r="L134" s="585"/>
      <c r="M134" s="585"/>
      <c r="N134" s="585"/>
      <c r="O134" s="585"/>
      <c r="P134" s="585"/>
      <c r="Q134" s="585"/>
      <c r="R134" s="585"/>
      <c r="S134" s="585"/>
      <c r="T134" s="585"/>
      <c r="U134" s="585"/>
      <c r="V134" s="585"/>
      <c r="W134" s="585"/>
      <c r="X134" s="585"/>
      <c r="Y134" s="585"/>
      <c r="Z134" s="585"/>
      <c r="AA134" s="585"/>
      <c r="AB134" s="585"/>
      <c r="AC134" s="585"/>
      <c r="AD134" s="585"/>
      <c r="AE134" s="585"/>
      <c r="AF134" s="585"/>
      <c r="AG134" s="585"/>
      <c r="AH134" s="585"/>
      <c r="AI134" s="585"/>
      <c r="AJ134" s="758">
        <f>AJ129</f>
        <v>0</v>
      </c>
      <c r="AK134" s="758">
        <f>AK129</f>
        <v>0</v>
      </c>
      <c r="AL134" s="758">
        <f>+AK134+AJ134</f>
        <v>0</v>
      </c>
      <c r="AM134" s="585"/>
      <c r="AN134" s="844">
        <f>AN129+(109-66)</f>
        <v>-122</v>
      </c>
      <c r="AO134" s="758">
        <f>AO129</f>
        <v>0</v>
      </c>
      <c r="AP134" s="758">
        <f>+AO134+AN134</f>
        <v>-122</v>
      </c>
      <c r="AQ134" s="754"/>
      <c r="AR134" s="758">
        <f>AR129</f>
        <v>-210</v>
      </c>
      <c r="AS134" s="758">
        <f>AS129</f>
        <v>14</v>
      </c>
      <c r="AT134" s="758">
        <f>+AS134+AR134</f>
        <v>-196</v>
      </c>
      <c r="AU134" s="754"/>
      <c r="AV134" s="758">
        <f>+MODEL!CB576</f>
        <v>238</v>
      </c>
      <c r="AW134" s="758">
        <f>+MODEL!CC576</f>
        <v>60</v>
      </c>
      <c r="AX134" s="758">
        <f>+MODEL!CD576</f>
        <v>298</v>
      </c>
      <c r="AY134" s="586"/>
      <c r="AZ134" s="758">
        <f>+MODEL!CF576</f>
        <v>234</v>
      </c>
      <c r="BA134" s="758">
        <f>+MODEL!CG576</f>
        <v>18</v>
      </c>
      <c r="BB134" s="758">
        <f>+MODEL!CH576</f>
        <v>252</v>
      </c>
      <c r="BC134" s="586"/>
      <c r="BD134" s="758">
        <f>+MODEL!CJ576</f>
        <v>-815</v>
      </c>
      <c r="BE134" s="758">
        <f>+MODEL!CK576</f>
        <v>-38</v>
      </c>
      <c r="BF134" s="758">
        <f>+MODEL!CL576</f>
        <v>-853</v>
      </c>
      <c r="BG134" s="586"/>
      <c r="BH134" s="758">
        <f>+MODEL!CN576</f>
        <v>-238</v>
      </c>
      <c r="BI134" s="758">
        <f>+MODEL!CO576</f>
        <v>0</v>
      </c>
      <c r="BJ134" s="758">
        <f>+MODEL!CP576</f>
        <v>-238</v>
      </c>
      <c r="BK134" s="586"/>
      <c r="BL134" s="758">
        <f>+MODEL!CR576</f>
        <v>294</v>
      </c>
      <c r="BM134" s="758">
        <f>+MODEL!CS576</f>
        <v>27</v>
      </c>
      <c r="BN134" s="758">
        <f>+MODEL!CT576</f>
        <v>321</v>
      </c>
      <c r="BO134" s="586"/>
      <c r="BP134" s="758">
        <f>+MODEL!CV576</f>
        <v>-43</v>
      </c>
      <c r="BQ134" s="758">
        <f>+MODEL!CW576</f>
        <v>66</v>
      </c>
      <c r="BR134" s="758">
        <f>+MODEL!CX576</f>
        <v>23</v>
      </c>
      <c r="BS134" s="586"/>
      <c r="BT134" s="758">
        <f>+MODEL!CZ576</f>
        <v>-21</v>
      </c>
      <c r="BU134" s="758">
        <f>+MODEL!DA576</f>
        <v>0</v>
      </c>
      <c r="BV134" s="758">
        <f>+MODEL!DB576</f>
        <v>-21</v>
      </c>
      <c r="BW134" s="586"/>
      <c r="BX134" s="758">
        <f>+MODEL!DD576</f>
        <v>0</v>
      </c>
      <c r="BY134" s="758">
        <f>+MODEL!DE576</f>
        <v>-285</v>
      </c>
      <c r="BZ134" s="758">
        <f>+MODEL!DF576</f>
        <v>-285</v>
      </c>
      <c r="CA134" s="586"/>
      <c r="CB134" s="758">
        <f>+MODEL!DH576</f>
        <v>0</v>
      </c>
      <c r="CC134" s="758">
        <f>+MODEL!DI576</f>
        <v>0</v>
      </c>
      <c r="CD134" s="758">
        <f>+MODEL!DJ576</f>
        <v>0</v>
      </c>
      <c r="CE134" s="586"/>
      <c r="CF134" s="758">
        <f>+MODEL!DL576</f>
        <v>0</v>
      </c>
      <c r="CG134" s="758">
        <f>+MODEL!DM576</f>
        <v>0</v>
      </c>
      <c r="CH134" s="758">
        <f>+MODEL!DN576</f>
        <v>0</v>
      </c>
      <c r="CI134" s="586"/>
      <c r="CJ134" s="758">
        <f>+MODEL!DP576</f>
        <v>0</v>
      </c>
      <c r="CK134" s="758">
        <f>+MODEL!DQ576</f>
        <v>0</v>
      </c>
      <c r="CL134" s="758">
        <f>+MODEL!DR576</f>
        <v>0</v>
      </c>
      <c r="CM134" s="444"/>
      <c r="CN134" s="445"/>
      <c r="CO134" s="444"/>
      <c r="CP134" s="444"/>
      <c r="CQ134" s="444"/>
      <c r="CR134" s="444"/>
      <c r="CS134" s="444"/>
      <c r="CT134" s="444"/>
      <c r="CU134" s="444"/>
      <c r="CV134" s="444"/>
      <c r="CW134" s="444"/>
      <c r="CX134" s="444"/>
      <c r="CY134" s="444"/>
      <c r="CZ134" s="444"/>
      <c r="DA134" s="445"/>
      <c r="DB134" s="445"/>
      <c r="DC134" s="445"/>
      <c r="DD134" s="445"/>
      <c r="DE134" s="445"/>
      <c r="DF134" s="445"/>
      <c r="DG134" s="445"/>
      <c r="DH134" s="445"/>
      <c r="DI134" s="445"/>
      <c r="DJ134" s="445"/>
      <c r="DK134" s="445"/>
      <c r="DL134" s="445"/>
      <c r="DM134" s="445"/>
      <c r="DN134" s="445"/>
      <c r="DO134" s="445"/>
      <c r="DP134" s="445"/>
      <c r="DQ134" s="445"/>
      <c r="DR134" s="445"/>
      <c r="DS134" s="445"/>
      <c r="DT134" s="445"/>
      <c r="DU134" s="445"/>
      <c r="DV134" s="445"/>
      <c r="DW134" s="445"/>
      <c r="DX134" s="445"/>
      <c r="DY134" s="445"/>
      <c r="DZ134" s="445"/>
      <c r="EA134" s="445"/>
      <c r="EB134" s="445"/>
      <c r="EC134" s="445"/>
      <c r="ED134" s="445"/>
      <c r="EE134" s="445"/>
      <c r="EF134" s="445"/>
      <c r="EG134" s="445"/>
      <c r="EH134" s="445"/>
      <c r="EI134" s="445"/>
      <c r="EJ134" s="445"/>
      <c r="EK134" s="445"/>
      <c r="EL134" s="445"/>
      <c r="EM134" s="445"/>
      <c r="EN134" s="445"/>
      <c r="EO134" s="445"/>
      <c r="EP134" s="445"/>
      <c r="EQ134" s="445"/>
      <c r="ER134" s="445"/>
      <c r="ES134" s="445"/>
      <c r="ET134" s="445"/>
      <c r="EU134" s="445"/>
      <c r="EV134" s="445"/>
      <c r="EW134" s="445"/>
      <c r="EX134" s="445"/>
      <c r="EY134" s="445"/>
      <c r="EZ134" s="445"/>
      <c r="FA134" s="445"/>
      <c r="FB134" s="445"/>
      <c r="FC134" s="445"/>
      <c r="FD134" s="445"/>
      <c r="FE134" s="445"/>
      <c r="FF134" s="445"/>
      <c r="FG134" s="445"/>
      <c r="FH134" s="445"/>
      <c r="FI134" s="445"/>
      <c r="FJ134" s="445"/>
      <c r="FK134" s="445"/>
      <c r="FL134" s="444"/>
      <c r="FM134" s="444"/>
      <c r="FN134" s="444"/>
      <c r="FO134" s="444"/>
      <c r="FP134" s="444"/>
      <c r="FQ134" s="444"/>
      <c r="FR134" s="444"/>
      <c r="FS134" s="444"/>
      <c r="FT134" s="444"/>
      <c r="FU134" s="444"/>
      <c r="FV134" s="444"/>
      <c r="FW134" s="444"/>
    </row>
    <row r="135" spans="1:179" ht="13.8">
      <c r="A135" s="444"/>
      <c r="B135" s="444"/>
      <c r="C135" s="444" t="s">
        <v>933</v>
      </c>
      <c r="D135" s="585"/>
      <c r="E135" s="585"/>
      <c r="F135" s="585"/>
      <c r="G135" s="585"/>
      <c r="H135" s="585"/>
      <c r="I135" s="585"/>
      <c r="J135" s="585"/>
      <c r="K135" s="585"/>
      <c r="L135" s="585"/>
      <c r="M135" s="585"/>
      <c r="N135" s="585"/>
      <c r="O135" s="585"/>
      <c r="P135" s="585"/>
      <c r="Q135" s="585"/>
      <c r="R135" s="585"/>
      <c r="S135" s="585"/>
      <c r="T135" s="585"/>
      <c r="U135" s="585"/>
      <c r="V135" s="585"/>
      <c r="W135" s="585"/>
      <c r="X135" s="585"/>
      <c r="Y135" s="585"/>
      <c r="Z135" s="585"/>
      <c r="AA135" s="585"/>
      <c r="AB135" s="585"/>
      <c r="AC135" s="585"/>
      <c r="AD135" s="585"/>
      <c r="AE135" s="585"/>
      <c r="AF135" s="585"/>
      <c r="AG135" s="585"/>
      <c r="AH135" s="585"/>
      <c r="AI135" s="585"/>
      <c r="AJ135" s="753"/>
      <c r="AK135" s="753"/>
      <c r="AL135" s="817">
        <v>306</v>
      </c>
      <c r="AM135" s="585"/>
      <c r="AN135" s="753"/>
      <c r="AO135" s="753"/>
      <c r="AP135" s="817">
        <v>345</v>
      </c>
      <c r="AQ135" s="754"/>
      <c r="AR135" s="817"/>
      <c r="AS135" s="817"/>
      <c r="AT135" s="817">
        <v>763</v>
      </c>
      <c r="AU135" s="754"/>
      <c r="AV135" s="758">
        <f>MODEL!CB577</f>
        <v>200</v>
      </c>
      <c r="AW135" s="758">
        <f>MODEL!CC577</f>
        <v>117</v>
      </c>
      <c r="AX135" s="758">
        <f>MODEL!CD577</f>
        <v>317</v>
      </c>
      <c r="AY135" s="586"/>
      <c r="AZ135" s="758">
        <f>MODEL!CF577</f>
        <v>68</v>
      </c>
      <c r="BA135" s="758">
        <f>MODEL!CG577</f>
        <v>35</v>
      </c>
      <c r="BB135" s="758">
        <f>MODEL!CH577</f>
        <v>103</v>
      </c>
      <c r="BC135" s="586"/>
      <c r="BD135" s="758">
        <f>MODEL!CJ577</f>
        <v>76</v>
      </c>
      <c r="BE135" s="758">
        <f>MODEL!CK577</f>
        <v>60</v>
      </c>
      <c r="BF135" s="758">
        <f>MODEL!CL577</f>
        <v>136</v>
      </c>
      <c r="BG135" s="586"/>
      <c r="BH135" s="758">
        <f>MODEL!CN577</f>
        <v>0</v>
      </c>
      <c r="BI135" s="758">
        <f>MODEL!CO577</f>
        <v>0</v>
      </c>
      <c r="BJ135" s="758">
        <f>MODEL!CP577</f>
        <v>0</v>
      </c>
      <c r="BK135" s="586"/>
      <c r="BL135" s="758">
        <f>MODEL!CR577</f>
        <v>0</v>
      </c>
      <c r="BM135" s="758">
        <f>MODEL!CS577</f>
        <v>0</v>
      </c>
      <c r="BN135" s="758">
        <f>MODEL!CT577</f>
        <v>0</v>
      </c>
      <c r="BO135" s="586"/>
      <c r="BP135" s="758">
        <f>MODEL!CV577</f>
        <v>0</v>
      </c>
      <c r="BQ135" s="758">
        <f>MODEL!CW577</f>
        <v>0</v>
      </c>
      <c r="BR135" s="758">
        <f>MODEL!CX577</f>
        <v>0</v>
      </c>
      <c r="BS135" s="586"/>
      <c r="BT135" s="758">
        <f>MODEL!CZ577</f>
        <v>0</v>
      </c>
      <c r="BU135" s="758">
        <f>MODEL!DA577</f>
        <v>0</v>
      </c>
      <c r="BV135" s="758">
        <f>MODEL!DB577</f>
        <v>0</v>
      </c>
      <c r="BW135" s="586"/>
      <c r="BX135" s="758">
        <f>MODEL!DD577</f>
        <v>0</v>
      </c>
      <c r="BY135" s="758">
        <f>MODEL!DE577</f>
        <v>0</v>
      </c>
      <c r="BZ135" s="758">
        <f>MODEL!DF577</f>
        <v>0</v>
      </c>
      <c r="CA135" s="586"/>
      <c r="CB135" s="758">
        <f>MODEL!DH577</f>
        <v>0</v>
      </c>
      <c r="CC135" s="758">
        <f>MODEL!DI577</f>
        <v>0</v>
      </c>
      <c r="CD135" s="758">
        <f>MODEL!DJ577</f>
        <v>0</v>
      </c>
      <c r="CE135" s="586"/>
      <c r="CF135" s="758">
        <f>MODEL!DL577</f>
        <v>0</v>
      </c>
      <c r="CG135" s="758">
        <f>MODEL!DM577</f>
        <v>0</v>
      </c>
      <c r="CH135" s="758">
        <f>MODEL!DN577</f>
        <v>0</v>
      </c>
      <c r="CI135" s="586"/>
      <c r="CJ135" s="758">
        <f>MODEL!DP577</f>
        <v>0</v>
      </c>
      <c r="CK135" s="758">
        <f>MODEL!DQ577</f>
        <v>0</v>
      </c>
      <c r="CL135" s="758">
        <f>MODEL!DR577</f>
        <v>0</v>
      </c>
      <c r="CM135" s="444"/>
      <c r="CN135" s="445"/>
      <c r="CO135" s="444"/>
      <c r="CP135" s="444"/>
      <c r="CQ135" s="444"/>
      <c r="CR135" s="444"/>
      <c r="CS135" s="444"/>
      <c r="CT135" s="444"/>
      <c r="CU135" s="444"/>
      <c r="CV135" s="444"/>
      <c r="CW135" s="444"/>
      <c r="CX135" s="444"/>
      <c r="CY135" s="444"/>
      <c r="CZ135" s="444"/>
      <c r="DA135" s="445"/>
      <c r="DB135" s="445"/>
      <c r="DC135" s="445"/>
      <c r="DD135" s="445"/>
      <c r="DE135" s="445"/>
      <c r="DF135" s="445"/>
      <c r="DG135" s="445"/>
      <c r="DH135" s="445"/>
      <c r="DI135" s="445"/>
      <c r="DJ135" s="445"/>
      <c r="DK135" s="445"/>
      <c r="DL135" s="445"/>
      <c r="DM135" s="445"/>
      <c r="DN135" s="445"/>
      <c r="DO135" s="445"/>
      <c r="DP135" s="445"/>
      <c r="DQ135" s="445"/>
      <c r="DR135" s="445"/>
      <c r="DS135" s="445"/>
      <c r="DT135" s="445"/>
      <c r="DU135" s="445"/>
      <c r="DV135" s="445"/>
      <c r="DW135" s="445"/>
      <c r="DX135" s="445"/>
      <c r="DY135" s="445"/>
      <c r="DZ135" s="445"/>
      <c r="EA135" s="445"/>
      <c r="EB135" s="445"/>
      <c r="EC135" s="445"/>
      <c r="ED135" s="445"/>
      <c r="EE135" s="445"/>
      <c r="EF135" s="445"/>
      <c r="EG135" s="445"/>
      <c r="EH135" s="445"/>
      <c r="EI135" s="445"/>
      <c r="EJ135" s="445"/>
      <c r="EK135" s="445"/>
      <c r="EL135" s="445"/>
      <c r="EM135" s="445"/>
      <c r="EN135" s="445"/>
      <c r="EO135" s="445"/>
      <c r="EP135" s="445"/>
      <c r="EQ135" s="445"/>
      <c r="ER135" s="445"/>
      <c r="ES135" s="445"/>
      <c r="ET135" s="445"/>
      <c r="EU135" s="445"/>
      <c r="EV135" s="445"/>
      <c r="EW135" s="445"/>
      <c r="EX135" s="445"/>
      <c r="EY135" s="445"/>
      <c r="EZ135" s="445"/>
      <c r="FA135" s="445"/>
      <c r="FB135" s="445"/>
      <c r="FC135" s="445"/>
      <c r="FD135" s="445"/>
      <c r="FE135" s="445"/>
      <c r="FF135" s="445"/>
      <c r="FG135" s="445"/>
      <c r="FH135" s="445"/>
      <c r="FI135" s="445"/>
      <c r="FJ135" s="445"/>
      <c r="FK135" s="445"/>
      <c r="FL135" s="444"/>
      <c r="FM135" s="444"/>
      <c r="FN135" s="444"/>
      <c r="FO135" s="444"/>
      <c r="FP135" s="444"/>
      <c r="FQ135" s="444"/>
      <c r="FR135" s="444"/>
      <c r="FS135" s="444"/>
      <c r="FT135" s="444"/>
      <c r="FU135" s="444"/>
      <c r="FV135" s="444"/>
      <c r="FW135" s="444"/>
    </row>
    <row r="136" spans="1:179" ht="13.8">
      <c r="A136" s="444"/>
      <c r="B136" s="444"/>
      <c r="C136" s="444" t="s">
        <v>947</v>
      </c>
      <c r="D136" s="585"/>
      <c r="E136" s="585"/>
      <c r="F136" s="585"/>
      <c r="G136" s="585"/>
      <c r="H136" s="585"/>
      <c r="I136" s="585"/>
      <c r="J136" s="585"/>
      <c r="K136" s="585"/>
      <c r="L136" s="585"/>
      <c r="M136" s="585"/>
      <c r="N136" s="585"/>
      <c r="O136" s="585"/>
      <c r="P136" s="585"/>
      <c r="Q136" s="585"/>
      <c r="R136" s="585"/>
      <c r="S136" s="585"/>
      <c r="T136" s="585"/>
      <c r="U136" s="585"/>
      <c r="V136" s="585"/>
      <c r="W136" s="585"/>
      <c r="X136" s="585"/>
      <c r="Y136" s="585"/>
      <c r="Z136" s="585"/>
      <c r="AA136" s="585"/>
      <c r="AB136" s="585"/>
      <c r="AC136" s="585"/>
      <c r="AD136" s="585"/>
      <c r="AE136" s="585"/>
      <c r="AF136" s="585"/>
      <c r="AG136" s="585"/>
      <c r="AH136" s="585"/>
      <c r="AI136" s="585"/>
      <c r="AJ136" s="753"/>
      <c r="AK136" s="753"/>
      <c r="AL136" s="843">
        <v>0</v>
      </c>
      <c r="AM136" s="585"/>
      <c r="AN136" s="753"/>
      <c r="AO136" s="753"/>
      <c r="AP136" s="817">
        <f>-102-237</f>
        <v>-339</v>
      </c>
      <c r="AQ136" s="754"/>
      <c r="AR136" s="817"/>
      <c r="AS136" s="817"/>
      <c r="AT136" s="817"/>
      <c r="AU136" s="754"/>
      <c r="AV136" s="758"/>
      <c r="AW136" s="758"/>
      <c r="AX136" s="758"/>
      <c r="AY136" s="586"/>
      <c r="AZ136" s="758"/>
      <c r="BA136" s="758"/>
      <c r="BB136" s="758"/>
      <c r="BC136" s="586"/>
      <c r="BD136" s="758"/>
      <c r="BE136" s="758"/>
      <c r="BF136" s="758"/>
      <c r="BG136" s="586"/>
      <c r="BH136" s="758"/>
      <c r="BI136" s="758"/>
      <c r="BJ136" s="758"/>
      <c r="BK136" s="586"/>
      <c r="BL136" s="758"/>
      <c r="BM136" s="758"/>
      <c r="BN136" s="758"/>
      <c r="BO136" s="586"/>
      <c r="BP136" s="758"/>
      <c r="BQ136" s="758"/>
      <c r="BR136" s="758"/>
      <c r="BS136" s="586"/>
      <c r="BT136" s="758"/>
      <c r="BU136" s="758"/>
      <c r="BV136" s="758"/>
      <c r="BW136" s="586"/>
      <c r="BX136" s="758"/>
      <c r="BY136" s="758"/>
      <c r="BZ136" s="758"/>
      <c r="CA136" s="586"/>
      <c r="CB136" s="758"/>
      <c r="CC136" s="758"/>
      <c r="CD136" s="758"/>
      <c r="CE136" s="586"/>
      <c r="CF136" s="758"/>
      <c r="CG136" s="758"/>
      <c r="CH136" s="758"/>
      <c r="CI136" s="586"/>
      <c r="CJ136" s="758"/>
      <c r="CK136" s="758"/>
      <c r="CL136" s="758"/>
      <c r="CM136" s="444"/>
      <c r="CN136" s="445"/>
      <c r="CO136" s="444"/>
      <c r="CP136" s="444"/>
      <c r="CQ136" s="444"/>
      <c r="CR136" s="444"/>
      <c r="CS136" s="444"/>
      <c r="CT136" s="444"/>
      <c r="CU136" s="444"/>
      <c r="CV136" s="444"/>
      <c r="CW136" s="444"/>
      <c r="CX136" s="444"/>
      <c r="CY136" s="444"/>
      <c r="CZ136" s="444"/>
      <c r="DA136" s="445"/>
      <c r="DB136" s="445"/>
      <c r="DC136" s="445"/>
      <c r="DD136" s="445"/>
      <c r="DE136" s="445"/>
      <c r="DF136" s="445"/>
      <c r="DG136" s="445"/>
      <c r="DH136" s="445"/>
      <c r="DI136" s="445"/>
      <c r="DJ136" s="445"/>
      <c r="DK136" s="445"/>
      <c r="DL136" s="445"/>
      <c r="DM136" s="445"/>
      <c r="DN136" s="445"/>
      <c r="DO136" s="445"/>
      <c r="DP136" s="445"/>
      <c r="DQ136" s="445"/>
      <c r="DR136" s="445"/>
      <c r="DS136" s="445"/>
      <c r="DT136" s="445"/>
      <c r="DU136" s="445"/>
      <c r="DV136" s="445"/>
      <c r="DW136" s="445"/>
      <c r="DX136" s="445"/>
      <c r="DY136" s="445"/>
      <c r="DZ136" s="445"/>
      <c r="EA136" s="445"/>
      <c r="EB136" s="445"/>
      <c r="EC136" s="445"/>
      <c r="ED136" s="445"/>
      <c r="EE136" s="445"/>
      <c r="EF136" s="445"/>
      <c r="EG136" s="445"/>
      <c r="EH136" s="445"/>
      <c r="EI136" s="445"/>
      <c r="EJ136" s="445"/>
      <c r="EK136" s="445"/>
      <c r="EL136" s="445"/>
      <c r="EM136" s="445"/>
      <c r="EN136" s="445"/>
      <c r="EO136" s="445"/>
      <c r="EP136" s="445"/>
      <c r="EQ136" s="445"/>
      <c r="ER136" s="445"/>
      <c r="ES136" s="445"/>
      <c r="ET136" s="445"/>
      <c r="EU136" s="445"/>
      <c r="EV136" s="445"/>
      <c r="EW136" s="445"/>
      <c r="EX136" s="445"/>
      <c r="EY136" s="445"/>
      <c r="EZ136" s="445"/>
      <c r="FA136" s="445"/>
      <c r="FB136" s="445"/>
      <c r="FC136" s="445"/>
      <c r="FD136" s="445"/>
      <c r="FE136" s="445"/>
      <c r="FF136" s="445"/>
      <c r="FG136" s="445"/>
      <c r="FH136" s="445"/>
      <c r="FI136" s="445"/>
      <c r="FJ136" s="445"/>
      <c r="FK136" s="445"/>
      <c r="FL136" s="444"/>
      <c r="FM136" s="444"/>
      <c r="FN136" s="444"/>
      <c r="FO136" s="444"/>
      <c r="FP136" s="444"/>
      <c r="FQ136" s="444"/>
      <c r="FR136" s="444"/>
      <c r="FS136" s="444"/>
      <c r="FT136" s="444"/>
      <c r="FU136" s="444"/>
      <c r="FV136" s="444"/>
      <c r="FW136" s="444"/>
    </row>
    <row r="137" spans="1:179" ht="13.8">
      <c r="A137" s="444"/>
      <c r="B137" s="444"/>
      <c r="C137" s="444" t="s">
        <v>926</v>
      </c>
      <c r="D137" s="585"/>
      <c r="E137" s="585"/>
      <c r="F137" s="585"/>
      <c r="G137" s="585"/>
      <c r="H137" s="585"/>
      <c r="I137" s="585"/>
      <c r="J137" s="585"/>
      <c r="K137" s="585"/>
      <c r="L137" s="585"/>
      <c r="M137" s="585"/>
      <c r="N137" s="585"/>
      <c r="O137" s="585"/>
      <c r="P137" s="585"/>
      <c r="Q137" s="585"/>
      <c r="R137" s="585"/>
      <c r="S137" s="585"/>
      <c r="T137" s="585"/>
      <c r="U137" s="585"/>
      <c r="V137" s="585"/>
      <c r="W137" s="585"/>
      <c r="X137" s="585"/>
      <c r="Y137" s="585"/>
      <c r="Z137" s="585"/>
      <c r="AA137" s="585"/>
      <c r="AB137" s="585"/>
      <c r="AC137" s="585"/>
      <c r="AD137" s="585"/>
      <c r="AE137" s="585"/>
      <c r="AF137" s="585"/>
      <c r="AG137" s="585"/>
      <c r="AH137" s="585"/>
      <c r="AI137" s="585"/>
      <c r="AJ137" s="753"/>
      <c r="AK137" s="753"/>
      <c r="AL137" s="843">
        <v>0</v>
      </c>
      <c r="AM137" s="585"/>
      <c r="AN137" s="753"/>
      <c r="AO137" s="753"/>
      <c r="AP137" s="843">
        <v>0</v>
      </c>
      <c r="AQ137" s="754"/>
      <c r="AR137" s="758"/>
      <c r="AS137" s="758"/>
      <c r="AT137" s="758">
        <f>+AT174+AT175</f>
        <v>-70</v>
      </c>
      <c r="AU137" s="754"/>
      <c r="AV137" s="758">
        <f>MODEL!CB580</f>
        <v>-32</v>
      </c>
      <c r="AW137" s="758">
        <f>MODEL!CC580</f>
        <v>-196</v>
      </c>
      <c r="AX137" s="758">
        <f>MODEL!CD580</f>
        <v>-228</v>
      </c>
      <c r="AY137" s="586"/>
      <c r="AZ137" s="758">
        <f>MODEL!CF580</f>
        <v>-64</v>
      </c>
      <c r="BA137" s="758">
        <f>MODEL!CG580</f>
        <v>-148</v>
      </c>
      <c r="BB137" s="758">
        <f>MODEL!CH580</f>
        <v>-212</v>
      </c>
      <c r="BC137" s="586"/>
      <c r="BD137" s="758">
        <f>MODEL!CJ580</f>
        <v>-58</v>
      </c>
      <c r="BE137" s="758">
        <f>MODEL!CK580</f>
        <v>-116</v>
      </c>
      <c r="BF137" s="758">
        <f>MODEL!CL580</f>
        <v>-174</v>
      </c>
      <c r="BG137" s="586"/>
      <c r="BH137" s="758">
        <f>MODEL!CN580</f>
        <v>-74</v>
      </c>
      <c r="BI137" s="758">
        <f>MODEL!CO580</f>
        <v>-68</v>
      </c>
      <c r="BJ137" s="758">
        <f>MODEL!CP580</f>
        <v>-142</v>
      </c>
      <c r="BK137" s="586"/>
      <c r="BL137" s="758">
        <f>MODEL!CR580</f>
        <v>-25</v>
      </c>
      <c r="BM137" s="758">
        <f>MODEL!CS580</f>
        <v>-9</v>
      </c>
      <c r="BN137" s="758">
        <f>MODEL!CT580</f>
        <v>-34</v>
      </c>
      <c r="BO137" s="586"/>
      <c r="BP137" s="758">
        <f>MODEL!CV580</f>
        <v>-17</v>
      </c>
      <c r="BQ137" s="758">
        <f>MODEL!CW580</f>
        <v>-31</v>
      </c>
      <c r="BR137" s="758">
        <f>MODEL!CX580</f>
        <v>-48</v>
      </c>
      <c r="BS137" s="586"/>
      <c r="BT137" s="758">
        <f>MODEL!CZ580</f>
        <v>0</v>
      </c>
      <c r="BU137" s="758">
        <f>MODEL!DA580</f>
        <v>0</v>
      </c>
      <c r="BV137" s="758">
        <f>MODEL!DB580</f>
        <v>0</v>
      </c>
      <c r="BW137" s="586"/>
      <c r="BX137" s="758">
        <f>MODEL!DD580</f>
        <v>0</v>
      </c>
      <c r="BY137" s="758">
        <f>MODEL!DE580</f>
        <v>0</v>
      </c>
      <c r="BZ137" s="758">
        <f>MODEL!DF580</f>
        <v>0</v>
      </c>
      <c r="CA137" s="586"/>
      <c r="CB137" s="758">
        <f>MODEL!DH580</f>
        <v>0</v>
      </c>
      <c r="CC137" s="758">
        <f>MODEL!DI580</f>
        <v>0</v>
      </c>
      <c r="CD137" s="758">
        <f>MODEL!DJ580</f>
        <v>0</v>
      </c>
      <c r="CE137" s="586"/>
      <c r="CF137" s="758">
        <f>MODEL!DL580</f>
        <v>0</v>
      </c>
      <c r="CG137" s="758">
        <f>MODEL!DM580</f>
        <v>0</v>
      </c>
      <c r="CH137" s="758">
        <f>MODEL!DN580</f>
        <v>0</v>
      </c>
      <c r="CI137" s="586"/>
      <c r="CJ137" s="758">
        <f>MODEL!DP580</f>
        <v>0</v>
      </c>
      <c r="CK137" s="758">
        <f>MODEL!DQ580</f>
        <v>0</v>
      </c>
      <c r="CL137" s="758">
        <f>MODEL!DR580</f>
        <v>0</v>
      </c>
      <c r="CM137" s="444"/>
      <c r="CN137" s="445"/>
      <c r="CO137" s="444"/>
      <c r="CP137" s="444"/>
      <c r="CQ137" s="444"/>
      <c r="CR137" s="444"/>
      <c r="CS137" s="444"/>
      <c r="CT137" s="444"/>
      <c r="CU137" s="444"/>
      <c r="CV137" s="444"/>
      <c r="CW137" s="444"/>
      <c r="CX137" s="444"/>
      <c r="CY137" s="444"/>
      <c r="CZ137" s="444"/>
      <c r="DA137" s="445"/>
      <c r="DB137" s="445"/>
      <c r="DC137" s="445"/>
      <c r="DD137" s="445"/>
      <c r="DE137" s="445"/>
      <c r="DF137" s="445"/>
      <c r="DG137" s="445"/>
      <c r="DH137" s="445"/>
      <c r="DI137" s="445"/>
      <c r="DJ137" s="445"/>
      <c r="DK137" s="445"/>
      <c r="DL137" s="445"/>
      <c r="DM137" s="445"/>
      <c r="DN137" s="445"/>
      <c r="DO137" s="445"/>
      <c r="DP137" s="445"/>
      <c r="DQ137" s="445"/>
      <c r="DR137" s="445"/>
      <c r="DS137" s="445"/>
      <c r="DT137" s="445"/>
      <c r="DU137" s="445"/>
      <c r="DV137" s="445"/>
      <c r="DW137" s="445"/>
      <c r="DX137" s="445"/>
      <c r="DY137" s="445"/>
      <c r="DZ137" s="445"/>
      <c r="EA137" s="445"/>
      <c r="EB137" s="445"/>
      <c r="EC137" s="445"/>
      <c r="ED137" s="445"/>
      <c r="EE137" s="445"/>
      <c r="EF137" s="445"/>
      <c r="EG137" s="445"/>
      <c r="EH137" s="445"/>
      <c r="EI137" s="445"/>
      <c r="EJ137" s="445"/>
      <c r="EK137" s="445"/>
      <c r="EL137" s="445"/>
      <c r="EM137" s="445"/>
      <c r="EN137" s="445"/>
      <c r="EO137" s="445"/>
      <c r="EP137" s="445"/>
      <c r="EQ137" s="445"/>
      <c r="ER137" s="445"/>
      <c r="ES137" s="445"/>
      <c r="ET137" s="445"/>
      <c r="EU137" s="445"/>
      <c r="EV137" s="445"/>
      <c r="EW137" s="445"/>
      <c r="EX137" s="445"/>
      <c r="EY137" s="445"/>
      <c r="EZ137" s="445"/>
      <c r="FA137" s="445"/>
      <c r="FB137" s="445"/>
      <c r="FC137" s="445"/>
      <c r="FD137" s="445"/>
      <c r="FE137" s="445"/>
      <c r="FF137" s="445"/>
      <c r="FG137" s="445"/>
      <c r="FH137" s="445"/>
      <c r="FI137" s="445"/>
      <c r="FJ137" s="445"/>
      <c r="FK137" s="445"/>
      <c r="FL137" s="444"/>
      <c r="FM137" s="444"/>
      <c r="FN137" s="444"/>
      <c r="FO137" s="444"/>
      <c r="FP137" s="444"/>
      <c r="FQ137" s="444"/>
      <c r="FR137" s="444"/>
      <c r="FS137" s="444"/>
      <c r="FT137" s="444"/>
      <c r="FU137" s="444"/>
      <c r="FV137" s="444"/>
      <c r="FW137" s="444"/>
    </row>
    <row r="138" spans="1:179" ht="13.8">
      <c r="A138" s="444"/>
      <c r="B138" s="444"/>
      <c r="C138" s="444" t="s">
        <v>854</v>
      </c>
      <c r="D138" s="585"/>
      <c r="E138" s="585"/>
      <c r="F138" s="585"/>
      <c r="G138" s="585"/>
      <c r="H138" s="585"/>
      <c r="I138" s="585"/>
      <c r="J138" s="585"/>
      <c r="K138" s="585"/>
      <c r="L138" s="585"/>
      <c r="M138" s="585"/>
      <c r="N138" s="585"/>
      <c r="O138" s="585"/>
      <c r="P138" s="585"/>
      <c r="Q138" s="585"/>
      <c r="R138" s="585"/>
      <c r="S138" s="585"/>
      <c r="T138" s="585"/>
      <c r="U138" s="585"/>
      <c r="V138" s="585"/>
      <c r="W138" s="585"/>
      <c r="X138" s="585"/>
      <c r="Y138" s="585"/>
      <c r="Z138" s="585"/>
      <c r="AA138" s="585"/>
      <c r="AB138" s="585"/>
      <c r="AC138" s="585"/>
      <c r="AD138" s="585"/>
      <c r="AE138" s="585"/>
      <c r="AF138" s="585"/>
      <c r="AG138" s="585"/>
      <c r="AH138" s="585"/>
      <c r="AI138" s="585"/>
      <c r="AJ138" s="758"/>
      <c r="AK138" s="758"/>
      <c r="AL138" s="842">
        <f>SUM(AL134:AL137)</f>
        <v>306</v>
      </c>
      <c r="AM138" s="585"/>
      <c r="AN138" s="758"/>
      <c r="AO138" s="758"/>
      <c r="AP138" s="842">
        <f>SUM(AP134:AP137)</f>
        <v>-116</v>
      </c>
      <c r="AQ138" s="505"/>
      <c r="AR138" s="758"/>
      <c r="AS138" s="758"/>
      <c r="AT138" s="842">
        <f>SUM(AT134:AT137)</f>
        <v>497</v>
      </c>
      <c r="AU138" s="505"/>
      <c r="AV138" s="842">
        <f>SUM(AV134:AV137)</f>
        <v>406</v>
      </c>
      <c r="AW138" s="842">
        <f>SUM(AW134:AW137)</f>
        <v>-19</v>
      </c>
      <c r="AX138" s="758">
        <f>+AW138+AV138</f>
        <v>387</v>
      </c>
      <c r="AY138" s="586"/>
      <c r="AZ138" s="842">
        <f>SUM(AZ134:AZ137)</f>
        <v>238</v>
      </c>
      <c r="BA138" s="758">
        <f>SUM(BA134:BA137)</f>
        <v>-95</v>
      </c>
      <c r="BB138" s="758">
        <f>+BA138+AZ138</f>
        <v>143</v>
      </c>
      <c r="BC138" s="586"/>
      <c r="BD138" s="758">
        <f>SUM(BD134:BD137)</f>
        <v>-797</v>
      </c>
      <c r="BE138" s="758">
        <f>SUM(BE134:BE137)</f>
        <v>-94</v>
      </c>
      <c r="BF138" s="758">
        <f>SUM(BF134:BF137)</f>
        <v>-891</v>
      </c>
      <c r="BG138" s="586"/>
      <c r="BH138" s="758">
        <f>SUM(BH134:BH137)</f>
        <v>-312</v>
      </c>
      <c r="BI138" s="758">
        <f>SUM(BI134:BI137)</f>
        <v>-68</v>
      </c>
      <c r="BJ138" s="758">
        <f>SUM(BJ134:BJ137)</f>
        <v>-380</v>
      </c>
      <c r="BK138" s="586"/>
      <c r="BL138" s="758">
        <f>SUM(BL134:BL137)</f>
        <v>269</v>
      </c>
      <c r="BM138" s="758">
        <f>SUM(BM134:BM137)</f>
        <v>18</v>
      </c>
      <c r="BN138" s="758">
        <f>SUM(BN134:BN137)</f>
        <v>287</v>
      </c>
      <c r="BO138" s="586"/>
      <c r="BP138" s="758">
        <f>SUM(BP134:BP137)</f>
        <v>-60</v>
      </c>
      <c r="BQ138" s="758">
        <f>SUM(BQ134:BQ137)</f>
        <v>35</v>
      </c>
      <c r="BR138" s="758">
        <f>SUM(BR134:BR137)</f>
        <v>-25</v>
      </c>
      <c r="BS138" s="586"/>
      <c r="BT138" s="758">
        <f>SUM(BT134:BT137)</f>
        <v>-21</v>
      </c>
      <c r="BU138" s="758">
        <f>SUM(BU134:BU137)</f>
        <v>0</v>
      </c>
      <c r="BV138" s="758">
        <f>SUM(BV134:BV137)</f>
        <v>-21</v>
      </c>
      <c r="BW138" s="586"/>
      <c r="BX138" s="758">
        <f>SUM(BX134:BX137)</f>
        <v>0</v>
      </c>
      <c r="BY138" s="758">
        <f>SUM(BY134:BY137)</f>
        <v>-285</v>
      </c>
      <c r="BZ138" s="758">
        <f>SUM(BZ134:BZ137)</f>
        <v>-285</v>
      </c>
      <c r="CA138" s="586"/>
      <c r="CB138" s="758">
        <f>SUM(CB134:CB137)</f>
        <v>0</v>
      </c>
      <c r="CC138" s="758">
        <f>SUM(CC134:CC137)</f>
        <v>0</v>
      </c>
      <c r="CD138" s="758">
        <f>SUM(CD134:CD137)</f>
        <v>0</v>
      </c>
      <c r="CE138" s="586"/>
      <c r="CF138" s="758">
        <f>SUM(CF134:CF137)</f>
        <v>0</v>
      </c>
      <c r="CG138" s="758">
        <f>SUM(CG134:CG137)</f>
        <v>0</v>
      </c>
      <c r="CH138" s="758">
        <f>SUM(CH134:CH137)</f>
        <v>0</v>
      </c>
      <c r="CI138" s="586"/>
      <c r="CJ138" s="758">
        <f>SUM(CJ134:CJ137)</f>
        <v>0</v>
      </c>
      <c r="CK138" s="758">
        <f>SUM(CK134:CK137)</f>
        <v>0</v>
      </c>
      <c r="CL138" s="758">
        <f>SUM(CL134:CL137)</f>
        <v>0</v>
      </c>
      <c r="CM138" s="444"/>
      <c r="CN138" s="445"/>
      <c r="CO138" s="444"/>
      <c r="CP138" s="444"/>
      <c r="CQ138" s="444"/>
      <c r="CR138" s="444"/>
      <c r="CS138" s="444"/>
      <c r="CT138" s="444"/>
      <c r="CU138" s="444"/>
      <c r="CV138" s="444"/>
      <c r="CW138" s="444"/>
      <c r="CX138" s="444"/>
      <c r="CY138" s="444"/>
      <c r="CZ138" s="444"/>
      <c r="DA138" s="445"/>
      <c r="DB138" s="445"/>
      <c r="DC138" s="445"/>
      <c r="DD138" s="445"/>
      <c r="DE138" s="445"/>
      <c r="DF138" s="445"/>
      <c r="DG138" s="445"/>
      <c r="DH138" s="445"/>
      <c r="DI138" s="445"/>
      <c r="DJ138" s="445"/>
      <c r="DK138" s="445"/>
      <c r="DL138" s="445"/>
      <c r="DM138" s="445"/>
      <c r="DN138" s="445"/>
      <c r="DO138" s="445"/>
      <c r="DP138" s="445"/>
      <c r="DQ138" s="445"/>
      <c r="DR138" s="445"/>
      <c r="DS138" s="445"/>
      <c r="DT138" s="445"/>
      <c r="DU138" s="445"/>
      <c r="DV138" s="445"/>
      <c r="DW138" s="445"/>
      <c r="DX138" s="445"/>
      <c r="DY138" s="445"/>
      <c r="DZ138" s="445"/>
      <c r="EA138" s="445"/>
      <c r="EB138" s="445"/>
      <c r="EC138" s="445"/>
      <c r="ED138" s="445"/>
      <c r="EE138" s="445"/>
      <c r="EF138" s="445"/>
      <c r="EG138" s="445"/>
      <c r="EH138" s="445"/>
      <c r="EI138" s="445"/>
      <c r="EJ138" s="445"/>
      <c r="EK138" s="445"/>
      <c r="EL138" s="445"/>
      <c r="EM138" s="445"/>
      <c r="EN138" s="445"/>
      <c r="EO138" s="445"/>
      <c r="EP138" s="445"/>
      <c r="EQ138" s="445"/>
      <c r="ER138" s="445"/>
      <c r="ES138" s="445"/>
      <c r="ET138" s="445"/>
      <c r="EU138" s="445"/>
      <c r="EV138" s="445"/>
      <c r="EW138" s="445"/>
      <c r="EX138" s="445"/>
      <c r="EY138" s="445"/>
      <c r="EZ138" s="445"/>
      <c r="FA138" s="445"/>
      <c r="FB138" s="445"/>
      <c r="FC138" s="445"/>
      <c r="FD138" s="445"/>
      <c r="FE138" s="445"/>
      <c r="FF138" s="445"/>
      <c r="FG138" s="445"/>
      <c r="FH138" s="445"/>
      <c r="FI138" s="445"/>
      <c r="FJ138" s="445"/>
      <c r="FK138" s="445"/>
      <c r="FL138" s="444"/>
      <c r="FM138" s="444"/>
      <c r="FN138" s="444"/>
      <c r="FO138" s="444"/>
      <c r="FP138" s="444"/>
      <c r="FQ138" s="444"/>
      <c r="FR138" s="444"/>
      <c r="FS138" s="444"/>
      <c r="FT138" s="444"/>
      <c r="FU138" s="444"/>
      <c r="FV138" s="444"/>
      <c r="FW138" s="444"/>
    </row>
    <row r="139" spans="1:179" ht="13.8">
      <c r="A139" s="444"/>
      <c r="B139" s="444"/>
      <c r="C139" s="584" t="s">
        <v>878</v>
      </c>
      <c r="D139" s="585"/>
      <c r="E139" s="585"/>
      <c r="F139" s="585"/>
      <c r="G139" s="585"/>
      <c r="H139" s="585"/>
      <c r="I139" s="585"/>
      <c r="J139" s="585"/>
      <c r="K139" s="585"/>
      <c r="L139" s="585"/>
      <c r="M139" s="585"/>
      <c r="N139" s="585"/>
      <c r="O139" s="585"/>
      <c r="P139" s="585"/>
      <c r="Q139" s="585"/>
      <c r="R139" s="585"/>
      <c r="S139" s="585"/>
      <c r="T139" s="585"/>
      <c r="U139" s="585"/>
      <c r="V139" s="585"/>
      <c r="W139" s="585"/>
      <c r="X139" s="585"/>
      <c r="Y139" s="585"/>
      <c r="Z139" s="585"/>
      <c r="AA139" s="585"/>
      <c r="AB139" s="585"/>
      <c r="AC139" s="585"/>
      <c r="AD139" s="585"/>
      <c r="AE139" s="585"/>
      <c r="AF139" s="585"/>
      <c r="AG139" s="585"/>
      <c r="AH139" s="585"/>
      <c r="AI139" s="585"/>
      <c r="AJ139" s="753"/>
      <c r="AK139" s="753"/>
      <c r="AL139" s="753">
        <f>+AL133-AL138</f>
        <v>20231</v>
      </c>
      <c r="AM139" s="585"/>
      <c r="AN139" s="753"/>
      <c r="AO139" s="753"/>
      <c r="AP139" s="753">
        <f>+AP133-AP138</f>
        <v>20710</v>
      </c>
      <c r="AQ139" s="754"/>
      <c r="AR139" s="753"/>
      <c r="AS139" s="753"/>
      <c r="AT139" s="753">
        <f>+AT133-AT138</f>
        <v>19319</v>
      </c>
      <c r="AU139" s="754"/>
      <c r="AV139" s="753">
        <f>+AV133-AV138</f>
        <v>9464</v>
      </c>
      <c r="AW139" s="753">
        <f>+AW133-AW138</f>
        <v>9516</v>
      </c>
      <c r="AX139" s="753">
        <f>+AX133-AX138</f>
        <v>18980</v>
      </c>
      <c r="AY139" s="586"/>
      <c r="AZ139" s="753">
        <f>+AZ133-AZ138</f>
        <v>9508</v>
      </c>
      <c r="BA139" s="753">
        <f>+BA133-BA138</f>
        <v>9378</v>
      </c>
      <c r="BB139" s="753">
        <f>+BB133-BB138</f>
        <v>18886</v>
      </c>
      <c r="BC139" s="586"/>
      <c r="BD139" s="753">
        <f>+BD133-BD138</f>
        <v>9376</v>
      </c>
      <c r="BE139" s="753">
        <f>+BE133-BE138</f>
        <v>9267</v>
      </c>
      <c r="BF139" s="753">
        <f>+BF133-BF138</f>
        <v>18643</v>
      </c>
      <c r="BG139" s="586"/>
      <c r="BH139" s="753">
        <f>+BH133-BH138</f>
        <v>8735</v>
      </c>
      <c r="BI139" s="753">
        <f>+BI133-BI138</f>
        <v>9092</v>
      </c>
      <c r="BJ139" s="753">
        <f>+BJ133-BJ138</f>
        <v>17827</v>
      </c>
      <c r="BK139" s="586"/>
      <c r="BL139" s="753">
        <f>+BL133-BL138</f>
        <v>8679</v>
      </c>
      <c r="BM139" s="753">
        <f>+BM133-BM138</f>
        <v>9581</v>
      </c>
      <c r="BN139" s="753">
        <f>+BN133-BN138</f>
        <v>18260</v>
      </c>
      <c r="BO139" s="586"/>
      <c r="BP139" s="753">
        <f>+BP133-BP138</f>
        <v>10600</v>
      </c>
      <c r="BQ139" s="753">
        <f>+BQ133-BQ138</f>
        <v>10330</v>
      </c>
      <c r="BR139" s="753">
        <f>+BR133-BR138</f>
        <v>20930</v>
      </c>
      <c r="BS139" s="586"/>
      <c r="BT139" s="753">
        <f>+BT133-BT138</f>
        <v>10368</v>
      </c>
      <c r="BU139" s="753">
        <f>+BU133-BU138</f>
        <v>10462</v>
      </c>
      <c r="BV139" s="753">
        <f>+BV133-BV138</f>
        <v>20830</v>
      </c>
      <c r="BW139" s="586"/>
      <c r="BX139" s="753">
        <f>+BX133-BX138</f>
        <v>10995</v>
      </c>
      <c r="BY139" s="753">
        <f>+BY133-BY138</f>
        <v>11189</v>
      </c>
      <c r="BZ139" s="753">
        <f>+BZ133-BZ138</f>
        <v>22184</v>
      </c>
      <c r="CA139" s="586"/>
      <c r="CB139" s="753">
        <f ca="1">+CB133-CB138</f>
        <v>11288.984147560002</v>
      </c>
      <c r="CC139" s="753">
        <f ca="1">+CC133-CC138</f>
        <v>11374.515751326247</v>
      </c>
      <c r="CD139" s="753">
        <f ca="1">+CD133-CD138</f>
        <v>22663.49989888625</v>
      </c>
      <c r="CE139" s="586"/>
      <c r="CF139" s="753">
        <f ca="1">+CF133-CF138</f>
        <v>11626.422084593729</v>
      </c>
      <c r="CG139" s="753">
        <f ca="1">+CG133-CG138</f>
        <v>11798.408556718041</v>
      </c>
      <c r="CH139" s="753">
        <f ca="1">+CH133-CH138</f>
        <v>23424.830641311768</v>
      </c>
      <c r="CI139" s="586"/>
      <c r="CJ139" s="753">
        <f ca="1">+CJ133-CJ138</f>
        <v>12079.634094440933</v>
      </c>
      <c r="CK139" s="753">
        <f ca="1">+CK133-CK138</f>
        <v>12244.903307413953</v>
      </c>
      <c r="CL139" s="753">
        <f ca="1">+CL133-CL138</f>
        <v>24324.537401854886</v>
      </c>
      <c r="CM139" s="444"/>
      <c r="CN139" s="445"/>
      <c r="CO139" s="444"/>
      <c r="CP139" s="444"/>
      <c r="CQ139" s="444"/>
      <c r="CR139" s="444"/>
      <c r="CS139" s="444"/>
      <c r="CT139" s="444"/>
      <c r="CU139" s="444"/>
      <c r="CV139" s="444"/>
      <c r="CW139" s="444"/>
      <c r="CX139" s="444"/>
      <c r="CY139" s="444"/>
      <c r="CZ139" s="444"/>
      <c r="DA139" s="445"/>
      <c r="DB139" s="445"/>
      <c r="DC139" s="445"/>
      <c r="DD139" s="445"/>
      <c r="DE139" s="445"/>
      <c r="DF139" s="445"/>
      <c r="DG139" s="445"/>
      <c r="DH139" s="445"/>
      <c r="DI139" s="445"/>
      <c r="DJ139" s="445"/>
      <c r="DK139" s="445"/>
      <c r="DL139" s="445"/>
      <c r="DM139" s="445"/>
      <c r="DN139" s="445"/>
      <c r="DO139" s="445"/>
      <c r="DP139" s="445"/>
      <c r="DQ139" s="445"/>
      <c r="DR139" s="445"/>
      <c r="DS139" s="445"/>
      <c r="DT139" s="445"/>
      <c r="DU139" s="445"/>
      <c r="DV139" s="445"/>
      <c r="DW139" s="445"/>
      <c r="DX139" s="445"/>
      <c r="DY139" s="445"/>
      <c r="DZ139" s="445"/>
      <c r="EA139" s="445"/>
      <c r="EB139" s="445"/>
      <c r="EC139" s="445"/>
      <c r="ED139" s="445"/>
      <c r="EE139" s="445"/>
      <c r="EF139" s="445"/>
      <c r="EG139" s="445"/>
      <c r="EH139" s="445"/>
      <c r="EI139" s="445"/>
      <c r="EJ139" s="445"/>
      <c r="EK139" s="445"/>
      <c r="EL139" s="445"/>
      <c r="EM139" s="445"/>
      <c r="EN139" s="445"/>
      <c r="EO139" s="445"/>
      <c r="EP139" s="445"/>
      <c r="EQ139" s="445"/>
      <c r="ER139" s="445"/>
      <c r="ES139" s="445"/>
      <c r="ET139" s="445"/>
      <c r="EU139" s="445"/>
      <c r="EV139" s="445"/>
      <c r="EW139" s="445"/>
      <c r="EX139" s="445"/>
      <c r="EY139" s="445"/>
      <c r="EZ139" s="445"/>
      <c r="FA139" s="445"/>
      <c r="FB139" s="445"/>
      <c r="FC139" s="445"/>
      <c r="FD139" s="445"/>
      <c r="FE139" s="445"/>
      <c r="FF139" s="445"/>
      <c r="FG139" s="445"/>
      <c r="FH139" s="445"/>
      <c r="FI139" s="445"/>
      <c r="FJ139" s="445"/>
      <c r="FK139" s="445"/>
      <c r="FL139" s="444"/>
      <c r="FM139" s="444"/>
      <c r="FN139" s="444"/>
      <c r="FO139" s="444"/>
      <c r="FP139" s="444"/>
      <c r="FQ139" s="444"/>
      <c r="FR139" s="444"/>
      <c r="FS139" s="444"/>
      <c r="FT139" s="444"/>
      <c r="FU139" s="444"/>
      <c r="FV139" s="444"/>
      <c r="FW139" s="444"/>
    </row>
    <row r="140" spans="1:179" ht="13.8">
      <c r="A140" s="444"/>
      <c r="B140" s="444"/>
      <c r="C140" s="585" t="s">
        <v>127</v>
      </c>
      <c r="D140" s="585"/>
      <c r="E140" s="585"/>
      <c r="F140" s="585"/>
      <c r="G140" s="585"/>
      <c r="H140" s="585"/>
      <c r="I140" s="585"/>
      <c r="J140" s="585"/>
      <c r="K140" s="585"/>
      <c r="L140" s="585"/>
      <c r="M140" s="585"/>
      <c r="N140" s="585"/>
      <c r="O140" s="585"/>
      <c r="P140" s="585"/>
      <c r="Q140" s="585"/>
      <c r="R140" s="585"/>
      <c r="S140" s="585"/>
      <c r="T140" s="585"/>
      <c r="U140" s="585"/>
      <c r="V140" s="585"/>
      <c r="W140" s="585"/>
      <c r="X140" s="585"/>
      <c r="Y140" s="585"/>
      <c r="Z140" s="585"/>
      <c r="AA140" s="585"/>
      <c r="AB140" s="585"/>
      <c r="AC140" s="585"/>
      <c r="AD140" s="585"/>
      <c r="AE140" s="585"/>
      <c r="AF140" s="585"/>
      <c r="AG140" s="585"/>
      <c r="AH140" s="585"/>
      <c r="AI140" s="585"/>
      <c r="AJ140" s="585"/>
      <c r="AK140" s="585"/>
      <c r="AL140" s="481"/>
      <c r="AM140" s="585"/>
      <c r="AN140" s="585"/>
      <c r="AO140" s="585"/>
      <c r="AP140" s="481"/>
      <c r="AQ140" s="586"/>
      <c r="AR140" s="481"/>
      <c r="AS140" s="481"/>
      <c r="AT140" s="481"/>
      <c r="AU140" s="750"/>
      <c r="AV140" s="816"/>
      <c r="AW140" s="816"/>
      <c r="AX140" s="816"/>
      <c r="AY140" s="444"/>
      <c r="AZ140" s="816"/>
      <c r="BA140" s="816"/>
      <c r="BB140" s="816"/>
      <c r="BC140" s="444"/>
      <c r="BD140" s="816"/>
      <c r="BE140" s="816"/>
      <c r="BF140" s="816"/>
      <c r="BG140" s="444"/>
      <c r="BH140" s="816"/>
      <c r="BI140" s="816"/>
      <c r="BJ140" s="816"/>
      <c r="BK140" s="444"/>
      <c r="BL140" s="816"/>
      <c r="BM140" s="816"/>
      <c r="BN140" s="816"/>
      <c r="BO140" s="444"/>
      <c r="BP140" s="816"/>
      <c r="BQ140" s="816"/>
      <c r="BR140" s="816"/>
      <c r="BS140" s="444"/>
      <c r="BT140" s="816"/>
      <c r="BU140" s="816"/>
      <c r="BV140" s="816"/>
      <c r="BW140" s="444"/>
      <c r="BX140" s="816"/>
      <c r="BY140" s="816"/>
      <c r="BZ140" s="816"/>
      <c r="CA140" s="444"/>
      <c r="CB140" s="816"/>
      <c r="CC140" s="816"/>
      <c r="CD140" s="816"/>
      <c r="CE140" s="444"/>
      <c r="CF140" s="816"/>
      <c r="CG140" s="816"/>
      <c r="CH140" s="816"/>
      <c r="CI140" s="444"/>
      <c r="CJ140" s="816"/>
      <c r="CK140" s="816"/>
      <c r="CL140" s="816"/>
      <c r="CM140" s="444"/>
      <c r="CN140" s="444"/>
      <c r="CO140" s="459"/>
      <c r="CP140" s="459"/>
      <c r="CQ140" s="459"/>
      <c r="CR140" s="459"/>
      <c r="CS140" s="459"/>
      <c r="CT140" s="459"/>
      <c r="CU140" s="459"/>
      <c r="CV140" s="459"/>
      <c r="CW140" s="459"/>
      <c r="CX140" s="459"/>
      <c r="CY140" s="459"/>
      <c r="CZ140" s="459"/>
      <c r="DA140" s="444"/>
      <c r="DB140" s="444"/>
      <c r="DC140" s="444"/>
      <c r="DD140" s="444"/>
      <c r="DE140" s="444"/>
      <c r="DF140" s="444"/>
      <c r="DG140" s="444"/>
      <c r="DH140" s="444"/>
      <c r="DI140" s="444"/>
      <c r="DJ140" s="444"/>
      <c r="DK140" s="444"/>
      <c r="DL140" s="444"/>
      <c r="DM140" s="444"/>
      <c r="DN140" s="444"/>
      <c r="DO140" s="444"/>
      <c r="DP140" s="444"/>
      <c r="DQ140" s="444"/>
      <c r="DR140" s="444"/>
      <c r="DS140" s="444"/>
      <c r="DT140" s="444"/>
      <c r="DU140" s="444"/>
      <c r="DV140" s="444"/>
      <c r="DW140" s="444"/>
      <c r="DX140" s="444"/>
      <c r="DY140" s="444"/>
      <c r="DZ140" s="444"/>
      <c r="EA140" s="444"/>
      <c r="EB140" s="444"/>
      <c r="EC140" s="444"/>
      <c r="ED140" s="444"/>
      <c r="EE140" s="444"/>
      <c r="EF140" s="444"/>
      <c r="EG140" s="444"/>
      <c r="EH140" s="444"/>
      <c r="EI140" s="444"/>
      <c r="EJ140" s="444"/>
      <c r="EK140" s="444"/>
      <c r="EL140" s="444"/>
      <c r="EM140" s="444"/>
      <c r="EN140" s="444"/>
      <c r="EO140" s="444"/>
      <c r="EP140" s="444"/>
      <c r="EQ140" s="444"/>
      <c r="ER140" s="444"/>
      <c r="ES140" s="444"/>
      <c r="ET140" s="444"/>
      <c r="EU140" s="444"/>
      <c r="EV140" s="444"/>
      <c r="EW140" s="444"/>
      <c r="EX140" s="444"/>
      <c r="EY140" s="444"/>
      <c r="EZ140" s="444"/>
      <c r="FA140" s="444"/>
      <c r="FB140" s="444"/>
      <c r="FC140" s="444"/>
      <c r="FD140" s="444"/>
      <c r="FE140" s="444"/>
      <c r="FF140" s="444"/>
      <c r="FG140" s="444"/>
      <c r="FH140" s="444"/>
      <c r="FI140" s="444"/>
      <c r="FJ140" s="444"/>
      <c r="FK140" s="444"/>
      <c r="FL140" s="444"/>
      <c r="FM140" s="444"/>
      <c r="FN140" s="444"/>
      <c r="FO140" s="444"/>
      <c r="FP140" s="444"/>
      <c r="FQ140" s="444"/>
      <c r="FR140" s="444"/>
      <c r="FS140" s="444"/>
      <c r="FT140" s="444"/>
      <c r="FU140" s="444"/>
      <c r="FV140" s="444"/>
      <c r="FW140" s="444"/>
    </row>
    <row r="141" spans="1:179" ht="13.8">
      <c r="A141" s="444"/>
      <c r="B141" s="444"/>
      <c r="C141" s="585" t="str">
        <f>C133</f>
        <v>Income</v>
      </c>
      <c r="D141" s="585"/>
      <c r="E141" s="585"/>
      <c r="F141" s="585"/>
      <c r="G141" s="585"/>
      <c r="H141" s="585"/>
      <c r="I141" s="585"/>
      <c r="J141" s="585"/>
      <c r="K141" s="585"/>
      <c r="L141" s="585"/>
      <c r="M141" s="585"/>
      <c r="N141" s="585"/>
      <c r="O141" s="585"/>
      <c r="P141" s="585"/>
      <c r="Q141" s="585"/>
      <c r="R141" s="585"/>
      <c r="S141" s="585"/>
      <c r="T141" s="585"/>
      <c r="U141" s="585"/>
      <c r="V141" s="585"/>
      <c r="W141" s="585"/>
      <c r="X141" s="585"/>
      <c r="Y141" s="585"/>
      <c r="Z141" s="585"/>
      <c r="AA141" s="585"/>
      <c r="AB141" s="585"/>
      <c r="AC141" s="585"/>
      <c r="AD141" s="585"/>
      <c r="AE141" s="585"/>
      <c r="AF141" s="585"/>
      <c r="AG141" s="585"/>
      <c r="AH141" s="585"/>
      <c r="AI141" s="585"/>
      <c r="AJ141" s="585"/>
      <c r="AK141" s="585"/>
      <c r="AL141" s="481"/>
      <c r="AM141" s="585"/>
      <c r="AN141" s="585"/>
      <c r="AO141" s="585"/>
      <c r="AP141" s="481"/>
      <c r="AQ141" s="586"/>
      <c r="AR141" s="481"/>
      <c r="AS141" s="481"/>
      <c r="AT141" s="481"/>
      <c r="AU141" s="750"/>
      <c r="AV141" s="816"/>
      <c r="AW141" s="816"/>
      <c r="AX141" s="816">
        <f>+AX133/AT133-1</f>
        <v>-2.2658457811869148E-2</v>
      </c>
      <c r="AY141" s="444"/>
      <c r="AZ141" s="816">
        <f>+AZ133/AV133-1</f>
        <v>-1.2563323201621124E-2</v>
      </c>
      <c r="BA141" s="816">
        <f>+BA133/AW133-1</f>
        <v>-2.2533431609982113E-2</v>
      </c>
      <c r="BB141" s="816">
        <f>+BB133/AX133-1</f>
        <v>-1.7452367429132032E-2</v>
      </c>
      <c r="BC141" s="444"/>
      <c r="BD141" s="816">
        <f>+BD133/AZ133-1</f>
        <v>-0.11974143238251589</v>
      </c>
      <c r="BE141" s="816">
        <f>+BE133/BA133-1</f>
        <v>-1.1849617580523497E-2</v>
      </c>
      <c r="BF141" s="816">
        <f>+BF133/BB133-1</f>
        <v>-6.7108098165957197E-2</v>
      </c>
      <c r="BG141" s="444"/>
      <c r="BH141" s="816">
        <f>+BH133/BD133-1</f>
        <v>-1.8183937521855653E-2</v>
      </c>
      <c r="BI141" s="816">
        <f>+BI133/BE133-1</f>
        <v>-1.624332279515972E-2</v>
      </c>
      <c r="BJ141" s="816">
        <f>+BJ133/BF133-1</f>
        <v>-1.7181162685894535E-2</v>
      </c>
      <c r="BK141" s="444"/>
      <c r="BL141" s="816">
        <f>+BL133/BH133-1</f>
        <v>6.2329336340971153E-2</v>
      </c>
      <c r="BM141" s="816">
        <f>+BM133/BI133-1</f>
        <v>6.3718971631205656E-2</v>
      </c>
      <c r="BN141" s="816">
        <f>+BN133/BJ133-1</f>
        <v>6.3048088496589605E-2</v>
      </c>
      <c r="BO141" s="444"/>
      <c r="BP141" s="816">
        <f>+BP133/BL133-1</f>
        <v>0.17791685292802861</v>
      </c>
      <c r="BQ141" s="816">
        <f>+BQ133/BM133-1</f>
        <v>7.9799979164496326E-2</v>
      </c>
      <c r="BR141" s="816">
        <f>+BR133/BN133-1</f>
        <v>0.12713646411818624</v>
      </c>
      <c r="BS141" s="444"/>
      <c r="BT141" s="816">
        <f>+BT133/BP133-1</f>
        <v>-1.8311195445920303E-2</v>
      </c>
      <c r="BU141" s="816">
        <f>+BU133/BQ133-1</f>
        <v>9.3584177520502632E-3</v>
      </c>
      <c r="BV141" s="816">
        <f>+BV133/BR133-1</f>
        <v>-4.5922028222913358E-3</v>
      </c>
      <c r="BW141" s="444"/>
      <c r="BX141" s="816">
        <f>+BX133/BT133-1</f>
        <v>6.2626848361843956E-2</v>
      </c>
      <c r="BY141" s="816">
        <f>+BY133/BU133-1</f>
        <v>4.2248136111642243E-2</v>
      </c>
      <c r="BZ141" s="816">
        <f>+BZ133/BV133-1</f>
        <v>5.2381181219664619E-2</v>
      </c>
      <c r="CA141" s="444"/>
      <c r="CB141" s="816">
        <f ca="1">+CB133/BX133-1</f>
        <v>2.6737985226012118E-2</v>
      </c>
      <c r="CC141" s="816">
        <f ca="1">+CC133/BY133-1</f>
        <v>4.3150747553764468E-2</v>
      </c>
      <c r="CD141" s="816">
        <f ca="1">+CD133/BZ133-1</f>
        <v>3.4910265258059736E-2</v>
      </c>
      <c r="CE141" s="444"/>
      <c r="CF141" s="816">
        <f ca="1">+CF133/CB133-1</f>
        <v>2.9890903612143083E-2</v>
      </c>
      <c r="CG141" s="816">
        <f ca="1">+CG133/CC133-1</f>
        <v>3.7266888073223647E-2</v>
      </c>
      <c r="CH141" s="816">
        <f ca="1">+CH133/CD133-1</f>
        <v>3.3592814252971337E-2</v>
      </c>
      <c r="CI141" s="444"/>
      <c r="CJ141" s="816">
        <f ca="1">+CJ133/CF133-1</f>
        <v>3.8981210775734576E-2</v>
      </c>
      <c r="CK141" s="816">
        <f ca="1">+CK133/CG133-1</f>
        <v>3.7843642093719376E-2</v>
      </c>
      <c r="CL141" s="816">
        <f ca="1">+CL133/CH133-1</f>
        <v>3.8408250386937848E-2</v>
      </c>
      <c r="CM141" s="445"/>
      <c r="CN141" s="445"/>
      <c r="CO141" s="459"/>
      <c r="CP141" s="459"/>
      <c r="CQ141" s="459"/>
      <c r="CR141" s="459"/>
      <c r="CS141" s="459"/>
      <c r="CT141" s="459"/>
      <c r="CU141" s="459"/>
      <c r="CV141" s="459"/>
      <c r="CW141" s="459"/>
      <c r="CX141" s="459"/>
      <c r="CY141" s="459"/>
      <c r="CZ141" s="459"/>
      <c r="DA141" s="444"/>
      <c r="DB141" s="444"/>
      <c r="DC141" s="444"/>
      <c r="DD141" s="444"/>
      <c r="DE141" s="444"/>
      <c r="DF141" s="444"/>
      <c r="DG141" s="444"/>
      <c r="DH141" s="444"/>
      <c r="DI141" s="444"/>
      <c r="DJ141" s="444"/>
      <c r="DK141" s="444"/>
      <c r="DL141" s="444"/>
      <c r="DM141" s="444"/>
      <c r="DN141" s="444"/>
      <c r="DO141" s="444"/>
      <c r="DP141" s="444"/>
      <c r="DQ141" s="444"/>
      <c r="DR141" s="444"/>
      <c r="DS141" s="444"/>
      <c r="DT141" s="444"/>
      <c r="DU141" s="444"/>
      <c r="DV141" s="444"/>
      <c r="DW141" s="444"/>
      <c r="DX141" s="444"/>
      <c r="DY141" s="444"/>
      <c r="DZ141" s="444"/>
      <c r="EA141" s="444"/>
      <c r="EB141" s="444"/>
      <c r="EC141" s="444"/>
      <c r="ED141" s="444"/>
      <c r="EE141" s="444"/>
      <c r="EF141" s="444"/>
      <c r="EG141" s="444"/>
      <c r="EH141" s="444"/>
      <c r="EI141" s="444"/>
      <c r="EJ141" s="444"/>
      <c r="EK141" s="444"/>
      <c r="EL141" s="444"/>
      <c r="EM141" s="444"/>
      <c r="EN141" s="444"/>
      <c r="EO141" s="444"/>
      <c r="EP141" s="444"/>
      <c r="EQ141" s="444"/>
      <c r="ER141" s="444"/>
      <c r="ES141" s="444"/>
      <c r="ET141" s="444"/>
      <c r="EU141" s="444"/>
      <c r="EV141" s="444"/>
      <c r="EW141" s="444"/>
      <c r="EX141" s="444"/>
      <c r="EY141" s="444"/>
      <c r="EZ141" s="444"/>
      <c r="FA141" s="444"/>
      <c r="FB141" s="444"/>
      <c r="FC141" s="444"/>
      <c r="FD141" s="444"/>
      <c r="FE141" s="444"/>
      <c r="FF141" s="444"/>
      <c r="FG141" s="444"/>
      <c r="FH141" s="444"/>
      <c r="FI141" s="444"/>
      <c r="FJ141" s="444"/>
      <c r="FK141" s="444"/>
      <c r="FL141" s="444"/>
      <c r="FM141" s="444"/>
      <c r="FN141" s="444"/>
      <c r="FO141" s="444"/>
      <c r="FP141" s="444"/>
      <c r="FQ141" s="444"/>
      <c r="FR141" s="444"/>
      <c r="FS141" s="444"/>
      <c r="FT141" s="444"/>
      <c r="FU141" s="444"/>
      <c r="FV141" s="444"/>
      <c r="FW141" s="444"/>
    </row>
    <row r="142" spans="1:179" ht="13.8">
      <c r="A142" s="444"/>
      <c r="B142" s="444"/>
      <c r="C142" s="645" t="str">
        <f>C139</f>
        <v>Underlying Income</v>
      </c>
      <c r="D142" s="645"/>
      <c r="E142" s="645"/>
      <c r="F142" s="645"/>
      <c r="G142" s="645"/>
      <c r="H142" s="645"/>
      <c r="I142" s="645"/>
      <c r="J142" s="645"/>
      <c r="K142" s="645"/>
      <c r="L142" s="645"/>
      <c r="M142" s="645"/>
      <c r="N142" s="645"/>
      <c r="O142" s="645"/>
      <c r="P142" s="645"/>
      <c r="Q142" s="645"/>
      <c r="R142" s="645"/>
      <c r="S142" s="645"/>
      <c r="T142" s="645"/>
      <c r="U142" s="645"/>
      <c r="V142" s="645"/>
      <c r="W142" s="645"/>
      <c r="X142" s="645"/>
      <c r="Y142" s="645"/>
      <c r="Z142" s="645"/>
      <c r="AA142" s="645"/>
      <c r="AB142" s="645"/>
      <c r="AC142" s="645"/>
      <c r="AD142" s="645"/>
      <c r="AE142" s="645"/>
      <c r="AF142" s="645"/>
      <c r="AG142" s="645"/>
      <c r="AH142" s="645"/>
      <c r="AI142" s="645"/>
      <c r="AJ142" s="645"/>
      <c r="AK142" s="645"/>
      <c r="AL142" s="818"/>
      <c r="AM142" s="645"/>
      <c r="AN142" s="645"/>
      <c r="AO142" s="645"/>
      <c r="AP142" s="818"/>
      <c r="AQ142" s="819"/>
      <c r="AR142" s="818"/>
      <c r="AS142" s="818"/>
      <c r="AT142" s="818"/>
      <c r="AU142" s="820"/>
      <c r="AV142" s="822"/>
      <c r="AW142" s="822"/>
      <c r="AX142" s="822">
        <f>+AX139/AT139-1</f>
        <v>-1.7547492106216644E-2</v>
      </c>
      <c r="AY142" s="681"/>
      <c r="AZ142" s="822">
        <f>+AZ139/AV139-1</f>
        <v>4.6491969568893676E-3</v>
      </c>
      <c r="BA142" s="822">
        <f>+BA139/AW139-1</f>
        <v>-1.4501891551071844E-2</v>
      </c>
      <c r="BB142" s="822">
        <f>+BB139/AX139-1</f>
        <v>-4.952581664910416E-3</v>
      </c>
      <c r="BC142" s="681"/>
      <c r="BD142" s="822">
        <f>+BD139/AZ139-1</f>
        <v>-1.3883045856121212E-2</v>
      </c>
      <c r="BE142" s="822">
        <f>+BE139/BA139-1</f>
        <v>-1.1836212412028146E-2</v>
      </c>
      <c r="BF142" s="822">
        <f>+BF139/BB139-1</f>
        <v>-1.286667372656991E-2</v>
      </c>
      <c r="BG142" s="681"/>
      <c r="BH142" s="822">
        <f>+BH139/BD139-1</f>
        <v>-6.8366040955631369E-2</v>
      </c>
      <c r="BI142" s="822">
        <f>+BI139/BE139-1</f>
        <v>-1.8884212798100819E-2</v>
      </c>
      <c r="BJ142" s="822">
        <f>+BJ139/BF139-1</f>
        <v>-4.3769779541919185E-2</v>
      </c>
      <c r="BK142" s="681"/>
      <c r="BL142" s="822">
        <f>+BL139/BH139-1</f>
        <v>-6.4109902690325793E-3</v>
      </c>
      <c r="BM142" s="822">
        <f>+BM139/BI139-1</f>
        <v>5.3783545974483093E-2</v>
      </c>
      <c r="BN142" s="822">
        <f>+BN139/BJ139-1</f>
        <v>2.4288999831715952E-2</v>
      </c>
      <c r="BO142" s="681"/>
      <c r="BP142" s="822">
        <f>+BP139/BL139-1</f>
        <v>0.22133886392441515</v>
      </c>
      <c r="BQ142" s="822">
        <f>+BQ139/BM139-1</f>
        <v>7.8175555787496132E-2</v>
      </c>
      <c r="BR142" s="822">
        <f>+BR139/BN139-1</f>
        <v>0.14622124863088715</v>
      </c>
      <c r="BS142" s="681"/>
      <c r="BT142" s="822">
        <f>+BT139/BP139-1</f>
        <v>-2.1886792452830206E-2</v>
      </c>
      <c r="BU142" s="822">
        <f>+BU139/BQ139-1</f>
        <v>1.2778315585672884E-2</v>
      </c>
      <c r="BV142" s="822">
        <f>+BV139/BR139-1</f>
        <v>-4.7778308647873358E-3</v>
      </c>
      <c r="BW142" s="681"/>
      <c r="BX142" s="822">
        <f>+BX139/BT139-1</f>
        <v>6.0474537037036979E-2</v>
      </c>
      <c r="BY142" s="822">
        <f>+BY139/BU139-1</f>
        <v>6.9489581341999562E-2</v>
      </c>
      <c r="BZ142" s="822">
        <f>+BZ139/BV139-1</f>
        <v>6.5002400384061465E-2</v>
      </c>
      <c r="CA142" s="681"/>
      <c r="CB142" s="822">
        <f ca="1">+CB139/BX139-1</f>
        <v>2.6737985226012118E-2</v>
      </c>
      <c r="CC142" s="822">
        <f ca="1">+CC139/BY139-1</f>
        <v>1.6580190484069002E-2</v>
      </c>
      <c r="CD142" s="822">
        <f ca="1">+CD139/BZ139-1</f>
        <v>2.1614672686902647E-2</v>
      </c>
      <c r="CE142" s="681"/>
      <c r="CF142" s="822">
        <f ca="1">+CF139/CB139-1</f>
        <v>2.9890903612143083E-2</v>
      </c>
      <c r="CG142" s="822">
        <f ca="1">+CG139/CC139-1</f>
        <v>3.7266888073223647E-2</v>
      </c>
      <c r="CH142" s="822">
        <f ca="1">+CH139/CD139-1</f>
        <v>3.3592814252971337E-2</v>
      </c>
      <c r="CI142" s="681"/>
      <c r="CJ142" s="822">
        <f ca="1">+CJ139/CF139-1</f>
        <v>3.8981210775734576E-2</v>
      </c>
      <c r="CK142" s="822">
        <f ca="1">+CK139/CG139-1</f>
        <v>3.7843642093719376E-2</v>
      </c>
      <c r="CL142" s="822">
        <f ca="1">+CL139/CH139-1</f>
        <v>3.8408250386937848E-2</v>
      </c>
      <c r="CM142" s="445"/>
      <c r="CN142" s="445"/>
      <c r="CO142" s="459"/>
      <c r="CP142" s="459"/>
      <c r="CQ142" s="459"/>
      <c r="CR142" s="459"/>
      <c r="CS142" s="459"/>
      <c r="CT142" s="459"/>
      <c r="CU142" s="459"/>
      <c r="CV142" s="459"/>
      <c r="CW142" s="459"/>
      <c r="CX142" s="459"/>
      <c r="CY142" s="459"/>
      <c r="CZ142" s="459"/>
      <c r="DA142" s="444"/>
      <c r="DB142" s="444"/>
      <c r="DC142" s="444"/>
      <c r="DD142" s="444"/>
      <c r="DE142" s="444"/>
      <c r="DF142" s="444"/>
      <c r="DG142" s="444"/>
      <c r="DH142" s="444"/>
      <c r="DI142" s="444"/>
      <c r="DJ142" s="444"/>
      <c r="DK142" s="444"/>
      <c r="DL142" s="444"/>
      <c r="DM142" s="444"/>
      <c r="DN142" s="444"/>
      <c r="DO142" s="444"/>
      <c r="DP142" s="444"/>
      <c r="DQ142" s="444"/>
      <c r="DR142" s="444"/>
      <c r="DS142" s="444"/>
      <c r="DT142" s="444"/>
      <c r="DU142" s="444"/>
      <c r="DV142" s="444"/>
      <c r="DW142" s="444"/>
      <c r="DX142" s="444"/>
      <c r="DY142" s="444"/>
      <c r="DZ142" s="444"/>
      <c r="EA142" s="444"/>
      <c r="EB142" s="444"/>
      <c r="EC142" s="444"/>
      <c r="ED142" s="444"/>
      <c r="EE142" s="444"/>
      <c r="EF142" s="444"/>
      <c r="EG142" s="444"/>
      <c r="EH142" s="444"/>
      <c r="EI142" s="444"/>
      <c r="EJ142" s="444"/>
      <c r="EK142" s="444"/>
      <c r="EL142" s="444"/>
      <c r="EM142" s="444"/>
      <c r="EN142" s="444"/>
      <c r="EO142" s="444"/>
      <c r="EP142" s="444"/>
      <c r="EQ142" s="444"/>
      <c r="ER142" s="444"/>
      <c r="ES142" s="444"/>
      <c r="ET142" s="444"/>
      <c r="EU142" s="444"/>
      <c r="EV142" s="444"/>
      <c r="EW142" s="444"/>
      <c r="EX142" s="444"/>
      <c r="EY142" s="444"/>
      <c r="EZ142" s="444"/>
      <c r="FA142" s="444"/>
      <c r="FB142" s="444"/>
      <c r="FC142" s="444"/>
      <c r="FD142" s="444"/>
      <c r="FE142" s="444"/>
      <c r="FF142" s="444"/>
      <c r="FG142" s="444"/>
      <c r="FH142" s="444"/>
      <c r="FI142" s="444"/>
      <c r="FJ142" s="444"/>
      <c r="FK142" s="444"/>
      <c r="FL142" s="444"/>
      <c r="FM142" s="444"/>
      <c r="FN142" s="444"/>
      <c r="FO142" s="444"/>
      <c r="FP142" s="444"/>
      <c r="FQ142" s="444"/>
      <c r="FR142" s="444"/>
      <c r="FS142" s="444"/>
      <c r="FT142" s="444"/>
      <c r="FU142" s="444"/>
      <c r="FV142" s="444"/>
      <c r="FW142" s="444"/>
    </row>
    <row r="143" spans="1:179" ht="13.8">
      <c r="A143" s="444"/>
      <c r="B143" s="445"/>
      <c r="C143" s="585"/>
      <c r="D143" s="585"/>
      <c r="E143" s="585"/>
      <c r="F143" s="585"/>
      <c r="G143" s="585"/>
      <c r="H143" s="585"/>
      <c r="I143" s="585"/>
      <c r="J143" s="585"/>
      <c r="K143" s="585"/>
      <c r="L143" s="585"/>
      <c r="M143" s="585"/>
      <c r="N143" s="585"/>
      <c r="O143" s="585"/>
      <c r="P143" s="585"/>
      <c r="Q143" s="585"/>
      <c r="R143" s="585"/>
      <c r="S143" s="585"/>
      <c r="T143" s="585"/>
      <c r="U143" s="585"/>
      <c r="V143" s="585"/>
      <c r="W143" s="585"/>
      <c r="X143" s="585"/>
      <c r="Y143" s="585"/>
      <c r="Z143" s="585"/>
      <c r="AA143" s="585"/>
      <c r="AB143" s="585"/>
      <c r="AC143" s="585"/>
      <c r="AD143" s="585"/>
      <c r="AE143" s="585"/>
      <c r="AF143" s="585"/>
      <c r="AG143" s="585"/>
      <c r="AH143" s="585"/>
      <c r="AI143" s="585"/>
      <c r="AJ143" s="585"/>
      <c r="AK143" s="585"/>
      <c r="AL143" s="481"/>
      <c r="AM143" s="585"/>
      <c r="AN143" s="585"/>
      <c r="AO143" s="585"/>
      <c r="AP143" s="481"/>
      <c r="AQ143" s="586"/>
      <c r="AR143" s="481"/>
      <c r="AS143" s="481"/>
      <c r="AT143" s="481"/>
      <c r="AU143" s="750"/>
      <c r="AV143" s="816"/>
      <c r="AW143" s="816"/>
      <c r="AX143" s="816"/>
      <c r="AY143" s="444"/>
      <c r="AZ143" s="816">
        <f>AZ139/AW139-1</f>
        <v>-8.4068936527947891E-4</v>
      </c>
      <c r="BA143" s="816"/>
      <c r="BB143" s="816"/>
      <c r="BC143" s="444"/>
      <c r="BD143" s="816">
        <f>BD139/BA139-1</f>
        <v>-2.1326508850505466E-4</v>
      </c>
      <c r="BE143" s="816"/>
      <c r="BF143" s="816"/>
      <c r="BG143" s="444"/>
      <c r="BH143" s="816">
        <f>BH139/BE139-1</f>
        <v>-5.7408006906226383E-2</v>
      </c>
      <c r="BI143" s="816"/>
      <c r="BJ143" s="816"/>
      <c r="BK143" s="444"/>
      <c r="BL143" s="816">
        <f>BL139/BI139-1</f>
        <v>-4.5424549054113528E-2</v>
      </c>
      <c r="BM143" s="816"/>
      <c r="BN143" s="816"/>
      <c r="BO143" s="444"/>
      <c r="BP143" s="816">
        <f>BP139/BM139-1</f>
        <v>0.10635633023692725</v>
      </c>
      <c r="BQ143" s="816"/>
      <c r="BR143" s="816"/>
      <c r="BS143" s="444"/>
      <c r="BT143" s="816">
        <f>BT139/BQ139-1</f>
        <v>3.6786060019360356E-3</v>
      </c>
      <c r="BU143" s="816"/>
      <c r="BV143" s="816"/>
      <c r="BW143" s="444"/>
      <c r="BX143" s="816">
        <f>BX139/BU139-1</f>
        <v>5.0946281781686142E-2</v>
      </c>
      <c r="BY143" s="816"/>
      <c r="BZ143" s="816"/>
      <c r="CA143" s="444"/>
      <c r="CB143" s="816">
        <f ca="1">CB139/BY139-1</f>
        <v>8.9359323943161151E-3</v>
      </c>
      <c r="CC143" s="816"/>
      <c r="CD143" s="816"/>
      <c r="CE143" s="444"/>
      <c r="CF143" s="816">
        <f ca="1">CF139/CC139-1</f>
        <v>2.2146554523704509E-2</v>
      </c>
      <c r="CG143" s="816"/>
      <c r="CH143" s="816"/>
      <c r="CI143" s="444"/>
      <c r="CJ143" s="816">
        <f ca="1">CJ139/CG139-1</f>
        <v>2.3835887388622634E-2</v>
      </c>
      <c r="CK143" s="816"/>
      <c r="CL143" s="816"/>
      <c r="CM143" s="445"/>
      <c r="CN143" s="445"/>
      <c r="CO143" s="459"/>
      <c r="CP143" s="459"/>
      <c r="CQ143" s="459"/>
      <c r="CR143" s="459"/>
      <c r="CS143" s="459"/>
      <c r="CT143" s="459"/>
      <c r="CU143" s="459"/>
      <c r="CV143" s="459"/>
      <c r="CW143" s="459"/>
      <c r="CX143" s="459"/>
      <c r="CY143" s="459"/>
      <c r="CZ143" s="459"/>
      <c r="DA143" s="444"/>
      <c r="DB143" s="444"/>
      <c r="DC143" s="444"/>
      <c r="DD143" s="444"/>
      <c r="DE143" s="444"/>
      <c r="DF143" s="444"/>
      <c r="DG143" s="444"/>
      <c r="DH143" s="444"/>
      <c r="DI143" s="444"/>
      <c r="DJ143" s="444"/>
      <c r="DK143" s="444"/>
      <c r="DL143" s="444"/>
      <c r="DM143" s="444"/>
      <c r="DN143" s="444"/>
      <c r="DO143" s="444"/>
      <c r="DP143" s="444"/>
      <c r="DQ143" s="444"/>
      <c r="DR143" s="444"/>
      <c r="DS143" s="444"/>
      <c r="DT143" s="444"/>
      <c r="DU143" s="444"/>
      <c r="DV143" s="444"/>
      <c r="DW143" s="444"/>
      <c r="DX143" s="444"/>
      <c r="DY143" s="444"/>
      <c r="DZ143" s="444"/>
      <c r="EA143" s="444"/>
      <c r="EB143" s="444"/>
      <c r="EC143" s="444"/>
      <c r="ED143" s="444"/>
      <c r="EE143" s="444"/>
      <c r="EF143" s="444"/>
      <c r="EG143" s="444"/>
      <c r="EH143" s="444"/>
      <c r="EI143" s="444"/>
      <c r="EJ143" s="444"/>
      <c r="EK143" s="444"/>
      <c r="EL143" s="444"/>
      <c r="EM143" s="444"/>
      <c r="EN143" s="444"/>
      <c r="EO143" s="444"/>
      <c r="EP143" s="444"/>
      <c r="EQ143" s="444"/>
      <c r="ER143" s="444"/>
      <c r="ES143" s="444"/>
      <c r="ET143" s="444"/>
      <c r="EU143" s="444"/>
      <c r="EV143" s="444"/>
      <c r="EW143" s="444"/>
      <c r="EX143" s="444"/>
      <c r="EY143" s="444"/>
      <c r="EZ143" s="444"/>
      <c r="FA143" s="444"/>
      <c r="FB143" s="444"/>
      <c r="FC143" s="444"/>
      <c r="FD143" s="444"/>
      <c r="FE143" s="444"/>
      <c r="FF143" s="444"/>
      <c r="FG143" s="444"/>
      <c r="FH143" s="444"/>
      <c r="FI143" s="444"/>
      <c r="FJ143" s="444"/>
      <c r="FK143" s="444"/>
      <c r="FL143" s="445"/>
      <c r="FM143" s="445"/>
      <c r="FN143" s="445"/>
      <c r="FO143" s="445"/>
      <c r="FP143" s="445"/>
      <c r="FQ143" s="445"/>
      <c r="FR143" s="445"/>
      <c r="FS143" s="445"/>
      <c r="FT143" s="445"/>
      <c r="FU143" s="445"/>
      <c r="FV143" s="445"/>
      <c r="FW143" s="445"/>
    </row>
    <row r="144" spans="1:179" ht="13.8">
      <c r="A144" s="444"/>
      <c r="B144" s="445"/>
      <c r="C144" s="444"/>
      <c r="D144" s="444"/>
      <c r="E144" s="444"/>
      <c r="F144" s="444"/>
      <c r="G144" s="444"/>
      <c r="H144" s="444"/>
      <c r="I144" s="444"/>
      <c r="J144" s="444"/>
      <c r="K144" s="444"/>
      <c r="L144" s="444"/>
      <c r="M144" s="444"/>
      <c r="N144" s="444"/>
      <c r="O144" s="444"/>
      <c r="P144" s="444"/>
      <c r="Q144" s="444"/>
      <c r="R144" s="444"/>
      <c r="S144" s="444"/>
      <c r="T144" s="444"/>
      <c r="U144" s="444"/>
      <c r="V144" s="444"/>
      <c r="W144" s="444"/>
      <c r="X144" s="444"/>
      <c r="Y144" s="444"/>
      <c r="Z144" s="444"/>
      <c r="AA144" s="444"/>
      <c r="AB144" s="444"/>
      <c r="AC144" s="444"/>
      <c r="AD144" s="444"/>
      <c r="AE144" s="444"/>
      <c r="AF144" s="444"/>
      <c r="AG144" s="444"/>
      <c r="AH144" s="444"/>
      <c r="AI144" s="444"/>
      <c r="AJ144" s="444"/>
      <c r="AK144" s="444"/>
      <c r="AL144" s="466"/>
      <c r="AM144" s="587"/>
      <c r="AN144" s="587"/>
      <c r="AO144" s="587"/>
      <c r="AP144" s="466"/>
      <c r="AQ144" s="587"/>
      <c r="AR144" s="587"/>
      <c r="AS144" s="587"/>
      <c r="AT144" s="466"/>
      <c r="AU144" s="444"/>
      <c r="AV144" s="444"/>
      <c r="AW144" s="444"/>
      <c r="AX144" s="444"/>
      <c r="AY144" s="444"/>
      <c r="AZ144" s="444"/>
      <c r="BA144" s="444"/>
      <c r="BB144" s="444"/>
      <c r="BC144" s="444"/>
      <c r="BD144" s="444"/>
      <c r="BE144" s="444"/>
      <c r="BF144" s="444"/>
      <c r="BG144" s="444"/>
      <c r="BH144" s="444"/>
      <c r="BI144" s="444"/>
      <c r="BJ144" s="444"/>
      <c r="BK144" s="444"/>
      <c r="BL144" s="444"/>
      <c r="BM144" s="444"/>
      <c r="BN144" s="444"/>
      <c r="BO144" s="444"/>
      <c r="BP144" s="444"/>
      <c r="BQ144" s="444"/>
      <c r="BR144" s="444"/>
      <c r="BS144" s="444"/>
      <c r="BT144" s="444"/>
      <c r="BU144" s="444"/>
      <c r="BV144" s="444"/>
      <c r="BW144" s="444"/>
      <c r="BX144" s="444"/>
      <c r="BY144" s="444"/>
      <c r="BZ144" s="444"/>
      <c r="CA144" s="444"/>
      <c r="CB144" s="444"/>
      <c r="CC144" s="444"/>
      <c r="CD144" s="444"/>
      <c r="CE144" s="444"/>
      <c r="CF144" s="444"/>
      <c r="CG144" s="444"/>
      <c r="CH144" s="444"/>
      <c r="CI144" s="444"/>
      <c r="CJ144" s="444"/>
      <c r="CK144" s="444"/>
      <c r="CL144" s="444"/>
      <c r="CM144" s="445"/>
      <c r="CN144" s="445"/>
      <c r="CO144" s="459"/>
      <c r="CP144" s="459"/>
      <c r="CQ144" s="459"/>
      <c r="CR144" s="459"/>
      <c r="CS144" s="459"/>
      <c r="CT144" s="459"/>
      <c r="CU144" s="459"/>
      <c r="CV144" s="459"/>
      <c r="CW144" s="459"/>
      <c r="CX144" s="459"/>
      <c r="CY144" s="459"/>
      <c r="CZ144" s="459"/>
      <c r="DA144" s="444"/>
      <c r="DB144" s="444"/>
      <c r="DC144" s="444"/>
      <c r="DD144" s="444"/>
      <c r="DE144" s="444"/>
      <c r="DF144" s="444"/>
      <c r="DG144" s="444"/>
      <c r="DH144" s="444"/>
      <c r="DI144" s="444"/>
      <c r="DJ144" s="444"/>
      <c r="DK144" s="444"/>
      <c r="DL144" s="444"/>
      <c r="DM144" s="444"/>
      <c r="DN144" s="444"/>
      <c r="DO144" s="444"/>
      <c r="DP144" s="444"/>
      <c r="DQ144" s="444"/>
      <c r="DR144" s="444"/>
      <c r="DS144" s="444"/>
      <c r="DT144" s="444"/>
      <c r="DU144" s="444"/>
      <c r="DV144" s="444"/>
      <c r="DW144" s="444"/>
      <c r="DX144" s="444"/>
      <c r="DY144" s="444"/>
      <c r="DZ144" s="444"/>
      <c r="EA144" s="444"/>
      <c r="EB144" s="444"/>
      <c r="EC144" s="444"/>
      <c r="ED144" s="444"/>
      <c r="EE144" s="444"/>
      <c r="EF144" s="444"/>
      <c r="EG144" s="444"/>
      <c r="EH144" s="444"/>
      <c r="EI144" s="444"/>
      <c r="EJ144" s="444"/>
      <c r="EK144" s="444"/>
      <c r="EL144" s="444"/>
      <c r="EM144" s="444"/>
      <c r="EN144" s="444"/>
      <c r="EO144" s="444"/>
      <c r="EP144" s="444"/>
      <c r="EQ144" s="444"/>
      <c r="ER144" s="444"/>
      <c r="ES144" s="444"/>
      <c r="ET144" s="444"/>
      <c r="EU144" s="444"/>
      <c r="EV144" s="444"/>
      <c r="EW144" s="444"/>
      <c r="EX144" s="444"/>
      <c r="EY144" s="444"/>
      <c r="EZ144" s="444"/>
      <c r="FA144" s="444"/>
      <c r="FB144" s="444"/>
      <c r="FC144" s="444"/>
      <c r="FD144" s="444"/>
      <c r="FE144" s="444"/>
      <c r="FF144" s="444"/>
      <c r="FG144" s="444"/>
      <c r="FH144" s="444"/>
      <c r="FI144" s="444"/>
      <c r="FJ144" s="444"/>
      <c r="FK144" s="444"/>
      <c r="FL144" s="445"/>
      <c r="FM144" s="445"/>
      <c r="FN144" s="445"/>
      <c r="FO144" s="445"/>
      <c r="FP144" s="445"/>
      <c r="FQ144" s="445"/>
      <c r="FR144" s="445"/>
      <c r="FS144" s="445"/>
      <c r="FT144" s="445"/>
      <c r="FU144" s="445"/>
      <c r="FV144" s="445"/>
      <c r="FW144" s="445"/>
    </row>
    <row r="145" spans="1:179" ht="13.8">
      <c r="A145" s="444"/>
      <c r="B145" s="445"/>
      <c r="C145" s="444"/>
      <c r="D145" s="444"/>
      <c r="E145" s="444"/>
      <c r="F145" s="444"/>
      <c r="G145" s="444"/>
      <c r="H145" s="444"/>
      <c r="I145" s="444"/>
      <c r="J145" s="444"/>
      <c r="K145" s="444"/>
      <c r="L145" s="444"/>
      <c r="M145" s="444"/>
      <c r="N145" s="444"/>
      <c r="O145" s="444"/>
      <c r="P145" s="444"/>
      <c r="Q145" s="444"/>
      <c r="R145" s="444"/>
      <c r="S145" s="444"/>
      <c r="T145" s="444"/>
      <c r="U145" s="444"/>
      <c r="V145" s="444"/>
      <c r="W145" s="444"/>
      <c r="X145" s="444"/>
      <c r="Y145" s="444"/>
      <c r="Z145" s="444"/>
      <c r="AA145" s="444"/>
      <c r="AB145" s="444"/>
      <c r="AC145" s="444"/>
      <c r="AD145" s="444"/>
      <c r="AE145" s="444"/>
      <c r="AF145" s="444"/>
      <c r="AG145" s="444"/>
      <c r="AH145" s="444"/>
      <c r="AI145" s="444"/>
      <c r="AJ145" s="444"/>
      <c r="AK145" s="444"/>
      <c r="AL145" s="444"/>
      <c r="AM145" s="444"/>
      <c r="AN145" s="444"/>
      <c r="AO145" s="444"/>
      <c r="AP145" s="444"/>
      <c r="AQ145" s="504"/>
      <c r="AR145" s="504"/>
      <c r="AS145" s="504"/>
      <c r="AT145" s="504"/>
      <c r="AU145" s="723"/>
      <c r="AV145" s="504"/>
      <c r="AW145" s="504"/>
      <c r="AX145" s="504"/>
      <c r="AY145" s="723"/>
      <c r="AZ145" s="504"/>
      <c r="BA145" s="504"/>
      <c r="BB145" s="504"/>
      <c r="BC145" s="504"/>
      <c r="BD145" s="504"/>
      <c r="BE145" s="504"/>
      <c r="BF145" s="504"/>
      <c r="BG145" s="504"/>
      <c r="BH145" s="504"/>
      <c r="BI145" s="504"/>
      <c r="BJ145" s="504"/>
      <c r="BK145" s="504"/>
      <c r="BL145" s="504"/>
      <c r="BM145" s="504"/>
      <c r="BN145" s="504"/>
      <c r="BO145" s="504"/>
      <c r="BP145" s="504"/>
      <c r="BQ145" s="504"/>
      <c r="BR145" s="504"/>
      <c r="BS145" s="504"/>
      <c r="BT145" s="504"/>
      <c r="BU145" s="504"/>
      <c r="BV145" s="504"/>
      <c r="BW145" s="504"/>
      <c r="BX145" s="504"/>
      <c r="BY145" s="504"/>
      <c r="BZ145" s="504"/>
      <c r="CA145" s="504"/>
      <c r="CB145" s="504"/>
      <c r="CC145" s="504"/>
      <c r="CD145" s="504"/>
      <c r="CE145" s="504"/>
      <c r="CF145" s="504"/>
      <c r="CG145" s="504"/>
      <c r="CH145" s="504"/>
      <c r="CI145" s="504"/>
      <c r="CJ145" s="504"/>
      <c r="CK145" s="504"/>
      <c r="CL145" s="504"/>
      <c r="CM145" s="444"/>
      <c r="CN145" s="444"/>
      <c r="CO145" s="459"/>
      <c r="CP145" s="459"/>
      <c r="CQ145" s="459"/>
      <c r="CR145" s="459"/>
      <c r="CS145" s="459"/>
      <c r="CT145" s="459"/>
      <c r="CU145" s="459"/>
      <c r="CV145" s="459"/>
      <c r="CW145" s="459"/>
      <c r="CX145" s="459"/>
      <c r="CY145" s="459"/>
      <c r="CZ145" s="459"/>
      <c r="DA145" s="444"/>
      <c r="DB145" s="444"/>
      <c r="DC145" s="444"/>
      <c r="DD145" s="444"/>
      <c r="DE145" s="444"/>
      <c r="DF145" s="444"/>
      <c r="DG145" s="444"/>
      <c r="DH145" s="444"/>
      <c r="DI145" s="444"/>
      <c r="DJ145" s="444"/>
      <c r="DK145" s="444"/>
      <c r="DL145" s="444"/>
      <c r="DM145" s="444"/>
      <c r="DN145" s="444"/>
      <c r="DO145" s="444"/>
      <c r="DP145" s="444"/>
      <c r="DQ145" s="444"/>
      <c r="DR145" s="444"/>
      <c r="DS145" s="444"/>
      <c r="DT145" s="444"/>
      <c r="DU145" s="444"/>
      <c r="DV145" s="444"/>
      <c r="DW145" s="444"/>
      <c r="DX145" s="444"/>
      <c r="DY145" s="444"/>
      <c r="DZ145" s="444"/>
      <c r="EA145" s="444"/>
      <c r="EB145" s="444"/>
      <c r="EC145" s="444"/>
      <c r="ED145" s="444"/>
      <c r="EE145" s="444"/>
      <c r="EF145" s="444"/>
      <c r="EG145" s="444"/>
      <c r="EH145" s="444"/>
      <c r="EI145" s="444"/>
      <c r="EJ145" s="444"/>
      <c r="EK145" s="444"/>
      <c r="EL145" s="444"/>
      <c r="EM145" s="444"/>
      <c r="EN145" s="444"/>
      <c r="EO145" s="444"/>
      <c r="EP145" s="444"/>
      <c r="EQ145" s="444"/>
      <c r="ER145" s="444"/>
      <c r="ES145" s="444"/>
      <c r="ET145" s="444"/>
      <c r="EU145" s="444"/>
      <c r="EV145" s="444"/>
      <c r="EW145" s="444"/>
      <c r="EX145" s="444"/>
      <c r="EY145" s="444"/>
      <c r="EZ145" s="444"/>
      <c r="FA145" s="444"/>
      <c r="FB145" s="444"/>
      <c r="FC145" s="444"/>
      <c r="FD145" s="444"/>
      <c r="FE145" s="444"/>
      <c r="FF145" s="444"/>
      <c r="FG145" s="444"/>
      <c r="FH145" s="444"/>
      <c r="FI145" s="444"/>
      <c r="FJ145" s="444"/>
      <c r="FK145" s="444"/>
      <c r="FL145" s="445"/>
      <c r="FM145" s="445"/>
      <c r="FN145" s="445"/>
      <c r="FO145" s="445"/>
      <c r="FP145" s="445"/>
      <c r="FQ145" s="445"/>
      <c r="FR145" s="445"/>
      <c r="FS145" s="445"/>
      <c r="FT145" s="445"/>
      <c r="FU145" s="445"/>
      <c r="FV145" s="445"/>
      <c r="FW145" s="445"/>
    </row>
    <row r="146" spans="1:179" ht="13.8">
      <c r="A146" s="444"/>
      <c r="B146" s="445"/>
      <c r="C146" s="584" t="s">
        <v>238</v>
      </c>
      <c r="D146" s="444"/>
      <c r="E146" s="444"/>
      <c r="F146" s="444"/>
      <c r="G146" s="444"/>
      <c r="H146" s="444"/>
      <c r="I146" s="444"/>
      <c r="J146" s="444"/>
      <c r="K146" s="444"/>
      <c r="L146" s="444"/>
      <c r="M146" s="444"/>
      <c r="N146" s="444"/>
      <c r="O146" s="444"/>
      <c r="P146" s="444"/>
      <c r="Q146" s="444"/>
      <c r="R146" s="444"/>
      <c r="S146" s="444"/>
      <c r="T146" s="444"/>
      <c r="U146" s="444"/>
      <c r="V146" s="444"/>
      <c r="W146" s="444"/>
      <c r="X146" s="444"/>
      <c r="Y146" s="444"/>
      <c r="Z146" s="444"/>
      <c r="AA146" s="444"/>
      <c r="AB146" s="504">
        <f>AB18</f>
        <v>-4044</v>
      </c>
      <c r="AC146" s="504">
        <f>AC18</f>
        <v>-4213</v>
      </c>
      <c r="AD146" s="504">
        <f>AD18</f>
        <v>-8257</v>
      </c>
      <c r="AE146" s="444"/>
      <c r="AF146" s="504">
        <f>AF18</f>
        <v>-4286</v>
      </c>
      <c r="AG146" s="504">
        <f>AG18</f>
        <v>-4474</v>
      </c>
      <c r="AH146" s="504">
        <f>AH18</f>
        <v>-8760</v>
      </c>
      <c r="AI146" s="444"/>
      <c r="AJ146" s="504">
        <f>AJ18</f>
        <v>-4603</v>
      </c>
      <c r="AK146" s="504">
        <f>AK18</f>
        <v>-4775</v>
      </c>
      <c r="AL146" s="504">
        <f>AL18</f>
        <v>-9378</v>
      </c>
      <c r="AM146" s="444"/>
      <c r="AN146" s="504">
        <f>AN18</f>
        <v>-5488</v>
      </c>
      <c r="AO146" s="504">
        <f>AO18</f>
        <v>-4951</v>
      </c>
      <c r="AP146" s="504">
        <f>AP18</f>
        <v>-10439</v>
      </c>
      <c r="AQ146" s="504"/>
      <c r="AR146" s="504">
        <f>AR18</f>
        <v>-4487</v>
      </c>
      <c r="AS146" s="504">
        <f>AS18</f>
        <v>-4480</v>
      </c>
      <c r="AT146" s="504">
        <f>AT18</f>
        <v>-8967</v>
      </c>
      <c r="AU146" s="723"/>
      <c r="AV146" s="504">
        <f>AV18</f>
        <v>-4473</v>
      </c>
      <c r="AW146" s="504">
        <f>AW18</f>
        <v>-4928</v>
      </c>
      <c r="AX146" s="504">
        <f>AX18</f>
        <v>-9401</v>
      </c>
      <c r="AY146" s="723"/>
      <c r="AZ146" s="504">
        <f>AZ18</f>
        <v>-4365</v>
      </c>
      <c r="BA146" s="504">
        <f>BA18</f>
        <v>-4706</v>
      </c>
      <c r="BB146" s="504">
        <f>BB18</f>
        <v>-9071</v>
      </c>
      <c r="BC146" s="504"/>
      <c r="BD146" s="504">
        <f>BD18</f>
        <v>-4605</v>
      </c>
      <c r="BE146" s="504">
        <f>BE18</f>
        <v>-4778</v>
      </c>
      <c r="BF146" s="504">
        <f>BF18</f>
        <v>-9383</v>
      </c>
      <c r="BG146" s="504"/>
      <c r="BH146" s="504">
        <f>BH18</f>
        <v>-4482</v>
      </c>
      <c r="BI146" s="504">
        <f>BI18</f>
        <v>-4569</v>
      </c>
      <c r="BJ146" s="504">
        <f>BJ18</f>
        <v>-9051</v>
      </c>
      <c r="BK146" s="504"/>
      <c r="BL146" s="504">
        <f>BL18</f>
        <v>-4791</v>
      </c>
      <c r="BM146" s="504">
        <f>BM18</f>
        <v>-4788</v>
      </c>
      <c r="BN146" s="504">
        <f>BN18</f>
        <v>-9579</v>
      </c>
      <c r="BO146" s="504"/>
      <c r="BP146" s="504">
        <f>BP18</f>
        <v>-4997</v>
      </c>
      <c r="BQ146" s="504">
        <f>BQ18</f>
        <v>-5142</v>
      </c>
      <c r="BR146" s="504">
        <f>BR18</f>
        <v>-10139</v>
      </c>
      <c r="BS146" s="504"/>
      <c r="BT146" s="504">
        <f>BT18</f>
        <v>-5215</v>
      </c>
      <c r="BU146" s="504">
        <f>BU18</f>
        <v>-5526</v>
      </c>
      <c r="BV146" s="504">
        <f>BV18</f>
        <v>-10741</v>
      </c>
      <c r="BW146" s="504"/>
      <c r="BX146" s="504">
        <f>BX18</f>
        <v>-5742</v>
      </c>
      <c r="BY146" s="504">
        <f>BY18</f>
        <v>-7138</v>
      </c>
      <c r="BZ146" s="504">
        <f>BZ18</f>
        <v>-12880</v>
      </c>
      <c r="CA146" s="504"/>
      <c r="CB146" s="504">
        <f>CB18</f>
        <v>-5800.8062475343522</v>
      </c>
      <c r="CC146" s="504">
        <f>CC18</f>
        <v>-5574.622973129075</v>
      </c>
      <c r="CD146" s="504">
        <f>CD18</f>
        <v>-11375.429220663427</v>
      </c>
      <c r="CE146" s="504"/>
      <c r="CF146" s="504">
        <f>CF18</f>
        <v>-5558.5700572482638</v>
      </c>
      <c r="CG146" s="504">
        <f>CG18</f>
        <v>-5699.0026403776892</v>
      </c>
      <c r="CH146" s="504">
        <f>CH18</f>
        <v>-11257.572697625954</v>
      </c>
      <c r="CI146" s="504"/>
      <c r="CJ146" s="504">
        <f>CJ18</f>
        <v>-5690.9196519848028</v>
      </c>
      <c r="CK146" s="504">
        <f>CK18</f>
        <v>-5623.3690907090013</v>
      </c>
      <c r="CL146" s="504">
        <f>CL18</f>
        <v>-11314.288742693803</v>
      </c>
      <c r="CM146" s="444"/>
      <c r="CN146" s="444"/>
      <c r="CO146" s="459"/>
      <c r="CP146" s="459"/>
      <c r="CQ146" s="459"/>
      <c r="CR146" s="459"/>
      <c r="CS146" s="459"/>
      <c r="CT146" s="459"/>
      <c r="CU146" s="459"/>
      <c r="CV146" s="459"/>
      <c r="CW146" s="459"/>
      <c r="CX146" s="459"/>
      <c r="CY146" s="459"/>
      <c r="CZ146" s="459"/>
      <c r="DA146" s="444"/>
      <c r="DB146" s="444"/>
      <c r="DC146" s="444"/>
      <c r="DD146" s="444"/>
      <c r="DE146" s="444"/>
      <c r="DF146" s="444"/>
      <c r="DG146" s="444"/>
      <c r="DH146" s="444"/>
      <c r="DI146" s="444"/>
      <c r="DJ146" s="444"/>
      <c r="DK146" s="444"/>
      <c r="DL146" s="444"/>
      <c r="DM146" s="444"/>
      <c r="DN146" s="444"/>
      <c r="DO146" s="444"/>
      <c r="DP146" s="444"/>
      <c r="DQ146" s="444"/>
      <c r="DR146" s="444"/>
      <c r="DS146" s="444"/>
      <c r="DT146" s="444"/>
      <c r="DU146" s="444"/>
      <c r="DV146" s="444"/>
      <c r="DW146" s="444"/>
      <c r="DX146" s="444"/>
      <c r="DY146" s="444"/>
      <c r="DZ146" s="444"/>
      <c r="EA146" s="444"/>
      <c r="EB146" s="444"/>
      <c r="EC146" s="444"/>
      <c r="ED146" s="444"/>
      <c r="EE146" s="444"/>
      <c r="EF146" s="444"/>
      <c r="EG146" s="444"/>
      <c r="EH146" s="444"/>
      <c r="EI146" s="444"/>
      <c r="EJ146" s="444"/>
      <c r="EK146" s="444"/>
      <c r="EL146" s="444"/>
      <c r="EM146" s="444"/>
      <c r="EN146" s="444"/>
      <c r="EO146" s="444"/>
      <c r="EP146" s="444"/>
      <c r="EQ146" s="444"/>
      <c r="ER146" s="444"/>
      <c r="ES146" s="444"/>
      <c r="ET146" s="444"/>
      <c r="EU146" s="444"/>
      <c r="EV146" s="444"/>
      <c r="EW146" s="444"/>
      <c r="EX146" s="444"/>
      <c r="EY146" s="444"/>
      <c r="EZ146" s="444"/>
      <c r="FA146" s="444"/>
      <c r="FB146" s="444"/>
      <c r="FC146" s="444"/>
      <c r="FD146" s="444"/>
      <c r="FE146" s="444"/>
      <c r="FF146" s="444"/>
      <c r="FG146" s="444"/>
      <c r="FH146" s="444"/>
      <c r="FI146" s="444"/>
      <c r="FJ146" s="444"/>
      <c r="FK146" s="444"/>
      <c r="FL146" s="445"/>
      <c r="FM146" s="445"/>
      <c r="FN146" s="445"/>
      <c r="FO146" s="445"/>
      <c r="FP146" s="445"/>
      <c r="FQ146" s="445"/>
      <c r="FR146" s="445"/>
      <c r="FS146" s="445"/>
      <c r="FT146" s="445"/>
      <c r="FU146" s="445"/>
      <c r="FV146" s="445"/>
      <c r="FW146" s="445"/>
    </row>
    <row r="147" spans="1:179" ht="13.8">
      <c r="A147" s="444"/>
      <c r="B147" s="444"/>
      <c r="C147" s="444" t="s">
        <v>879</v>
      </c>
      <c r="D147" s="585"/>
      <c r="E147" s="585"/>
      <c r="F147" s="585"/>
      <c r="G147" s="585"/>
      <c r="H147" s="585"/>
      <c r="I147" s="585"/>
      <c r="J147" s="585"/>
      <c r="K147" s="585"/>
      <c r="L147" s="585"/>
      <c r="M147" s="585"/>
      <c r="N147" s="585"/>
      <c r="O147" s="585"/>
      <c r="P147" s="585"/>
      <c r="Q147" s="585"/>
      <c r="R147" s="585"/>
      <c r="S147" s="585"/>
      <c r="T147" s="585"/>
      <c r="U147" s="585"/>
      <c r="V147" s="585"/>
      <c r="W147" s="585"/>
      <c r="X147" s="585"/>
      <c r="Y147" s="585"/>
      <c r="Z147" s="585"/>
      <c r="AA147" s="585"/>
      <c r="AB147" s="817">
        <v>0</v>
      </c>
      <c r="AC147" s="817">
        <v>0</v>
      </c>
      <c r="AD147" s="758">
        <f>+AC147+AB147</f>
        <v>0</v>
      </c>
      <c r="AE147" s="585"/>
      <c r="AF147" s="817">
        <v>0</v>
      </c>
      <c r="AG147" s="817">
        <v>0</v>
      </c>
      <c r="AH147" s="758">
        <f>+AG147+AF147</f>
        <v>0</v>
      </c>
      <c r="AI147" s="585"/>
      <c r="AJ147" s="817">
        <v>0</v>
      </c>
      <c r="AK147" s="817">
        <v>0</v>
      </c>
      <c r="AL147" s="758">
        <f>+AK147+AJ147</f>
        <v>0</v>
      </c>
      <c r="AM147" s="585"/>
      <c r="AN147" s="817">
        <v>0</v>
      </c>
      <c r="AO147" s="817">
        <v>0</v>
      </c>
      <c r="AP147" s="758">
        <f>+AO147+AN147</f>
        <v>0</v>
      </c>
      <c r="AQ147" s="754"/>
      <c r="AR147" s="817">
        <v>0</v>
      </c>
      <c r="AS147" s="817">
        <v>0</v>
      </c>
      <c r="AT147" s="758">
        <f>+AS147+AR147</f>
        <v>0</v>
      </c>
      <c r="AU147" s="754"/>
      <c r="AV147" s="817">
        <v>0</v>
      </c>
      <c r="AW147" s="817">
        <v>-10</v>
      </c>
      <c r="AX147" s="758">
        <f>+AW147+AV147</f>
        <v>-10</v>
      </c>
      <c r="AY147" s="860"/>
      <c r="AZ147" s="817">
        <v>0</v>
      </c>
      <c r="BA147" s="817">
        <v>0</v>
      </c>
      <c r="BB147" s="758">
        <f>+BA147+AZ147</f>
        <v>0</v>
      </c>
      <c r="BC147" s="586"/>
      <c r="BD147" s="817">
        <v>0</v>
      </c>
      <c r="BE147" s="817">
        <v>0</v>
      </c>
      <c r="BF147" s="817">
        <v>0</v>
      </c>
      <c r="BG147" s="586"/>
      <c r="BH147" s="817">
        <v>0</v>
      </c>
      <c r="BI147" s="817">
        <v>0</v>
      </c>
      <c r="BJ147" s="817">
        <v>0</v>
      </c>
      <c r="BK147" s="586"/>
      <c r="BL147" s="817">
        <v>0</v>
      </c>
      <c r="BM147" s="817">
        <v>0</v>
      </c>
      <c r="BN147" s="817">
        <v>0</v>
      </c>
      <c r="BO147" s="586"/>
      <c r="BP147" s="817">
        <v>0</v>
      </c>
      <c r="BQ147" s="817">
        <v>0</v>
      </c>
      <c r="BR147" s="817">
        <v>0</v>
      </c>
      <c r="BS147" s="586"/>
      <c r="BT147" s="817">
        <v>0</v>
      </c>
      <c r="BU147" s="817">
        <v>0</v>
      </c>
      <c r="BV147" s="817">
        <v>0</v>
      </c>
      <c r="BW147" s="586"/>
      <c r="BX147" s="817">
        <v>0</v>
      </c>
      <c r="BY147" s="817">
        <v>0</v>
      </c>
      <c r="BZ147" s="817">
        <v>0</v>
      </c>
      <c r="CA147" s="586"/>
      <c r="CB147" s="817">
        <v>0</v>
      </c>
      <c r="CC147" s="817">
        <v>0</v>
      </c>
      <c r="CD147" s="817">
        <v>0</v>
      </c>
      <c r="CE147" s="586"/>
      <c r="CF147" s="817">
        <v>0</v>
      </c>
      <c r="CG147" s="817">
        <v>0</v>
      </c>
      <c r="CH147" s="817">
        <v>0</v>
      </c>
      <c r="CI147" s="586"/>
      <c r="CJ147" s="817">
        <v>0</v>
      </c>
      <c r="CK147" s="817">
        <v>0</v>
      </c>
      <c r="CL147" s="817">
        <v>0</v>
      </c>
      <c r="CM147" s="445"/>
      <c r="CN147" s="445"/>
      <c r="CO147" s="459"/>
      <c r="CP147" s="459"/>
      <c r="CQ147" s="459"/>
      <c r="CR147" s="459"/>
      <c r="CS147" s="459"/>
      <c r="CT147" s="459"/>
      <c r="CU147" s="459"/>
      <c r="CV147" s="459"/>
      <c r="CW147" s="459"/>
      <c r="CX147" s="459"/>
      <c r="CY147" s="459"/>
      <c r="CZ147" s="459"/>
      <c r="DA147" s="444"/>
      <c r="DB147" s="444"/>
      <c r="DC147" s="444"/>
      <c r="DD147" s="444"/>
      <c r="DE147" s="444"/>
      <c r="DF147" s="444"/>
      <c r="DG147" s="444"/>
      <c r="DH147" s="444"/>
      <c r="DI147" s="444"/>
      <c r="DJ147" s="444"/>
      <c r="DK147" s="444"/>
      <c r="DL147" s="444"/>
      <c r="DM147" s="444"/>
      <c r="DN147" s="444"/>
      <c r="DO147" s="444"/>
      <c r="DP147" s="444"/>
      <c r="DQ147" s="444"/>
      <c r="DR147" s="444"/>
      <c r="DS147" s="444"/>
      <c r="DT147" s="444"/>
      <c r="DU147" s="444"/>
      <c r="DV147" s="444"/>
      <c r="DW147" s="444"/>
      <c r="DX147" s="444"/>
      <c r="DY147" s="444"/>
      <c r="DZ147" s="444"/>
      <c r="EA147" s="444"/>
      <c r="EB147" s="444"/>
      <c r="EC147" s="444"/>
      <c r="ED147" s="444"/>
      <c r="EE147" s="444"/>
      <c r="EF147" s="444"/>
      <c r="EG147" s="444"/>
      <c r="EH147" s="444"/>
      <c r="EI147" s="444"/>
      <c r="EJ147" s="444"/>
      <c r="EK147" s="444"/>
      <c r="EL147" s="444"/>
      <c r="EM147" s="444"/>
      <c r="EN147" s="444"/>
      <c r="EO147" s="444"/>
      <c r="EP147" s="444"/>
      <c r="EQ147" s="444"/>
      <c r="ER147" s="444"/>
      <c r="ES147" s="444"/>
      <c r="ET147" s="444"/>
      <c r="EU147" s="444"/>
      <c r="EV147" s="444"/>
      <c r="EW147" s="444"/>
      <c r="EX147" s="444"/>
      <c r="EY147" s="444"/>
      <c r="EZ147" s="444"/>
      <c r="FA147" s="444"/>
      <c r="FB147" s="444"/>
      <c r="FC147" s="444"/>
      <c r="FD147" s="444"/>
      <c r="FE147" s="444"/>
      <c r="FF147" s="444"/>
      <c r="FG147" s="444"/>
      <c r="FH147" s="444"/>
      <c r="FI147" s="444"/>
      <c r="FJ147" s="444"/>
      <c r="FK147" s="444"/>
      <c r="FL147" s="444"/>
      <c r="FM147" s="444"/>
      <c r="FN147" s="444"/>
      <c r="FO147" s="444"/>
      <c r="FP147" s="444"/>
      <c r="FQ147" s="444"/>
      <c r="FR147" s="444"/>
      <c r="FS147" s="444"/>
      <c r="FT147" s="444"/>
      <c r="FU147" s="444"/>
      <c r="FV147" s="444"/>
      <c r="FW147" s="444"/>
    </row>
    <row r="148" spans="1:179" ht="13.8">
      <c r="A148" s="444"/>
      <c r="B148" s="444"/>
      <c r="C148" s="444" t="s">
        <v>946</v>
      </c>
      <c r="D148" s="585"/>
      <c r="E148" s="585"/>
      <c r="F148" s="585"/>
      <c r="G148" s="585"/>
      <c r="H148" s="585"/>
      <c r="I148" s="585"/>
      <c r="J148" s="585"/>
      <c r="K148" s="585"/>
      <c r="L148" s="585"/>
      <c r="M148" s="585"/>
      <c r="N148" s="585"/>
      <c r="O148" s="585"/>
      <c r="P148" s="585"/>
      <c r="Q148" s="585"/>
      <c r="R148" s="585"/>
      <c r="S148" s="585"/>
      <c r="T148" s="585"/>
      <c r="U148" s="585"/>
      <c r="V148" s="585"/>
      <c r="W148" s="585"/>
      <c r="X148" s="585"/>
      <c r="Y148" s="585"/>
      <c r="Z148" s="585"/>
      <c r="AA148" s="585"/>
      <c r="AB148" s="839">
        <v>0</v>
      </c>
      <c r="AC148" s="839">
        <v>0</v>
      </c>
      <c r="AD148" s="758">
        <f>+AC148+AB148</f>
        <v>0</v>
      </c>
      <c r="AE148" s="585"/>
      <c r="AF148" s="839">
        <v>0</v>
      </c>
      <c r="AG148" s="839">
        <v>0</v>
      </c>
      <c r="AH148" s="758">
        <f>+AG148+AF148</f>
        <v>0</v>
      </c>
      <c r="AI148" s="585"/>
      <c r="AJ148" s="817">
        <v>-21.5</v>
      </c>
      <c r="AK148" s="817">
        <v>-21.5</v>
      </c>
      <c r="AL148" s="758">
        <f>+AK148+AJ148</f>
        <v>-43</v>
      </c>
      <c r="AM148" s="585"/>
      <c r="AN148" s="817">
        <v>-8.5</v>
      </c>
      <c r="AO148" s="817">
        <v>-8.5</v>
      </c>
      <c r="AP148" s="758">
        <f>+AO148+AN148</f>
        <v>-17</v>
      </c>
      <c r="AQ148" s="754"/>
      <c r="AR148" s="817">
        <v>-110</v>
      </c>
      <c r="AS148" s="817">
        <f>-217-AR148</f>
        <v>-107</v>
      </c>
      <c r="AT148" s="758">
        <f>+AS148+AR148</f>
        <v>-217</v>
      </c>
      <c r="AU148" s="754"/>
      <c r="AV148" s="817">
        <v>-50</v>
      </c>
      <c r="AW148" s="817">
        <v>-15</v>
      </c>
      <c r="AX148" s="758">
        <f>+AW148+AV148</f>
        <v>-65</v>
      </c>
      <c r="AY148" s="860"/>
      <c r="AZ148" s="758">
        <f>MODEL!CF947</f>
        <v>-25</v>
      </c>
      <c r="BA148" s="758">
        <f>MODEL!CG947</f>
        <v>-19</v>
      </c>
      <c r="BB148" s="758">
        <f>+BA148+AZ148</f>
        <v>-44</v>
      </c>
      <c r="BC148" s="586"/>
      <c r="BD148" s="758">
        <f>MODEL!CJ947</f>
        <v>-18</v>
      </c>
      <c r="BE148" s="758">
        <f>MODEL!CK947</f>
        <v>-16</v>
      </c>
      <c r="BF148" s="758">
        <f>+BE148+BD148</f>
        <v>-34</v>
      </c>
      <c r="BG148" s="586"/>
      <c r="BH148" s="758">
        <f>MODEL!CN947</f>
        <v>0</v>
      </c>
      <c r="BI148" s="758">
        <f>MODEL!CO947</f>
        <v>0</v>
      </c>
      <c r="BJ148" s="758">
        <f>+BI148+BH148</f>
        <v>0</v>
      </c>
      <c r="BK148" s="586"/>
      <c r="BL148" s="758">
        <f>MODEL!CR947</f>
        <v>-59</v>
      </c>
      <c r="BM148" s="758">
        <f>MODEL!CS947</f>
        <v>-10</v>
      </c>
      <c r="BN148" s="758">
        <f>+BM148+BL148</f>
        <v>-69</v>
      </c>
      <c r="BO148" s="586"/>
      <c r="BP148" s="758">
        <f>MODEL!CV947</f>
        <v>-56</v>
      </c>
      <c r="BQ148" s="758">
        <f>MODEL!CW947</f>
        <v>-72</v>
      </c>
      <c r="BR148" s="758">
        <f>+BQ148+BP148</f>
        <v>-128</v>
      </c>
      <c r="BS148" s="586"/>
      <c r="BT148" s="758">
        <f>MODEL!CZ947</f>
        <v>0</v>
      </c>
      <c r="BU148" s="758">
        <f>MODEL!DA947</f>
        <v>0</v>
      </c>
      <c r="BV148" s="758">
        <f>+BU148+BT148</f>
        <v>0</v>
      </c>
      <c r="BW148" s="586"/>
      <c r="BX148" s="758">
        <f>MODEL!DD947</f>
        <v>0</v>
      </c>
      <c r="BY148" s="758">
        <f>MODEL!DE947</f>
        <v>-78</v>
      </c>
      <c r="BZ148" s="758">
        <f>+BY148+BX148</f>
        <v>-78</v>
      </c>
      <c r="CA148" s="586"/>
      <c r="CB148" s="758">
        <f>MODEL!DH947</f>
        <v>0</v>
      </c>
      <c r="CC148" s="758">
        <f>MODEL!DI947</f>
        <v>0</v>
      </c>
      <c r="CD148" s="758">
        <f>+CC148+CB148</f>
        <v>0</v>
      </c>
      <c r="CE148" s="586"/>
      <c r="CF148" s="758">
        <f>MODEL!DL947</f>
        <v>0</v>
      </c>
      <c r="CG148" s="758">
        <f>MODEL!DM947</f>
        <v>0</v>
      </c>
      <c r="CH148" s="758">
        <f>+CG148+CF148</f>
        <v>0</v>
      </c>
      <c r="CI148" s="586"/>
      <c r="CJ148" s="758">
        <f>MODEL!DP947</f>
        <v>0</v>
      </c>
      <c r="CK148" s="758">
        <f>MODEL!DQ947</f>
        <v>0</v>
      </c>
      <c r="CL148" s="758">
        <f>+CK148+CJ148</f>
        <v>0</v>
      </c>
      <c r="CM148" s="444"/>
      <c r="CN148" s="444"/>
      <c r="CO148" s="459"/>
      <c r="CP148" s="459"/>
      <c r="CQ148" s="459"/>
      <c r="CR148" s="459"/>
      <c r="CS148" s="459"/>
      <c r="CT148" s="459"/>
      <c r="CU148" s="459"/>
      <c r="CV148" s="459"/>
      <c r="CW148" s="459"/>
      <c r="CX148" s="459"/>
      <c r="CY148" s="459"/>
      <c r="CZ148" s="459"/>
      <c r="DA148" s="444"/>
      <c r="DB148" s="444"/>
      <c r="DC148" s="444"/>
      <c r="DD148" s="444"/>
      <c r="DE148" s="444"/>
      <c r="DF148" s="444"/>
      <c r="DG148" s="444"/>
      <c r="DH148" s="444"/>
      <c r="DI148" s="444"/>
      <c r="DJ148" s="444"/>
      <c r="DK148" s="444"/>
      <c r="DL148" s="444"/>
      <c r="DM148" s="444"/>
      <c r="DN148" s="444"/>
      <c r="DO148" s="444"/>
      <c r="DP148" s="444"/>
      <c r="DQ148" s="444"/>
      <c r="DR148" s="444"/>
      <c r="DS148" s="444"/>
      <c r="DT148" s="444"/>
      <c r="DU148" s="444"/>
      <c r="DV148" s="444"/>
      <c r="DW148" s="444"/>
      <c r="DX148" s="444"/>
      <c r="DY148" s="444"/>
      <c r="DZ148" s="444"/>
      <c r="EA148" s="444"/>
      <c r="EB148" s="444"/>
      <c r="EC148" s="444"/>
      <c r="ED148" s="444"/>
      <c r="EE148" s="444"/>
      <c r="EF148" s="444"/>
      <c r="EG148" s="444"/>
      <c r="EH148" s="444"/>
      <c r="EI148" s="444"/>
      <c r="EJ148" s="444"/>
      <c r="EK148" s="444"/>
      <c r="EL148" s="444"/>
      <c r="EM148" s="444"/>
      <c r="EN148" s="444"/>
      <c r="EO148" s="444"/>
      <c r="EP148" s="444"/>
      <c r="EQ148" s="444"/>
      <c r="ER148" s="444"/>
      <c r="ES148" s="444"/>
      <c r="ET148" s="444"/>
      <c r="EU148" s="444"/>
      <c r="EV148" s="444"/>
      <c r="EW148" s="444"/>
      <c r="EX148" s="444"/>
      <c r="EY148" s="444"/>
      <c r="EZ148" s="444"/>
      <c r="FA148" s="444"/>
      <c r="FB148" s="444"/>
      <c r="FC148" s="444"/>
      <c r="FD148" s="444"/>
      <c r="FE148" s="444"/>
      <c r="FF148" s="444"/>
      <c r="FG148" s="444"/>
      <c r="FH148" s="444"/>
      <c r="FI148" s="444"/>
      <c r="FJ148" s="444"/>
      <c r="FK148" s="444"/>
      <c r="FL148" s="444"/>
      <c r="FM148" s="444"/>
      <c r="FN148" s="444"/>
      <c r="FO148" s="444"/>
      <c r="FP148" s="444"/>
      <c r="FQ148" s="444"/>
      <c r="FR148" s="444"/>
      <c r="FS148" s="444"/>
      <c r="FT148" s="444"/>
      <c r="FU148" s="444"/>
      <c r="FV148" s="444"/>
      <c r="FW148" s="444"/>
    </row>
    <row r="149" spans="1:179" ht="13.8">
      <c r="A149" s="444"/>
      <c r="B149" s="445"/>
      <c r="C149" s="445" t="str">
        <f>MODEL!A944</f>
        <v>Customer Remediation Costs and Fines</v>
      </c>
      <c r="D149" s="444"/>
      <c r="E149" s="444"/>
      <c r="F149" s="444"/>
      <c r="G149" s="444"/>
      <c r="H149" s="444"/>
      <c r="I149" s="444"/>
      <c r="J149" s="444"/>
      <c r="K149" s="444"/>
      <c r="L149" s="444"/>
      <c r="M149" s="444"/>
      <c r="N149" s="444"/>
      <c r="O149" s="444"/>
      <c r="P149" s="444"/>
      <c r="Q149" s="444"/>
      <c r="R149" s="444"/>
      <c r="S149" s="444"/>
      <c r="T149" s="444"/>
      <c r="U149" s="444"/>
      <c r="V149" s="444"/>
      <c r="W149" s="444"/>
      <c r="X149" s="444"/>
      <c r="Y149" s="444"/>
      <c r="Z149" s="444"/>
      <c r="AA149" s="444"/>
      <c r="AB149" s="483">
        <f>MODEL!BH944</f>
        <v>0</v>
      </c>
      <c r="AC149" s="483">
        <f>MODEL!BI944</f>
        <v>0</v>
      </c>
      <c r="AD149" s="483">
        <f>+AB149+AC149</f>
        <v>0</v>
      </c>
      <c r="AE149" s="444"/>
      <c r="AF149" s="483">
        <f>MODEL!BL944</f>
        <v>0</v>
      </c>
      <c r="AG149" s="483">
        <f>MODEL!BM944</f>
        <v>0</v>
      </c>
      <c r="AH149" s="483">
        <f>+AF149+AG149</f>
        <v>0</v>
      </c>
      <c r="AI149" s="444"/>
      <c r="AJ149" s="483">
        <f>MODEL!BP944</f>
        <v>0</v>
      </c>
      <c r="AK149" s="483">
        <f>MODEL!BQ944</f>
        <v>0</v>
      </c>
      <c r="AL149" s="483">
        <f>+AJ149+AK149</f>
        <v>0</v>
      </c>
      <c r="AM149" s="444"/>
      <c r="AN149" s="483">
        <f>MODEL!BT944</f>
        <v>0</v>
      </c>
      <c r="AO149" s="483">
        <f>MODEL!BU944</f>
        <v>0</v>
      </c>
      <c r="AP149" s="483">
        <f>+AN149+AO149</f>
        <v>0</v>
      </c>
      <c r="AQ149" s="444"/>
      <c r="AR149" s="483">
        <f>MODEL!BX944</f>
        <v>0</v>
      </c>
      <c r="AS149" s="483">
        <f>MODEL!BY944</f>
        <v>-83</v>
      </c>
      <c r="AT149" s="483">
        <f>+AR149+AS149</f>
        <v>-83</v>
      </c>
      <c r="AU149" s="444"/>
      <c r="AV149" s="483">
        <f>MODEL!CB944</f>
        <v>-35</v>
      </c>
      <c r="AW149" s="483">
        <f>MODEL!CC944</f>
        <v>-156</v>
      </c>
      <c r="AX149" s="483">
        <f>+AV149+AW149</f>
        <v>-191</v>
      </c>
      <c r="AY149" s="444"/>
      <c r="AZ149" s="483">
        <f>MODEL!CF944</f>
        <v>-38</v>
      </c>
      <c r="BA149" s="483">
        <f>MODEL!CG944</f>
        <v>-308</v>
      </c>
      <c r="BB149" s="483">
        <f>MODEL!CH944</f>
        <v>-346</v>
      </c>
      <c r="BC149" s="444"/>
      <c r="BD149" s="483">
        <f>MODEL!CJ944</f>
        <v>-27</v>
      </c>
      <c r="BE149" s="483">
        <f>MODEL!CK944</f>
        <v>-84</v>
      </c>
      <c r="BF149" s="483">
        <f>MODEL!CL944</f>
        <v>-111</v>
      </c>
      <c r="BG149" s="444"/>
      <c r="BH149" s="483">
        <f>MODEL!CN944</f>
        <v>-59</v>
      </c>
      <c r="BI149" s="483">
        <f>MODEL!CO944</f>
        <v>-49</v>
      </c>
      <c r="BJ149" s="483">
        <f>MODEL!CP944</f>
        <v>-108</v>
      </c>
      <c r="BK149" s="444"/>
      <c r="BL149" s="483">
        <f>MODEL!CR944</f>
        <v>-110</v>
      </c>
      <c r="BM149" s="483">
        <f>MODEL!CS944</f>
        <v>-29</v>
      </c>
      <c r="BN149" s="483">
        <f>MODEL!CT944</f>
        <v>-139</v>
      </c>
      <c r="BO149" s="444"/>
      <c r="BP149" s="483">
        <f>MODEL!CV944</f>
        <v>-28</v>
      </c>
      <c r="BQ149" s="483">
        <f>MODEL!CW944</f>
        <v>-26</v>
      </c>
      <c r="BR149" s="483">
        <f>MODEL!CX944</f>
        <v>-54</v>
      </c>
      <c r="BS149" s="444"/>
      <c r="BT149" s="483">
        <f>MODEL!CZ944</f>
        <v>0</v>
      </c>
      <c r="BU149" s="483">
        <f>MODEL!DA944</f>
        <v>0</v>
      </c>
      <c r="BV149" s="483">
        <f>MODEL!DB944</f>
        <v>0</v>
      </c>
      <c r="BW149" s="444"/>
      <c r="BX149" s="483">
        <f>MODEL!DD944</f>
        <v>0</v>
      </c>
      <c r="BY149" s="483">
        <f>MODEL!DE944</f>
        <v>0</v>
      </c>
      <c r="BZ149" s="483">
        <f>MODEL!DF944</f>
        <v>0</v>
      </c>
      <c r="CA149" s="444"/>
      <c r="CB149" s="483">
        <f>MODEL!DH944</f>
        <v>0</v>
      </c>
      <c r="CC149" s="483">
        <f>MODEL!DI944</f>
        <v>0</v>
      </c>
      <c r="CD149" s="483">
        <f>MODEL!DJ944</f>
        <v>0</v>
      </c>
      <c r="CE149" s="444"/>
      <c r="CF149" s="483">
        <f>MODEL!DL944</f>
        <v>0</v>
      </c>
      <c r="CG149" s="483">
        <f>MODEL!DM944</f>
        <v>0</v>
      </c>
      <c r="CH149" s="483">
        <f>MODEL!DN944</f>
        <v>0</v>
      </c>
      <c r="CI149" s="444"/>
      <c r="CJ149" s="483">
        <f>MODEL!DP944</f>
        <v>0</v>
      </c>
      <c r="CK149" s="483">
        <f>MODEL!DQ944</f>
        <v>0</v>
      </c>
      <c r="CL149" s="483">
        <f>MODEL!DR944</f>
        <v>0</v>
      </c>
      <c r="CM149" s="445"/>
      <c r="CN149" s="445"/>
      <c r="CO149" s="459"/>
      <c r="CP149" s="459"/>
      <c r="CQ149" s="459"/>
      <c r="CR149" s="459"/>
      <c r="CS149" s="459"/>
      <c r="CT149" s="459"/>
      <c r="CU149" s="459"/>
      <c r="CV149" s="459"/>
      <c r="CW149" s="459"/>
      <c r="CX149" s="459"/>
      <c r="CY149" s="459"/>
      <c r="CZ149" s="459"/>
      <c r="DA149" s="444"/>
      <c r="DB149" s="444"/>
      <c r="DC149" s="444"/>
      <c r="DD149" s="444"/>
      <c r="DE149" s="444"/>
      <c r="DF149" s="444"/>
      <c r="DG149" s="444"/>
      <c r="DH149" s="444"/>
      <c r="DI149" s="444"/>
      <c r="DJ149" s="444"/>
      <c r="DK149" s="444"/>
      <c r="DL149" s="444"/>
      <c r="DM149" s="444"/>
      <c r="DN149" s="444"/>
      <c r="DO149" s="444"/>
      <c r="DP149" s="444"/>
      <c r="DQ149" s="444"/>
      <c r="DR149" s="444"/>
      <c r="DS149" s="444"/>
      <c r="DT149" s="444"/>
      <c r="DU149" s="444"/>
      <c r="DV149" s="444"/>
      <c r="DW149" s="444"/>
      <c r="DX149" s="444"/>
      <c r="DY149" s="444"/>
      <c r="DZ149" s="444"/>
      <c r="EA149" s="444"/>
      <c r="EB149" s="444"/>
      <c r="EC149" s="444"/>
      <c r="ED149" s="444"/>
      <c r="EE149" s="444"/>
      <c r="EF149" s="444"/>
      <c r="EG149" s="444"/>
      <c r="EH149" s="444"/>
      <c r="EI149" s="444"/>
      <c r="EJ149" s="444"/>
      <c r="EK149" s="444"/>
      <c r="EL149" s="444"/>
      <c r="EM149" s="444"/>
      <c r="EN149" s="444"/>
      <c r="EO149" s="444"/>
      <c r="EP149" s="444"/>
      <c r="EQ149" s="444"/>
      <c r="ER149" s="444"/>
      <c r="ES149" s="444"/>
      <c r="ET149" s="444"/>
      <c r="EU149" s="444"/>
      <c r="EV149" s="444"/>
      <c r="EW149" s="444"/>
      <c r="EX149" s="444"/>
      <c r="EY149" s="444"/>
      <c r="EZ149" s="444"/>
      <c r="FA149" s="444"/>
      <c r="FB149" s="444"/>
      <c r="FC149" s="444"/>
      <c r="FD149" s="444"/>
      <c r="FE149" s="444"/>
      <c r="FF149" s="444"/>
      <c r="FG149" s="444"/>
      <c r="FH149" s="444"/>
      <c r="FI149" s="444"/>
      <c r="FJ149" s="444"/>
      <c r="FK149" s="444"/>
      <c r="FL149" s="445"/>
      <c r="FM149" s="445"/>
      <c r="FN149" s="445"/>
      <c r="FO149" s="445"/>
      <c r="FP149" s="445"/>
      <c r="FQ149" s="445"/>
      <c r="FR149" s="445"/>
      <c r="FS149" s="445"/>
      <c r="FT149" s="445"/>
      <c r="FU149" s="445"/>
      <c r="FV149" s="445"/>
      <c r="FW149" s="445"/>
    </row>
    <row r="150" spans="1:179" ht="13.8">
      <c r="A150" s="444"/>
      <c r="B150" s="444"/>
      <c r="C150" s="445" t="s">
        <v>936</v>
      </c>
      <c r="D150" s="444"/>
      <c r="E150" s="444"/>
      <c r="F150" s="444"/>
      <c r="G150" s="444"/>
      <c r="H150" s="444"/>
      <c r="I150" s="444"/>
      <c r="J150" s="444"/>
      <c r="K150" s="444"/>
      <c r="L150" s="444"/>
      <c r="M150" s="444"/>
      <c r="N150" s="444"/>
      <c r="O150" s="444"/>
      <c r="P150" s="444"/>
      <c r="Q150" s="444"/>
      <c r="R150" s="444"/>
      <c r="S150" s="444"/>
      <c r="T150" s="444"/>
      <c r="U150" s="444"/>
      <c r="V150" s="444"/>
      <c r="W150" s="444"/>
      <c r="X150" s="444"/>
      <c r="Y150" s="444"/>
      <c r="Z150" s="444"/>
      <c r="AA150" s="444"/>
      <c r="AB150" s="483">
        <f>MODEL!BH943</f>
        <v>0</v>
      </c>
      <c r="AC150" s="483">
        <f>MODEL!BI943</f>
        <v>0</v>
      </c>
      <c r="AD150" s="483">
        <f>MODEL!BJ943</f>
        <v>0</v>
      </c>
      <c r="AE150" s="444"/>
      <c r="AF150" s="483">
        <f>MODEL!BL943</f>
        <v>0</v>
      </c>
      <c r="AG150" s="483">
        <f>MODEL!BM943</f>
        <v>0</v>
      </c>
      <c r="AH150" s="483">
        <f>MODEL!BN943</f>
        <v>0</v>
      </c>
      <c r="AI150" s="444"/>
      <c r="AJ150" s="483">
        <f>MODEL!BP943</f>
        <v>0</v>
      </c>
      <c r="AK150" s="483">
        <f>MODEL!BQ943</f>
        <v>0</v>
      </c>
      <c r="AL150" s="483">
        <f>MODEL!BR943</f>
        <v>0</v>
      </c>
      <c r="AM150" s="444"/>
      <c r="AN150" s="483">
        <f>MODEL!BT943</f>
        <v>0</v>
      </c>
      <c r="AO150" s="483">
        <f>MODEL!BU943</f>
        <v>0</v>
      </c>
      <c r="AP150" s="483">
        <f>MODEL!BV943</f>
        <v>0</v>
      </c>
      <c r="AQ150" s="444"/>
      <c r="AR150" s="483">
        <f>MODEL!BX943</f>
        <v>0</v>
      </c>
      <c r="AS150" s="483">
        <f>MODEL!BY943</f>
        <v>0</v>
      </c>
      <c r="AT150" s="483">
        <f>MODEL!BZ943</f>
        <v>0</v>
      </c>
      <c r="AU150" s="444"/>
      <c r="AV150" s="483">
        <f>MODEL!CB943</f>
        <v>-16</v>
      </c>
      <c r="AW150" s="483">
        <f>MODEL!CC943</f>
        <v>-39</v>
      </c>
      <c r="AX150" s="483">
        <f>MODEL!CD943</f>
        <v>-55</v>
      </c>
      <c r="AY150" s="444"/>
      <c r="AZ150" s="483">
        <f>MODEL!CF943</f>
        <v>-13</v>
      </c>
      <c r="BA150" s="483">
        <f>MODEL!CG943</f>
        <v>-2</v>
      </c>
      <c r="BB150" s="483">
        <f>MODEL!CH943</f>
        <v>-15</v>
      </c>
      <c r="BC150" s="444"/>
      <c r="BD150" s="483">
        <f>MODEL!CJ943</f>
        <v>0</v>
      </c>
      <c r="BE150" s="483">
        <f>MODEL!CK943</f>
        <v>0</v>
      </c>
      <c r="BF150" s="483">
        <f>MODEL!CL943</f>
        <v>0</v>
      </c>
      <c r="BG150" s="444"/>
      <c r="BH150" s="483">
        <f>MODEL!CN943</f>
        <v>0</v>
      </c>
      <c r="BI150" s="483">
        <f>MODEL!CO943</f>
        <v>0</v>
      </c>
      <c r="BJ150" s="483">
        <f>MODEL!CP943</f>
        <v>0</v>
      </c>
      <c r="BK150" s="444"/>
      <c r="BL150" s="483">
        <f>MODEL!CR943</f>
        <v>0</v>
      </c>
      <c r="BM150" s="483">
        <f>MODEL!CS943</f>
        <v>0</v>
      </c>
      <c r="BN150" s="483">
        <f>MODEL!CT943</f>
        <v>0</v>
      </c>
      <c r="BO150" s="444"/>
      <c r="BP150" s="483">
        <f>MODEL!CV943</f>
        <v>0</v>
      </c>
      <c r="BQ150" s="483">
        <f>MODEL!CW943</f>
        <v>-40</v>
      </c>
      <c r="BR150" s="483">
        <f>MODEL!CX943</f>
        <v>-40</v>
      </c>
      <c r="BS150" s="444"/>
      <c r="BT150" s="483">
        <f>MODEL!CZ943</f>
        <v>0</v>
      </c>
      <c r="BU150" s="483">
        <f>MODEL!DA943</f>
        <v>0</v>
      </c>
      <c r="BV150" s="483">
        <f>MODEL!DB943</f>
        <v>0</v>
      </c>
      <c r="BW150" s="444"/>
      <c r="BX150" s="483">
        <f>MODEL!DD943</f>
        <v>0</v>
      </c>
      <c r="BY150" s="483">
        <f>MODEL!DE943</f>
        <v>-271</v>
      </c>
      <c r="BZ150" s="483">
        <f>MODEL!DF943</f>
        <v>-271</v>
      </c>
      <c r="CA150" s="444"/>
      <c r="CB150" s="483">
        <f>MODEL!DH943</f>
        <v>0</v>
      </c>
      <c r="CC150" s="483">
        <f>MODEL!DI943</f>
        <v>0</v>
      </c>
      <c r="CD150" s="483">
        <f>MODEL!DJ943</f>
        <v>0</v>
      </c>
      <c r="CE150" s="444"/>
      <c r="CF150" s="483">
        <f>MODEL!DL943</f>
        <v>0</v>
      </c>
      <c r="CG150" s="483">
        <f>MODEL!DM943</f>
        <v>0</v>
      </c>
      <c r="CH150" s="483">
        <f>MODEL!DN943</f>
        <v>0</v>
      </c>
      <c r="CI150" s="444"/>
      <c r="CJ150" s="483">
        <f>MODEL!DP943</f>
        <v>0</v>
      </c>
      <c r="CK150" s="483">
        <f>MODEL!DQ943</f>
        <v>0</v>
      </c>
      <c r="CL150" s="483">
        <f>MODEL!DR943</f>
        <v>0</v>
      </c>
      <c r="CM150" s="445"/>
      <c r="CN150" s="445"/>
      <c r="CO150" s="459"/>
      <c r="CP150" s="459"/>
      <c r="CQ150" s="459"/>
      <c r="CR150" s="459"/>
      <c r="CS150" s="459"/>
      <c r="CT150" s="459"/>
      <c r="CU150" s="459"/>
      <c r="CV150" s="459"/>
      <c r="CW150" s="459"/>
      <c r="CX150" s="459"/>
      <c r="CY150" s="459"/>
      <c r="CZ150" s="459"/>
      <c r="DA150" s="444"/>
      <c r="DB150" s="444"/>
      <c r="DC150" s="444"/>
      <c r="DD150" s="444"/>
      <c r="DE150" s="444"/>
      <c r="DF150" s="444"/>
      <c r="DG150" s="444"/>
      <c r="DH150" s="444"/>
      <c r="DI150" s="444"/>
      <c r="DJ150" s="444"/>
      <c r="DK150" s="444"/>
      <c r="DL150" s="444"/>
      <c r="DM150" s="444"/>
      <c r="DN150" s="444"/>
      <c r="DO150" s="444"/>
      <c r="DP150" s="444"/>
      <c r="DQ150" s="444"/>
      <c r="DR150" s="444"/>
      <c r="DS150" s="444"/>
      <c r="DT150" s="444"/>
      <c r="DU150" s="444"/>
      <c r="DV150" s="444"/>
      <c r="DW150" s="444"/>
      <c r="DX150" s="444"/>
      <c r="DY150" s="444"/>
      <c r="DZ150" s="444"/>
      <c r="EA150" s="444"/>
      <c r="EB150" s="444"/>
      <c r="EC150" s="444"/>
      <c r="ED150" s="444"/>
      <c r="EE150" s="444"/>
      <c r="EF150" s="444"/>
      <c r="EG150" s="444"/>
      <c r="EH150" s="444"/>
      <c r="EI150" s="444"/>
      <c r="EJ150" s="444"/>
      <c r="EK150" s="444"/>
      <c r="EL150" s="444"/>
      <c r="EM150" s="444"/>
      <c r="EN150" s="444"/>
      <c r="EO150" s="444"/>
      <c r="EP150" s="444"/>
      <c r="EQ150" s="444"/>
      <c r="ER150" s="444"/>
      <c r="ES150" s="444"/>
      <c r="ET150" s="444"/>
      <c r="EU150" s="444"/>
      <c r="EV150" s="444"/>
      <c r="EW150" s="444"/>
      <c r="EX150" s="444"/>
      <c r="EY150" s="444"/>
      <c r="EZ150" s="444"/>
      <c r="FA150" s="444"/>
      <c r="FB150" s="444"/>
      <c r="FC150" s="444"/>
      <c r="FD150" s="444"/>
      <c r="FE150" s="444"/>
      <c r="FF150" s="444"/>
      <c r="FG150" s="444"/>
      <c r="FH150" s="444"/>
      <c r="FI150" s="444"/>
      <c r="FJ150" s="444"/>
      <c r="FK150" s="444"/>
      <c r="FL150" s="444"/>
      <c r="FM150" s="444"/>
      <c r="FN150" s="444"/>
      <c r="FO150" s="444"/>
      <c r="FP150" s="444"/>
      <c r="FQ150" s="444"/>
      <c r="FR150" s="444"/>
      <c r="FS150" s="444"/>
      <c r="FT150" s="444"/>
      <c r="FU150" s="444"/>
      <c r="FV150" s="444"/>
      <c r="FW150" s="444"/>
    </row>
    <row r="151" spans="1:179" ht="13.8">
      <c r="A151" s="444"/>
      <c r="B151" s="445"/>
      <c r="C151" s="444" t="s">
        <v>925</v>
      </c>
      <c r="D151" s="444"/>
      <c r="E151" s="444"/>
      <c r="F151" s="444"/>
      <c r="G151" s="444"/>
      <c r="H151" s="444"/>
      <c r="I151" s="444"/>
      <c r="J151" s="444"/>
      <c r="K151" s="444"/>
      <c r="L151" s="444"/>
      <c r="M151" s="444"/>
      <c r="N151" s="444"/>
      <c r="O151" s="444"/>
      <c r="P151" s="444"/>
      <c r="Q151" s="444"/>
      <c r="R151" s="444"/>
      <c r="S151" s="444"/>
      <c r="T151" s="444"/>
      <c r="U151" s="444"/>
      <c r="V151" s="444"/>
      <c r="W151" s="444"/>
      <c r="X151" s="444"/>
      <c r="Y151" s="444"/>
      <c r="Z151" s="444"/>
      <c r="AA151" s="444"/>
      <c r="AB151" s="758">
        <f ca="1">MODEL!BH923</f>
        <v>0</v>
      </c>
      <c r="AC151" s="758">
        <f ca="1">MODEL!BI923</f>
        <v>0</v>
      </c>
      <c r="AD151" s="758">
        <f ca="1">+AC151+AB151</f>
        <v>0</v>
      </c>
      <c r="AE151" s="444"/>
      <c r="AF151" s="758">
        <f ca="1">MODEL!BL923</f>
        <v>0</v>
      </c>
      <c r="AG151" s="758">
        <f ca="1">MODEL!BM923</f>
        <v>0</v>
      </c>
      <c r="AH151" s="758">
        <f ca="1">+AG151+AF151</f>
        <v>0</v>
      </c>
      <c r="AI151" s="444"/>
      <c r="AJ151" s="758">
        <f ca="1">MODEL!BP923</f>
        <v>0</v>
      </c>
      <c r="AK151" s="758">
        <f ca="1">MODEL!BQ923</f>
        <v>0</v>
      </c>
      <c r="AL151" s="758">
        <f ca="1">+AK151+AJ151</f>
        <v>0</v>
      </c>
      <c r="AM151" s="444"/>
      <c r="AN151" s="758">
        <f>MODEL!BT923</f>
        <v>-556</v>
      </c>
      <c r="AO151" s="758">
        <f>MODEL!BU923</f>
        <v>0</v>
      </c>
      <c r="AP151" s="758">
        <f>+AO151+AN151</f>
        <v>-556</v>
      </c>
      <c r="AQ151" s="504"/>
      <c r="AR151" s="758">
        <f>MODEL!BX923</f>
        <v>0</v>
      </c>
      <c r="AS151" s="758">
        <f>MODEL!BY923</f>
        <v>0</v>
      </c>
      <c r="AT151" s="758">
        <f>+AS151+AR151</f>
        <v>0</v>
      </c>
      <c r="AU151" s="723"/>
      <c r="AV151" s="758">
        <f>MODEL!CB923</f>
        <v>0</v>
      </c>
      <c r="AW151" s="758">
        <f>MODEL!CC923</f>
        <v>-251</v>
      </c>
      <c r="AX151" s="758">
        <f>+AW151+AV151</f>
        <v>-251</v>
      </c>
      <c r="AY151" s="586"/>
      <c r="AZ151" s="758">
        <f>MODEL!CF923</f>
        <v>0</v>
      </c>
      <c r="BA151" s="758">
        <f>MODEL!CG923</f>
        <v>0</v>
      </c>
      <c r="BB151" s="758">
        <f>+BA151+AZ151</f>
        <v>0</v>
      </c>
      <c r="BC151" s="586"/>
      <c r="BD151" s="758">
        <f>MODEL!CJ923</f>
        <v>0</v>
      </c>
      <c r="BE151" s="758">
        <f>MODEL!CK923</f>
        <v>-197</v>
      </c>
      <c r="BF151" s="758">
        <f>MODEL!CL923</f>
        <v>-197</v>
      </c>
      <c r="BG151" s="586"/>
      <c r="BH151" s="758">
        <f>MODEL!CN923</f>
        <v>0</v>
      </c>
      <c r="BI151" s="758">
        <f>MODEL!CO923</f>
        <v>0</v>
      </c>
      <c r="BJ151" s="758">
        <f>MODEL!CP923</f>
        <v>0</v>
      </c>
      <c r="BK151" s="586"/>
      <c r="BL151" s="758">
        <f>MODEL!CR923</f>
        <v>0</v>
      </c>
      <c r="BM151" s="758">
        <f>MODEL!CS923</f>
        <v>0</v>
      </c>
      <c r="BN151" s="758">
        <f>MODEL!CT923</f>
        <v>0</v>
      </c>
      <c r="BO151" s="586"/>
      <c r="BP151" s="758">
        <f>MODEL!CV923</f>
        <v>0</v>
      </c>
      <c r="BQ151" s="758">
        <f>MODEL!CW923</f>
        <v>0</v>
      </c>
      <c r="BR151" s="758">
        <f>MODEL!CX923</f>
        <v>0</v>
      </c>
      <c r="BS151" s="586"/>
      <c r="BT151" s="758">
        <f>MODEL!CZ923</f>
        <v>0</v>
      </c>
      <c r="BU151" s="758">
        <f>MODEL!DA923</f>
        <v>0</v>
      </c>
      <c r="BV151" s="758">
        <f>MODEL!DB923</f>
        <v>0</v>
      </c>
      <c r="BW151" s="586"/>
      <c r="BX151" s="758">
        <f>MODEL!DD923</f>
        <v>0</v>
      </c>
      <c r="BY151" s="758">
        <f>MODEL!DE923</f>
        <v>0</v>
      </c>
      <c r="BZ151" s="758">
        <f>MODEL!DF923</f>
        <v>0</v>
      </c>
      <c r="CA151" s="586"/>
      <c r="CB151" s="758">
        <f>MODEL!DH923</f>
        <v>0</v>
      </c>
      <c r="CC151" s="758">
        <f>MODEL!DI923</f>
        <v>0</v>
      </c>
      <c r="CD151" s="758">
        <f>MODEL!DJ923</f>
        <v>0</v>
      </c>
      <c r="CE151" s="586"/>
      <c r="CF151" s="758">
        <f>MODEL!DL923</f>
        <v>0</v>
      </c>
      <c r="CG151" s="758">
        <f>MODEL!DM923</f>
        <v>0</v>
      </c>
      <c r="CH151" s="758">
        <f>MODEL!DN923</f>
        <v>0</v>
      </c>
      <c r="CI151" s="586"/>
      <c r="CJ151" s="758">
        <f>MODEL!DP923</f>
        <v>0</v>
      </c>
      <c r="CK151" s="758">
        <f>MODEL!DQ923</f>
        <v>0</v>
      </c>
      <c r="CL151" s="758">
        <f>MODEL!DR923</f>
        <v>0</v>
      </c>
      <c r="CM151" s="445"/>
      <c r="CN151" s="445"/>
      <c r="CO151" s="459"/>
      <c r="CP151" s="459"/>
      <c r="CQ151" s="459"/>
      <c r="CR151" s="459"/>
      <c r="CS151" s="459"/>
      <c r="CT151" s="459"/>
      <c r="CU151" s="459"/>
      <c r="CV151" s="459"/>
      <c r="CW151" s="459"/>
      <c r="CX151" s="459"/>
      <c r="CY151" s="459"/>
      <c r="CZ151" s="459"/>
      <c r="DA151" s="444"/>
      <c r="DB151" s="444"/>
      <c r="DC151" s="444"/>
      <c r="DD151" s="444"/>
      <c r="DE151" s="444"/>
      <c r="DF151" s="444"/>
      <c r="DG151" s="444"/>
      <c r="DH151" s="444"/>
      <c r="DI151" s="444"/>
      <c r="DJ151" s="444"/>
      <c r="DK151" s="444"/>
      <c r="DL151" s="444"/>
      <c r="DM151" s="444"/>
      <c r="DN151" s="444"/>
      <c r="DO151" s="444"/>
      <c r="DP151" s="444"/>
      <c r="DQ151" s="444"/>
      <c r="DR151" s="444"/>
      <c r="DS151" s="444"/>
      <c r="DT151" s="444"/>
      <c r="DU151" s="444"/>
      <c r="DV151" s="444"/>
      <c r="DW151" s="444"/>
      <c r="DX151" s="444"/>
      <c r="DY151" s="444"/>
      <c r="DZ151" s="444"/>
      <c r="EA151" s="444"/>
      <c r="EB151" s="444"/>
      <c r="EC151" s="444"/>
      <c r="ED151" s="444"/>
      <c r="EE151" s="444"/>
      <c r="EF151" s="444"/>
      <c r="EG151" s="444"/>
      <c r="EH151" s="444"/>
      <c r="EI151" s="444"/>
      <c r="EJ151" s="444"/>
      <c r="EK151" s="444"/>
      <c r="EL151" s="444"/>
      <c r="EM151" s="444"/>
      <c r="EN151" s="444"/>
      <c r="EO151" s="444"/>
      <c r="EP151" s="444"/>
      <c r="EQ151" s="444"/>
      <c r="ER151" s="444"/>
      <c r="ES151" s="444"/>
      <c r="ET151" s="444"/>
      <c r="EU151" s="444"/>
      <c r="EV151" s="444"/>
      <c r="EW151" s="444"/>
      <c r="EX151" s="444"/>
      <c r="EY151" s="444"/>
      <c r="EZ151" s="444"/>
      <c r="FA151" s="444"/>
      <c r="FB151" s="444"/>
      <c r="FC151" s="444"/>
      <c r="FD151" s="444"/>
      <c r="FE151" s="444"/>
      <c r="FF151" s="444"/>
      <c r="FG151" s="444"/>
      <c r="FH151" s="444"/>
      <c r="FI151" s="444"/>
      <c r="FJ151" s="444"/>
      <c r="FK151" s="444"/>
      <c r="FL151" s="445"/>
      <c r="FM151" s="445"/>
      <c r="FN151" s="445"/>
      <c r="FO151" s="445"/>
      <c r="FP151" s="445"/>
      <c r="FQ151" s="445"/>
      <c r="FR151" s="445"/>
      <c r="FS151" s="445"/>
      <c r="FT151" s="445"/>
      <c r="FU151" s="445"/>
      <c r="FV151" s="445"/>
      <c r="FW151" s="445"/>
    </row>
    <row r="152" spans="1:179" ht="13.8">
      <c r="A152" s="444"/>
      <c r="B152" s="445"/>
      <c r="C152" s="445" t="str">
        <f>MODEL!A942</f>
        <v>Restructuring Charges</v>
      </c>
      <c r="D152" s="445"/>
      <c r="E152" s="445"/>
      <c r="F152" s="445"/>
      <c r="G152" s="445"/>
      <c r="H152" s="445"/>
      <c r="I152" s="445"/>
      <c r="J152" s="445"/>
      <c r="K152" s="445"/>
      <c r="L152" s="445"/>
      <c r="M152" s="445"/>
      <c r="N152" s="445"/>
      <c r="O152" s="445"/>
      <c r="P152" s="445"/>
      <c r="Q152" s="445"/>
      <c r="R152" s="445"/>
      <c r="S152" s="445"/>
      <c r="T152" s="445"/>
      <c r="U152" s="445"/>
      <c r="V152" s="445"/>
      <c r="W152" s="445"/>
      <c r="X152" s="445"/>
      <c r="Y152" s="445"/>
      <c r="Z152" s="445"/>
      <c r="AA152" s="445"/>
      <c r="AB152" s="483">
        <f>MODEL!BH942</f>
        <v>0</v>
      </c>
      <c r="AC152" s="483">
        <f>MODEL!BI942</f>
        <v>0</v>
      </c>
      <c r="AD152" s="483">
        <f>+AB152+AC152</f>
        <v>0</v>
      </c>
      <c r="AE152" s="445"/>
      <c r="AF152" s="483">
        <f>MODEL!BL942</f>
        <v>0</v>
      </c>
      <c r="AG152" s="483">
        <f>MODEL!BM942</f>
        <v>0</v>
      </c>
      <c r="AH152" s="483">
        <f>+AF152+AG152</f>
        <v>0</v>
      </c>
      <c r="AI152" s="445"/>
      <c r="AJ152" s="483">
        <f>MODEL!BP942</f>
        <v>-10</v>
      </c>
      <c r="AK152" s="483">
        <f>MODEL!BQ942</f>
        <v>-21</v>
      </c>
      <c r="AL152" s="483">
        <f>+AJ152+AK152</f>
        <v>-31</v>
      </c>
      <c r="AM152" s="445"/>
      <c r="AN152" s="483">
        <f>MODEL!BT942</f>
        <v>-138</v>
      </c>
      <c r="AO152" s="483">
        <f>MODEL!BU942</f>
        <v>-140</v>
      </c>
      <c r="AP152" s="483">
        <f>+AN152+AO152</f>
        <v>-278</v>
      </c>
      <c r="AQ152" s="445"/>
      <c r="AR152" s="483">
        <f>MODEL!BX942</f>
        <v>-36</v>
      </c>
      <c r="AS152" s="483">
        <f>MODEL!BY942</f>
        <v>-26</v>
      </c>
      <c r="AT152" s="483">
        <f>+AR152+AS152</f>
        <v>-62</v>
      </c>
      <c r="AU152" s="445"/>
      <c r="AV152" s="483">
        <f>MODEL!CB942</f>
        <v>-78</v>
      </c>
      <c r="AW152" s="483">
        <f>MODEL!CC942</f>
        <v>-149</v>
      </c>
      <c r="AX152" s="483">
        <f>+AV152+AW152</f>
        <v>-227</v>
      </c>
      <c r="AY152" s="445"/>
      <c r="AZ152" s="483">
        <f>MODEL!CF942</f>
        <v>-26</v>
      </c>
      <c r="BA152" s="483">
        <f>MODEL!CG942</f>
        <v>3</v>
      </c>
      <c r="BB152" s="483">
        <f>MODEL!CH942</f>
        <v>-23</v>
      </c>
      <c r="BC152" s="445"/>
      <c r="BD152" s="483">
        <f>MODEL!CJ942</f>
        <v>-32</v>
      </c>
      <c r="BE152" s="483">
        <f>MODEL!CK942</f>
        <v>-15</v>
      </c>
      <c r="BF152" s="483">
        <f>MODEL!CL942</f>
        <v>-47</v>
      </c>
      <c r="BG152" s="445"/>
      <c r="BH152" s="483">
        <f>MODEL!CN942</f>
        <v>-150</v>
      </c>
      <c r="BI152" s="483">
        <f>MODEL!CO942</f>
        <v>-1</v>
      </c>
      <c r="BJ152" s="483">
        <f>MODEL!CP942</f>
        <v>-151</v>
      </c>
      <c r="BK152" s="445"/>
      <c r="BL152" s="483">
        <f>MODEL!CR942</f>
        <v>-1</v>
      </c>
      <c r="BM152" s="483">
        <f>MODEL!CS942</f>
        <v>-21</v>
      </c>
      <c r="BN152" s="483">
        <f>MODEL!CT942</f>
        <v>-22</v>
      </c>
      <c r="BO152" s="445"/>
      <c r="BP152" s="483">
        <f>MODEL!CV942</f>
        <v>-19</v>
      </c>
      <c r="BQ152" s="483">
        <f>MODEL!CW942</f>
        <v>-15</v>
      </c>
      <c r="BR152" s="483">
        <f>MODEL!CX942</f>
        <v>-34</v>
      </c>
      <c r="BS152" s="445"/>
      <c r="BT152" s="483">
        <f>MODEL!CZ942</f>
        <v>-21</v>
      </c>
      <c r="BU152" s="483">
        <f>MODEL!DA942</f>
        <v>0</v>
      </c>
      <c r="BV152" s="483">
        <f>MODEL!DB942</f>
        <v>-21</v>
      </c>
      <c r="BW152" s="445"/>
      <c r="BX152" s="483">
        <f>MODEL!DD942</f>
        <v>0</v>
      </c>
      <c r="BY152" s="483">
        <f>MODEL!DE942</f>
        <v>0</v>
      </c>
      <c r="BZ152" s="483">
        <f>MODEL!DF942</f>
        <v>0</v>
      </c>
      <c r="CA152" s="445"/>
      <c r="CB152" s="483">
        <f>MODEL!DH942</f>
        <v>0</v>
      </c>
      <c r="CC152" s="483">
        <f>MODEL!DI942</f>
        <v>0</v>
      </c>
      <c r="CD152" s="483">
        <f>MODEL!DJ942</f>
        <v>0</v>
      </c>
      <c r="CE152" s="445"/>
      <c r="CF152" s="483">
        <f>MODEL!DL942</f>
        <v>0</v>
      </c>
      <c r="CG152" s="483">
        <f>MODEL!DM942</f>
        <v>0</v>
      </c>
      <c r="CH152" s="483">
        <f>MODEL!DN942</f>
        <v>0</v>
      </c>
      <c r="CI152" s="445"/>
      <c r="CJ152" s="483">
        <f>MODEL!DP942</f>
        <v>0</v>
      </c>
      <c r="CK152" s="483">
        <f>MODEL!DQ942</f>
        <v>0</v>
      </c>
      <c r="CL152" s="483">
        <f>MODEL!DR942</f>
        <v>0</v>
      </c>
      <c r="CM152" s="445"/>
      <c r="CN152" s="445"/>
      <c r="CO152" s="459"/>
      <c r="CP152" s="459"/>
      <c r="CQ152" s="459"/>
      <c r="CR152" s="459"/>
      <c r="CS152" s="459"/>
      <c r="CT152" s="459"/>
      <c r="CU152" s="459"/>
      <c r="CV152" s="459"/>
      <c r="CW152" s="459"/>
      <c r="CX152" s="459"/>
      <c r="CY152" s="459"/>
      <c r="CZ152" s="459"/>
      <c r="DA152" s="444"/>
      <c r="DB152" s="444"/>
      <c r="DC152" s="444"/>
      <c r="DD152" s="444"/>
      <c r="DE152" s="444"/>
      <c r="DF152" s="444"/>
      <c r="DG152" s="444"/>
      <c r="DH152" s="444"/>
      <c r="DI152" s="444"/>
      <c r="DJ152" s="444"/>
      <c r="DK152" s="444"/>
      <c r="DL152" s="444"/>
      <c r="DM152" s="444"/>
      <c r="DN152" s="444"/>
      <c r="DO152" s="444"/>
      <c r="DP152" s="444"/>
      <c r="DQ152" s="444"/>
      <c r="DR152" s="444"/>
      <c r="DS152" s="444"/>
      <c r="DT152" s="444"/>
      <c r="DU152" s="444"/>
      <c r="DV152" s="444"/>
      <c r="DW152" s="444"/>
      <c r="DX152" s="444"/>
      <c r="DY152" s="444"/>
      <c r="DZ152" s="444"/>
      <c r="EA152" s="444"/>
      <c r="EB152" s="444"/>
      <c r="EC152" s="444"/>
      <c r="ED152" s="444"/>
      <c r="EE152" s="444"/>
      <c r="EF152" s="444"/>
      <c r="EG152" s="444"/>
      <c r="EH152" s="444"/>
      <c r="EI152" s="444"/>
      <c r="EJ152" s="444"/>
      <c r="EK152" s="444"/>
      <c r="EL152" s="444"/>
      <c r="EM152" s="444"/>
      <c r="EN152" s="444"/>
      <c r="EO152" s="444"/>
      <c r="EP152" s="444"/>
      <c r="EQ152" s="444"/>
      <c r="ER152" s="444"/>
      <c r="ES152" s="444"/>
      <c r="ET152" s="444"/>
      <c r="EU152" s="444"/>
      <c r="EV152" s="444"/>
      <c r="EW152" s="444"/>
      <c r="EX152" s="444"/>
      <c r="EY152" s="444"/>
      <c r="EZ152" s="444"/>
      <c r="FA152" s="444"/>
      <c r="FB152" s="444"/>
      <c r="FC152" s="444"/>
      <c r="FD152" s="444"/>
      <c r="FE152" s="444"/>
      <c r="FF152" s="444"/>
      <c r="FG152" s="444"/>
      <c r="FH152" s="444"/>
      <c r="FI152" s="444"/>
      <c r="FJ152" s="444"/>
      <c r="FK152" s="444"/>
      <c r="FL152" s="445"/>
      <c r="FM152" s="445"/>
      <c r="FN152" s="445"/>
      <c r="FO152" s="445"/>
      <c r="FP152" s="445"/>
      <c r="FQ152" s="445"/>
      <c r="FR152" s="445"/>
      <c r="FS152" s="445"/>
      <c r="FT152" s="445"/>
      <c r="FU152" s="445"/>
      <c r="FV152" s="445"/>
      <c r="FW152" s="445"/>
    </row>
    <row r="153" spans="1:179" ht="13.8">
      <c r="A153" s="444"/>
      <c r="B153" s="445"/>
      <c r="C153" s="444" t="s">
        <v>854</v>
      </c>
      <c r="D153" s="444"/>
      <c r="E153" s="444"/>
      <c r="F153" s="444"/>
      <c r="G153" s="444"/>
      <c r="H153" s="444"/>
      <c r="I153" s="444"/>
      <c r="J153" s="444"/>
      <c r="K153" s="444"/>
      <c r="L153" s="444"/>
      <c r="M153" s="444"/>
      <c r="N153" s="444"/>
      <c r="O153" s="444"/>
      <c r="P153" s="444"/>
      <c r="Q153" s="444"/>
      <c r="R153" s="444"/>
      <c r="S153" s="444"/>
      <c r="T153" s="444"/>
      <c r="U153" s="444"/>
      <c r="V153" s="444"/>
      <c r="W153" s="444"/>
      <c r="X153" s="444"/>
      <c r="Y153" s="444"/>
      <c r="Z153" s="444"/>
      <c r="AA153" s="444"/>
      <c r="AB153" s="504">
        <f ca="1">SUM(AB147:AB152)</f>
        <v>0</v>
      </c>
      <c r="AC153" s="504">
        <f ca="1">SUM(AC147:AC152)</f>
        <v>0</v>
      </c>
      <c r="AD153" s="504">
        <f ca="1">SUM(AD147:AD152)</f>
        <v>0</v>
      </c>
      <c r="AE153" s="444"/>
      <c r="AF153" s="504">
        <f ca="1">SUM(AF147:AF152)</f>
        <v>0</v>
      </c>
      <c r="AG153" s="504">
        <f ca="1">SUM(AG147:AG152)</f>
        <v>0</v>
      </c>
      <c r="AH153" s="504">
        <f ca="1">SUM(AH147:AH152)</f>
        <v>0</v>
      </c>
      <c r="AI153" s="444"/>
      <c r="AJ153" s="504">
        <f ca="1">SUM(AJ147:AJ152)</f>
        <v>-31.5</v>
      </c>
      <c r="AK153" s="504">
        <f ca="1">SUM(AK147:AK152)</f>
        <v>-42.5</v>
      </c>
      <c r="AL153" s="504">
        <f ca="1">SUM(AL147:AL152)</f>
        <v>-74</v>
      </c>
      <c r="AM153" s="444"/>
      <c r="AN153" s="504">
        <f>SUM(AN147:AN152)</f>
        <v>-702.5</v>
      </c>
      <c r="AO153" s="504">
        <f>SUM(AO147:AO152)</f>
        <v>-148.5</v>
      </c>
      <c r="AP153" s="504">
        <f>SUM(AP147:AP152)</f>
        <v>-851</v>
      </c>
      <c r="AQ153" s="504"/>
      <c r="AR153" s="504">
        <f>SUM(AR147:AR152)</f>
        <v>-146</v>
      </c>
      <c r="AS153" s="504">
        <f>SUM(AS147:AS152)</f>
        <v>-216</v>
      </c>
      <c r="AT153" s="504">
        <f>SUM(AT147:AT152)</f>
        <v>-362</v>
      </c>
      <c r="AU153" s="723"/>
      <c r="AV153" s="841">
        <f>SUM(AV147:AV152)</f>
        <v>-179</v>
      </c>
      <c r="AW153" s="841">
        <f>SUM(AW147:AW152)</f>
        <v>-620</v>
      </c>
      <c r="AX153" s="504">
        <f>SUM(AX147:AX152)</f>
        <v>-799</v>
      </c>
      <c r="AY153" s="723"/>
      <c r="AZ153" s="723">
        <f>SUM(AZ147:AZ152)</f>
        <v>-102</v>
      </c>
      <c r="BA153" s="504">
        <f>SUM(BA147:BA152)</f>
        <v>-326</v>
      </c>
      <c r="BB153" s="504">
        <f>SUM(BB147:BB152)</f>
        <v>-428</v>
      </c>
      <c r="BC153" s="504"/>
      <c r="BD153" s="723">
        <f>SUM(BD147:BD152)</f>
        <v>-77</v>
      </c>
      <c r="BE153" s="723">
        <f>SUM(BE147:BE152)</f>
        <v>-312</v>
      </c>
      <c r="BF153" s="723">
        <f>SUM(BF147:BF152)</f>
        <v>-389</v>
      </c>
      <c r="BG153" s="723"/>
      <c r="BH153" s="723">
        <f>SUM(BH147:BH152)</f>
        <v>-209</v>
      </c>
      <c r="BI153" s="504">
        <f>SUM(BI147:BI152)</f>
        <v>-50</v>
      </c>
      <c r="BJ153" s="504">
        <f>SUM(BJ147:BJ152)</f>
        <v>-259</v>
      </c>
      <c r="BK153" s="723"/>
      <c r="BL153" s="723">
        <f>SUM(BL147:BL152)</f>
        <v>-170</v>
      </c>
      <c r="BM153" s="504">
        <f>SUM(BM147:BM152)</f>
        <v>-60</v>
      </c>
      <c r="BN153" s="504">
        <f>SUM(BN147:BN152)</f>
        <v>-230</v>
      </c>
      <c r="BO153" s="723"/>
      <c r="BP153" s="723">
        <f>SUM(BP147:BP152)</f>
        <v>-103</v>
      </c>
      <c r="BQ153" s="504">
        <f>SUM(BQ147:BQ152)</f>
        <v>-153</v>
      </c>
      <c r="BR153" s="504">
        <f>SUM(BR147:BR152)</f>
        <v>-256</v>
      </c>
      <c r="BS153" s="723"/>
      <c r="BT153" s="723">
        <f>SUM(BT147:BT152)</f>
        <v>-21</v>
      </c>
      <c r="BU153" s="504">
        <f>SUM(BU147:BU152)</f>
        <v>0</v>
      </c>
      <c r="BV153" s="504">
        <f>SUM(BV147:BV152)</f>
        <v>-21</v>
      </c>
      <c r="BW153" s="723"/>
      <c r="BX153" s="723">
        <f>SUM(BX147:BX152)</f>
        <v>0</v>
      </c>
      <c r="BY153" s="504">
        <f>SUM(BY147:BY152)</f>
        <v>-349</v>
      </c>
      <c r="BZ153" s="504">
        <f>SUM(BZ147:BZ152)</f>
        <v>-349</v>
      </c>
      <c r="CA153" s="723"/>
      <c r="CB153" s="723">
        <f>SUM(CB147:CB152)</f>
        <v>0</v>
      </c>
      <c r="CC153" s="504">
        <f>SUM(CC147:CC152)</f>
        <v>0</v>
      </c>
      <c r="CD153" s="504">
        <f>SUM(CD147:CD152)</f>
        <v>0</v>
      </c>
      <c r="CE153" s="723"/>
      <c r="CF153" s="723">
        <f>SUM(CF147:CF152)</f>
        <v>0</v>
      </c>
      <c r="CG153" s="504">
        <f>SUM(CG147:CG152)</f>
        <v>0</v>
      </c>
      <c r="CH153" s="504">
        <f>SUM(CH147:CH152)</f>
        <v>0</v>
      </c>
      <c r="CI153" s="723"/>
      <c r="CJ153" s="723">
        <f>SUM(CJ147:CJ152)</f>
        <v>0</v>
      </c>
      <c r="CK153" s="504">
        <f>SUM(CK147:CK152)</f>
        <v>0</v>
      </c>
      <c r="CL153" s="504">
        <f>SUM(CL147:CL152)</f>
        <v>0</v>
      </c>
      <c r="CM153" s="445"/>
      <c r="CN153" s="445"/>
      <c r="CO153" s="459"/>
      <c r="CP153" s="459"/>
      <c r="CQ153" s="459"/>
      <c r="CR153" s="459"/>
      <c r="CS153" s="459"/>
      <c r="CT153" s="459"/>
      <c r="CU153" s="459"/>
      <c r="CV153" s="459"/>
      <c r="CW153" s="459"/>
      <c r="CX153" s="459"/>
      <c r="CY153" s="459"/>
      <c r="CZ153" s="459"/>
      <c r="DA153" s="444"/>
      <c r="DB153" s="444"/>
      <c r="DC153" s="444"/>
      <c r="DD153" s="444"/>
      <c r="DE153" s="444"/>
      <c r="DF153" s="444"/>
      <c r="DG153" s="444"/>
      <c r="DH153" s="444"/>
      <c r="DI153" s="444"/>
      <c r="DJ153" s="444"/>
      <c r="DK153" s="444"/>
      <c r="DL153" s="444"/>
      <c r="DM153" s="444"/>
      <c r="DN153" s="444"/>
      <c r="DO153" s="444"/>
      <c r="DP153" s="444"/>
      <c r="DQ153" s="444"/>
      <c r="DR153" s="444"/>
      <c r="DS153" s="444"/>
      <c r="DT153" s="444"/>
      <c r="DU153" s="444"/>
      <c r="DV153" s="444"/>
      <c r="DW153" s="444"/>
      <c r="DX153" s="444"/>
      <c r="DY153" s="444"/>
      <c r="DZ153" s="444"/>
      <c r="EA153" s="444"/>
      <c r="EB153" s="444"/>
      <c r="EC153" s="444"/>
      <c r="ED153" s="444"/>
      <c r="EE153" s="444"/>
      <c r="EF153" s="444"/>
      <c r="EG153" s="444"/>
      <c r="EH153" s="444"/>
      <c r="EI153" s="444"/>
      <c r="EJ153" s="444"/>
      <c r="EK153" s="444"/>
      <c r="EL153" s="444"/>
      <c r="EM153" s="444"/>
      <c r="EN153" s="444"/>
      <c r="EO153" s="444"/>
      <c r="EP153" s="444"/>
      <c r="EQ153" s="444"/>
      <c r="ER153" s="444"/>
      <c r="ES153" s="444"/>
      <c r="ET153" s="444"/>
      <c r="EU153" s="444"/>
      <c r="EV153" s="444"/>
      <c r="EW153" s="444"/>
      <c r="EX153" s="444"/>
      <c r="EY153" s="444"/>
      <c r="EZ153" s="444"/>
      <c r="FA153" s="444"/>
      <c r="FB153" s="444"/>
      <c r="FC153" s="444"/>
      <c r="FD153" s="444"/>
      <c r="FE153" s="444"/>
      <c r="FF153" s="444"/>
      <c r="FG153" s="444"/>
      <c r="FH153" s="444"/>
      <c r="FI153" s="444"/>
      <c r="FJ153" s="444"/>
      <c r="FK153" s="444"/>
      <c r="FL153" s="445"/>
      <c r="FM153" s="445"/>
      <c r="FN153" s="445"/>
      <c r="FO153" s="445"/>
      <c r="FP153" s="445"/>
      <c r="FQ153" s="445"/>
      <c r="FR153" s="445"/>
      <c r="FS153" s="445"/>
      <c r="FT153" s="445"/>
      <c r="FU153" s="445"/>
      <c r="FV153" s="445"/>
      <c r="FW153" s="445"/>
    </row>
    <row r="154" spans="1:179" ht="13.8">
      <c r="A154" s="444"/>
      <c r="B154" s="445"/>
      <c r="C154" s="584" t="s">
        <v>789</v>
      </c>
      <c r="D154" s="585"/>
      <c r="E154" s="585"/>
      <c r="F154" s="585"/>
      <c r="G154" s="585"/>
      <c r="H154" s="585"/>
      <c r="I154" s="585"/>
      <c r="J154" s="585"/>
      <c r="K154" s="585"/>
      <c r="L154" s="585"/>
      <c r="M154" s="585"/>
      <c r="N154" s="585"/>
      <c r="O154" s="585"/>
      <c r="P154" s="585"/>
      <c r="Q154" s="585"/>
      <c r="R154" s="585"/>
      <c r="S154" s="585"/>
      <c r="T154" s="585"/>
      <c r="U154" s="585"/>
      <c r="V154" s="585"/>
      <c r="W154" s="585"/>
      <c r="X154" s="585"/>
      <c r="Y154" s="585"/>
      <c r="Z154" s="585"/>
      <c r="AA154" s="585"/>
      <c r="AB154" s="753">
        <f ca="1">+AB146-AB153</f>
        <v>-4044</v>
      </c>
      <c r="AC154" s="753">
        <f ca="1">+AC146-AC153</f>
        <v>-4213</v>
      </c>
      <c r="AD154" s="753">
        <f ca="1">+AD146-AD153</f>
        <v>-8257</v>
      </c>
      <c r="AE154" s="585"/>
      <c r="AF154" s="753">
        <f ca="1">+AF146-AF153</f>
        <v>-4286</v>
      </c>
      <c r="AG154" s="753">
        <f ca="1">+AG146-AG153</f>
        <v>-4474</v>
      </c>
      <c r="AH154" s="753">
        <f ca="1">+AH146-AH153</f>
        <v>-8760</v>
      </c>
      <c r="AI154" s="585"/>
      <c r="AJ154" s="753">
        <f ca="1">+AJ146-AJ153</f>
        <v>-4571.5</v>
      </c>
      <c r="AK154" s="753">
        <f ca="1">+AK146-AK153</f>
        <v>-4732.5</v>
      </c>
      <c r="AL154" s="753">
        <f ca="1">+AL146-AL153</f>
        <v>-9304</v>
      </c>
      <c r="AM154" s="585"/>
      <c r="AN154" s="753">
        <f>+AN146-AN153</f>
        <v>-4785.5</v>
      </c>
      <c r="AO154" s="753">
        <f>+AO146-AO153</f>
        <v>-4802.5</v>
      </c>
      <c r="AP154" s="753">
        <f>+AP146-AP153</f>
        <v>-9588</v>
      </c>
      <c r="AQ154" s="754"/>
      <c r="AR154" s="753">
        <f>+AR146-AR153</f>
        <v>-4341</v>
      </c>
      <c r="AS154" s="753">
        <f>+AS146-AS153</f>
        <v>-4264</v>
      </c>
      <c r="AT154" s="753">
        <f>+AT146-AT153</f>
        <v>-8605</v>
      </c>
      <c r="AU154" s="754"/>
      <c r="AV154" s="753">
        <f>+AV146-AV153</f>
        <v>-4294</v>
      </c>
      <c r="AW154" s="753">
        <f>+AW146-AW153</f>
        <v>-4308</v>
      </c>
      <c r="AX154" s="753">
        <f>+AX146-AX153</f>
        <v>-8602</v>
      </c>
      <c r="AY154" s="586"/>
      <c r="AZ154" s="753">
        <f>+AZ146-AZ153</f>
        <v>-4263</v>
      </c>
      <c r="BA154" s="753">
        <f>+BA146-BA153</f>
        <v>-4380</v>
      </c>
      <c r="BB154" s="753">
        <f>+BB146-BB153</f>
        <v>-8643</v>
      </c>
      <c r="BC154" s="586"/>
      <c r="BD154" s="753">
        <f>+BD146-BD153</f>
        <v>-4528</v>
      </c>
      <c r="BE154" s="753">
        <f>+BE146-BE153</f>
        <v>-4466</v>
      </c>
      <c r="BF154" s="753">
        <f>+BF146-BF153</f>
        <v>-8994</v>
      </c>
      <c r="BG154" s="586"/>
      <c r="BH154" s="753">
        <f>+BH146-BH153</f>
        <v>-4273</v>
      </c>
      <c r="BI154" s="753">
        <f>+BI146-BI153</f>
        <v>-4519</v>
      </c>
      <c r="BJ154" s="753">
        <f>+BJ146-BJ153</f>
        <v>-8792</v>
      </c>
      <c r="BK154" s="586"/>
      <c r="BL154" s="753">
        <f>+BL146-BL153</f>
        <v>-4621</v>
      </c>
      <c r="BM154" s="753">
        <f>+BM146-BM153</f>
        <v>-4728</v>
      </c>
      <c r="BN154" s="753">
        <f>+BN146-BN153</f>
        <v>-9349</v>
      </c>
      <c r="BO154" s="586"/>
      <c r="BP154" s="753">
        <f>+BP146-BP153</f>
        <v>-4894</v>
      </c>
      <c r="BQ154" s="753">
        <f>+BQ146-BQ153</f>
        <v>-4989</v>
      </c>
      <c r="BR154" s="753">
        <f>+BR146-BR153</f>
        <v>-9883</v>
      </c>
      <c r="BS154" s="586"/>
      <c r="BT154" s="753">
        <f>+BT146-BT153</f>
        <v>-5194</v>
      </c>
      <c r="BU154" s="753">
        <f>+BU146-BU153</f>
        <v>-5526</v>
      </c>
      <c r="BV154" s="753">
        <f>+BV146-BV153</f>
        <v>-10720</v>
      </c>
      <c r="BW154" s="586"/>
      <c r="BX154" s="753">
        <f>+BX146-BX153</f>
        <v>-5742</v>
      </c>
      <c r="BY154" s="753">
        <f>+BY146-BY153</f>
        <v>-6789</v>
      </c>
      <c r="BZ154" s="753">
        <f>+BZ146-BZ153</f>
        <v>-12531</v>
      </c>
      <c r="CA154" s="586"/>
      <c r="CB154" s="753">
        <f>+CB146-CB153</f>
        <v>-5800.8062475343522</v>
      </c>
      <c r="CC154" s="753">
        <f>+CC146-CC153</f>
        <v>-5574.622973129075</v>
      </c>
      <c r="CD154" s="753">
        <f>+CD146-CD153</f>
        <v>-11375.429220663427</v>
      </c>
      <c r="CE154" s="586"/>
      <c r="CF154" s="753">
        <f>+CF146-CF153</f>
        <v>-5558.5700572482638</v>
      </c>
      <c r="CG154" s="753">
        <f>+CG146-CG153</f>
        <v>-5699.0026403776892</v>
      </c>
      <c r="CH154" s="753">
        <f>+CH146-CH153</f>
        <v>-11257.572697625954</v>
      </c>
      <c r="CI154" s="586"/>
      <c r="CJ154" s="753">
        <f>+CJ146-CJ153</f>
        <v>-5690.9196519848028</v>
      </c>
      <c r="CK154" s="753">
        <f>+CK146-CK153</f>
        <v>-5623.3690907090013</v>
      </c>
      <c r="CL154" s="753">
        <f>+CL146-CL153</f>
        <v>-11314.288742693803</v>
      </c>
      <c r="CM154" s="445"/>
      <c r="CN154" s="445"/>
      <c r="CO154" s="459"/>
      <c r="CP154" s="459"/>
      <c r="CQ154" s="459"/>
      <c r="CR154" s="459"/>
      <c r="CS154" s="459"/>
      <c r="CT154" s="459"/>
      <c r="CU154" s="459"/>
      <c r="CV154" s="459"/>
      <c r="CW154" s="459"/>
      <c r="CX154" s="459"/>
      <c r="CY154" s="459"/>
      <c r="CZ154" s="459"/>
      <c r="DA154" s="444"/>
      <c r="DB154" s="444"/>
      <c r="DC154" s="444"/>
      <c r="DD154" s="444"/>
      <c r="DE154" s="444"/>
      <c r="DF154" s="444"/>
      <c r="DG154" s="444"/>
      <c r="DH154" s="444"/>
      <c r="DI154" s="444"/>
      <c r="DJ154" s="444"/>
      <c r="DK154" s="444"/>
      <c r="DL154" s="444"/>
      <c r="DM154" s="444"/>
      <c r="DN154" s="444"/>
      <c r="DO154" s="444"/>
      <c r="DP154" s="444"/>
      <c r="DQ154" s="444"/>
      <c r="DR154" s="444"/>
      <c r="DS154" s="444"/>
      <c r="DT154" s="444"/>
      <c r="DU154" s="444"/>
      <c r="DV154" s="444"/>
      <c r="DW154" s="444"/>
      <c r="DX154" s="444"/>
      <c r="DY154" s="444"/>
      <c r="DZ154" s="444"/>
      <c r="EA154" s="444"/>
      <c r="EB154" s="444"/>
      <c r="EC154" s="444"/>
      <c r="ED154" s="444"/>
      <c r="EE154" s="444"/>
      <c r="EF154" s="444"/>
      <c r="EG154" s="444"/>
      <c r="EH154" s="444"/>
      <c r="EI154" s="444"/>
      <c r="EJ154" s="444"/>
      <c r="EK154" s="444"/>
      <c r="EL154" s="444"/>
      <c r="EM154" s="444"/>
      <c r="EN154" s="444"/>
      <c r="EO154" s="444"/>
      <c r="EP154" s="444"/>
      <c r="EQ154" s="444"/>
      <c r="ER154" s="444"/>
      <c r="ES154" s="444"/>
      <c r="ET154" s="444"/>
      <c r="EU154" s="444"/>
      <c r="EV154" s="444"/>
      <c r="EW154" s="444"/>
      <c r="EX154" s="444"/>
      <c r="EY154" s="444"/>
      <c r="EZ154" s="444"/>
      <c r="FA154" s="444"/>
      <c r="FB154" s="444"/>
      <c r="FC154" s="444"/>
      <c r="FD154" s="444"/>
      <c r="FE154" s="444"/>
      <c r="FF154" s="444"/>
      <c r="FG154" s="444"/>
      <c r="FH154" s="444"/>
      <c r="FI154" s="444"/>
      <c r="FJ154" s="444"/>
      <c r="FK154" s="444"/>
      <c r="FL154" s="445"/>
      <c r="FM154" s="445"/>
      <c r="FN154" s="445"/>
      <c r="FO154" s="445"/>
      <c r="FP154" s="445"/>
      <c r="FQ154" s="445"/>
      <c r="FR154" s="445"/>
      <c r="FS154" s="445"/>
      <c r="FT154" s="445"/>
      <c r="FU154" s="445"/>
      <c r="FV154" s="445"/>
      <c r="FW154" s="445"/>
    </row>
    <row r="155" spans="1:179" ht="13.8">
      <c r="A155" s="444"/>
      <c r="B155" s="445"/>
      <c r="C155" s="585" t="s">
        <v>127</v>
      </c>
      <c r="D155" s="585"/>
      <c r="E155" s="585"/>
      <c r="F155" s="585"/>
      <c r="G155" s="585"/>
      <c r="H155" s="585"/>
      <c r="I155" s="585"/>
      <c r="J155" s="585"/>
      <c r="K155" s="585"/>
      <c r="L155" s="585"/>
      <c r="M155" s="585"/>
      <c r="N155" s="585"/>
      <c r="O155" s="585"/>
      <c r="P155" s="585"/>
      <c r="Q155" s="585"/>
      <c r="R155" s="585"/>
      <c r="S155" s="585"/>
      <c r="T155" s="585"/>
      <c r="U155" s="585"/>
      <c r="V155" s="585"/>
      <c r="W155" s="585"/>
      <c r="X155" s="585"/>
      <c r="Y155" s="585"/>
      <c r="Z155" s="585"/>
      <c r="AA155" s="585"/>
      <c r="AB155" s="585"/>
      <c r="AC155" s="585"/>
      <c r="AD155" s="585"/>
      <c r="AE155" s="585"/>
      <c r="AF155" s="585"/>
      <c r="AG155" s="585"/>
      <c r="AH155" s="585"/>
      <c r="AI155" s="585"/>
      <c r="AJ155" s="585"/>
      <c r="AK155" s="585"/>
      <c r="AL155" s="481"/>
      <c r="AM155" s="585"/>
      <c r="AN155" s="585"/>
      <c r="AO155" s="585"/>
      <c r="AP155" s="481"/>
      <c r="AQ155" s="586"/>
      <c r="AR155" s="481"/>
      <c r="AS155" s="481"/>
      <c r="AT155" s="810"/>
      <c r="AU155" s="750"/>
      <c r="AV155" s="816"/>
      <c r="AW155" s="816"/>
      <c r="AX155" s="816"/>
      <c r="AY155" s="444"/>
      <c r="AZ155" s="816"/>
      <c r="BA155" s="816"/>
      <c r="BB155" s="816"/>
      <c r="BC155" s="444"/>
      <c r="BD155" s="816"/>
      <c r="BE155" s="816"/>
      <c r="BF155" s="816"/>
      <c r="BG155" s="444"/>
      <c r="BH155" s="816"/>
      <c r="BI155" s="816"/>
      <c r="BJ155" s="816"/>
      <c r="BK155" s="444"/>
      <c r="BL155" s="816"/>
      <c r="BM155" s="816"/>
      <c r="BN155" s="816"/>
      <c r="BO155" s="444"/>
      <c r="BP155" s="816"/>
      <c r="BQ155" s="816"/>
      <c r="BR155" s="816"/>
      <c r="BS155" s="444"/>
      <c r="BT155" s="816"/>
      <c r="BU155" s="816"/>
      <c r="BV155" s="816"/>
      <c r="BW155" s="444"/>
      <c r="BX155" s="816"/>
      <c r="BY155" s="816"/>
      <c r="BZ155" s="816"/>
      <c r="CA155" s="444"/>
      <c r="CB155" s="816"/>
      <c r="CC155" s="816"/>
      <c r="CD155" s="816"/>
      <c r="CE155" s="444"/>
      <c r="CF155" s="816"/>
      <c r="CG155" s="816"/>
      <c r="CH155" s="816"/>
      <c r="CI155" s="444"/>
      <c r="CJ155" s="816"/>
      <c r="CK155" s="816"/>
      <c r="CL155" s="816"/>
      <c r="CM155" s="444"/>
      <c r="CN155" s="444"/>
      <c r="CO155" s="459"/>
      <c r="CP155" s="459"/>
      <c r="CQ155" s="459"/>
      <c r="CR155" s="459"/>
      <c r="CS155" s="459"/>
      <c r="CT155" s="459"/>
      <c r="CU155" s="459"/>
      <c r="CV155" s="459"/>
      <c r="CW155" s="459"/>
      <c r="CX155" s="459"/>
      <c r="CY155" s="459"/>
      <c r="CZ155" s="459"/>
      <c r="DA155" s="444"/>
      <c r="DB155" s="444"/>
      <c r="DC155" s="444"/>
      <c r="DD155" s="444"/>
      <c r="DE155" s="444"/>
      <c r="DF155" s="444"/>
      <c r="DG155" s="444"/>
      <c r="DH155" s="444"/>
      <c r="DI155" s="444"/>
      <c r="DJ155" s="444"/>
      <c r="DK155" s="444"/>
      <c r="DL155" s="444"/>
      <c r="DM155" s="444"/>
      <c r="DN155" s="444"/>
      <c r="DO155" s="444"/>
      <c r="DP155" s="444"/>
      <c r="DQ155" s="444"/>
      <c r="DR155" s="444"/>
      <c r="DS155" s="444"/>
      <c r="DT155" s="444"/>
      <c r="DU155" s="444"/>
      <c r="DV155" s="444"/>
      <c r="DW155" s="444"/>
      <c r="DX155" s="444"/>
      <c r="DY155" s="444"/>
      <c r="DZ155" s="444"/>
      <c r="EA155" s="444"/>
      <c r="EB155" s="444"/>
      <c r="EC155" s="444"/>
      <c r="ED155" s="444"/>
      <c r="EE155" s="444"/>
      <c r="EF155" s="444"/>
      <c r="EG155" s="444"/>
      <c r="EH155" s="444"/>
      <c r="EI155" s="444"/>
      <c r="EJ155" s="444"/>
      <c r="EK155" s="444"/>
      <c r="EL155" s="444"/>
      <c r="EM155" s="444"/>
      <c r="EN155" s="444"/>
      <c r="EO155" s="444"/>
      <c r="EP155" s="444"/>
      <c r="EQ155" s="444"/>
      <c r="ER155" s="444"/>
      <c r="ES155" s="444"/>
      <c r="ET155" s="444"/>
      <c r="EU155" s="444"/>
      <c r="EV155" s="444"/>
      <c r="EW155" s="444"/>
      <c r="EX155" s="444"/>
      <c r="EY155" s="444"/>
      <c r="EZ155" s="444"/>
      <c r="FA155" s="444"/>
      <c r="FB155" s="444"/>
      <c r="FC155" s="444"/>
      <c r="FD155" s="444"/>
      <c r="FE155" s="444"/>
      <c r="FF155" s="444"/>
      <c r="FG155" s="444"/>
      <c r="FH155" s="444"/>
      <c r="FI155" s="444"/>
      <c r="FJ155" s="444"/>
      <c r="FK155" s="444"/>
      <c r="FL155" s="445"/>
      <c r="FM155" s="539"/>
      <c r="FN155" s="445"/>
      <c r="FO155" s="445"/>
      <c r="FP155" s="445"/>
      <c r="FQ155" s="445"/>
      <c r="FR155" s="445"/>
      <c r="FS155" s="445"/>
      <c r="FT155" s="445"/>
      <c r="FU155" s="445"/>
      <c r="FV155" s="445"/>
      <c r="FW155" s="445"/>
    </row>
    <row r="156" spans="1:179" ht="13.8">
      <c r="A156" s="444"/>
      <c r="B156" s="445"/>
      <c r="C156" s="585" t="str">
        <f>C146</f>
        <v>Expenses</v>
      </c>
      <c r="D156" s="585"/>
      <c r="E156" s="585"/>
      <c r="F156" s="585"/>
      <c r="G156" s="585"/>
      <c r="H156" s="585"/>
      <c r="I156" s="585"/>
      <c r="J156" s="585"/>
      <c r="K156" s="585"/>
      <c r="L156" s="585"/>
      <c r="M156" s="585"/>
      <c r="N156" s="585"/>
      <c r="O156" s="585"/>
      <c r="P156" s="585"/>
      <c r="Q156" s="585"/>
      <c r="R156" s="585"/>
      <c r="S156" s="585"/>
      <c r="T156" s="585"/>
      <c r="U156" s="585"/>
      <c r="V156" s="585"/>
      <c r="W156" s="585"/>
      <c r="X156" s="585"/>
      <c r="Y156" s="585"/>
      <c r="Z156" s="585"/>
      <c r="AA156" s="585"/>
      <c r="AB156" s="585"/>
      <c r="AC156" s="585"/>
      <c r="AD156" s="585"/>
      <c r="AE156" s="585"/>
      <c r="AF156" s="585"/>
      <c r="AG156" s="585"/>
      <c r="AH156" s="585"/>
      <c r="AI156" s="585"/>
      <c r="AJ156" s="585"/>
      <c r="AK156" s="585"/>
      <c r="AL156" s="481"/>
      <c r="AM156" s="585"/>
      <c r="AN156" s="585"/>
      <c r="AO156" s="585"/>
      <c r="AP156" s="481"/>
      <c r="AQ156" s="586"/>
      <c r="AR156" s="481"/>
      <c r="AS156" s="481"/>
      <c r="AT156" s="810"/>
      <c r="AU156" s="750"/>
      <c r="AV156" s="816">
        <f>+AV146/AR146-1</f>
        <v>-3.1201248049922414E-3</v>
      </c>
      <c r="AW156" s="816">
        <f>+AW146/AS146-1</f>
        <v>0.10000000000000009</v>
      </c>
      <c r="AX156" s="816">
        <f>+AX146/AT146-1</f>
        <v>4.8399687743950093E-2</v>
      </c>
      <c r="AY156" s="444"/>
      <c r="AZ156" s="816">
        <f>+AZ146/AV146-1</f>
        <v>-2.4144869215291798E-2</v>
      </c>
      <c r="BA156" s="816">
        <f>+BA146/AW146-1</f>
        <v>-4.504870129870131E-2</v>
      </c>
      <c r="BB156" s="816">
        <f>+BB146/AX146-1</f>
        <v>-3.5102648654398494E-2</v>
      </c>
      <c r="BC156" s="444"/>
      <c r="BD156" s="816">
        <f>+BD146/AZ146-1</f>
        <v>5.4982817869415834E-2</v>
      </c>
      <c r="BE156" s="816">
        <f>+BE146/BA146-1</f>
        <v>1.5299617509562324E-2</v>
      </c>
      <c r="BF156" s="816">
        <f>+BF146/BB146-1</f>
        <v>3.4395325763421969E-2</v>
      </c>
      <c r="BG156" s="444"/>
      <c r="BH156" s="816">
        <f>+BH146/BD146-1</f>
        <v>-2.6710097719869652E-2</v>
      </c>
      <c r="BI156" s="816">
        <f>+BI146/BE146-1</f>
        <v>-4.3742151527835893E-2</v>
      </c>
      <c r="BJ156" s="816">
        <f>+BJ146/BF146-1</f>
        <v>-3.5383139720771561E-2</v>
      </c>
      <c r="BK156" s="444"/>
      <c r="BL156" s="816">
        <f>+BL146/BH146-1</f>
        <v>6.8942436412315899E-2</v>
      </c>
      <c r="BM156" s="816">
        <f>+BM146/BI146-1</f>
        <v>4.7931713722915381E-2</v>
      </c>
      <c r="BN156" s="816">
        <f>+BN146/BJ146-1</f>
        <v>5.8336095459065263E-2</v>
      </c>
      <c r="BO156" s="444"/>
      <c r="BP156" s="816">
        <f>+BP146/BL146-1</f>
        <v>4.2997286579002258E-2</v>
      </c>
      <c r="BQ156" s="816">
        <f>+BQ146/BM146-1</f>
        <v>7.3934837092731742E-2</v>
      </c>
      <c r="BR156" s="816">
        <f>+BR146/BN146-1</f>
        <v>5.8461217246059016E-2</v>
      </c>
      <c r="BS156" s="444"/>
      <c r="BT156" s="816">
        <f>+BT146/BP146-1</f>
        <v>4.3626175705423265E-2</v>
      </c>
      <c r="BU156" s="816">
        <f>+BU146/BQ146-1</f>
        <v>7.4679113185530888E-2</v>
      </c>
      <c r="BV156" s="816">
        <f>+BV146/BR146-1</f>
        <v>5.9374691784199518E-2</v>
      </c>
      <c r="BW156" s="444"/>
      <c r="BX156" s="816">
        <f>+BX146/BT146-1</f>
        <v>0.10105465004793857</v>
      </c>
      <c r="BY156" s="816">
        <f>+BY146/BU146-1</f>
        <v>0.29171190734708641</v>
      </c>
      <c r="BZ156" s="816">
        <f>+BZ146/BV146-1</f>
        <v>0.19914346895074941</v>
      </c>
      <c r="CA156" s="444"/>
      <c r="CB156" s="816">
        <f>+CB146/BX146-1</f>
        <v>1.024142241977577E-2</v>
      </c>
      <c r="CC156" s="816">
        <f>+CC146/BY146-1</f>
        <v>-0.21902171853053021</v>
      </c>
      <c r="CD156" s="816">
        <f>+CD146/BZ146-1</f>
        <v>-0.11681450150128669</v>
      </c>
      <c r="CE156" s="444"/>
      <c r="CF156" s="816">
        <f>+CF146/CB146-1</f>
        <v>-4.1759055543193035E-2</v>
      </c>
      <c r="CG156" s="816">
        <f>+CG146/CC146-1</f>
        <v>2.2311763117999428E-2</v>
      </c>
      <c r="CH156" s="816">
        <f>+CH146/CD146-1</f>
        <v>-1.03606220698369E-2</v>
      </c>
      <c r="CI156" s="444"/>
      <c r="CJ156" s="816">
        <f>+CJ146/CF146-1</f>
        <v>2.381000749715434E-2</v>
      </c>
      <c r="CK156" s="816">
        <f>+CK146/CG146-1</f>
        <v>-1.3271365963725135E-2</v>
      </c>
      <c r="CL156" s="816">
        <f>+CL146/CH146-1</f>
        <v>5.0380349824266091E-3</v>
      </c>
      <c r="CM156" s="584"/>
      <c r="CN156" s="444"/>
      <c r="CO156" s="459"/>
      <c r="CP156" s="459"/>
      <c r="CQ156" s="459"/>
      <c r="CR156" s="459"/>
      <c r="CS156" s="459"/>
      <c r="CT156" s="459"/>
      <c r="CU156" s="459"/>
      <c r="CV156" s="459"/>
      <c r="CW156" s="459"/>
      <c r="CX156" s="459"/>
      <c r="CY156" s="459"/>
      <c r="CZ156" s="459"/>
      <c r="DA156" s="444"/>
      <c r="DB156" s="444"/>
      <c r="DC156" s="444"/>
      <c r="DD156" s="444"/>
      <c r="DE156" s="444"/>
      <c r="DF156" s="444"/>
      <c r="DG156" s="444"/>
      <c r="DH156" s="444"/>
      <c r="DI156" s="444"/>
      <c r="DJ156" s="444"/>
      <c r="DK156" s="444"/>
      <c r="DL156" s="444"/>
      <c r="DM156" s="444"/>
      <c r="DN156" s="444"/>
      <c r="DO156" s="444"/>
      <c r="DP156" s="444"/>
      <c r="DQ156" s="444"/>
      <c r="DR156" s="444"/>
      <c r="DS156" s="444"/>
      <c r="DT156" s="444"/>
      <c r="DU156" s="444"/>
      <c r="DV156" s="444"/>
      <c r="DW156" s="444"/>
      <c r="DX156" s="444"/>
      <c r="DY156" s="444"/>
      <c r="DZ156" s="444"/>
      <c r="EA156" s="444"/>
      <c r="EB156" s="444"/>
      <c r="EC156" s="444"/>
      <c r="ED156" s="444"/>
      <c r="EE156" s="444"/>
      <c r="EF156" s="444"/>
      <c r="EG156" s="444"/>
      <c r="EH156" s="444"/>
      <c r="EI156" s="444"/>
      <c r="EJ156" s="444"/>
      <c r="EK156" s="444"/>
      <c r="EL156" s="444"/>
      <c r="EM156" s="444"/>
      <c r="EN156" s="444"/>
      <c r="EO156" s="444"/>
      <c r="EP156" s="444"/>
      <c r="EQ156" s="444"/>
      <c r="ER156" s="444"/>
      <c r="ES156" s="444"/>
      <c r="ET156" s="444"/>
      <c r="EU156" s="444"/>
      <c r="EV156" s="444"/>
      <c r="EW156" s="444"/>
      <c r="EX156" s="444"/>
      <c r="EY156" s="444"/>
      <c r="EZ156" s="444"/>
      <c r="FA156" s="444"/>
      <c r="FB156" s="444"/>
      <c r="FC156" s="444"/>
      <c r="FD156" s="444"/>
      <c r="FE156" s="444"/>
      <c r="FF156" s="444"/>
      <c r="FG156" s="444"/>
      <c r="FH156" s="444"/>
      <c r="FI156" s="444"/>
      <c r="FJ156" s="444"/>
      <c r="FK156" s="444"/>
      <c r="FL156" s="445"/>
      <c r="FM156" s="445"/>
      <c r="FN156" s="445"/>
      <c r="FO156" s="445"/>
      <c r="FP156" s="445"/>
      <c r="FQ156" s="445"/>
      <c r="FR156" s="445"/>
      <c r="FS156" s="445"/>
      <c r="FT156" s="445"/>
      <c r="FU156" s="445"/>
      <c r="FV156" s="445"/>
      <c r="FW156" s="445"/>
    </row>
    <row r="157" spans="1:179" ht="13.8">
      <c r="A157" s="444"/>
      <c r="B157" s="444"/>
      <c r="C157" s="645" t="str">
        <f>C154</f>
        <v>Underlying Expenses</v>
      </c>
      <c r="D157" s="645"/>
      <c r="E157" s="645"/>
      <c r="F157" s="645"/>
      <c r="G157" s="645"/>
      <c r="H157" s="645"/>
      <c r="I157" s="645"/>
      <c r="J157" s="645"/>
      <c r="K157" s="645"/>
      <c r="L157" s="645"/>
      <c r="M157" s="645"/>
      <c r="N157" s="645"/>
      <c r="O157" s="645"/>
      <c r="P157" s="645"/>
      <c r="Q157" s="645"/>
      <c r="R157" s="645"/>
      <c r="S157" s="645"/>
      <c r="T157" s="645"/>
      <c r="U157" s="645"/>
      <c r="V157" s="645"/>
      <c r="W157" s="645"/>
      <c r="X157" s="645"/>
      <c r="Y157" s="645"/>
      <c r="Z157" s="645"/>
      <c r="AA157" s="645"/>
      <c r="AB157" s="645"/>
      <c r="AC157" s="645"/>
      <c r="AD157" s="645"/>
      <c r="AE157" s="645"/>
      <c r="AF157" s="645"/>
      <c r="AG157" s="645"/>
      <c r="AH157" s="645"/>
      <c r="AI157" s="645"/>
      <c r="AJ157" s="645"/>
      <c r="AK157" s="645"/>
      <c r="AL157" s="818"/>
      <c r="AM157" s="645"/>
      <c r="AN157" s="645"/>
      <c r="AO157" s="645"/>
      <c r="AP157" s="818"/>
      <c r="AQ157" s="819"/>
      <c r="AR157" s="818"/>
      <c r="AS157" s="818"/>
      <c r="AT157" s="821"/>
      <c r="AU157" s="820"/>
      <c r="AV157" s="822">
        <f>AV154/AR154-1</f>
        <v>-1.0826998387468367E-2</v>
      </c>
      <c r="AW157" s="822">
        <f>AW154/AS154-1</f>
        <v>1.0318949343339545E-2</v>
      </c>
      <c r="AX157" s="822">
        <f>AX154/AT154-1</f>
        <v>-3.4863451481692564E-4</v>
      </c>
      <c r="AY157" s="681"/>
      <c r="AZ157" s="822">
        <f>AZ154/AV154-1</f>
        <v>-7.2193758733115621E-3</v>
      </c>
      <c r="BA157" s="822">
        <f>BA154/AW154-1</f>
        <v>1.6713091922005541E-2</v>
      </c>
      <c r="BB157" s="822">
        <f>BB154/AX154-1</f>
        <v>4.7663334108347666E-3</v>
      </c>
      <c r="BC157" s="681"/>
      <c r="BD157" s="822">
        <f>BD154/AZ154-1</f>
        <v>6.2162796152943844E-2</v>
      </c>
      <c r="BE157" s="822">
        <f>BE154/BA154-1</f>
        <v>1.9634703196347081E-2</v>
      </c>
      <c r="BF157" s="822">
        <f>BF154/BB154-1</f>
        <v>4.0610898993405087E-2</v>
      </c>
      <c r="BG157" s="681"/>
      <c r="BH157" s="822">
        <f>BH154/BD154-1</f>
        <v>-5.6316254416961087E-2</v>
      </c>
      <c r="BI157" s="822">
        <f>BI154/BE154-1</f>
        <v>1.1867442901925651E-2</v>
      </c>
      <c r="BJ157" s="822">
        <f>BJ154/BF154-1</f>
        <v>-2.2459417389370739E-2</v>
      </c>
      <c r="BK157" s="681"/>
      <c r="BL157" s="822">
        <f>BL154/BH154-1</f>
        <v>8.1441610109993068E-2</v>
      </c>
      <c r="BM157" s="822">
        <f>BM154/BI154-1</f>
        <v>4.6249170170391762E-2</v>
      </c>
      <c r="BN157" s="822">
        <f>BN154/BJ154-1</f>
        <v>6.3353048225659681E-2</v>
      </c>
      <c r="BO157" s="681"/>
      <c r="BP157" s="822">
        <f>BP154/BL154-1</f>
        <v>5.9078121618697299E-2</v>
      </c>
      <c r="BQ157" s="822">
        <f>BQ154/BM154-1</f>
        <v>5.5203045685279228E-2</v>
      </c>
      <c r="BR157" s="822">
        <f>BR154/BN154-1</f>
        <v>5.7118408385923525E-2</v>
      </c>
      <c r="BS157" s="681"/>
      <c r="BT157" s="822">
        <f>BT154/BP154-1</f>
        <v>6.129955046996316E-2</v>
      </c>
      <c r="BU157" s="822">
        <f>BU154/BQ154-1</f>
        <v>0.1076368009621167</v>
      </c>
      <c r="BV157" s="822">
        <f>BV154/BR154-1</f>
        <v>8.4690883335019729E-2</v>
      </c>
      <c r="BW157" s="681"/>
      <c r="BX157" s="822">
        <f>BX154/BT154-1</f>
        <v>0.10550635348479021</v>
      </c>
      <c r="BY157" s="822">
        <f>BY154/BU154-1</f>
        <v>0.22855591748099902</v>
      </c>
      <c r="BZ157" s="822">
        <f>BZ154/BV154-1</f>
        <v>0.16893656716417915</v>
      </c>
      <c r="CA157" s="681"/>
      <c r="CB157" s="822">
        <f>CB154/BX154-1</f>
        <v>1.024142241977577E-2</v>
      </c>
      <c r="CC157" s="822">
        <f>CC154/BY154-1</f>
        <v>-0.17887421223610622</v>
      </c>
      <c r="CD157" s="822">
        <f>CD154/BZ154-1</f>
        <v>-9.2216964275522506E-2</v>
      </c>
      <c r="CE157" s="681"/>
      <c r="CF157" s="822">
        <f>CF154/CB154-1</f>
        <v>-4.1759055543193035E-2</v>
      </c>
      <c r="CG157" s="822">
        <f>CG154/CC154-1</f>
        <v>2.2311763117999428E-2</v>
      </c>
      <c r="CH157" s="822">
        <f>CH154/CD154-1</f>
        <v>-1.03606220698369E-2</v>
      </c>
      <c r="CI157" s="681"/>
      <c r="CJ157" s="822">
        <f>CJ154/CF154-1</f>
        <v>2.381000749715434E-2</v>
      </c>
      <c r="CK157" s="822">
        <f>CK154/CG154-1</f>
        <v>-1.3271365963725135E-2</v>
      </c>
      <c r="CL157" s="822">
        <f>CL154/CH154-1</f>
        <v>5.0380349824266091E-3</v>
      </c>
      <c r="CM157" s="673"/>
      <c r="CN157" s="673"/>
      <c r="CO157" s="459"/>
      <c r="CP157" s="459"/>
      <c r="CQ157" s="459"/>
      <c r="CR157" s="459"/>
      <c r="CS157" s="459"/>
      <c r="CT157" s="459"/>
      <c r="CU157" s="459"/>
      <c r="CV157" s="459"/>
      <c r="CW157" s="459"/>
      <c r="CX157" s="459"/>
      <c r="CY157" s="459"/>
      <c r="CZ157" s="459"/>
      <c r="DA157" s="444"/>
      <c r="DB157" s="444"/>
      <c r="DC157" s="444"/>
      <c r="DD157" s="444"/>
      <c r="DE157" s="444"/>
      <c r="DF157" s="444"/>
      <c r="DG157" s="444"/>
      <c r="DH157" s="444"/>
      <c r="DI157" s="444"/>
      <c r="DJ157" s="444"/>
      <c r="DK157" s="444"/>
      <c r="DL157" s="444"/>
      <c r="DM157" s="444"/>
      <c r="DN157" s="444"/>
      <c r="DO157" s="444"/>
      <c r="DP157" s="444"/>
      <c r="DQ157" s="444"/>
      <c r="DR157" s="444"/>
      <c r="DS157" s="444"/>
      <c r="DT157" s="444"/>
      <c r="DU157" s="444"/>
      <c r="DV157" s="444"/>
      <c r="DW157" s="444"/>
      <c r="DX157" s="444"/>
      <c r="DY157" s="444"/>
      <c r="DZ157" s="444"/>
      <c r="EA157" s="444"/>
      <c r="EB157" s="444"/>
      <c r="EC157" s="444"/>
      <c r="ED157" s="444"/>
      <c r="EE157" s="444"/>
      <c r="EF157" s="444"/>
      <c r="EG157" s="444"/>
      <c r="EH157" s="444"/>
      <c r="EI157" s="444"/>
      <c r="EJ157" s="444"/>
      <c r="EK157" s="444"/>
      <c r="EL157" s="444"/>
      <c r="EM157" s="444"/>
      <c r="EN157" s="444"/>
      <c r="EO157" s="444"/>
      <c r="EP157" s="444"/>
      <c r="EQ157" s="444"/>
      <c r="ER157" s="444"/>
      <c r="ES157" s="444"/>
      <c r="ET157" s="444"/>
      <c r="EU157" s="444"/>
      <c r="EV157" s="444"/>
      <c r="EW157" s="444"/>
      <c r="EX157" s="444"/>
      <c r="EY157" s="444"/>
      <c r="EZ157" s="444"/>
      <c r="FA157" s="444"/>
      <c r="FB157" s="444"/>
      <c r="FC157" s="444"/>
      <c r="FD157" s="444"/>
      <c r="FE157" s="444"/>
      <c r="FF157" s="444"/>
      <c r="FG157" s="444"/>
      <c r="FH157" s="444"/>
      <c r="FI157" s="444"/>
      <c r="FJ157" s="444"/>
      <c r="FK157" s="444"/>
      <c r="FL157" s="444"/>
      <c r="FM157" s="444"/>
      <c r="FN157" s="444"/>
      <c r="FO157" s="444"/>
      <c r="FP157" s="444"/>
      <c r="FQ157" s="444"/>
      <c r="FR157" s="444"/>
      <c r="FS157" s="444"/>
      <c r="FT157" s="444"/>
      <c r="FU157" s="444"/>
      <c r="FV157" s="444"/>
      <c r="FW157" s="444"/>
    </row>
    <row r="158" spans="1:179" ht="13.8">
      <c r="A158" s="444"/>
      <c r="B158" s="444"/>
      <c r="C158" s="444"/>
      <c r="D158" s="444"/>
      <c r="E158" s="444"/>
      <c r="F158" s="444"/>
      <c r="G158" s="444"/>
      <c r="H158" s="444"/>
      <c r="I158" s="444"/>
      <c r="J158" s="444"/>
      <c r="K158" s="444"/>
      <c r="L158" s="444"/>
      <c r="M158" s="444"/>
      <c r="N158" s="444"/>
      <c r="O158" s="444"/>
      <c r="P158" s="444"/>
      <c r="Q158" s="444"/>
      <c r="R158" s="444"/>
      <c r="S158" s="444"/>
      <c r="T158" s="444"/>
      <c r="U158" s="444"/>
      <c r="V158" s="444"/>
      <c r="W158" s="444"/>
      <c r="X158" s="444"/>
      <c r="Y158" s="444"/>
      <c r="Z158" s="444"/>
      <c r="AA158" s="444"/>
      <c r="AB158" s="444"/>
      <c r="AC158" s="444"/>
      <c r="AD158" s="444"/>
      <c r="AE158" s="444"/>
      <c r="AF158" s="444"/>
      <c r="AG158" s="444"/>
      <c r="AH158" s="444"/>
      <c r="AI158" s="444"/>
      <c r="AJ158" s="444"/>
      <c r="AK158" s="444"/>
      <c r="AL158" s="444"/>
      <c r="AM158" s="444"/>
      <c r="AN158" s="444"/>
      <c r="AO158" s="444"/>
      <c r="AP158" s="444"/>
      <c r="AQ158" s="504"/>
      <c r="AR158" s="504"/>
      <c r="AS158" s="504"/>
      <c r="AT158" s="504"/>
      <c r="AU158" s="723"/>
      <c r="AV158" s="504"/>
      <c r="AW158" s="504"/>
      <c r="AX158" s="504"/>
      <c r="AY158" s="723"/>
      <c r="AZ158" s="861"/>
      <c r="BA158" s="504"/>
      <c r="BB158" s="504"/>
      <c r="BC158" s="504"/>
      <c r="BD158" s="861"/>
      <c r="BE158" s="504"/>
      <c r="BF158" s="504"/>
      <c r="BG158" s="504"/>
      <c r="BH158" s="861"/>
      <c r="BI158" s="504"/>
      <c r="BJ158" s="504"/>
      <c r="BK158" s="504"/>
      <c r="BL158" s="861"/>
      <c r="BM158" s="504"/>
      <c r="BN158" s="504"/>
      <c r="BO158" s="504"/>
      <c r="BP158" s="861"/>
      <c r="BQ158" s="504"/>
      <c r="BR158" s="504"/>
      <c r="BS158" s="504"/>
      <c r="BT158" s="861"/>
      <c r="BU158" s="504"/>
      <c r="BV158" s="504"/>
      <c r="BW158" s="504"/>
      <c r="BX158" s="861"/>
      <c r="BY158" s="504"/>
      <c r="BZ158" s="504"/>
      <c r="CA158" s="504"/>
      <c r="CB158" s="861"/>
      <c r="CC158" s="504"/>
      <c r="CD158" s="504"/>
      <c r="CE158" s="504"/>
      <c r="CF158" s="861"/>
      <c r="CG158" s="504"/>
      <c r="CH158" s="504"/>
      <c r="CI158" s="504"/>
      <c r="CJ158" s="861"/>
      <c r="CK158" s="504"/>
      <c r="CL158" s="504"/>
      <c r="CM158" s="444"/>
      <c r="CN158" s="444"/>
      <c r="CO158" s="459"/>
      <c r="CP158" s="459"/>
      <c r="CQ158" s="459"/>
      <c r="CR158" s="459"/>
      <c r="CS158" s="459"/>
      <c r="CT158" s="459"/>
      <c r="CU158" s="459"/>
      <c r="CV158" s="459"/>
      <c r="CW158" s="459"/>
      <c r="CX158" s="459"/>
      <c r="CY158" s="459"/>
      <c r="CZ158" s="459"/>
      <c r="DA158" s="444"/>
      <c r="DB158" s="444"/>
      <c r="DC158" s="444"/>
      <c r="DD158" s="444"/>
      <c r="DE158" s="444"/>
      <c r="DF158" s="444"/>
      <c r="DG158" s="444"/>
      <c r="DH158" s="444"/>
      <c r="DI158" s="444"/>
      <c r="DJ158" s="444"/>
      <c r="DK158" s="444"/>
      <c r="DL158" s="444"/>
      <c r="DM158" s="444"/>
      <c r="DN158" s="444"/>
      <c r="DO158" s="444"/>
      <c r="DP158" s="444"/>
      <c r="DQ158" s="444"/>
      <c r="DR158" s="444"/>
      <c r="DS158" s="444"/>
      <c r="DT158" s="444"/>
      <c r="DU158" s="444"/>
      <c r="DV158" s="444"/>
      <c r="DW158" s="444"/>
      <c r="DX158" s="444"/>
      <c r="DY158" s="444"/>
      <c r="DZ158" s="444"/>
      <c r="EA158" s="444"/>
      <c r="EB158" s="444"/>
      <c r="EC158" s="444"/>
      <c r="ED158" s="444"/>
      <c r="EE158" s="444"/>
      <c r="EF158" s="444"/>
      <c r="EG158" s="444"/>
      <c r="EH158" s="444"/>
      <c r="EI158" s="444"/>
      <c r="EJ158" s="444"/>
      <c r="EK158" s="444"/>
      <c r="EL158" s="444"/>
      <c r="EM158" s="444"/>
      <c r="EN158" s="444"/>
      <c r="EO158" s="444"/>
      <c r="EP158" s="444"/>
      <c r="EQ158" s="444"/>
      <c r="ER158" s="444"/>
      <c r="ES158" s="444"/>
      <c r="ET158" s="444"/>
      <c r="EU158" s="444"/>
      <c r="EV158" s="444"/>
      <c r="EW158" s="444"/>
      <c r="EX158" s="444"/>
      <c r="EY158" s="444"/>
      <c r="EZ158" s="444"/>
      <c r="FA158" s="444"/>
      <c r="FB158" s="444"/>
      <c r="FC158" s="444"/>
      <c r="FD158" s="444"/>
      <c r="FE158" s="444"/>
      <c r="FF158" s="444"/>
      <c r="FG158" s="444"/>
      <c r="FH158" s="444"/>
      <c r="FI158" s="444"/>
      <c r="FJ158" s="444"/>
      <c r="FK158" s="444"/>
      <c r="FL158" s="444"/>
      <c r="FM158" s="444"/>
      <c r="FN158" s="444"/>
      <c r="FO158" s="444"/>
      <c r="FP158" s="444"/>
      <c r="FQ158" s="444"/>
      <c r="FR158" s="444"/>
      <c r="FS158" s="444"/>
      <c r="FT158" s="444"/>
      <c r="FU158" s="444"/>
      <c r="FV158" s="444"/>
      <c r="FW158" s="444"/>
    </row>
    <row r="159" spans="1:179" ht="13.8">
      <c r="A159" s="444"/>
      <c r="B159" s="444"/>
      <c r="C159" s="445"/>
      <c r="D159" s="444"/>
      <c r="E159" s="444"/>
      <c r="F159" s="444"/>
      <c r="G159" s="444"/>
      <c r="H159" s="444"/>
      <c r="I159" s="444"/>
      <c r="J159" s="444"/>
      <c r="K159" s="444"/>
      <c r="L159" s="444"/>
      <c r="M159" s="444"/>
      <c r="N159" s="444"/>
      <c r="O159" s="444"/>
      <c r="P159" s="444"/>
      <c r="Q159" s="444"/>
      <c r="R159" s="444"/>
      <c r="S159" s="444"/>
      <c r="T159" s="444"/>
      <c r="U159" s="444"/>
      <c r="V159" s="444"/>
      <c r="W159" s="444"/>
      <c r="X159" s="444"/>
      <c r="Y159" s="444"/>
      <c r="Z159" s="444"/>
      <c r="AA159" s="444"/>
      <c r="AB159" s="444"/>
      <c r="AC159" s="444"/>
      <c r="AD159" s="444"/>
      <c r="AE159" s="444"/>
      <c r="AF159" s="444"/>
      <c r="AG159" s="444"/>
      <c r="AH159" s="444"/>
      <c r="AI159" s="444"/>
      <c r="AJ159" s="444"/>
      <c r="AK159" s="444"/>
      <c r="AL159" s="444"/>
      <c r="AM159" s="444"/>
      <c r="AN159" s="444"/>
      <c r="AO159" s="444"/>
      <c r="AP159" s="444"/>
      <c r="AQ159" s="444"/>
      <c r="AR159" s="483"/>
      <c r="AS159" s="483"/>
      <c r="AT159" s="483"/>
      <c r="AU159" s="444"/>
      <c r="AV159" s="483"/>
      <c r="AW159" s="483"/>
      <c r="AX159" s="483"/>
      <c r="AY159" s="444"/>
      <c r="AZ159" s="483"/>
      <c r="BA159" s="483"/>
      <c r="BB159" s="483"/>
      <c r="BC159" s="444"/>
      <c r="BD159" s="483"/>
      <c r="BE159" s="483"/>
      <c r="BF159" s="483"/>
      <c r="BG159" s="444"/>
      <c r="BH159" s="483"/>
      <c r="BI159" s="483"/>
      <c r="BJ159" s="483"/>
      <c r="BK159" s="444"/>
      <c r="BL159" s="483"/>
      <c r="BM159" s="483"/>
      <c r="BN159" s="483"/>
      <c r="BO159" s="444"/>
      <c r="BP159" s="483"/>
      <c r="BQ159" s="483"/>
      <c r="BR159" s="483"/>
      <c r="BS159" s="444"/>
      <c r="BT159" s="483"/>
      <c r="BU159" s="483"/>
      <c r="BV159" s="483"/>
      <c r="BW159" s="444"/>
      <c r="BX159" s="483"/>
      <c r="BY159" s="483"/>
      <c r="BZ159" s="483"/>
      <c r="CA159" s="444"/>
      <c r="CB159" s="483"/>
      <c r="CC159" s="483"/>
      <c r="CD159" s="483"/>
      <c r="CE159" s="444"/>
      <c r="CF159" s="483"/>
      <c r="CG159" s="483"/>
      <c r="CH159" s="483"/>
      <c r="CI159" s="444"/>
      <c r="CJ159" s="483"/>
      <c r="CK159" s="483"/>
      <c r="CL159" s="483"/>
      <c r="CM159" s="444"/>
      <c r="CN159" s="444"/>
      <c r="CO159" s="459"/>
      <c r="CP159" s="459"/>
      <c r="CQ159" s="459"/>
      <c r="CR159" s="459"/>
      <c r="CS159" s="459"/>
      <c r="CT159" s="459"/>
      <c r="CU159" s="459"/>
      <c r="CV159" s="459"/>
      <c r="CW159" s="459"/>
      <c r="CX159" s="459"/>
      <c r="CY159" s="459"/>
      <c r="CZ159" s="459"/>
      <c r="DA159" s="444"/>
      <c r="DB159" s="444"/>
      <c r="DC159" s="444"/>
      <c r="DD159" s="444"/>
      <c r="DE159" s="444"/>
      <c r="DF159" s="444"/>
      <c r="DG159" s="444"/>
      <c r="DH159" s="444"/>
      <c r="DI159" s="444"/>
      <c r="DJ159" s="444"/>
      <c r="DK159" s="444"/>
      <c r="DL159" s="444"/>
      <c r="DM159" s="444"/>
      <c r="DN159" s="444"/>
      <c r="DO159" s="444"/>
      <c r="DP159" s="444"/>
      <c r="DQ159" s="444"/>
      <c r="DR159" s="444"/>
      <c r="DS159" s="444"/>
      <c r="DT159" s="444"/>
      <c r="DU159" s="444"/>
      <c r="DV159" s="444"/>
      <c r="DW159" s="444"/>
      <c r="DX159" s="444"/>
      <c r="DY159" s="444"/>
      <c r="DZ159" s="444"/>
      <c r="EA159" s="444"/>
      <c r="EB159" s="444"/>
      <c r="EC159" s="444"/>
      <c r="ED159" s="444"/>
      <c r="EE159" s="444"/>
      <c r="EF159" s="444"/>
      <c r="EG159" s="444"/>
      <c r="EH159" s="444"/>
      <c r="EI159" s="444"/>
      <c r="EJ159" s="444"/>
      <c r="EK159" s="444"/>
      <c r="EL159" s="444"/>
      <c r="EM159" s="444"/>
      <c r="EN159" s="444"/>
      <c r="EO159" s="444"/>
      <c r="EP159" s="444"/>
      <c r="EQ159" s="444"/>
      <c r="ER159" s="444"/>
      <c r="ES159" s="444"/>
      <c r="ET159" s="444"/>
      <c r="EU159" s="444"/>
      <c r="EV159" s="444"/>
      <c r="EW159" s="444"/>
      <c r="EX159" s="444"/>
      <c r="EY159" s="444"/>
      <c r="EZ159" s="444"/>
      <c r="FA159" s="444"/>
      <c r="FB159" s="444"/>
      <c r="FC159" s="444"/>
      <c r="FD159" s="444"/>
      <c r="FE159" s="444"/>
      <c r="FF159" s="444"/>
      <c r="FG159" s="444"/>
      <c r="FH159" s="444"/>
      <c r="FI159" s="444"/>
      <c r="FJ159" s="444"/>
      <c r="FK159" s="444"/>
      <c r="FL159" s="444"/>
      <c r="FM159" s="444"/>
      <c r="FN159" s="444"/>
      <c r="FO159" s="444"/>
      <c r="FP159" s="444"/>
      <c r="FQ159" s="444"/>
      <c r="FR159" s="444"/>
      <c r="FS159" s="444"/>
      <c r="FT159" s="444"/>
      <c r="FU159" s="444"/>
      <c r="FV159" s="444"/>
      <c r="FW159" s="444"/>
    </row>
    <row r="160" spans="1:179" ht="13.8">
      <c r="A160" s="444"/>
      <c r="B160" s="444"/>
      <c r="C160" s="584" t="s">
        <v>937</v>
      </c>
      <c r="D160" s="584"/>
      <c r="E160" s="584"/>
      <c r="F160" s="584"/>
      <c r="G160" s="584"/>
      <c r="H160" s="584"/>
      <c r="I160" s="584"/>
      <c r="J160" s="584"/>
      <c r="K160" s="584"/>
      <c r="L160" s="584"/>
      <c r="M160" s="584"/>
      <c r="N160" s="584"/>
      <c r="O160" s="584"/>
      <c r="P160" s="584"/>
      <c r="Q160" s="584"/>
      <c r="R160" s="584"/>
      <c r="S160" s="584"/>
      <c r="T160" s="584"/>
      <c r="U160" s="584"/>
      <c r="V160" s="584"/>
      <c r="W160" s="584"/>
      <c r="X160" s="584"/>
      <c r="Y160" s="584"/>
      <c r="Z160" s="584"/>
      <c r="AA160" s="584"/>
      <c r="AB160" s="584"/>
      <c r="AC160" s="584"/>
      <c r="AD160" s="584"/>
      <c r="AE160" s="584"/>
      <c r="AF160" s="584"/>
      <c r="AG160" s="584"/>
      <c r="AH160" s="584"/>
      <c r="AI160" s="584"/>
      <c r="AJ160" s="584"/>
      <c r="AK160" s="584"/>
      <c r="AL160" s="584"/>
      <c r="AM160" s="584"/>
      <c r="AN160" s="584"/>
      <c r="AO160" s="584"/>
      <c r="AP160" s="584"/>
      <c r="AQ160" s="584"/>
      <c r="AR160" s="753"/>
      <c r="AS160" s="753"/>
      <c r="AT160" s="507">
        <f>+AT139+AT154</f>
        <v>10714</v>
      </c>
      <c r="AU160" s="584"/>
      <c r="AV160" s="753">
        <f>+AV139+AV154</f>
        <v>5170</v>
      </c>
      <c r="AW160" s="753">
        <f>+AW139+AW154</f>
        <v>5208</v>
      </c>
      <c r="AX160" s="507">
        <f>+AX139+AX154</f>
        <v>10378</v>
      </c>
      <c r="AY160" s="584"/>
      <c r="AZ160" s="753">
        <f>+AZ139+AZ154</f>
        <v>5245</v>
      </c>
      <c r="BA160" s="753">
        <f>+BA139+BA154</f>
        <v>4998</v>
      </c>
      <c r="BB160" s="753">
        <f>+BB139+BB154</f>
        <v>10243</v>
      </c>
      <c r="BC160" s="584"/>
      <c r="BD160" s="753">
        <f>+BD139+BD154</f>
        <v>4848</v>
      </c>
      <c r="BE160" s="753">
        <f>+BE139+BE154</f>
        <v>4801</v>
      </c>
      <c r="BF160" s="753">
        <f>+BF139+BF154</f>
        <v>9649</v>
      </c>
      <c r="BG160" s="753"/>
      <c r="BH160" s="753">
        <f>+BH139+BH154</f>
        <v>4462</v>
      </c>
      <c r="BI160" s="753">
        <f>+BI139+BI154</f>
        <v>4573</v>
      </c>
      <c r="BJ160" s="753">
        <f>+BJ139+BJ154</f>
        <v>9035</v>
      </c>
      <c r="BK160" s="753"/>
      <c r="BL160" s="753">
        <f>+BL139+BL154</f>
        <v>4058</v>
      </c>
      <c r="BM160" s="753">
        <f>+BM139+BM154</f>
        <v>4853</v>
      </c>
      <c r="BN160" s="753">
        <f>+BN139+BN154</f>
        <v>8911</v>
      </c>
      <c r="BO160" s="753"/>
      <c r="BP160" s="753">
        <f>+BP139+BP154</f>
        <v>5706</v>
      </c>
      <c r="BQ160" s="753">
        <f>+BQ139+BQ154</f>
        <v>5341</v>
      </c>
      <c r="BR160" s="753">
        <f>+BR139+BR154</f>
        <v>11047</v>
      </c>
      <c r="BS160" s="753"/>
      <c r="BT160" s="753">
        <f>+BT139+BT154</f>
        <v>5174</v>
      </c>
      <c r="BU160" s="753">
        <f>+BU139+BU154</f>
        <v>4936</v>
      </c>
      <c r="BV160" s="753">
        <f>+BV139+BV154</f>
        <v>10110</v>
      </c>
      <c r="BW160" s="753"/>
      <c r="BX160" s="753">
        <f>+BX139+BX154</f>
        <v>5253</v>
      </c>
      <c r="BY160" s="753">
        <f>+BY139+BY154</f>
        <v>4400</v>
      </c>
      <c r="BZ160" s="753">
        <f>+BZ139+BZ154</f>
        <v>9653</v>
      </c>
      <c r="CA160" s="753"/>
      <c r="CB160" s="753">
        <f ca="1">+CB139+CB154</f>
        <v>5488.1779000256502</v>
      </c>
      <c r="CC160" s="753">
        <f ca="1">+CC139+CC154</f>
        <v>5799.8927781971724</v>
      </c>
      <c r="CD160" s="753">
        <f ca="1">+CD139+CD154</f>
        <v>11288.070678222823</v>
      </c>
      <c r="CE160" s="753"/>
      <c r="CF160" s="753">
        <f ca="1">+CF139+CF154</f>
        <v>6067.8520273454651</v>
      </c>
      <c r="CG160" s="753">
        <f ca="1">+CG139+CG154</f>
        <v>6099.4059163403517</v>
      </c>
      <c r="CH160" s="753">
        <f ca="1">+CH139+CH154</f>
        <v>12167.257943685814</v>
      </c>
      <c r="CI160" s="753"/>
      <c r="CJ160" s="753">
        <f ca="1">+CJ139+CJ154</f>
        <v>6388.7144424561302</v>
      </c>
      <c r="CK160" s="753">
        <f ca="1">+CK139+CK154</f>
        <v>6621.5342167049521</v>
      </c>
      <c r="CL160" s="753">
        <f ca="1">+CL139+CL154</f>
        <v>13010.248659161083</v>
      </c>
      <c r="CM160" s="444"/>
      <c r="CN160" s="444"/>
      <c r="CO160" s="459"/>
      <c r="CP160" s="459"/>
      <c r="CQ160" s="459"/>
      <c r="CR160" s="459"/>
      <c r="CS160" s="459"/>
      <c r="CT160" s="459"/>
      <c r="CU160" s="459"/>
      <c r="CV160" s="459"/>
      <c r="CW160" s="459"/>
      <c r="CX160" s="459"/>
      <c r="CY160" s="459"/>
      <c r="CZ160" s="459"/>
      <c r="DA160" s="444"/>
      <c r="DB160" s="444"/>
      <c r="DC160" s="444"/>
      <c r="DD160" s="444"/>
      <c r="DE160" s="444"/>
      <c r="DF160" s="444"/>
      <c r="DG160" s="444"/>
      <c r="DH160" s="444"/>
      <c r="DI160" s="444"/>
      <c r="DJ160" s="444"/>
      <c r="DK160" s="444"/>
      <c r="DL160" s="444"/>
      <c r="DM160" s="444"/>
      <c r="DN160" s="444"/>
      <c r="DO160" s="444"/>
      <c r="DP160" s="444"/>
      <c r="DQ160" s="444"/>
      <c r="DR160" s="444"/>
      <c r="DS160" s="444"/>
      <c r="DT160" s="444"/>
      <c r="DU160" s="444"/>
      <c r="DV160" s="444"/>
      <c r="DW160" s="444"/>
      <c r="DX160" s="444"/>
      <c r="DY160" s="444"/>
      <c r="DZ160" s="444"/>
      <c r="EA160" s="444"/>
      <c r="EB160" s="444"/>
      <c r="EC160" s="444"/>
      <c r="ED160" s="444"/>
      <c r="EE160" s="444"/>
      <c r="EF160" s="444"/>
      <c r="EG160" s="444"/>
      <c r="EH160" s="444"/>
      <c r="EI160" s="444"/>
      <c r="EJ160" s="444"/>
      <c r="EK160" s="444"/>
      <c r="EL160" s="444"/>
      <c r="EM160" s="444"/>
      <c r="EN160" s="444"/>
      <c r="EO160" s="444"/>
      <c r="EP160" s="444"/>
      <c r="EQ160" s="444"/>
      <c r="ER160" s="444"/>
      <c r="ES160" s="444"/>
      <c r="ET160" s="444"/>
      <c r="EU160" s="444"/>
      <c r="EV160" s="444"/>
      <c r="EW160" s="444"/>
      <c r="EX160" s="444"/>
      <c r="EY160" s="444"/>
      <c r="EZ160" s="444"/>
      <c r="FA160" s="444"/>
      <c r="FB160" s="444"/>
      <c r="FC160" s="444"/>
      <c r="FD160" s="444"/>
      <c r="FE160" s="444"/>
      <c r="FF160" s="444"/>
      <c r="FG160" s="444"/>
      <c r="FH160" s="444"/>
      <c r="FI160" s="444"/>
      <c r="FJ160" s="444"/>
      <c r="FK160" s="444"/>
      <c r="FL160" s="444"/>
      <c r="FM160" s="444"/>
      <c r="FN160" s="444"/>
      <c r="FO160" s="444"/>
      <c r="FP160" s="444"/>
      <c r="FQ160" s="444"/>
      <c r="FR160" s="444"/>
      <c r="FS160" s="444"/>
      <c r="FT160" s="444"/>
      <c r="FU160" s="444"/>
      <c r="FV160" s="444"/>
      <c r="FW160" s="444"/>
    </row>
    <row r="161" spans="1:179" ht="13.8">
      <c r="A161" s="444"/>
      <c r="B161" s="444"/>
      <c r="C161" s="673"/>
      <c r="D161" s="673"/>
      <c r="E161" s="673"/>
      <c r="F161" s="673"/>
      <c r="G161" s="673"/>
      <c r="H161" s="673"/>
      <c r="I161" s="673"/>
      <c r="J161" s="673"/>
      <c r="K161" s="673"/>
      <c r="L161" s="673"/>
      <c r="M161" s="673"/>
      <c r="N161" s="673"/>
      <c r="O161" s="673"/>
      <c r="P161" s="673"/>
      <c r="Q161" s="673"/>
      <c r="R161" s="673"/>
      <c r="S161" s="673"/>
      <c r="T161" s="673"/>
      <c r="U161" s="673"/>
      <c r="V161" s="673"/>
      <c r="W161" s="673"/>
      <c r="X161" s="673"/>
      <c r="Y161" s="673"/>
      <c r="Z161" s="673"/>
      <c r="AA161" s="673"/>
      <c r="AB161" s="673"/>
      <c r="AC161" s="673"/>
      <c r="AD161" s="673"/>
      <c r="AE161" s="673"/>
      <c r="AF161" s="673"/>
      <c r="AG161" s="673"/>
      <c r="AH161" s="673"/>
      <c r="AI161" s="673"/>
      <c r="AJ161" s="673"/>
      <c r="AK161" s="673"/>
      <c r="AL161" s="673"/>
      <c r="AM161" s="673"/>
      <c r="AN161" s="673"/>
      <c r="AO161" s="673"/>
      <c r="AP161" s="673"/>
      <c r="AQ161" s="673"/>
      <c r="AR161" s="673"/>
      <c r="AS161" s="673"/>
      <c r="AT161" s="673"/>
      <c r="AU161" s="673"/>
      <c r="AV161" s="673"/>
      <c r="AW161" s="673"/>
      <c r="AX161" s="862">
        <f>+AX160/AT160-1</f>
        <v>-3.1360836288967686E-2</v>
      </c>
      <c r="AY161" s="673"/>
      <c r="AZ161" s="862">
        <f>AZ160/AV160-1</f>
        <v>1.4506769825918697E-2</v>
      </c>
      <c r="BA161" s="673"/>
      <c r="BB161" s="862">
        <f>+BB160/AX160-1</f>
        <v>-1.3008286760454846E-2</v>
      </c>
      <c r="BC161" s="673"/>
      <c r="BD161" s="862">
        <f>BD160/AZ160-1</f>
        <v>-7.5691134413727323E-2</v>
      </c>
      <c r="BE161" s="673"/>
      <c r="BF161" s="862">
        <f>+BF160/BB160-1</f>
        <v>-5.7990823001073943E-2</v>
      </c>
      <c r="BG161" s="673"/>
      <c r="BH161" s="862">
        <f>BH160/BD160-1</f>
        <v>-7.9620462046204654E-2</v>
      </c>
      <c r="BI161" s="673"/>
      <c r="BJ161" s="862">
        <f>+BJ160/BF160-1</f>
        <v>-6.3633537154109243E-2</v>
      </c>
      <c r="BK161" s="673"/>
      <c r="BL161" s="862">
        <f>BL160/BH160-1</f>
        <v>-9.054235768713581E-2</v>
      </c>
      <c r="BM161" s="673"/>
      <c r="BN161" s="862">
        <f>+BN160/BJ160-1</f>
        <v>-1.3724405091311564E-2</v>
      </c>
      <c r="BO161" s="673"/>
      <c r="BP161" s="862">
        <f>BP160/BL160-1</f>
        <v>0.40611138491867904</v>
      </c>
      <c r="BQ161" s="673"/>
      <c r="BR161" s="862">
        <f>+BR160/BN160-1</f>
        <v>0.23970373695432601</v>
      </c>
      <c r="BS161" s="673"/>
      <c r="BT161" s="862">
        <f>BT160/BP160-1</f>
        <v>-9.3235191026989184E-2</v>
      </c>
      <c r="BU161" s="673"/>
      <c r="BV161" s="862">
        <f>+BV160/BR160-1</f>
        <v>-8.4819407984068063E-2</v>
      </c>
      <c r="BW161" s="673"/>
      <c r="BX161" s="862">
        <f>BX160/BT160-1</f>
        <v>1.5268650947042994E-2</v>
      </c>
      <c r="BY161" s="673"/>
      <c r="BZ161" s="862">
        <f>+BZ160/BV160-1</f>
        <v>-4.5202769535113707E-2</v>
      </c>
      <c r="CA161" s="673"/>
      <c r="CB161" s="862">
        <f ca="1">CB160/BX160-1</f>
        <v>4.4770207505358872E-2</v>
      </c>
      <c r="CC161" s="673"/>
      <c r="CD161" s="862">
        <f ca="1">+CD160/BZ160-1</f>
        <v>0.16938471752023432</v>
      </c>
      <c r="CE161" s="673"/>
      <c r="CF161" s="862">
        <f ca="1">CF160/CB160-1</f>
        <v>0.10562232818967221</v>
      </c>
      <c r="CG161" s="673"/>
      <c r="CH161" s="862">
        <f ca="1">+CH160/CD160-1</f>
        <v>7.7886406855968593E-2</v>
      </c>
      <c r="CI161" s="673"/>
      <c r="CJ161" s="862">
        <f ca="1">CJ160/CF160-1</f>
        <v>5.28790770876848E-2</v>
      </c>
      <c r="CK161" s="673"/>
      <c r="CL161" s="862">
        <f ca="1">+CL160/CH160-1</f>
        <v>6.9283541072024279E-2</v>
      </c>
      <c r="CM161" s="444"/>
      <c r="CN161" s="444"/>
      <c r="CO161" s="459"/>
      <c r="CP161" s="459"/>
      <c r="CQ161" s="459"/>
      <c r="CR161" s="459"/>
      <c r="CS161" s="459"/>
      <c r="CT161" s="459"/>
      <c r="CU161" s="459"/>
      <c r="CV161" s="459"/>
      <c r="CW161" s="459"/>
      <c r="CX161" s="459"/>
      <c r="CY161" s="459"/>
      <c r="CZ161" s="459"/>
      <c r="DA161" s="444"/>
      <c r="DB161" s="444"/>
      <c r="DC161" s="444"/>
      <c r="DD161" s="444"/>
      <c r="DE161" s="444"/>
      <c r="DF161" s="444"/>
      <c r="DG161" s="444"/>
      <c r="DH161" s="444"/>
      <c r="DI161" s="444"/>
      <c r="DJ161" s="444"/>
      <c r="DK161" s="444"/>
      <c r="DL161" s="444"/>
      <c r="DM161" s="444"/>
      <c r="DN161" s="444"/>
      <c r="DO161" s="444"/>
      <c r="DP161" s="444"/>
      <c r="DQ161" s="444"/>
      <c r="DR161" s="444"/>
      <c r="DS161" s="444"/>
      <c r="DT161" s="444"/>
      <c r="DU161" s="444"/>
      <c r="DV161" s="444"/>
      <c r="DW161" s="444"/>
      <c r="DX161" s="444"/>
      <c r="DY161" s="444"/>
      <c r="DZ161" s="444"/>
      <c r="EA161" s="444"/>
      <c r="EB161" s="444"/>
      <c r="EC161" s="444"/>
      <c r="ED161" s="444"/>
      <c r="EE161" s="444"/>
      <c r="EF161" s="444"/>
      <c r="EG161" s="444"/>
      <c r="EH161" s="444"/>
      <c r="EI161" s="444"/>
      <c r="EJ161" s="444"/>
      <c r="EK161" s="444"/>
      <c r="EL161" s="444"/>
      <c r="EM161" s="444"/>
      <c r="EN161" s="444"/>
      <c r="EO161" s="444"/>
      <c r="EP161" s="444"/>
      <c r="EQ161" s="444"/>
      <c r="ER161" s="444"/>
      <c r="ES161" s="444"/>
      <c r="ET161" s="444"/>
      <c r="EU161" s="444"/>
      <c r="EV161" s="444"/>
      <c r="EW161" s="444"/>
      <c r="EX161" s="444"/>
      <c r="EY161" s="444"/>
      <c r="EZ161" s="444"/>
      <c r="FA161" s="444"/>
      <c r="FB161" s="444"/>
      <c r="FC161" s="444"/>
      <c r="FD161" s="444"/>
      <c r="FE161" s="444"/>
      <c r="FF161" s="444"/>
      <c r="FG161" s="444"/>
      <c r="FH161" s="444"/>
      <c r="FI161" s="444"/>
      <c r="FJ161" s="444"/>
      <c r="FK161" s="444"/>
      <c r="FL161" s="444"/>
      <c r="FM161" s="444"/>
      <c r="FN161" s="444"/>
      <c r="FO161" s="444"/>
      <c r="FP161" s="444"/>
      <c r="FQ161" s="444"/>
      <c r="FR161" s="444"/>
      <c r="FS161" s="444"/>
      <c r="FT161" s="444"/>
      <c r="FU161" s="444"/>
      <c r="FV161" s="444"/>
      <c r="FW161" s="444"/>
    </row>
    <row r="162" spans="1:179" ht="13.8">
      <c r="A162" s="444"/>
      <c r="B162" s="444"/>
      <c r="C162" s="444"/>
      <c r="D162" s="444"/>
      <c r="E162" s="444"/>
      <c r="F162" s="444"/>
      <c r="G162" s="444"/>
      <c r="H162" s="444"/>
      <c r="I162" s="444"/>
      <c r="J162" s="444"/>
      <c r="K162" s="444"/>
      <c r="L162" s="444"/>
      <c r="M162" s="444"/>
      <c r="N162" s="444"/>
      <c r="O162" s="444"/>
      <c r="P162" s="444"/>
      <c r="Q162" s="444"/>
      <c r="R162" s="444"/>
      <c r="S162" s="444"/>
      <c r="T162" s="444"/>
      <c r="U162" s="444"/>
      <c r="V162" s="444"/>
      <c r="W162" s="444"/>
      <c r="X162" s="444"/>
      <c r="Y162" s="444"/>
      <c r="Z162" s="444"/>
      <c r="AA162" s="444"/>
      <c r="AB162" s="444"/>
      <c r="AC162" s="444"/>
      <c r="AD162" s="444"/>
      <c r="AE162" s="444"/>
      <c r="AF162" s="444"/>
      <c r="AG162" s="444"/>
      <c r="AH162" s="444"/>
      <c r="AI162" s="444"/>
      <c r="AJ162" s="444"/>
      <c r="AK162" s="444"/>
      <c r="AL162" s="444"/>
      <c r="AM162" s="444"/>
      <c r="AN162" s="444"/>
      <c r="AO162" s="444"/>
      <c r="AP162" s="444"/>
      <c r="AQ162" s="444"/>
      <c r="AR162" s="444"/>
      <c r="AS162" s="444"/>
      <c r="AT162" s="444"/>
      <c r="AU162" s="444"/>
      <c r="AV162" s="444"/>
      <c r="AW162" s="444"/>
      <c r="AX162" s="444"/>
      <c r="AY162" s="444"/>
      <c r="AZ162" s="863"/>
      <c r="BA162" s="444"/>
      <c r="BB162" s="444"/>
      <c r="BC162" s="444"/>
      <c r="BD162" s="863"/>
      <c r="BE162" s="444"/>
      <c r="BF162" s="444"/>
      <c r="BG162" s="444"/>
      <c r="BH162" s="863"/>
      <c r="BI162" s="444"/>
      <c r="BJ162" s="444"/>
      <c r="BK162" s="444"/>
      <c r="BL162" s="863"/>
      <c r="BM162" s="444"/>
      <c r="BN162" s="444"/>
      <c r="BO162" s="444"/>
      <c r="BP162" s="863"/>
      <c r="BQ162" s="444"/>
      <c r="BR162" s="444"/>
      <c r="BS162" s="444"/>
      <c r="BT162" s="863"/>
      <c r="BU162" s="444"/>
      <c r="BV162" s="444"/>
      <c r="BW162" s="444"/>
      <c r="BX162" s="863"/>
      <c r="BY162" s="444"/>
      <c r="BZ162" s="444"/>
      <c r="CA162" s="444"/>
      <c r="CB162" s="863"/>
      <c r="CC162" s="444"/>
      <c r="CD162" s="444"/>
      <c r="CE162" s="444"/>
      <c r="CF162" s="863"/>
      <c r="CG162" s="444"/>
      <c r="CH162" s="444"/>
      <c r="CI162" s="444"/>
      <c r="CJ162" s="863"/>
      <c r="CK162" s="444"/>
      <c r="CL162" s="444"/>
      <c r="CM162" s="444"/>
      <c r="CN162" s="444"/>
      <c r="CO162" s="459"/>
      <c r="CP162" s="459"/>
      <c r="CQ162" s="459"/>
      <c r="CR162" s="459"/>
      <c r="CS162" s="459"/>
      <c r="CT162" s="459"/>
      <c r="CU162" s="459"/>
      <c r="CV162" s="459"/>
      <c r="CW162" s="459"/>
      <c r="CX162" s="459"/>
      <c r="CY162" s="459"/>
      <c r="CZ162" s="459"/>
      <c r="DA162" s="444"/>
      <c r="DB162" s="444"/>
      <c r="DC162" s="444"/>
      <c r="DD162" s="444"/>
      <c r="DE162" s="444"/>
      <c r="DF162" s="444"/>
      <c r="DG162" s="444"/>
      <c r="DH162" s="444"/>
      <c r="DI162" s="444"/>
      <c r="DJ162" s="444"/>
      <c r="DK162" s="444"/>
      <c r="DL162" s="444"/>
      <c r="DM162" s="444"/>
      <c r="DN162" s="444"/>
      <c r="DO162" s="444"/>
      <c r="DP162" s="444"/>
      <c r="DQ162" s="444"/>
      <c r="DR162" s="444"/>
      <c r="DS162" s="444"/>
      <c r="DT162" s="444"/>
      <c r="DU162" s="444"/>
      <c r="DV162" s="444"/>
      <c r="DW162" s="444"/>
      <c r="DX162" s="444"/>
      <c r="DY162" s="444"/>
      <c r="DZ162" s="444"/>
      <c r="EA162" s="444"/>
      <c r="EB162" s="444"/>
      <c r="EC162" s="444"/>
      <c r="ED162" s="444"/>
      <c r="EE162" s="444"/>
      <c r="EF162" s="444"/>
      <c r="EG162" s="444"/>
      <c r="EH162" s="444"/>
      <c r="EI162" s="444"/>
      <c r="EJ162" s="444"/>
      <c r="EK162" s="444"/>
      <c r="EL162" s="444"/>
      <c r="EM162" s="444"/>
      <c r="EN162" s="444"/>
      <c r="EO162" s="444"/>
      <c r="EP162" s="444"/>
      <c r="EQ162" s="444"/>
      <c r="ER162" s="444"/>
      <c r="ES162" s="444"/>
      <c r="ET162" s="444"/>
      <c r="EU162" s="444"/>
      <c r="EV162" s="444"/>
      <c r="EW162" s="444"/>
      <c r="EX162" s="444"/>
      <c r="EY162" s="444"/>
      <c r="EZ162" s="444"/>
      <c r="FA162" s="444"/>
      <c r="FB162" s="444"/>
      <c r="FC162" s="444"/>
      <c r="FD162" s="444"/>
      <c r="FE162" s="444"/>
      <c r="FF162" s="444"/>
      <c r="FG162" s="444"/>
      <c r="FH162" s="444"/>
      <c r="FI162" s="444"/>
      <c r="FJ162" s="444"/>
      <c r="FK162" s="444"/>
      <c r="FL162" s="444"/>
      <c r="FM162" s="444"/>
      <c r="FN162" s="444"/>
      <c r="FO162" s="444"/>
      <c r="FP162" s="444"/>
      <c r="FQ162" s="444"/>
      <c r="FR162" s="444"/>
      <c r="FS162" s="444"/>
      <c r="FT162" s="444"/>
      <c r="FU162" s="444"/>
      <c r="FV162" s="444"/>
      <c r="FW162" s="444"/>
    </row>
    <row r="163" spans="1:179" ht="13.8">
      <c r="A163" s="444"/>
      <c r="B163" s="444"/>
      <c r="C163" s="444"/>
      <c r="D163" s="444"/>
      <c r="E163" s="444"/>
      <c r="F163" s="444"/>
      <c r="G163" s="444"/>
      <c r="H163" s="444"/>
      <c r="I163" s="444"/>
      <c r="J163" s="444"/>
      <c r="K163" s="444"/>
      <c r="L163" s="444"/>
      <c r="M163" s="444"/>
      <c r="N163" s="444"/>
      <c r="O163" s="444"/>
      <c r="P163" s="444"/>
      <c r="Q163" s="444"/>
      <c r="R163" s="444"/>
      <c r="S163" s="444"/>
      <c r="T163" s="444"/>
      <c r="U163" s="444"/>
      <c r="V163" s="444"/>
      <c r="W163" s="444"/>
      <c r="X163" s="444"/>
      <c r="Y163" s="444"/>
      <c r="Z163" s="444"/>
      <c r="AA163" s="444"/>
      <c r="AB163" s="444"/>
      <c r="AC163" s="444"/>
      <c r="AD163" s="444"/>
      <c r="AE163" s="444"/>
      <c r="AF163" s="444"/>
      <c r="AG163" s="444"/>
      <c r="AH163" s="444"/>
      <c r="AI163" s="444"/>
      <c r="AJ163" s="444"/>
      <c r="AK163" s="444"/>
      <c r="AL163" s="444"/>
      <c r="AM163" s="444"/>
      <c r="AN163" s="444"/>
      <c r="AO163" s="444"/>
      <c r="AP163" s="444"/>
      <c r="AQ163" s="444"/>
      <c r="AR163" s="444"/>
      <c r="AS163" s="444"/>
      <c r="AT163" s="444"/>
      <c r="AU163" s="444"/>
      <c r="AV163" s="444"/>
      <c r="AW163" s="444"/>
      <c r="AX163" s="444"/>
      <c r="AY163" s="444"/>
      <c r="AZ163" s="863"/>
      <c r="BA163" s="444"/>
      <c r="BB163" s="444"/>
      <c r="BC163" s="444"/>
      <c r="BD163" s="863"/>
      <c r="BE163" s="444"/>
      <c r="BF163" s="444"/>
      <c r="BG163" s="444"/>
      <c r="BH163" s="863"/>
      <c r="BI163" s="444"/>
      <c r="BJ163" s="444"/>
      <c r="BK163" s="444"/>
      <c r="BL163" s="863"/>
      <c r="BM163" s="444"/>
      <c r="BN163" s="444"/>
      <c r="BO163" s="444"/>
      <c r="BP163" s="863"/>
      <c r="BQ163" s="444"/>
      <c r="BR163" s="444"/>
      <c r="BS163" s="444"/>
      <c r="BT163" s="863"/>
      <c r="BU163" s="444"/>
      <c r="BV163" s="444"/>
      <c r="BW163" s="444"/>
      <c r="BX163" s="863"/>
      <c r="BY163" s="444"/>
      <c r="BZ163" s="444"/>
      <c r="CA163" s="444"/>
      <c r="CB163" s="863"/>
      <c r="CC163" s="444"/>
      <c r="CD163" s="444"/>
      <c r="CE163" s="444"/>
      <c r="CF163" s="863"/>
      <c r="CG163" s="444"/>
      <c r="CH163" s="444"/>
      <c r="CI163" s="444"/>
      <c r="CJ163" s="863"/>
      <c r="CK163" s="444"/>
      <c r="CL163" s="444"/>
      <c r="CM163" s="444"/>
      <c r="CN163" s="444"/>
      <c r="CO163" s="459"/>
      <c r="CP163" s="459"/>
      <c r="CQ163" s="459"/>
      <c r="CR163" s="459"/>
      <c r="CS163" s="459"/>
      <c r="CT163" s="459"/>
      <c r="CU163" s="459"/>
      <c r="CV163" s="459"/>
      <c r="CW163" s="459"/>
      <c r="CX163" s="459"/>
      <c r="CY163" s="459"/>
      <c r="CZ163" s="459"/>
      <c r="DA163" s="444"/>
      <c r="DB163" s="444"/>
      <c r="DC163" s="444"/>
      <c r="DD163" s="444"/>
      <c r="DE163" s="444"/>
      <c r="DF163" s="444"/>
      <c r="DG163" s="444"/>
      <c r="DH163" s="444"/>
      <c r="DI163" s="444"/>
      <c r="DJ163" s="444"/>
      <c r="DK163" s="444"/>
      <c r="DL163" s="444"/>
      <c r="DM163" s="444"/>
      <c r="DN163" s="444"/>
      <c r="DO163" s="444"/>
      <c r="DP163" s="444"/>
      <c r="DQ163" s="444"/>
      <c r="DR163" s="444"/>
      <c r="DS163" s="444"/>
      <c r="DT163" s="444"/>
      <c r="DU163" s="444"/>
      <c r="DV163" s="444"/>
      <c r="DW163" s="444"/>
      <c r="DX163" s="444"/>
      <c r="DY163" s="444"/>
      <c r="DZ163" s="444"/>
      <c r="EA163" s="444"/>
      <c r="EB163" s="444"/>
      <c r="EC163" s="444"/>
      <c r="ED163" s="444"/>
      <c r="EE163" s="444"/>
      <c r="EF163" s="444"/>
      <c r="EG163" s="444"/>
      <c r="EH163" s="444"/>
      <c r="EI163" s="444"/>
      <c r="EJ163" s="444"/>
      <c r="EK163" s="444"/>
      <c r="EL163" s="444"/>
      <c r="EM163" s="444"/>
      <c r="EN163" s="444"/>
      <c r="EO163" s="444"/>
      <c r="EP163" s="444"/>
      <c r="EQ163" s="444"/>
      <c r="ER163" s="444"/>
      <c r="ES163" s="444"/>
      <c r="ET163" s="444"/>
      <c r="EU163" s="444"/>
      <c r="EV163" s="444"/>
      <c r="EW163" s="444"/>
      <c r="EX163" s="444"/>
      <c r="EY163" s="444"/>
      <c r="EZ163" s="444"/>
      <c r="FA163" s="444"/>
      <c r="FB163" s="444"/>
      <c r="FC163" s="444"/>
      <c r="FD163" s="444"/>
      <c r="FE163" s="444"/>
      <c r="FF163" s="444"/>
      <c r="FG163" s="444"/>
      <c r="FH163" s="444"/>
      <c r="FI163" s="444"/>
      <c r="FJ163" s="444"/>
      <c r="FK163" s="444"/>
      <c r="FL163" s="444"/>
      <c r="FM163" s="444"/>
      <c r="FN163" s="444"/>
      <c r="FO163" s="444"/>
      <c r="FP163" s="444"/>
      <c r="FQ163" s="444"/>
      <c r="FR163" s="444"/>
      <c r="FS163" s="444"/>
      <c r="FT163" s="444"/>
      <c r="FU163" s="444"/>
      <c r="FV163" s="444"/>
      <c r="FW163" s="444"/>
    </row>
    <row r="164" spans="1:179" ht="13.8">
      <c r="A164" s="444"/>
      <c r="B164" s="444"/>
      <c r="C164" s="444" t="s">
        <v>490</v>
      </c>
      <c r="D164" s="444"/>
      <c r="E164" s="444"/>
      <c r="F164" s="444"/>
      <c r="G164" s="444"/>
      <c r="H164" s="444"/>
      <c r="I164" s="444"/>
      <c r="J164" s="444"/>
      <c r="K164" s="444"/>
      <c r="L164" s="444"/>
      <c r="M164" s="444"/>
      <c r="N164" s="444"/>
      <c r="O164" s="444"/>
      <c r="P164" s="444"/>
      <c r="Q164" s="444"/>
      <c r="R164" s="444"/>
      <c r="S164" s="444"/>
      <c r="T164" s="444"/>
      <c r="U164" s="444"/>
      <c r="V164" s="444"/>
      <c r="W164" s="444"/>
      <c r="X164" s="444"/>
      <c r="Y164" s="444"/>
      <c r="Z164" s="444"/>
      <c r="AA164" s="444"/>
      <c r="AB164" s="444"/>
      <c r="AC164" s="444"/>
      <c r="AD164" s="444"/>
      <c r="AE164" s="444"/>
      <c r="AF164" s="444"/>
      <c r="AG164" s="444"/>
      <c r="AH164" s="444"/>
      <c r="AI164" s="444"/>
      <c r="AJ164" s="444"/>
      <c r="AK164" s="444"/>
      <c r="AL164" s="444"/>
      <c r="AM164" s="444"/>
      <c r="AN164" s="444"/>
      <c r="AO164" s="444"/>
      <c r="AP164" s="444"/>
      <c r="AQ164" s="444"/>
      <c r="AR164" s="444"/>
      <c r="AS164" s="444"/>
      <c r="AT164" s="444"/>
      <c r="AU164" s="444"/>
      <c r="AV164" s="758">
        <f>AV20</f>
        <v>-408</v>
      </c>
      <c r="AW164" s="444">
        <f>AW20</f>
        <v>-280</v>
      </c>
      <c r="AX164" s="444">
        <f>AX20</f>
        <v>-688</v>
      </c>
      <c r="AY164" s="444"/>
      <c r="AZ164" s="758">
        <f>AZ20</f>
        <v>-393</v>
      </c>
      <c r="BA164" s="758">
        <f>BA20</f>
        <v>-402</v>
      </c>
      <c r="BB164" s="758">
        <f>BB20</f>
        <v>-795</v>
      </c>
      <c r="BC164" s="758"/>
      <c r="BD164" s="758">
        <f>BD20</f>
        <v>-1674</v>
      </c>
      <c r="BE164" s="758">
        <f>BE20</f>
        <v>-1064</v>
      </c>
      <c r="BF164" s="758">
        <f>BF20</f>
        <v>-2738</v>
      </c>
      <c r="BG164" s="758"/>
      <c r="BH164" s="758">
        <f>BH20</f>
        <v>491</v>
      </c>
      <c r="BI164" s="758">
        <f>BI20</f>
        <v>76</v>
      </c>
      <c r="BJ164" s="758">
        <f>BJ20</f>
        <v>567</v>
      </c>
      <c r="BK164" s="758"/>
      <c r="BL164" s="758">
        <f>BL20</f>
        <v>284</v>
      </c>
      <c r="BM164" s="758">
        <f>BM20</f>
        <v>-52</v>
      </c>
      <c r="BN164" s="758">
        <f>BN20</f>
        <v>232</v>
      </c>
      <c r="BO164" s="758"/>
      <c r="BP164" s="758">
        <f>BP20</f>
        <v>-133</v>
      </c>
      <c r="BQ164" s="758">
        <f>BQ20</f>
        <v>-112</v>
      </c>
      <c r="BR164" s="758">
        <f>BR20</f>
        <v>-245</v>
      </c>
      <c r="BS164" s="758"/>
      <c r="BT164" s="758">
        <f>BT20</f>
        <v>-70</v>
      </c>
      <c r="BU164" s="758">
        <f>BU20</f>
        <v>-336</v>
      </c>
      <c r="BV164" s="758">
        <f>BV20</f>
        <v>-406</v>
      </c>
      <c r="BW164" s="758"/>
      <c r="BX164" s="758">
        <f>BX20</f>
        <v>-145</v>
      </c>
      <c r="BY164" s="758">
        <f>BY20</f>
        <v>-296</v>
      </c>
      <c r="BZ164" s="758">
        <f>BZ20</f>
        <v>-441</v>
      </c>
      <c r="CA164" s="758"/>
      <c r="CB164" s="758">
        <f>CB20</f>
        <v>-209.3784177127927</v>
      </c>
      <c r="CC164" s="758">
        <f>CC20</f>
        <v>-344.16098380079086</v>
      </c>
      <c r="CD164" s="758">
        <f>CD20</f>
        <v>-553.53940151358358</v>
      </c>
      <c r="CE164" s="758"/>
      <c r="CF164" s="758">
        <f>CF20</f>
        <v>-393.64249455575055</v>
      </c>
      <c r="CG164" s="758">
        <f>CG20</f>
        <v>-405.40625259113426</v>
      </c>
      <c r="CH164" s="758">
        <f>CH20</f>
        <v>-799.04874714688481</v>
      </c>
      <c r="CI164" s="758"/>
      <c r="CJ164" s="758">
        <f>CJ20</f>
        <v>-458.2648637195523</v>
      </c>
      <c r="CK164" s="758">
        <f>CK20</f>
        <v>-468.19535307126404</v>
      </c>
      <c r="CL164" s="758">
        <f>CL20</f>
        <v>-926.46021679081628</v>
      </c>
      <c r="CM164" s="444"/>
      <c r="CN164" s="444"/>
      <c r="CO164" s="459"/>
      <c r="CP164" s="459"/>
      <c r="CQ164" s="459"/>
      <c r="CR164" s="459"/>
      <c r="CS164" s="459"/>
      <c r="CT164" s="459"/>
      <c r="CU164" s="459"/>
      <c r="CV164" s="459"/>
      <c r="CW164" s="459"/>
      <c r="CX164" s="459"/>
      <c r="CY164" s="459"/>
      <c r="CZ164" s="459"/>
      <c r="DA164" s="444"/>
      <c r="DB164" s="444"/>
      <c r="DC164" s="444"/>
      <c r="DD164" s="444"/>
      <c r="DE164" s="444"/>
      <c r="DF164" s="444"/>
      <c r="DG164" s="444"/>
      <c r="DH164" s="444"/>
      <c r="DI164" s="444"/>
      <c r="DJ164" s="444"/>
      <c r="DK164" s="444"/>
      <c r="DL164" s="444"/>
      <c r="DM164" s="444"/>
      <c r="DN164" s="444"/>
      <c r="DO164" s="444"/>
      <c r="DP164" s="444"/>
      <c r="DQ164" s="444"/>
      <c r="DR164" s="444"/>
      <c r="DS164" s="444"/>
      <c r="DT164" s="444"/>
      <c r="DU164" s="444"/>
      <c r="DV164" s="444"/>
      <c r="DW164" s="444"/>
      <c r="DX164" s="444"/>
      <c r="DY164" s="444"/>
      <c r="DZ164" s="444"/>
      <c r="EA164" s="444"/>
      <c r="EB164" s="444"/>
      <c r="EC164" s="444"/>
      <c r="ED164" s="444"/>
      <c r="EE164" s="444"/>
      <c r="EF164" s="444"/>
      <c r="EG164" s="444"/>
      <c r="EH164" s="444"/>
      <c r="EI164" s="444"/>
      <c r="EJ164" s="444"/>
      <c r="EK164" s="444"/>
      <c r="EL164" s="444"/>
      <c r="EM164" s="444"/>
      <c r="EN164" s="444"/>
      <c r="EO164" s="444"/>
      <c r="EP164" s="444"/>
      <c r="EQ164" s="444"/>
      <c r="ER164" s="444"/>
      <c r="ES164" s="444"/>
      <c r="ET164" s="444"/>
      <c r="EU164" s="444"/>
      <c r="EV164" s="444"/>
      <c r="EW164" s="444"/>
      <c r="EX164" s="444"/>
      <c r="EY164" s="444"/>
      <c r="EZ164" s="444"/>
      <c r="FA164" s="444"/>
      <c r="FB164" s="444"/>
      <c r="FC164" s="444"/>
      <c r="FD164" s="444"/>
      <c r="FE164" s="444"/>
      <c r="FF164" s="444"/>
      <c r="FG164" s="444"/>
      <c r="FH164" s="444"/>
      <c r="FI164" s="444"/>
      <c r="FJ164" s="444"/>
      <c r="FK164" s="444"/>
      <c r="FL164" s="444"/>
      <c r="FM164" s="444"/>
      <c r="FN164" s="444"/>
      <c r="FO164" s="444"/>
      <c r="FP164" s="444"/>
      <c r="FQ164" s="444"/>
      <c r="FR164" s="444"/>
      <c r="FS164" s="444"/>
      <c r="FT164" s="444"/>
      <c r="FU164" s="444"/>
      <c r="FV164" s="444"/>
      <c r="FW164" s="444"/>
    </row>
    <row r="165" spans="1:179" ht="13.8">
      <c r="A165" s="444"/>
      <c r="B165" s="444"/>
      <c r="C165" s="444" t="s">
        <v>933</v>
      </c>
      <c r="D165" s="444"/>
      <c r="E165" s="444"/>
      <c r="F165" s="444"/>
      <c r="G165" s="444"/>
      <c r="H165" s="444"/>
      <c r="I165" s="444"/>
      <c r="J165" s="444"/>
      <c r="K165" s="444"/>
      <c r="L165" s="444"/>
      <c r="M165" s="444"/>
      <c r="N165" s="444"/>
      <c r="O165" s="444"/>
      <c r="P165" s="444"/>
      <c r="Q165" s="444"/>
      <c r="R165" s="444"/>
      <c r="S165" s="444"/>
      <c r="T165" s="444"/>
      <c r="U165" s="444"/>
      <c r="V165" s="444"/>
      <c r="W165" s="444"/>
      <c r="X165" s="444"/>
      <c r="Y165" s="444"/>
      <c r="Z165" s="444"/>
      <c r="AA165" s="444"/>
      <c r="AB165" s="444"/>
      <c r="AC165" s="444"/>
      <c r="AD165" s="444"/>
      <c r="AE165" s="444"/>
      <c r="AF165" s="444"/>
      <c r="AG165" s="444"/>
      <c r="AH165" s="444"/>
      <c r="AI165" s="444"/>
      <c r="AJ165" s="444"/>
      <c r="AK165" s="444"/>
      <c r="AL165" s="444"/>
      <c r="AM165" s="444"/>
      <c r="AN165" s="444"/>
      <c r="AO165" s="444"/>
      <c r="AP165" s="444"/>
      <c r="AQ165" s="444"/>
      <c r="AR165" s="444"/>
      <c r="AS165" s="444"/>
      <c r="AT165" s="444"/>
      <c r="AU165" s="444"/>
      <c r="AV165" s="864">
        <v>26</v>
      </c>
      <c r="AW165" s="864">
        <v>0</v>
      </c>
      <c r="AX165" s="444">
        <f>+AW165+AV165</f>
        <v>26</v>
      </c>
      <c r="AY165" s="444"/>
      <c r="AZ165" s="865">
        <v>0</v>
      </c>
      <c r="BA165" s="865">
        <v>0</v>
      </c>
      <c r="BB165" s="758">
        <f>+BA165+AZ165</f>
        <v>0</v>
      </c>
      <c r="BC165" s="758"/>
      <c r="BD165" s="865">
        <v>0</v>
      </c>
      <c r="BE165" s="865">
        <v>0</v>
      </c>
      <c r="BF165" s="758">
        <f>+BE165+BD165</f>
        <v>0</v>
      </c>
      <c r="BG165" s="758"/>
      <c r="BH165" s="865">
        <v>0</v>
      </c>
      <c r="BI165" s="865">
        <v>0</v>
      </c>
      <c r="BJ165" s="758">
        <f>+BI165+BH165</f>
        <v>0</v>
      </c>
      <c r="BK165" s="758"/>
      <c r="BL165" s="865">
        <v>0</v>
      </c>
      <c r="BM165" s="865">
        <v>0</v>
      </c>
      <c r="BN165" s="758">
        <f>+BM165+BL165</f>
        <v>0</v>
      </c>
      <c r="BO165" s="758"/>
      <c r="BP165" s="865">
        <v>0</v>
      </c>
      <c r="BQ165" s="865">
        <v>0</v>
      </c>
      <c r="BR165" s="758">
        <f>+BQ165+BP165</f>
        <v>0</v>
      </c>
      <c r="BS165" s="758"/>
      <c r="BT165" s="865">
        <v>0</v>
      </c>
      <c r="BU165" s="865">
        <v>0</v>
      </c>
      <c r="BV165" s="758">
        <f>+BU165+BT165</f>
        <v>0</v>
      </c>
      <c r="BW165" s="758"/>
      <c r="BX165" s="865">
        <v>0</v>
      </c>
      <c r="BY165" s="865">
        <v>0</v>
      </c>
      <c r="BZ165" s="758">
        <f>+BY165+BX165</f>
        <v>0</v>
      </c>
      <c r="CA165" s="758"/>
      <c r="CB165" s="865">
        <v>0</v>
      </c>
      <c r="CC165" s="865">
        <v>0</v>
      </c>
      <c r="CD165" s="758">
        <f>+CC165+CB165</f>
        <v>0</v>
      </c>
      <c r="CE165" s="758"/>
      <c r="CF165" s="865">
        <v>0</v>
      </c>
      <c r="CG165" s="865">
        <v>0</v>
      </c>
      <c r="CH165" s="758">
        <f>+CG165+CF165</f>
        <v>0</v>
      </c>
      <c r="CI165" s="758"/>
      <c r="CJ165" s="865">
        <v>0</v>
      </c>
      <c r="CK165" s="865">
        <v>0</v>
      </c>
      <c r="CL165" s="758">
        <f>+CK165+CJ165</f>
        <v>0</v>
      </c>
      <c r="CM165" s="444"/>
      <c r="CN165" s="444"/>
      <c r="CO165" s="459"/>
      <c r="CP165" s="459"/>
      <c r="CQ165" s="459"/>
      <c r="CR165" s="459"/>
      <c r="CS165" s="459"/>
      <c r="CT165" s="459"/>
      <c r="CU165" s="459"/>
      <c r="CV165" s="459"/>
      <c r="CW165" s="459"/>
      <c r="CX165" s="459"/>
      <c r="CY165" s="459"/>
      <c r="CZ165" s="459"/>
      <c r="DA165" s="444"/>
      <c r="DB165" s="444"/>
      <c r="DC165" s="444"/>
      <c r="DD165" s="444"/>
      <c r="DE165" s="444"/>
      <c r="DF165" s="444"/>
      <c r="DG165" s="444"/>
      <c r="DH165" s="444"/>
      <c r="DI165" s="444"/>
      <c r="DJ165" s="444"/>
      <c r="DK165" s="444"/>
      <c r="DL165" s="444"/>
      <c r="DM165" s="444"/>
      <c r="DN165" s="444"/>
      <c r="DO165" s="444"/>
      <c r="DP165" s="444"/>
      <c r="DQ165" s="444"/>
      <c r="DR165" s="444"/>
      <c r="DS165" s="444"/>
      <c r="DT165" s="444"/>
      <c r="DU165" s="444"/>
      <c r="DV165" s="444"/>
      <c r="DW165" s="444"/>
      <c r="DX165" s="444"/>
      <c r="DY165" s="444"/>
      <c r="DZ165" s="444"/>
      <c r="EA165" s="444"/>
      <c r="EB165" s="444"/>
      <c r="EC165" s="444"/>
      <c r="ED165" s="444"/>
      <c r="EE165" s="444"/>
      <c r="EF165" s="444"/>
      <c r="EG165" s="444"/>
      <c r="EH165" s="444"/>
      <c r="EI165" s="444"/>
      <c r="EJ165" s="444"/>
      <c r="EK165" s="444"/>
      <c r="EL165" s="444"/>
      <c r="EM165" s="444"/>
      <c r="EN165" s="444"/>
      <c r="EO165" s="444"/>
      <c r="EP165" s="444"/>
      <c r="EQ165" s="444"/>
      <c r="ER165" s="444"/>
      <c r="ES165" s="444"/>
      <c r="ET165" s="444"/>
      <c r="EU165" s="444"/>
      <c r="EV165" s="444"/>
      <c r="EW165" s="444"/>
      <c r="EX165" s="444"/>
      <c r="EY165" s="444"/>
      <c r="EZ165" s="444"/>
      <c r="FA165" s="444"/>
      <c r="FB165" s="444"/>
      <c r="FC165" s="444"/>
      <c r="FD165" s="444"/>
      <c r="FE165" s="444"/>
      <c r="FF165" s="444"/>
      <c r="FG165" s="444"/>
      <c r="FH165" s="444"/>
      <c r="FI165" s="444"/>
      <c r="FJ165" s="444"/>
      <c r="FK165" s="444"/>
      <c r="FL165" s="444"/>
      <c r="FM165" s="444"/>
      <c r="FN165" s="444"/>
      <c r="FO165" s="444"/>
      <c r="FP165" s="444"/>
      <c r="FQ165" s="444"/>
      <c r="FR165" s="444"/>
      <c r="FS165" s="444"/>
      <c r="FT165" s="444"/>
      <c r="FU165" s="444"/>
      <c r="FV165" s="444"/>
      <c r="FW165" s="444"/>
    </row>
    <row r="166" spans="1:179" ht="13.8">
      <c r="A166" s="444"/>
      <c r="B166" s="444"/>
      <c r="C166" s="444" t="s">
        <v>956</v>
      </c>
      <c r="D166" s="444"/>
      <c r="E166" s="444"/>
      <c r="F166" s="444"/>
      <c r="G166" s="444"/>
      <c r="H166" s="444"/>
      <c r="I166" s="444"/>
      <c r="J166" s="444"/>
      <c r="K166" s="444"/>
      <c r="L166" s="444"/>
      <c r="M166" s="444"/>
      <c r="N166" s="444"/>
      <c r="O166" s="444"/>
      <c r="P166" s="444"/>
      <c r="Q166" s="444"/>
      <c r="R166" s="444"/>
      <c r="S166" s="444"/>
      <c r="T166" s="444"/>
      <c r="U166" s="444"/>
      <c r="V166" s="444"/>
      <c r="W166" s="444"/>
      <c r="X166" s="444"/>
      <c r="Y166" s="444"/>
      <c r="Z166" s="444"/>
      <c r="AA166" s="444"/>
      <c r="AB166" s="444"/>
      <c r="AC166" s="444"/>
      <c r="AD166" s="444"/>
      <c r="AE166" s="444"/>
      <c r="AF166" s="444"/>
      <c r="AG166" s="444"/>
      <c r="AH166" s="444"/>
      <c r="AI166" s="444"/>
      <c r="AJ166" s="444"/>
      <c r="AK166" s="444"/>
      <c r="AL166" s="444"/>
      <c r="AM166" s="444"/>
      <c r="AN166" s="444"/>
      <c r="AO166" s="444"/>
      <c r="AP166" s="444"/>
      <c r="AQ166" s="444"/>
      <c r="AR166" s="444"/>
      <c r="AS166" s="444"/>
      <c r="AT166" s="444"/>
      <c r="AU166" s="444"/>
      <c r="AV166" s="758">
        <f>SUM(AV164:AV165)</f>
        <v>-382</v>
      </c>
      <c r="AW166" s="758">
        <f>SUM(AW164:AW165)</f>
        <v>-280</v>
      </c>
      <c r="AX166" s="444">
        <f>SUM(AX164:AX165)</f>
        <v>-662</v>
      </c>
      <c r="AY166" s="444"/>
      <c r="AZ166" s="758">
        <f>SUM(AZ164:AZ165)</f>
        <v>-393</v>
      </c>
      <c r="BA166" s="758">
        <f>SUM(BA164:BA165)</f>
        <v>-402</v>
      </c>
      <c r="BB166" s="758">
        <f>SUM(BB164:BB165)</f>
        <v>-795</v>
      </c>
      <c r="BC166" s="758"/>
      <c r="BD166" s="758">
        <f>SUM(BD164:BD165)</f>
        <v>-1674</v>
      </c>
      <c r="BE166" s="758">
        <f>SUM(BE164:BE165)</f>
        <v>-1064</v>
      </c>
      <c r="BF166" s="758">
        <f>SUM(BF164:BF165)</f>
        <v>-2738</v>
      </c>
      <c r="BG166" s="758"/>
      <c r="BH166" s="758">
        <f>SUM(BH164:BH165)</f>
        <v>491</v>
      </c>
      <c r="BI166" s="758">
        <f>SUM(BI164:BI165)</f>
        <v>76</v>
      </c>
      <c r="BJ166" s="758">
        <f>SUM(BJ164:BJ165)</f>
        <v>567</v>
      </c>
      <c r="BK166" s="758"/>
      <c r="BL166" s="758">
        <f>SUM(BL164:BL165)</f>
        <v>284</v>
      </c>
      <c r="BM166" s="758">
        <f>SUM(BM164:BM165)</f>
        <v>-52</v>
      </c>
      <c r="BN166" s="758">
        <f>SUM(BN164:BN165)</f>
        <v>232</v>
      </c>
      <c r="BO166" s="758"/>
      <c r="BP166" s="758">
        <f>SUM(BP164:BP165)</f>
        <v>-133</v>
      </c>
      <c r="BQ166" s="758">
        <f>SUM(BQ164:BQ165)</f>
        <v>-112</v>
      </c>
      <c r="BR166" s="758">
        <f>SUM(BR164:BR165)</f>
        <v>-245</v>
      </c>
      <c r="BS166" s="758"/>
      <c r="BT166" s="758">
        <f>SUM(BT164:BT165)</f>
        <v>-70</v>
      </c>
      <c r="BU166" s="758">
        <f>SUM(BU164:BU165)</f>
        <v>-336</v>
      </c>
      <c r="BV166" s="758">
        <f>SUM(BV164:BV165)</f>
        <v>-406</v>
      </c>
      <c r="BW166" s="758"/>
      <c r="BX166" s="758">
        <f>SUM(BX164:BX165)</f>
        <v>-145</v>
      </c>
      <c r="BY166" s="758">
        <f>SUM(BY164:BY165)</f>
        <v>-296</v>
      </c>
      <c r="BZ166" s="758">
        <f>SUM(BZ164:BZ165)</f>
        <v>-441</v>
      </c>
      <c r="CA166" s="758"/>
      <c r="CB166" s="758">
        <f>SUM(CB164:CB165)</f>
        <v>-209.3784177127927</v>
      </c>
      <c r="CC166" s="758">
        <f>SUM(CC164:CC165)</f>
        <v>-344.16098380079086</v>
      </c>
      <c r="CD166" s="758">
        <f>SUM(CD164:CD165)</f>
        <v>-553.53940151358358</v>
      </c>
      <c r="CE166" s="758"/>
      <c r="CF166" s="758">
        <f>SUM(CF164:CF165)</f>
        <v>-393.64249455575055</v>
      </c>
      <c r="CG166" s="758">
        <f>SUM(CG164:CG165)</f>
        <v>-405.40625259113426</v>
      </c>
      <c r="CH166" s="758">
        <f>SUM(CH164:CH165)</f>
        <v>-799.04874714688481</v>
      </c>
      <c r="CI166" s="758"/>
      <c r="CJ166" s="758">
        <f>SUM(CJ164:CJ165)</f>
        <v>-458.2648637195523</v>
      </c>
      <c r="CK166" s="758">
        <f>SUM(CK164:CK165)</f>
        <v>-468.19535307126404</v>
      </c>
      <c r="CL166" s="758">
        <f>SUM(CL164:CL165)</f>
        <v>-926.46021679081628</v>
      </c>
      <c r="CM166" s="444"/>
      <c r="CN166" s="444"/>
      <c r="CO166" s="459"/>
      <c r="CP166" s="459"/>
      <c r="CQ166" s="459"/>
      <c r="CR166" s="459"/>
      <c r="CS166" s="459"/>
      <c r="CT166" s="459"/>
      <c r="CU166" s="459"/>
      <c r="CV166" s="459"/>
      <c r="CW166" s="459"/>
      <c r="CX166" s="459"/>
      <c r="CY166" s="459"/>
      <c r="CZ166" s="459"/>
      <c r="DA166" s="444"/>
      <c r="DB166" s="444"/>
      <c r="DC166" s="444"/>
      <c r="DD166" s="444"/>
      <c r="DE166" s="444"/>
      <c r="DF166" s="444"/>
      <c r="DG166" s="444"/>
      <c r="DH166" s="444"/>
      <c r="DI166" s="444"/>
      <c r="DJ166" s="444"/>
      <c r="DK166" s="444"/>
      <c r="DL166" s="444"/>
      <c r="DM166" s="444"/>
      <c r="DN166" s="444"/>
      <c r="DO166" s="444"/>
      <c r="DP166" s="444"/>
      <c r="DQ166" s="444"/>
      <c r="DR166" s="444"/>
      <c r="DS166" s="444"/>
      <c r="DT166" s="444"/>
      <c r="DU166" s="444"/>
      <c r="DV166" s="444"/>
      <c r="DW166" s="444"/>
      <c r="DX166" s="444"/>
      <c r="DY166" s="444"/>
      <c r="DZ166" s="444"/>
      <c r="EA166" s="444"/>
      <c r="EB166" s="444"/>
      <c r="EC166" s="444"/>
      <c r="ED166" s="444"/>
      <c r="EE166" s="444"/>
      <c r="EF166" s="444"/>
      <c r="EG166" s="444"/>
      <c r="EH166" s="444"/>
      <c r="EI166" s="444"/>
      <c r="EJ166" s="444"/>
      <c r="EK166" s="444"/>
      <c r="EL166" s="444"/>
      <c r="EM166" s="444"/>
      <c r="EN166" s="444"/>
      <c r="EO166" s="444"/>
      <c r="EP166" s="444"/>
      <c r="EQ166" s="444"/>
      <c r="ER166" s="444"/>
      <c r="ES166" s="444"/>
      <c r="ET166" s="444"/>
      <c r="EU166" s="444"/>
      <c r="EV166" s="444"/>
      <c r="EW166" s="444"/>
      <c r="EX166" s="444"/>
      <c r="EY166" s="444"/>
      <c r="EZ166" s="444"/>
      <c r="FA166" s="444"/>
      <c r="FB166" s="444"/>
      <c r="FC166" s="444"/>
      <c r="FD166" s="444"/>
      <c r="FE166" s="444"/>
      <c r="FF166" s="444"/>
      <c r="FG166" s="444"/>
      <c r="FH166" s="444"/>
      <c r="FI166" s="444"/>
      <c r="FJ166" s="444"/>
      <c r="FK166" s="444"/>
      <c r="FL166" s="444"/>
      <c r="FM166" s="444"/>
      <c r="FN166" s="444"/>
      <c r="FO166" s="444"/>
      <c r="FP166" s="444"/>
      <c r="FQ166" s="444"/>
      <c r="FR166" s="444"/>
      <c r="FS166" s="444"/>
      <c r="FT166" s="444"/>
      <c r="FU166" s="444"/>
      <c r="FV166" s="444"/>
      <c r="FW166" s="444"/>
    </row>
    <row r="167" spans="1:179" ht="13.8">
      <c r="A167" s="444"/>
      <c r="B167" s="444"/>
      <c r="C167" s="444"/>
      <c r="D167" s="444"/>
      <c r="E167" s="444"/>
      <c r="F167" s="444"/>
      <c r="G167" s="444"/>
      <c r="H167" s="444"/>
      <c r="I167" s="444"/>
      <c r="J167" s="444"/>
      <c r="K167" s="444"/>
      <c r="L167" s="444"/>
      <c r="M167" s="444"/>
      <c r="N167" s="444"/>
      <c r="O167" s="444"/>
      <c r="P167" s="444"/>
      <c r="Q167" s="444"/>
      <c r="R167" s="444"/>
      <c r="S167" s="444"/>
      <c r="T167" s="444"/>
      <c r="U167" s="444"/>
      <c r="V167" s="444"/>
      <c r="W167" s="444"/>
      <c r="X167" s="444"/>
      <c r="Y167" s="444"/>
      <c r="Z167" s="444"/>
      <c r="AA167" s="444"/>
      <c r="AB167" s="444"/>
      <c r="AC167" s="444"/>
      <c r="AD167" s="444"/>
      <c r="AE167" s="444"/>
      <c r="AF167" s="444"/>
      <c r="AG167" s="444"/>
      <c r="AH167" s="444"/>
      <c r="AI167" s="444"/>
      <c r="AJ167" s="444"/>
      <c r="AK167" s="444"/>
      <c r="AL167" s="444"/>
      <c r="AM167" s="444"/>
      <c r="AN167" s="444"/>
      <c r="AO167" s="444"/>
      <c r="AP167" s="444"/>
      <c r="AQ167" s="444"/>
      <c r="AR167" s="444"/>
      <c r="AS167" s="444"/>
      <c r="AT167" s="444"/>
      <c r="AU167" s="444"/>
      <c r="AV167" s="444"/>
      <c r="AW167" s="444"/>
      <c r="AX167" s="444"/>
      <c r="AY167" s="444"/>
      <c r="AZ167" s="863"/>
      <c r="BA167" s="444"/>
      <c r="BB167" s="444"/>
      <c r="BC167" s="444"/>
      <c r="BD167" s="863"/>
      <c r="BE167" s="444"/>
      <c r="BF167" s="444"/>
      <c r="BG167" s="444"/>
      <c r="BH167" s="444"/>
      <c r="BI167" s="444"/>
      <c r="BJ167" s="444"/>
      <c r="BK167" s="444"/>
      <c r="BL167" s="444"/>
      <c r="BM167" s="444"/>
      <c r="BN167" s="444"/>
      <c r="BO167" s="444"/>
      <c r="BP167" s="444"/>
      <c r="BQ167" s="444"/>
      <c r="BR167" s="444"/>
      <c r="BS167" s="444"/>
      <c r="BT167" s="444"/>
      <c r="BU167" s="444"/>
      <c r="BV167" s="444"/>
      <c r="BW167" s="444"/>
      <c r="BX167" s="444"/>
      <c r="BY167" s="444"/>
      <c r="BZ167" s="444"/>
      <c r="CA167" s="444"/>
      <c r="CB167" s="444"/>
      <c r="CC167" s="444"/>
      <c r="CD167" s="444"/>
      <c r="CE167" s="444"/>
      <c r="CF167" s="444"/>
      <c r="CG167" s="444"/>
      <c r="CH167" s="444"/>
      <c r="CI167" s="444"/>
      <c r="CJ167" s="444"/>
      <c r="CK167" s="444"/>
      <c r="CL167" s="444"/>
      <c r="CM167" s="444"/>
      <c r="CN167" s="444"/>
      <c r="CO167" s="459"/>
      <c r="CP167" s="459"/>
      <c r="CQ167" s="459"/>
      <c r="CR167" s="459"/>
      <c r="CS167" s="459"/>
      <c r="CT167" s="459"/>
      <c r="CU167" s="459"/>
      <c r="CV167" s="459"/>
      <c r="CW167" s="459"/>
      <c r="CX167" s="459"/>
      <c r="CY167" s="459"/>
      <c r="CZ167" s="459"/>
      <c r="DA167" s="444"/>
      <c r="DB167" s="444"/>
      <c r="DC167" s="444"/>
      <c r="DD167" s="444"/>
      <c r="DE167" s="444"/>
      <c r="DF167" s="444"/>
      <c r="DG167" s="444"/>
      <c r="DH167" s="444"/>
      <c r="DI167" s="444"/>
      <c r="DJ167" s="444"/>
      <c r="DK167" s="444"/>
      <c r="DL167" s="444"/>
      <c r="DM167" s="444"/>
      <c r="DN167" s="444"/>
      <c r="DO167" s="444"/>
      <c r="DP167" s="444"/>
      <c r="DQ167" s="444"/>
      <c r="DR167" s="444"/>
      <c r="DS167" s="444"/>
      <c r="DT167" s="444"/>
      <c r="DU167" s="444"/>
      <c r="DV167" s="444"/>
      <c r="DW167" s="444"/>
      <c r="DX167" s="444"/>
      <c r="DY167" s="444"/>
      <c r="DZ167" s="444"/>
      <c r="EA167" s="444"/>
      <c r="EB167" s="444"/>
      <c r="EC167" s="444"/>
      <c r="ED167" s="444"/>
      <c r="EE167" s="444"/>
      <c r="EF167" s="444"/>
      <c r="EG167" s="444"/>
      <c r="EH167" s="444"/>
      <c r="EI167" s="444"/>
      <c r="EJ167" s="444"/>
      <c r="EK167" s="444"/>
      <c r="EL167" s="444"/>
      <c r="EM167" s="444"/>
      <c r="EN167" s="444"/>
      <c r="EO167" s="444"/>
      <c r="EP167" s="444"/>
      <c r="EQ167" s="444"/>
      <c r="ER167" s="444"/>
      <c r="ES167" s="444"/>
      <c r="ET167" s="444"/>
      <c r="EU167" s="444"/>
      <c r="EV167" s="444"/>
      <c r="EW167" s="444"/>
      <c r="EX167" s="444"/>
      <c r="EY167" s="444"/>
      <c r="EZ167" s="444"/>
      <c r="FA167" s="444"/>
      <c r="FB167" s="444"/>
      <c r="FC167" s="444"/>
      <c r="FD167" s="444"/>
      <c r="FE167" s="444"/>
      <c r="FF167" s="444"/>
      <c r="FG167" s="444"/>
      <c r="FH167" s="444"/>
      <c r="FI167" s="444"/>
      <c r="FJ167" s="444"/>
      <c r="FK167" s="444"/>
      <c r="FL167" s="444"/>
      <c r="FM167" s="444"/>
      <c r="FN167" s="444"/>
      <c r="FO167" s="444"/>
      <c r="FP167" s="444"/>
      <c r="FQ167" s="444"/>
      <c r="FR167" s="444"/>
      <c r="FS167" s="444"/>
      <c r="FT167" s="444"/>
      <c r="FU167" s="444"/>
      <c r="FV167" s="444"/>
      <c r="FW167" s="444"/>
    </row>
    <row r="168" spans="1:179" ht="13.8">
      <c r="A168" s="444"/>
      <c r="B168" s="444"/>
      <c r="C168" s="444"/>
      <c r="D168" s="444"/>
      <c r="E168" s="444"/>
      <c r="F168" s="444"/>
      <c r="G168" s="444"/>
      <c r="H168" s="444"/>
      <c r="I168" s="444"/>
      <c r="J168" s="444"/>
      <c r="K168" s="444"/>
      <c r="L168" s="444"/>
      <c r="M168" s="444"/>
      <c r="N168" s="444"/>
      <c r="O168" s="444"/>
      <c r="P168" s="444"/>
      <c r="Q168" s="444"/>
      <c r="R168" s="444"/>
      <c r="S168" s="444"/>
      <c r="T168" s="444"/>
      <c r="U168" s="444"/>
      <c r="V168" s="444"/>
      <c r="W168" s="444"/>
      <c r="X168" s="444"/>
      <c r="Y168" s="444"/>
      <c r="Z168" s="444"/>
      <c r="AA168" s="444"/>
      <c r="AB168" s="444"/>
      <c r="AC168" s="444"/>
      <c r="AD168" s="444"/>
      <c r="AE168" s="444"/>
      <c r="AF168" s="444"/>
      <c r="AG168" s="444"/>
      <c r="AH168" s="444"/>
      <c r="AI168" s="444"/>
      <c r="AJ168" s="444"/>
      <c r="AK168" s="444"/>
      <c r="AL168" s="444"/>
      <c r="AM168" s="444"/>
      <c r="AN168" s="444"/>
      <c r="AO168" s="444"/>
      <c r="AP168" s="444"/>
      <c r="AQ168" s="444"/>
      <c r="AR168" s="444"/>
      <c r="AS168" s="444"/>
      <c r="AT168" s="444"/>
      <c r="AU168" s="444"/>
      <c r="AV168" s="444"/>
      <c r="AW168" s="444"/>
      <c r="AX168" s="444"/>
      <c r="AY168" s="444"/>
      <c r="AZ168" s="863"/>
      <c r="BA168" s="444"/>
      <c r="BB168" s="444"/>
      <c r="BC168" s="444"/>
      <c r="BD168" s="444"/>
      <c r="BE168" s="444"/>
      <c r="BF168" s="444"/>
      <c r="BG168" s="444"/>
      <c r="BH168" s="444"/>
      <c r="BI168" s="444"/>
      <c r="BJ168" s="444"/>
      <c r="BK168" s="444"/>
      <c r="BL168" s="444"/>
      <c r="BM168" s="444"/>
      <c r="BN168" s="444"/>
      <c r="BO168" s="444"/>
      <c r="BP168" s="444"/>
      <c r="BQ168" s="444"/>
      <c r="BR168" s="444"/>
      <c r="BS168" s="444"/>
      <c r="BT168" s="444"/>
      <c r="BU168" s="444"/>
      <c r="BV168" s="444"/>
      <c r="BW168" s="444"/>
      <c r="BX168" s="444"/>
      <c r="BY168" s="444"/>
      <c r="BZ168" s="444"/>
      <c r="CA168" s="444"/>
      <c r="CB168" s="444"/>
      <c r="CC168" s="444"/>
      <c r="CD168" s="444"/>
      <c r="CE168" s="444"/>
      <c r="CF168" s="444"/>
      <c r="CG168" s="444"/>
      <c r="CH168" s="444"/>
      <c r="CI168" s="444"/>
      <c r="CJ168" s="444"/>
      <c r="CK168" s="444"/>
      <c r="CL168" s="444"/>
      <c r="CM168" s="444"/>
      <c r="CN168" s="444"/>
      <c r="CO168" s="459"/>
      <c r="CP168" s="459"/>
      <c r="CQ168" s="459"/>
      <c r="CR168" s="459"/>
      <c r="CS168" s="459"/>
      <c r="CT168" s="459"/>
      <c r="CU168" s="459"/>
      <c r="CV168" s="459"/>
      <c r="CW168" s="459"/>
      <c r="CX168" s="459"/>
      <c r="CY168" s="459"/>
      <c r="CZ168" s="459"/>
      <c r="DA168" s="444"/>
      <c r="DB168" s="444"/>
      <c r="DC168" s="444"/>
      <c r="DD168" s="444"/>
      <c r="DE168" s="444"/>
      <c r="DF168" s="444"/>
      <c r="DG168" s="444"/>
      <c r="DH168" s="444"/>
      <c r="DI168" s="444"/>
      <c r="DJ168" s="444"/>
      <c r="DK168" s="444"/>
      <c r="DL168" s="444"/>
      <c r="DM168" s="444"/>
      <c r="DN168" s="444"/>
      <c r="DO168" s="444"/>
      <c r="DP168" s="444"/>
      <c r="DQ168" s="444"/>
      <c r="DR168" s="444"/>
      <c r="DS168" s="444"/>
      <c r="DT168" s="444"/>
      <c r="DU168" s="444"/>
      <c r="DV168" s="444"/>
      <c r="DW168" s="444"/>
      <c r="DX168" s="444"/>
      <c r="DY168" s="444"/>
      <c r="DZ168" s="444"/>
      <c r="EA168" s="444"/>
      <c r="EB168" s="444"/>
      <c r="EC168" s="444"/>
      <c r="ED168" s="444"/>
      <c r="EE168" s="444"/>
      <c r="EF168" s="444"/>
      <c r="EG168" s="444"/>
      <c r="EH168" s="444"/>
      <c r="EI168" s="444"/>
      <c r="EJ168" s="444"/>
      <c r="EK168" s="444"/>
      <c r="EL168" s="444"/>
      <c r="EM168" s="444"/>
      <c r="EN168" s="444"/>
      <c r="EO168" s="444"/>
      <c r="EP168" s="444"/>
      <c r="EQ168" s="444"/>
      <c r="ER168" s="444"/>
      <c r="ES168" s="444"/>
      <c r="ET168" s="444"/>
      <c r="EU168" s="444"/>
      <c r="EV168" s="444"/>
      <c r="EW168" s="444"/>
      <c r="EX168" s="444"/>
      <c r="EY168" s="444"/>
      <c r="EZ168" s="444"/>
      <c r="FA168" s="444"/>
      <c r="FB168" s="444"/>
      <c r="FC168" s="444"/>
      <c r="FD168" s="444"/>
      <c r="FE168" s="444"/>
      <c r="FF168" s="444"/>
      <c r="FG168" s="444"/>
      <c r="FH168" s="444"/>
      <c r="FI168" s="444"/>
      <c r="FJ168" s="444"/>
      <c r="FK168" s="444"/>
      <c r="FL168" s="444"/>
      <c r="FM168" s="444"/>
      <c r="FN168" s="444"/>
      <c r="FO168" s="444"/>
      <c r="FP168" s="444"/>
      <c r="FQ168" s="444"/>
      <c r="FR168" s="444"/>
      <c r="FS168" s="444"/>
      <c r="FT168" s="444"/>
      <c r="FU168" s="444"/>
      <c r="FV168" s="444"/>
      <c r="FW168" s="444"/>
    </row>
    <row r="169" spans="1:179" ht="13.8">
      <c r="A169" s="444"/>
      <c r="B169" s="444"/>
      <c r="C169" s="444"/>
      <c r="D169" s="444"/>
      <c r="E169" s="444"/>
      <c r="F169" s="444"/>
      <c r="G169" s="444"/>
      <c r="H169" s="444"/>
      <c r="I169" s="444"/>
      <c r="J169" s="444"/>
      <c r="K169" s="444"/>
      <c r="L169" s="444"/>
      <c r="M169" s="444"/>
      <c r="N169" s="444"/>
      <c r="O169" s="444"/>
      <c r="P169" s="444"/>
      <c r="Q169" s="444"/>
      <c r="R169" s="444"/>
      <c r="S169" s="444"/>
      <c r="T169" s="444"/>
      <c r="U169" s="444"/>
      <c r="V169" s="444"/>
      <c r="W169" s="444"/>
      <c r="X169" s="444"/>
      <c r="Y169" s="444"/>
      <c r="Z169" s="444"/>
      <c r="AA169" s="444"/>
      <c r="AB169" s="444"/>
      <c r="AC169" s="444"/>
      <c r="AD169" s="444"/>
      <c r="AE169" s="444"/>
      <c r="AF169" s="444"/>
      <c r="AG169" s="444"/>
      <c r="AH169" s="444"/>
      <c r="AI169" s="444"/>
      <c r="AJ169" s="444"/>
      <c r="AK169" s="444"/>
      <c r="AL169" s="444"/>
      <c r="AM169" s="444"/>
      <c r="AN169" s="444"/>
      <c r="AO169" s="444"/>
      <c r="AP169" s="444"/>
      <c r="AQ169" s="444"/>
      <c r="AR169" s="444"/>
      <c r="AS169" s="444"/>
      <c r="AT169" s="444"/>
      <c r="AU169" s="444"/>
      <c r="AV169" s="444"/>
      <c r="AW169" s="444"/>
      <c r="AX169" s="444"/>
      <c r="AY169" s="444"/>
      <c r="AZ169" s="863"/>
      <c r="BA169" s="444"/>
      <c r="BB169" s="444"/>
      <c r="BC169" s="444"/>
      <c r="BD169" s="444"/>
      <c r="BE169" s="444"/>
      <c r="BF169" s="444"/>
      <c r="BG169" s="444"/>
      <c r="BH169" s="444"/>
      <c r="BI169" s="444"/>
      <c r="BJ169" s="444"/>
      <c r="BK169" s="444"/>
      <c r="BL169" s="444"/>
      <c r="BM169" s="444"/>
      <c r="BN169" s="444"/>
      <c r="BO169" s="444"/>
      <c r="BP169" s="444"/>
      <c r="BQ169" s="444"/>
      <c r="BR169" s="444"/>
      <c r="BS169" s="444"/>
      <c r="BT169" s="444"/>
      <c r="BU169" s="444"/>
      <c r="BV169" s="444"/>
      <c r="BW169" s="444"/>
      <c r="BX169" s="444"/>
      <c r="BY169" s="444"/>
      <c r="BZ169" s="444"/>
      <c r="CA169" s="444"/>
      <c r="CB169" s="444"/>
      <c r="CC169" s="444"/>
      <c r="CD169" s="444"/>
      <c r="CE169" s="444"/>
      <c r="CF169" s="444"/>
      <c r="CG169" s="444"/>
      <c r="CH169" s="444"/>
      <c r="CI169" s="444"/>
      <c r="CJ169" s="444"/>
      <c r="CK169" s="444"/>
      <c r="CL169" s="444"/>
      <c r="CM169" s="444"/>
      <c r="CN169" s="444"/>
      <c r="CO169" s="459"/>
      <c r="CP169" s="459"/>
      <c r="CQ169" s="459"/>
      <c r="CR169" s="459"/>
      <c r="CS169" s="459"/>
      <c r="CT169" s="459"/>
      <c r="CU169" s="459"/>
      <c r="CV169" s="459"/>
      <c r="CW169" s="459"/>
      <c r="CX169" s="459"/>
      <c r="CY169" s="459"/>
      <c r="CZ169" s="459"/>
      <c r="DA169" s="444"/>
      <c r="DB169" s="444"/>
      <c r="DC169" s="444"/>
      <c r="DD169" s="444"/>
      <c r="DE169" s="444"/>
      <c r="DF169" s="444"/>
      <c r="DG169" s="444"/>
      <c r="DH169" s="444"/>
      <c r="DI169" s="444"/>
      <c r="DJ169" s="444"/>
      <c r="DK169" s="444"/>
      <c r="DL169" s="444"/>
      <c r="DM169" s="444"/>
      <c r="DN169" s="444"/>
      <c r="DO169" s="444"/>
      <c r="DP169" s="444"/>
      <c r="DQ169" s="444"/>
      <c r="DR169" s="444"/>
      <c r="DS169" s="444"/>
      <c r="DT169" s="444"/>
      <c r="DU169" s="444"/>
      <c r="DV169" s="444"/>
      <c r="DW169" s="444"/>
      <c r="DX169" s="444"/>
      <c r="DY169" s="444"/>
      <c r="DZ169" s="444"/>
      <c r="EA169" s="444"/>
      <c r="EB169" s="444"/>
      <c r="EC169" s="444"/>
      <c r="ED169" s="444"/>
      <c r="EE169" s="444"/>
      <c r="EF169" s="444"/>
      <c r="EG169" s="444"/>
      <c r="EH169" s="444"/>
      <c r="EI169" s="444"/>
      <c r="EJ169" s="444"/>
      <c r="EK169" s="444"/>
      <c r="EL169" s="444"/>
      <c r="EM169" s="444"/>
      <c r="EN169" s="444"/>
      <c r="EO169" s="444"/>
      <c r="EP169" s="444"/>
      <c r="EQ169" s="444"/>
      <c r="ER169" s="444"/>
      <c r="ES169" s="444"/>
      <c r="ET169" s="444"/>
      <c r="EU169" s="444"/>
      <c r="EV169" s="444"/>
      <c r="EW169" s="444"/>
      <c r="EX169" s="444"/>
      <c r="EY169" s="444"/>
      <c r="EZ169" s="444"/>
      <c r="FA169" s="444"/>
      <c r="FB169" s="444"/>
      <c r="FC169" s="444"/>
      <c r="FD169" s="444"/>
      <c r="FE169" s="444"/>
      <c r="FF169" s="444"/>
      <c r="FG169" s="444"/>
      <c r="FH169" s="444"/>
      <c r="FI169" s="444"/>
      <c r="FJ169" s="444"/>
      <c r="FK169" s="444"/>
      <c r="FL169" s="444"/>
      <c r="FM169" s="444"/>
      <c r="FN169" s="444"/>
      <c r="FO169" s="444"/>
      <c r="FP169" s="444"/>
      <c r="FQ169" s="444"/>
      <c r="FR169" s="444"/>
      <c r="FS169" s="444"/>
      <c r="FT169" s="444"/>
      <c r="FU169" s="444"/>
      <c r="FV169" s="444"/>
      <c r="FW169" s="444"/>
    </row>
    <row r="170" spans="1:179" ht="13.8">
      <c r="A170" s="444"/>
      <c r="B170" s="444"/>
      <c r="C170" s="444"/>
      <c r="D170" s="444"/>
      <c r="E170" s="444"/>
      <c r="F170" s="444"/>
      <c r="G170" s="444"/>
      <c r="H170" s="444"/>
      <c r="I170" s="444"/>
      <c r="J170" s="444"/>
      <c r="K170" s="444"/>
      <c r="L170" s="444"/>
      <c r="M170" s="444"/>
      <c r="N170" s="444"/>
      <c r="O170" s="444"/>
      <c r="P170" s="444"/>
      <c r="Q170" s="444"/>
      <c r="R170" s="444"/>
      <c r="S170" s="444"/>
      <c r="T170" s="444"/>
      <c r="U170" s="444"/>
      <c r="V170" s="444"/>
      <c r="W170" s="444"/>
      <c r="X170" s="444"/>
      <c r="Y170" s="444"/>
      <c r="Z170" s="444"/>
      <c r="AA170" s="444"/>
      <c r="AB170" s="444"/>
      <c r="AC170" s="444"/>
      <c r="AD170" s="444"/>
      <c r="AE170" s="444"/>
      <c r="AF170" s="444"/>
      <c r="AG170" s="444"/>
      <c r="AH170" s="444"/>
      <c r="AI170" s="444"/>
      <c r="AJ170" s="444"/>
      <c r="AK170" s="444"/>
      <c r="AL170" s="444"/>
      <c r="AM170" s="444"/>
      <c r="AN170" s="444"/>
      <c r="AO170" s="444"/>
      <c r="AP170" s="444"/>
      <c r="AQ170" s="444"/>
      <c r="AR170" s="444"/>
      <c r="AS170" s="444"/>
      <c r="AT170" s="444"/>
      <c r="AU170" s="444"/>
      <c r="AV170" s="444"/>
      <c r="AW170" s="444"/>
      <c r="AX170" s="444"/>
      <c r="AY170" s="444"/>
      <c r="AZ170" s="863"/>
      <c r="BA170" s="444"/>
      <c r="BB170" s="444"/>
      <c r="BC170" s="444"/>
      <c r="BD170" s="444"/>
      <c r="BE170" s="444"/>
      <c r="BF170" s="444"/>
      <c r="BG170" s="444"/>
      <c r="BH170" s="444"/>
      <c r="BI170" s="444"/>
      <c r="BJ170" s="444"/>
      <c r="BK170" s="444"/>
      <c r="BL170" s="444"/>
      <c r="BM170" s="444"/>
      <c r="BN170" s="444"/>
      <c r="BO170" s="444"/>
      <c r="BP170" s="444"/>
      <c r="BQ170" s="444"/>
      <c r="BR170" s="444"/>
      <c r="BS170" s="444"/>
      <c r="BT170" s="444"/>
      <c r="BU170" s="444"/>
      <c r="BV170" s="444"/>
      <c r="BW170" s="444"/>
      <c r="BX170" s="444"/>
      <c r="BY170" s="444"/>
      <c r="BZ170" s="444"/>
      <c r="CA170" s="444"/>
      <c r="CB170" s="444"/>
      <c r="CC170" s="444"/>
      <c r="CD170" s="444"/>
      <c r="CE170" s="444"/>
      <c r="CF170" s="444"/>
      <c r="CG170" s="444"/>
      <c r="CH170" s="444"/>
      <c r="CI170" s="444"/>
      <c r="CJ170" s="444"/>
      <c r="CK170" s="444"/>
      <c r="CL170" s="444"/>
      <c r="CM170" s="444"/>
      <c r="CN170" s="444"/>
      <c r="CO170" s="459"/>
      <c r="CP170" s="459"/>
      <c r="CQ170" s="459"/>
      <c r="CR170" s="459"/>
      <c r="CS170" s="459"/>
      <c r="CT170" s="459"/>
      <c r="CU170" s="459"/>
      <c r="CV170" s="459"/>
      <c r="CW170" s="459"/>
      <c r="CX170" s="459"/>
      <c r="CY170" s="459"/>
      <c r="CZ170" s="459"/>
      <c r="DA170" s="444"/>
      <c r="DB170" s="444"/>
      <c r="DC170" s="444"/>
      <c r="DD170" s="444"/>
      <c r="DE170" s="444"/>
      <c r="DF170" s="444"/>
      <c r="DG170" s="444"/>
      <c r="DH170" s="444"/>
      <c r="DI170" s="444"/>
      <c r="DJ170" s="444"/>
      <c r="DK170" s="444"/>
      <c r="DL170" s="444"/>
      <c r="DM170" s="444"/>
      <c r="DN170" s="444"/>
      <c r="DO170" s="444"/>
      <c r="DP170" s="444"/>
      <c r="DQ170" s="444"/>
      <c r="DR170" s="444"/>
      <c r="DS170" s="444"/>
      <c r="DT170" s="444"/>
      <c r="DU170" s="444"/>
      <c r="DV170" s="444"/>
      <c r="DW170" s="444"/>
      <c r="DX170" s="444"/>
      <c r="DY170" s="444"/>
      <c r="DZ170" s="444"/>
      <c r="EA170" s="444"/>
      <c r="EB170" s="444"/>
      <c r="EC170" s="444"/>
      <c r="ED170" s="444"/>
      <c r="EE170" s="444"/>
      <c r="EF170" s="444"/>
      <c r="EG170" s="444"/>
      <c r="EH170" s="444"/>
      <c r="EI170" s="444"/>
      <c r="EJ170" s="444"/>
      <c r="EK170" s="444"/>
      <c r="EL170" s="444"/>
      <c r="EM170" s="444"/>
      <c r="EN170" s="444"/>
      <c r="EO170" s="444"/>
      <c r="EP170" s="444"/>
      <c r="EQ170" s="444"/>
      <c r="ER170" s="444"/>
      <c r="ES170" s="444"/>
      <c r="ET170" s="444"/>
      <c r="EU170" s="444"/>
      <c r="EV170" s="444"/>
      <c r="EW170" s="444"/>
      <c r="EX170" s="444"/>
      <c r="EY170" s="444"/>
      <c r="EZ170" s="444"/>
      <c r="FA170" s="444"/>
      <c r="FB170" s="444"/>
      <c r="FC170" s="444"/>
      <c r="FD170" s="444"/>
      <c r="FE170" s="444"/>
      <c r="FF170" s="444"/>
      <c r="FG170" s="444"/>
      <c r="FH170" s="444"/>
      <c r="FI170" s="444"/>
      <c r="FJ170" s="444"/>
      <c r="FK170" s="444"/>
      <c r="FL170" s="444"/>
      <c r="FM170" s="444"/>
      <c r="FN170" s="444"/>
      <c r="FO170" s="444"/>
      <c r="FP170" s="444"/>
      <c r="FQ170" s="444"/>
      <c r="FR170" s="444"/>
      <c r="FS170" s="444"/>
      <c r="FT170" s="444"/>
      <c r="FU170" s="444"/>
      <c r="FV170" s="444"/>
      <c r="FW170" s="444"/>
    </row>
    <row r="171" spans="1:179" ht="13.8">
      <c r="A171" s="444"/>
      <c r="B171" s="444"/>
      <c r="C171" s="444"/>
      <c r="D171" s="444"/>
      <c r="E171" s="444"/>
      <c r="F171" s="444"/>
      <c r="G171" s="444"/>
      <c r="H171" s="444"/>
      <c r="I171" s="444"/>
      <c r="J171" s="444"/>
      <c r="K171" s="444"/>
      <c r="L171" s="444"/>
      <c r="M171" s="444"/>
      <c r="N171" s="444"/>
      <c r="O171" s="444"/>
      <c r="P171" s="444"/>
      <c r="Q171" s="444"/>
      <c r="R171" s="444"/>
      <c r="S171" s="444"/>
      <c r="T171" s="444"/>
      <c r="U171" s="444"/>
      <c r="V171" s="444"/>
      <c r="W171" s="444"/>
      <c r="X171" s="444"/>
      <c r="Y171" s="444"/>
      <c r="Z171" s="444"/>
      <c r="AA171" s="444"/>
      <c r="AB171" s="444"/>
      <c r="AC171" s="444"/>
      <c r="AD171" s="444"/>
      <c r="AE171" s="444"/>
      <c r="AF171" s="444"/>
      <c r="AG171" s="444"/>
      <c r="AH171" s="444"/>
      <c r="AI171" s="444"/>
      <c r="AJ171" s="444"/>
      <c r="AK171" s="444"/>
      <c r="AL171" s="444"/>
      <c r="AM171" s="444"/>
      <c r="AN171" s="444"/>
      <c r="AO171" s="444"/>
      <c r="AP171" s="444"/>
      <c r="AQ171" s="444"/>
      <c r="AR171" s="444"/>
      <c r="AS171" s="444"/>
      <c r="AT171" s="444"/>
      <c r="AU171" s="444"/>
      <c r="AV171" s="444"/>
      <c r="AW171" s="444"/>
      <c r="AX171" s="444"/>
      <c r="AY171" s="444"/>
      <c r="AZ171" s="444"/>
      <c r="BA171" s="866">
        <f>+BA179/BA177</f>
        <v>0.82456140350877194</v>
      </c>
      <c r="BB171" s="444"/>
      <c r="BC171" s="444"/>
      <c r="BD171" s="444"/>
      <c r="BE171" s="444"/>
      <c r="BF171" s="866"/>
      <c r="BG171" s="444"/>
      <c r="BH171" s="444"/>
      <c r="BI171" s="444"/>
      <c r="BJ171" s="866"/>
      <c r="BK171" s="444"/>
      <c r="BL171" s="444"/>
      <c r="BM171" s="444"/>
      <c r="BN171" s="866"/>
      <c r="BO171" s="444"/>
      <c r="BP171" s="444"/>
      <c r="BQ171" s="444"/>
      <c r="BR171" s="866"/>
      <c r="BS171" s="444"/>
      <c r="BT171" s="444"/>
      <c r="BU171" s="444"/>
      <c r="BV171" s="866"/>
      <c r="BW171" s="444"/>
      <c r="BX171" s="444"/>
      <c r="BY171" s="444"/>
      <c r="BZ171" s="866"/>
      <c r="CA171" s="444"/>
      <c r="CB171" s="444"/>
      <c r="CC171" s="444"/>
      <c r="CD171" s="866"/>
      <c r="CE171" s="444"/>
      <c r="CF171" s="444"/>
      <c r="CG171" s="444"/>
      <c r="CH171" s="866"/>
      <c r="CI171" s="444"/>
      <c r="CJ171" s="444"/>
      <c r="CK171" s="444"/>
      <c r="CL171" s="866"/>
      <c r="CM171" s="444"/>
      <c r="CN171" s="444"/>
      <c r="CO171" s="459"/>
      <c r="CP171" s="459"/>
      <c r="CQ171" s="459"/>
      <c r="CR171" s="459"/>
      <c r="CS171" s="459"/>
      <c r="CT171" s="459"/>
      <c r="CU171" s="459"/>
      <c r="CV171" s="459"/>
      <c r="CW171" s="459"/>
      <c r="CX171" s="459"/>
      <c r="CY171" s="459"/>
      <c r="CZ171" s="459"/>
      <c r="DA171" s="444"/>
      <c r="DB171" s="444"/>
      <c r="DC171" s="444"/>
      <c r="DD171" s="444"/>
      <c r="DE171" s="444"/>
      <c r="DF171" s="444"/>
      <c r="DG171" s="444"/>
      <c r="DH171" s="444"/>
      <c r="DI171" s="444"/>
      <c r="DJ171" s="444"/>
      <c r="DK171" s="444"/>
      <c r="DL171" s="444"/>
      <c r="DM171" s="444"/>
      <c r="DN171" s="444"/>
      <c r="DO171" s="444"/>
      <c r="DP171" s="444"/>
      <c r="DQ171" s="444"/>
      <c r="DR171" s="444"/>
      <c r="DS171" s="444"/>
      <c r="DT171" s="444"/>
      <c r="DU171" s="444"/>
      <c r="DV171" s="444"/>
      <c r="DW171" s="444"/>
      <c r="DX171" s="444"/>
      <c r="DY171" s="444"/>
      <c r="DZ171" s="444"/>
      <c r="EA171" s="444"/>
      <c r="EB171" s="444"/>
      <c r="EC171" s="444"/>
      <c r="ED171" s="444"/>
      <c r="EE171" s="444"/>
      <c r="EF171" s="444"/>
      <c r="EG171" s="444"/>
      <c r="EH171" s="444"/>
      <c r="EI171" s="444"/>
      <c r="EJ171" s="444"/>
      <c r="EK171" s="444"/>
      <c r="EL171" s="444"/>
      <c r="EM171" s="444"/>
      <c r="EN171" s="444"/>
      <c r="EO171" s="444"/>
      <c r="EP171" s="444"/>
      <c r="EQ171" s="444"/>
      <c r="ER171" s="444"/>
      <c r="ES171" s="444"/>
      <c r="ET171" s="444"/>
      <c r="EU171" s="444"/>
      <c r="EV171" s="444"/>
      <c r="EW171" s="444"/>
      <c r="EX171" s="444"/>
      <c r="EY171" s="444"/>
      <c r="EZ171" s="444"/>
      <c r="FA171" s="444"/>
      <c r="FB171" s="444"/>
      <c r="FC171" s="444"/>
      <c r="FD171" s="444"/>
      <c r="FE171" s="444"/>
      <c r="FF171" s="444"/>
      <c r="FG171" s="444"/>
      <c r="FH171" s="444"/>
      <c r="FI171" s="444"/>
      <c r="FJ171" s="444"/>
      <c r="FK171" s="444"/>
      <c r="FL171" s="444"/>
      <c r="FM171" s="444"/>
      <c r="FN171" s="444"/>
      <c r="FO171" s="444"/>
      <c r="FP171" s="444"/>
      <c r="FQ171" s="444"/>
      <c r="FR171" s="444"/>
      <c r="FS171" s="444"/>
      <c r="FT171" s="444"/>
      <c r="FU171" s="444"/>
      <c r="FV171" s="444"/>
      <c r="FW171" s="444"/>
    </row>
    <row r="172" spans="1:179" ht="13.8">
      <c r="A172" s="444"/>
      <c r="B172" s="444"/>
      <c r="C172" s="755"/>
      <c r="D172" s="755"/>
      <c r="E172" s="755"/>
      <c r="F172" s="755"/>
      <c r="G172" s="755"/>
      <c r="H172" s="755"/>
      <c r="I172" s="755"/>
      <c r="J172" s="755"/>
      <c r="K172" s="755"/>
      <c r="L172" s="755"/>
      <c r="M172" s="755"/>
      <c r="N172" s="755"/>
      <c r="O172" s="755"/>
      <c r="P172" s="755"/>
      <c r="Q172" s="755"/>
      <c r="R172" s="755"/>
      <c r="S172" s="755"/>
      <c r="T172" s="755"/>
      <c r="U172" s="755"/>
      <c r="V172" s="755"/>
      <c r="W172" s="755"/>
      <c r="X172" s="755"/>
      <c r="Y172" s="755"/>
      <c r="Z172" s="755"/>
      <c r="AA172" s="755"/>
      <c r="AB172" s="755"/>
      <c r="AC172" s="755"/>
      <c r="AD172" s="755"/>
      <c r="AE172" s="755"/>
      <c r="AF172" s="755"/>
      <c r="AG172" s="755"/>
      <c r="AH172" s="755"/>
      <c r="AI172" s="755"/>
      <c r="AJ172" s="755"/>
      <c r="AK172" s="755"/>
      <c r="AL172" s="755"/>
      <c r="AM172" s="755"/>
      <c r="AN172" s="755"/>
      <c r="AO172" s="755"/>
      <c r="AP172" s="755"/>
      <c r="AQ172" s="755"/>
      <c r="AR172" s="755"/>
      <c r="AS172" s="755"/>
      <c r="AT172" s="895" t="str">
        <f>AT126</f>
        <v>FY17</v>
      </c>
      <c r="AU172" s="755"/>
      <c r="AV172" s="895" t="str">
        <f t="shared" ref="AV172:BJ172" si="141">AV126</f>
        <v>1H18</v>
      </c>
      <c r="AW172" s="896" t="str">
        <f t="shared" si="141"/>
        <v>2H18</v>
      </c>
      <c r="AX172" s="896" t="str">
        <f t="shared" si="141"/>
        <v>FY18</v>
      </c>
      <c r="AY172" s="896">
        <f t="shared" si="141"/>
        <v>0</v>
      </c>
      <c r="AZ172" s="896" t="str">
        <f t="shared" si="141"/>
        <v>1H19</v>
      </c>
      <c r="BA172" s="896" t="str">
        <f t="shared" si="141"/>
        <v>2H19</v>
      </c>
      <c r="BB172" s="896" t="str">
        <f t="shared" si="141"/>
        <v>FY19</v>
      </c>
      <c r="BC172" s="896"/>
      <c r="BD172" s="896" t="str">
        <f t="shared" si="141"/>
        <v>1H20</v>
      </c>
      <c r="BE172" s="896" t="str">
        <f t="shared" si="141"/>
        <v>2H20</v>
      </c>
      <c r="BF172" s="896" t="str">
        <f t="shared" si="141"/>
        <v>FY20</v>
      </c>
      <c r="BG172" s="896"/>
      <c r="BH172" s="896" t="str">
        <f t="shared" si="141"/>
        <v>1H21</v>
      </c>
      <c r="BI172" s="896" t="str">
        <f t="shared" si="141"/>
        <v>2H21</v>
      </c>
      <c r="BJ172" s="896" t="str">
        <f t="shared" si="141"/>
        <v>FY21</v>
      </c>
      <c r="BK172" s="896"/>
      <c r="BL172" s="896" t="str">
        <f>BL126</f>
        <v>1H22</v>
      </c>
      <c r="BM172" s="896" t="str">
        <f>BM126</f>
        <v>2H22</v>
      </c>
      <c r="BN172" s="896" t="str">
        <f>BN126</f>
        <v>FY22</v>
      </c>
      <c r="BO172" s="896"/>
      <c r="BP172" s="896" t="str">
        <f>BP126</f>
        <v>1H23</v>
      </c>
      <c r="BQ172" s="896" t="str">
        <f>BQ126</f>
        <v>2H23</v>
      </c>
      <c r="BR172" s="896" t="str">
        <f>BR126</f>
        <v>FY23</v>
      </c>
      <c r="BS172" s="896"/>
      <c r="BT172" s="896" t="str">
        <f>BT126</f>
        <v>1H24</v>
      </c>
      <c r="BU172" s="896" t="str">
        <f>BU126</f>
        <v>2H24</v>
      </c>
      <c r="BV172" s="896" t="str">
        <f>BV126</f>
        <v>FY24</v>
      </c>
      <c r="BW172" s="896"/>
      <c r="BX172" s="896" t="str">
        <f>BX126</f>
        <v>1H25</v>
      </c>
      <c r="BY172" s="896" t="str">
        <f>BY126</f>
        <v>2H25</v>
      </c>
      <c r="BZ172" s="896" t="str">
        <f>BZ126</f>
        <v>FY25</v>
      </c>
      <c r="CA172" s="896"/>
      <c r="CB172" s="896" t="str">
        <f>CB126</f>
        <v>1H26E</v>
      </c>
      <c r="CC172" s="896" t="str">
        <f>CC126</f>
        <v>2H26E</v>
      </c>
      <c r="CD172" s="896" t="str">
        <f>CD126</f>
        <v>FY26E</v>
      </c>
      <c r="CE172" s="896"/>
      <c r="CF172" s="896" t="str">
        <f>CF126</f>
        <v>1H27E</v>
      </c>
      <c r="CG172" s="896" t="str">
        <f>CG126</f>
        <v>2H27E</v>
      </c>
      <c r="CH172" s="896" t="str">
        <f>CH126</f>
        <v>FY27E</v>
      </c>
      <c r="CI172" s="896"/>
      <c r="CJ172" s="896" t="str">
        <f>CJ126</f>
        <v>1H28E</v>
      </c>
      <c r="CK172" s="896" t="str">
        <f>CK126</f>
        <v>2H28E</v>
      </c>
      <c r="CL172" s="896" t="str">
        <f>CL126</f>
        <v>FY28E</v>
      </c>
      <c r="CM172" s="444"/>
      <c r="CN172" s="444"/>
      <c r="CO172" s="459"/>
      <c r="CP172" s="459"/>
      <c r="CQ172" s="459"/>
      <c r="CR172" s="459"/>
      <c r="CS172" s="459"/>
      <c r="CT172" s="459"/>
      <c r="CU172" s="459"/>
      <c r="CV172" s="459"/>
      <c r="CW172" s="459"/>
      <c r="CX172" s="459"/>
      <c r="CY172" s="459"/>
      <c r="CZ172" s="459"/>
      <c r="DA172" s="444"/>
      <c r="DB172" s="444"/>
      <c r="DC172" s="444"/>
      <c r="DD172" s="444"/>
      <c r="DE172" s="444"/>
      <c r="DF172" s="444"/>
      <c r="DG172" s="444"/>
      <c r="DH172" s="444"/>
      <c r="DI172" s="444"/>
      <c r="DJ172" s="444"/>
      <c r="DK172" s="444"/>
      <c r="DL172" s="444"/>
      <c r="DM172" s="444"/>
      <c r="DN172" s="444"/>
      <c r="DO172" s="444"/>
      <c r="DP172" s="444"/>
      <c r="DQ172" s="444"/>
      <c r="DR172" s="444"/>
      <c r="DS172" s="444"/>
      <c r="DT172" s="444"/>
      <c r="DU172" s="444"/>
      <c r="DV172" s="444"/>
      <c r="DW172" s="444"/>
      <c r="DX172" s="444"/>
      <c r="DY172" s="444"/>
      <c r="DZ172" s="444"/>
      <c r="EA172" s="444"/>
      <c r="EB172" s="444"/>
      <c r="EC172" s="444"/>
      <c r="ED172" s="444"/>
      <c r="EE172" s="444"/>
      <c r="EF172" s="444"/>
      <c r="EG172" s="444"/>
      <c r="EH172" s="444"/>
      <c r="EI172" s="444"/>
      <c r="EJ172" s="444"/>
      <c r="EK172" s="444"/>
      <c r="EL172" s="444"/>
      <c r="EM172" s="444"/>
      <c r="EN172" s="444"/>
      <c r="EO172" s="444"/>
      <c r="EP172" s="444"/>
      <c r="EQ172" s="444"/>
      <c r="ER172" s="444"/>
      <c r="ES172" s="444"/>
      <c r="ET172" s="444"/>
      <c r="EU172" s="444"/>
      <c r="EV172" s="444"/>
      <c r="EW172" s="444"/>
      <c r="EX172" s="444"/>
      <c r="EY172" s="444"/>
      <c r="EZ172" s="444"/>
      <c r="FA172" s="444"/>
      <c r="FB172" s="444"/>
      <c r="FC172" s="444"/>
      <c r="FD172" s="444"/>
      <c r="FE172" s="444"/>
      <c r="FF172" s="444"/>
      <c r="FG172" s="444"/>
      <c r="FH172" s="444"/>
      <c r="FI172" s="444"/>
      <c r="FJ172" s="444"/>
      <c r="FK172" s="444"/>
      <c r="FL172" s="444"/>
      <c r="FM172" s="444"/>
      <c r="FN172" s="444"/>
      <c r="FO172" s="444"/>
      <c r="FP172" s="444"/>
      <c r="FQ172" s="444"/>
      <c r="FR172" s="444"/>
      <c r="FS172" s="444"/>
      <c r="FT172" s="444"/>
      <c r="FU172" s="444"/>
      <c r="FV172" s="444"/>
      <c r="FW172" s="444"/>
    </row>
    <row r="173" spans="1:179" ht="13.8">
      <c r="A173" s="444"/>
      <c r="B173" s="444"/>
      <c r="C173" s="626" t="s">
        <v>949</v>
      </c>
      <c r="D173" s="628"/>
      <c r="E173" s="628"/>
      <c r="F173" s="628"/>
      <c r="G173" s="628"/>
      <c r="H173" s="628"/>
      <c r="I173" s="628"/>
      <c r="J173" s="628"/>
      <c r="K173" s="628"/>
      <c r="L173" s="628"/>
      <c r="M173" s="628"/>
      <c r="N173" s="628"/>
      <c r="O173" s="628"/>
      <c r="P173" s="628"/>
      <c r="Q173" s="628"/>
      <c r="R173" s="628"/>
      <c r="S173" s="628"/>
      <c r="T173" s="628"/>
      <c r="U173" s="628"/>
      <c r="V173" s="628"/>
      <c r="W173" s="628"/>
      <c r="X173" s="628"/>
      <c r="Y173" s="628"/>
      <c r="Z173" s="628"/>
      <c r="AA173" s="628"/>
      <c r="AB173" s="628"/>
      <c r="AC173" s="628"/>
      <c r="AD173" s="628"/>
      <c r="AE173" s="628"/>
      <c r="AF173" s="628"/>
      <c r="AG173" s="628"/>
      <c r="AH173" s="628"/>
      <c r="AI173" s="628"/>
      <c r="AJ173" s="628"/>
      <c r="AK173" s="628"/>
      <c r="AL173" s="628"/>
      <c r="AM173" s="628"/>
      <c r="AN173" s="628"/>
      <c r="AO173" s="628"/>
      <c r="AP173" s="628"/>
      <c r="AQ173" s="628"/>
      <c r="AR173" s="628"/>
      <c r="AS173" s="628"/>
      <c r="AT173" s="628"/>
      <c r="AU173" s="628"/>
      <c r="AV173" s="628"/>
      <c r="AW173" s="628"/>
      <c r="AX173" s="628"/>
      <c r="AY173" s="628"/>
      <c r="AZ173" s="628"/>
      <c r="BA173" s="628"/>
      <c r="BB173" s="628"/>
      <c r="BC173" s="628"/>
      <c r="BD173" s="628"/>
      <c r="BE173" s="628"/>
      <c r="BF173" s="628"/>
      <c r="BG173" s="628"/>
      <c r="BH173" s="628"/>
      <c r="BI173" s="628"/>
      <c r="BJ173" s="628"/>
      <c r="BK173" s="628"/>
      <c r="BL173" s="628"/>
      <c r="BM173" s="628"/>
      <c r="BN173" s="628"/>
      <c r="BO173" s="628"/>
      <c r="BP173" s="628"/>
      <c r="BQ173" s="628"/>
      <c r="BR173" s="628"/>
      <c r="BS173" s="628"/>
      <c r="BT173" s="628"/>
      <c r="BU173" s="628"/>
      <c r="BV173" s="628"/>
      <c r="BW173" s="628"/>
      <c r="BX173" s="628"/>
      <c r="BY173" s="628"/>
      <c r="BZ173" s="628"/>
      <c r="CA173" s="628"/>
      <c r="CB173" s="628"/>
      <c r="CC173" s="628"/>
      <c r="CD173" s="628"/>
      <c r="CE173" s="628"/>
      <c r="CF173" s="628"/>
      <c r="CG173" s="628"/>
      <c r="CH173" s="628"/>
      <c r="CI173" s="628"/>
      <c r="CJ173" s="628"/>
      <c r="CK173" s="628"/>
      <c r="CL173" s="628"/>
      <c r="CM173" s="444"/>
      <c r="CN173" s="444"/>
      <c r="CO173" s="459"/>
      <c r="CP173" s="459"/>
      <c r="CQ173" s="459"/>
      <c r="CR173" s="459"/>
      <c r="CS173" s="459"/>
      <c r="CT173" s="459"/>
      <c r="CU173" s="459"/>
      <c r="CV173" s="459"/>
      <c r="CW173" s="459"/>
      <c r="CX173" s="459"/>
      <c r="CY173" s="459"/>
      <c r="CZ173" s="459"/>
      <c r="DA173" s="444"/>
      <c r="DB173" s="444"/>
      <c r="DC173" s="444"/>
      <c r="DD173" s="444"/>
      <c r="DE173" s="444"/>
      <c r="DF173" s="444"/>
      <c r="DG173" s="444"/>
      <c r="DH173" s="444"/>
      <c r="DI173" s="444"/>
      <c r="DJ173" s="444"/>
      <c r="DK173" s="444"/>
      <c r="DL173" s="444"/>
      <c r="DM173" s="444"/>
      <c r="DN173" s="444"/>
      <c r="DO173" s="444"/>
      <c r="DP173" s="444"/>
      <c r="DQ173" s="444"/>
      <c r="DR173" s="444"/>
      <c r="DS173" s="444"/>
      <c r="DT173" s="444"/>
      <c r="DU173" s="444"/>
      <c r="DV173" s="444"/>
      <c r="DW173" s="444"/>
      <c r="DX173" s="444"/>
      <c r="DY173" s="444"/>
      <c r="DZ173" s="444"/>
      <c r="EA173" s="444"/>
      <c r="EB173" s="444"/>
      <c r="EC173" s="444"/>
      <c r="ED173" s="444"/>
      <c r="EE173" s="444"/>
      <c r="EF173" s="444"/>
      <c r="EG173" s="444"/>
      <c r="EH173" s="444"/>
      <c r="EI173" s="444"/>
      <c r="EJ173" s="444"/>
      <c r="EK173" s="444"/>
      <c r="EL173" s="444"/>
      <c r="EM173" s="444"/>
      <c r="EN173" s="444"/>
      <c r="EO173" s="444"/>
      <c r="EP173" s="444"/>
      <c r="EQ173" s="444"/>
      <c r="ER173" s="444"/>
      <c r="ES173" s="444"/>
      <c r="ET173" s="444"/>
      <c r="EU173" s="444"/>
      <c r="EV173" s="444"/>
      <c r="EW173" s="444"/>
      <c r="EX173" s="444"/>
      <c r="EY173" s="444"/>
      <c r="EZ173" s="444"/>
      <c r="FA173" s="444"/>
      <c r="FB173" s="444"/>
      <c r="FC173" s="444"/>
      <c r="FD173" s="444"/>
      <c r="FE173" s="444"/>
      <c r="FF173" s="444"/>
      <c r="FG173" s="444"/>
      <c r="FH173" s="444"/>
      <c r="FI173" s="444"/>
      <c r="FJ173" s="444"/>
      <c r="FK173" s="444"/>
    </row>
    <row r="174" spans="1:179" ht="13.8">
      <c r="A174" s="444"/>
      <c r="B174" s="444"/>
      <c r="C174" s="444" t="s">
        <v>282</v>
      </c>
      <c r="D174" s="444"/>
      <c r="E174" s="444"/>
      <c r="F174" s="444"/>
      <c r="G174" s="444"/>
      <c r="H174" s="444"/>
      <c r="I174" s="444"/>
      <c r="J174" s="444"/>
      <c r="K174" s="444"/>
      <c r="L174" s="444"/>
      <c r="M174" s="444"/>
      <c r="N174" s="444"/>
      <c r="O174" s="444"/>
      <c r="P174" s="444"/>
      <c r="Q174" s="444"/>
      <c r="R174" s="444"/>
      <c r="S174" s="444"/>
      <c r="T174" s="444"/>
      <c r="U174" s="444"/>
      <c r="V174" s="444"/>
      <c r="W174" s="444"/>
      <c r="X174" s="444"/>
      <c r="Y174" s="444"/>
      <c r="Z174" s="444"/>
      <c r="AA174" s="444"/>
      <c r="AB174" s="444"/>
      <c r="AC174" s="444"/>
      <c r="AD174" s="444"/>
      <c r="AE174" s="444"/>
      <c r="AF174" s="444"/>
      <c r="AG174" s="444"/>
      <c r="AH174" s="444"/>
      <c r="AI174" s="444"/>
      <c r="AJ174" s="444"/>
      <c r="AK174" s="444"/>
      <c r="AL174" s="444"/>
      <c r="AM174" s="444"/>
      <c r="AN174" s="444"/>
      <c r="AO174" s="444"/>
      <c r="AP174" s="444"/>
      <c r="AQ174" s="444"/>
      <c r="AR174" s="444"/>
      <c r="AS174" s="444"/>
      <c r="AT174" s="812">
        <v>-36</v>
      </c>
      <c r="AU174" s="444"/>
      <c r="AV174" s="812">
        <v>-19</v>
      </c>
      <c r="AW174" s="812">
        <v>-86</v>
      </c>
      <c r="AX174" s="444">
        <f>SUM(AV174:AW174)</f>
        <v>-105</v>
      </c>
      <c r="AY174" s="444"/>
      <c r="AZ174" s="758">
        <f>MODEL!CF542</f>
        <v>-22</v>
      </c>
      <c r="BA174" s="444">
        <f>MODEL!CG542</f>
        <v>-119</v>
      </c>
      <c r="BB174" s="444">
        <f>MODEL!CH542</f>
        <v>-141</v>
      </c>
      <c r="BC174" s="444"/>
      <c r="BD174" s="444">
        <f>MODEL!CJ542</f>
        <v>-22</v>
      </c>
      <c r="BE174" s="444">
        <f>MODEL!CK542</f>
        <v>-84</v>
      </c>
      <c r="BF174" s="444">
        <f>MODEL!CL542</f>
        <v>-106</v>
      </c>
      <c r="BG174" s="444"/>
      <c r="BH174" s="444">
        <f>MODEL!CN542</f>
        <v>-56</v>
      </c>
      <c r="BI174" s="444">
        <f>MODEL!CO542</f>
        <v>-30</v>
      </c>
      <c r="BJ174" s="444">
        <f>MODEL!CP542</f>
        <v>-86</v>
      </c>
      <c r="BK174" s="444"/>
      <c r="BL174" s="444">
        <f>MODEL!CR542</f>
        <v>-3</v>
      </c>
      <c r="BM174" s="444">
        <f>MODEL!CS542</f>
        <v>3</v>
      </c>
      <c r="BN174" s="444">
        <f>MODEL!CT542</f>
        <v>0</v>
      </c>
      <c r="BO174" s="444"/>
      <c r="BP174" s="444">
        <f>MODEL!CV542</f>
        <v>-10</v>
      </c>
      <c r="BQ174" s="444">
        <f>MODEL!CW542</f>
        <v>-8</v>
      </c>
      <c r="BR174" s="444">
        <f>MODEL!CX542</f>
        <v>-18</v>
      </c>
      <c r="BS174" s="444"/>
      <c r="BT174" s="444">
        <f>MODEL!CZ542</f>
        <v>0</v>
      </c>
      <c r="BU174" s="444">
        <f>MODEL!DA542</f>
        <v>0</v>
      </c>
      <c r="BV174" s="444">
        <f>MODEL!DB542</f>
        <v>0</v>
      </c>
      <c r="BW174" s="444"/>
      <c r="BX174" s="444">
        <f>MODEL!DD542</f>
        <v>0</v>
      </c>
      <c r="BY174" s="444">
        <f>MODEL!DE542</f>
        <v>0</v>
      </c>
      <c r="BZ174" s="444">
        <f>MODEL!DF542</f>
        <v>0</v>
      </c>
      <c r="CA174" s="444"/>
      <c r="CB174" s="444">
        <f>MODEL!DH542</f>
        <v>0</v>
      </c>
      <c r="CC174" s="444">
        <f>MODEL!DI542</f>
        <v>0</v>
      </c>
      <c r="CD174" s="444">
        <f>MODEL!DJ542</f>
        <v>0</v>
      </c>
      <c r="CE174" s="444"/>
      <c r="CF174" s="444">
        <f>MODEL!DL542</f>
        <v>0</v>
      </c>
      <c r="CG174" s="444">
        <f>MODEL!DM542</f>
        <v>0</v>
      </c>
      <c r="CH174" s="444">
        <f>MODEL!DN542</f>
        <v>0</v>
      </c>
      <c r="CI174" s="444"/>
      <c r="CJ174" s="444">
        <f>MODEL!DP542</f>
        <v>0</v>
      </c>
      <c r="CK174" s="444">
        <f>MODEL!DQ542</f>
        <v>0</v>
      </c>
      <c r="CL174" s="444">
        <f>MODEL!DR542</f>
        <v>0</v>
      </c>
      <c r="CM174" s="444"/>
      <c r="CN174" s="444"/>
      <c r="CO174" s="459"/>
      <c r="CP174" s="459"/>
      <c r="CQ174" s="459"/>
      <c r="CR174" s="459"/>
      <c r="CS174" s="459"/>
      <c r="CT174" s="459"/>
      <c r="CU174" s="459"/>
      <c r="CV174" s="459"/>
      <c r="CW174" s="459"/>
      <c r="CX174" s="459"/>
      <c r="CY174" s="459"/>
      <c r="CZ174" s="459"/>
      <c r="DA174" s="444"/>
      <c r="DB174" s="444"/>
      <c r="DC174" s="444"/>
      <c r="DD174" s="444"/>
      <c r="DE174" s="444"/>
      <c r="DF174" s="444"/>
      <c r="DG174" s="444"/>
      <c r="DH174" s="444"/>
      <c r="DI174" s="444"/>
      <c r="DJ174" s="444"/>
      <c r="DK174" s="444"/>
      <c r="DL174" s="444"/>
      <c r="DM174" s="444"/>
      <c r="DN174" s="444"/>
      <c r="DO174" s="444"/>
      <c r="DP174" s="444"/>
      <c r="DQ174" s="444"/>
      <c r="DR174" s="444"/>
      <c r="DS174" s="444"/>
      <c r="DT174" s="444"/>
      <c r="DU174" s="444"/>
      <c r="DV174" s="444"/>
      <c r="DW174" s="444"/>
      <c r="DX174" s="444"/>
      <c r="DY174" s="444"/>
      <c r="DZ174" s="444"/>
      <c r="EA174" s="444"/>
      <c r="EB174" s="444"/>
      <c r="EC174" s="444"/>
      <c r="ED174" s="444"/>
      <c r="EE174" s="444"/>
      <c r="EF174" s="444"/>
      <c r="EG174" s="444"/>
      <c r="EH174" s="444"/>
      <c r="EI174" s="444"/>
      <c r="EJ174" s="444"/>
      <c r="EK174" s="444"/>
      <c r="EL174" s="444"/>
      <c r="EM174" s="444"/>
      <c r="EN174" s="444"/>
      <c r="EO174" s="444"/>
      <c r="EP174" s="444"/>
      <c r="EQ174" s="444"/>
      <c r="ER174" s="444"/>
      <c r="ES174" s="444"/>
      <c r="ET174" s="444"/>
      <c r="EU174" s="444"/>
      <c r="EV174" s="444"/>
      <c r="EW174" s="444"/>
      <c r="EX174" s="444"/>
      <c r="EY174" s="444"/>
      <c r="EZ174" s="444"/>
      <c r="FA174" s="444"/>
      <c r="FB174" s="444"/>
      <c r="FC174" s="444"/>
      <c r="FD174" s="444"/>
      <c r="FE174" s="444"/>
      <c r="FF174" s="444"/>
      <c r="FG174" s="444"/>
      <c r="FH174" s="444"/>
      <c r="FI174" s="444"/>
      <c r="FJ174" s="444"/>
      <c r="FK174" s="444"/>
    </row>
    <row r="175" spans="1:179" ht="13.8">
      <c r="A175" s="444"/>
      <c r="B175" s="444"/>
      <c r="C175" s="444" t="s">
        <v>223</v>
      </c>
      <c r="D175" s="444"/>
      <c r="E175" s="444"/>
      <c r="F175" s="444"/>
      <c r="G175" s="444"/>
      <c r="H175" s="444"/>
      <c r="I175" s="444"/>
      <c r="J175" s="444"/>
      <c r="K175" s="444"/>
      <c r="L175" s="444"/>
      <c r="M175" s="444"/>
      <c r="N175" s="444"/>
      <c r="O175" s="444"/>
      <c r="P175" s="444"/>
      <c r="Q175" s="444"/>
      <c r="R175" s="444"/>
      <c r="S175" s="444"/>
      <c r="T175" s="444"/>
      <c r="U175" s="444"/>
      <c r="V175" s="444"/>
      <c r="W175" s="444"/>
      <c r="X175" s="444"/>
      <c r="Y175" s="444"/>
      <c r="Z175" s="444"/>
      <c r="AA175" s="444"/>
      <c r="AB175" s="444"/>
      <c r="AC175" s="444"/>
      <c r="AD175" s="444"/>
      <c r="AE175" s="444"/>
      <c r="AF175" s="444"/>
      <c r="AG175" s="444"/>
      <c r="AH175" s="444"/>
      <c r="AI175" s="444"/>
      <c r="AJ175" s="444"/>
      <c r="AK175" s="444"/>
      <c r="AL175" s="444"/>
      <c r="AM175" s="444"/>
      <c r="AN175" s="444"/>
      <c r="AO175" s="444"/>
      <c r="AP175" s="444"/>
      <c r="AQ175" s="444"/>
      <c r="AR175" s="444"/>
      <c r="AS175" s="444"/>
      <c r="AT175" s="812">
        <v>-34</v>
      </c>
      <c r="AU175" s="444"/>
      <c r="AV175" s="812">
        <v>-13</v>
      </c>
      <c r="AW175" s="812">
        <v>-110</v>
      </c>
      <c r="AX175" s="444">
        <f>SUM(AV175:AW175)</f>
        <v>-123</v>
      </c>
      <c r="AY175" s="444"/>
      <c r="AZ175" s="758">
        <f>+MODEL!CF543+MODEL!CF544</f>
        <v>-42</v>
      </c>
      <c r="BA175" s="444">
        <f>+MODEL!CG543+MODEL!CG544</f>
        <v>-29</v>
      </c>
      <c r="BB175" s="444">
        <f>+MODEL!CH543+MODEL!CH544</f>
        <v>-71</v>
      </c>
      <c r="BC175" s="444"/>
      <c r="BD175" s="444">
        <f>+MODEL!CJ543+MODEL!CJ544</f>
        <v>-36</v>
      </c>
      <c r="BE175" s="444">
        <f>+MODEL!CK543+MODEL!CK544</f>
        <v>-32</v>
      </c>
      <c r="BF175" s="444">
        <f>+MODEL!CL543+MODEL!CL544</f>
        <v>-68</v>
      </c>
      <c r="BG175" s="444"/>
      <c r="BH175" s="444">
        <f>+MODEL!CN543+MODEL!CN544</f>
        <v>-18</v>
      </c>
      <c r="BI175" s="444">
        <f>+MODEL!CO543+MODEL!CO544</f>
        <v>-38</v>
      </c>
      <c r="BJ175" s="444">
        <f>+MODEL!CP543+MODEL!CP544</f>
        <v>-56</v>
      </c>
      <c r="BK175" s="444"/>
      <c r="BL175" s="444">
        <f>+MODEL!CR543+MODEL!CR544</f>
        <v>-22</v>
      </c>
      <c r="BM175" s="444">
        <f>+MODEL!CS543+MODEL!CS544</f>
        <v>-12</v>
      </c>
      <c r="BN175" s="444">
        <f>+MODEL!CT543+MODEL!CT544</f>
        <v>-34</v>
      </c>
      <c r="BO175" s="444"/>
      <c r="BP175" s="444">
        <f>+MODEL!CV543+MODEL!CV544</f>
        <v>-7</v>
      </c>
      <c r="BQ175" s="444">
        <f>+MODEL!CW543+MODEL!CW544</f>
        <v>-23</v>
      </c>
      <c r="BR175" s="444">
        <f>+MODEL!CX543+MODEL!CX544</f>
        <v>-30</v>
      </c>
      <c r="BS175" s="444"/>
      <c r="BT175" s="444">
        <f>+MODEL!CZ543+MODEL!CZ544</f>
        <v>0</v>
      </c>
      <c r="BU175" s="444">
        <f>+MODEL!DA543+MODEL!DA544</f>
        <v>0</v>
      </c>
      <c r="BV175" s="444">
        <f>+MODEL!DB543+MODEL!DB544</f>
        <v>0</v>
      </c>
      <c r="BW175" s="444"/>
      <c r="BX175" s="444">
        <f>+MODEL!DD543+MODEL!DD544</f>
        <v>0</v>
      </c>
      <c r="BY175" s="444">
        <f>+MODEL!DE543+MODEL!DE544</f>
        <v>0</v>
      </c>
      <c r="BZ175" s="444">
        <f>+MODEL!DF543+MODEL!DF544</f>
        <v>0</v>
      </c>
      <c r="CA175" s="444"/>
      <c r="CB175" s="444">
        <f>+MODEL!DH543+MODEL!DH544</f>
        <v>0</v>
      </c>
      <c r="CC175" s="444">
        <f>+MODEL!DI543+MODEL!DI544</f>
        <v>0</v>
      </c>
      <c r="CD175" s="444">
        <f>+MODEL!DJ543+MODEL!DJ544</f>
        <v>0</v>
      </c>
      <c r="CE175" s="444"/>
      <c r="CF175" s="444">
        <f>+MODEL!DL543+MODEL!DL544</f>
        <v>0</v>
      </c>
      <c r="CG175" s="444">
        <f>+MODEL!DM543+MODEL!DM544</f>
        <v>0</v>
      </c>
      <c r="CH175" s="444">
        <f>+MODEL!DN543+MODEL!DN544</f>
        <v>0</v>
      </c>
      <c r="CI175" s="444"/>
      <c r="CJ175" s="444">
        <f>+MODEL!DP543+MODEL!DP544</f>
        <v>0</v>
      </c>
      <c r="CK175" s="444">
        <f>+MODEL!DQ543+MODEL!DQ544</f>
        <v>0</v>
      </c>
      <c r="CL175" s="444">
        <f>+MODEL!DR543+MODEL!DR544</f>
        <v>0</v>
      </c>
      <c r="CM175" s="444"/>
      <c r="CN175" s="444"/>
      <c r="CO175" s="459"/>
      <c r="CP175" s="459"/>
      <c r="CQ175" s="459"/>
      <c r="CR175" s="459"/>
      <c r="CS175" s="459"/>
      <c r="CT175" s="459"/>
      <c r="CU175" s="459"/>
      <c r="CV175" s="459"/>
      <c r="CW175" s="459"/>
      <c r="CX175" s="459"/>
      <c r="CY175" s="459"/>
      <c r="CZ175" s="459"/>
      <c r="DA175" s="444"/>
      <c r="DB175" s="444"/>
      <c r="DC175" s="444"/>
      <c r="DD175" s="444"/>
      <c r="DE175" s="444"/>
      <c r="DF175" s="444"/>
      <c r="DG175" s="444"/>
      <c r="DH175" s="444"/>
      <c r="DI175" s="444"/>
      <c r="DJ175" s="444"/>
      <c r="DK175" s="444"/>
      <c r="DL175" s="444"/>
      <c r="DM175" s="444"/>
      <c r="DN175" s="444"/>
      <c r="DO175" s="444"/>
      <c r="DP175" s="444"/>
      <c r="DQ175" s="444"/>
      <c r="DR175" s="444"/>
      <c r="DS175" s="444"/>
      <c r="DT175" s="444"/>
      <c r="DU175" s="444"/>
      <c r="DV175" s="444"/>
      <c r="DW175" s="444"/>
      <c r="DX175" s="444"/>
      <c r="DY175" s="444"/>
      <c r="DZ175" s="444"/>
      <c r="EA175" s="444"/>
      <c r="EB175" s="444"/>
      <c r="EC175" s="444"/>
      <c r="ED175" s="444"/>
      <c r="EE175" s="444"/>
      <c r="EF175" s="444"/>
      <c r="EG175" s="444"/>
      <c r="EH175" s="444"/>
      <c r="EI175" s="444"/>
      <c r="EJ175" s="444"/>
      <c r="EK175" s="444"/>
      <c r="EL175" s="444"/>
      <c r="EM175" s="444"/>
      <c r="EN175" s="444"/>
      <c r="EO175" s="444"/>
      <c r="EP175" s="444"/>
      <c r="EQ175" s="444"/>
      <c r="ER175" s="444"/>
      <c r="ES175" s="444"/>
      <c r="ET175" s="444"/>
      <c r="EU175" s="444"/>
      <c r="EV175" s="444"/>
      <c r="EW175" s="444"/>
      <c r="EX175" s="444"/>
      <c r="EY175" s="444"/>
      <c r="EZ175" s="444"/>
      <c r="FA175" s="444"/>
      <c r="FB175" s="444"/>
      <c r="FC175" s="444"/>
      <c r="FD175" s="444"/>
      <c r="FE175" s="444"/>
      <c r="FF175" s="444"/>
      <c r="FG175" s="444"/>
      <c r="FH175" s="444"/>
      <c r="FI175" s="444"/>
      <c r="FJ175" s="444"/>
      <c r="FK175" s="444"/>
    </row>
    <row r="176" spans="1:179" ht="13.8">
      <c r="A176" s="444"/>
      <c r="B176" s="444"/>
      <c r="C176" s="444" t="s">
        <v>238</v>
      </c>
      <c r="D176" s="444"/>
      <c r="E176" s="444"/>
      <c r="F176" s="444"/>
      <c r="G176" s="444"/>
      <c r="H176" s="444"/>
      <c r="I176" s="444"/>
      <c r="J176" s="444"/>
      <c r="K176" s="444"/>
      <c r="L176" s="444"/>
      <c r="M176" s="444"/>
      <c r="N176" s="444"/>
      <c r="O176" s="444"/>
      <c r="P176" s="444"/>
      <c r="Q176" s="444"/>
      <c r="R176" s="444"/>
      <c r="S176" s="444"/>
      <c r="T176" s="444"/>
      <c r="U176" s="444"/>
      <c r="V176" s="444"/>
      <c r="W176" s="444"/>
      <c r="X176" s="444"/>
      <c r="Y176" s="444"/>
      <c r="Z176" s="444"/>
      <c r="AA176" s="444"/>
      <c r="AB176" s="444"/>
      <c r="AC176" s="444"/>
      <c r="AD176" s="444"/>
      <c r="AE176" s="444"/>
      <c r="AF176" s="444"/>
      <c r="AG176" s="444"/>
      <c r="AH176" s="444"/>
      <c r="AI176" s="444"/>
      <c r="AJ176" s="444"/>
      <c r="AK176" s="444"/>
      <c r="AL176" s="444"/>
      <c r="AM176" s="444"/>
      <c r="AN176" s="444"/>
      <c r="AO176" s="444"/>
      <c r="AP176" s="444"/>
      <c r="AQ176" s="444"/>
      <c r="AR176" s="444"/>
      <c r="AS176" s="444"/>
      <c r="AT176" s="758">
        <f>AT149</f>
        <v>-83</v>
      </c>
      <c r="AU176" s="444"/>
      <c r="AV176" s="758">
        <f t="shared" ref="AV176:BJ176" si="142">AV149</f>
        <v>-35</v>
      </c>
      <c r="AW176" s="758">
        <f t="shared" si="142"/>
        <v>-156</v>
      </c>
      <c r="AX176" s="758">
        <f t="shared" si="142"/>
        <v>-191</v>
      </c>
      <c r="AY176" s="758">
        <f t="shared" si="142"/>
        <v>0</v>
      </c>
      <c r="AZ176" s="758">
        <f t="shared" si="142"/>
        <v>-38</v>
      </c>
      <c r="BA176" s="758">
        <f>BA149</f>
        <v>-308</v>
      </c>
      <c r="BB176" s="758">
        <f>BB149</f>
        <v>-346</v>
      </c>
      <c r="BC176" s="758"/>
      <c r="BD176" s="758">
        <f t="shared" si="142"/>
        <v>-27</v>
      </c>
      <c r="BE176" s="758">
        <f t="shared" si="142"/>
        <v>-84</v>
      </c>
      <c r="BF176" s="758">
        <f t="shared" si="142"/>
        <v>-111</v>
      </c>
      <c r="BG176" s="758"/>
      <c r="BH176" s="758">
        <f t="shared" si="142"/>
        <v>-59</v>
      </c>
      <c r="BI176" s="758">
        <f t="shared" si="142"/>
        <v>-49</v>
      </c>
      <c r="BJ176" s="758">
        <f t="shared" si="142"/>
        <v>-108</v>
      </c>
      <c r="BK176" s="758"/>
      <c r="BL176" s="758">
        <f>BL149</f>
        <v>-110</v>
      </c>
      <c r="BM176" s="758">
        <f>BM149</f>
        <v>-29</v>
      </c>
      <c r="BN176" s="758">
        <f>BN149</f>
        <v>-139</v>
      </c>
      <c r="BO176" s="758"/>
      <c r="BP176" s="758">
        <f>BP149</f>
        <v>-28</v>
      </c>
      <c r="BQ176" s="758">
        <f>BQ149</f>
        <v>-26</v>
      </c>
      <c r="BR176" s="758">
        <f>BR149</f>
        <v>-54</v>
      </c>
      <c r="BS176" s="758"/>
      <c r="BT176" s="758">
        <f>BT149</f>
        <v>0</v>
      </c>
      <c r="BU176" s="758">
        <f>BU149</f>
        <v>0</v>
      </c>
      <c r="BV176" s="758">
        <f>BV149</f>
        <v>0</v>
      </c>
      <c r="BW176" s="758"/>
      <c r="BX176" s="758">
        <f>BX149</f>
        <v>0</v>
      </c>
      <c r="BY176" s="758">
        <f>BY149</f>
        <v>0</v>
      </c>
      <c r="BZ176" s="758">
        <f>BZ149</f>
        <v>0</v>
      </c>
      <c r="CA176" s="758"/>
      <c r="CB176" s="758">
        <f>CB149</f>
        <v>0</v>
      </c>
      <c r="CC176" s="758">
        <f>CC149</f>
        <v>0</v>
      </c>
      <c r="CD176" s="758">
        <f>CD149</f>
        <v>0</v>
      </c>
      <c r="CE176" s="758"/>
      <c r="CF176" s="758">
        <f>CF149</f>
        <v>0</v>
      </c>
      <c r="CG176" s="758">
        <f>CG149</f>
        <v>0</v>
      </c>
      <c r="CH176" s="758">
        <f>CH149</f>
        <v>0</v>
      </c>
      <c r="CI176" s="758"/>
      <c r="CJ176" s="758">
        <f>CJ149</f>
        <v>0</v>
      </c>
      <c r="CK176" s="758">
        <f>CK149</f>
        <v>0</v>
      </c>
      <c r="CL176" s="758">
        <f>CL149</f>
        <v>0</v>
      </c>
      <c r="CM176" s="444"/>
      <c r="CN176" s="444"/>
      <c r="CO176" s="459"/>
      <c r="CP176" s="459"/>
      <c r="CQ176" s="459"/>
      <c r="CR176" s="459"/>
      <c r="CS176" s="459"/>
      <c r="CT176" s="459"/>
      <c r="CU176" s="459"/>
      <c r="CV176" s="459"/>
      <c r="CW176" s="459"/>
      <c r="CX176" s="459"/>
      <c r="CY176" s="459"/>
      <c r="CZ176" s="459"/>
      <c r="DA176" s="444"/>
      <c r="DB176" s="444"/>
      <c r="DC176" s="444"/>
      <c r="DD176" s="444"/>
      <c r="DE176" s="444"/>
      <c r="DF176" s="444"/>
      <c r="DG176" s="444"/>
      <c r="DH176" s="444"/>
      <c r="DI176" s="444"/>
      <c r="DJ176" s="444"/>
      <c r="DK176" s="444"/>
      <c r="DL176" s="444"/>
      <c r="DM176" s="444"/>
      <c r="DN176" s="444"/>
      <c r="DO176" s="444"/>
      <c r="DP176" s="444"/>
      <c r="DQ176" s="444"/>
      <c r="DR176" s="444"/>
      <c r="DS176" s="444"/>
      <c r="DT176" s="444"/>
      <c r="DU176" s="444"/>
      <c r="DV176" s="444"/>
      <c r="DW176" s="444"/>
      <c r="DX176" s="444"/>
      <c r="DY176" s="444"/>
      <c r="DZ176" s="444"/>
      <c r="EA176" s="444"/>
      <c r="EB176" s="444"/>
      <c r="EC176" s="444"/>
      <c r="ED176" s="444"/>
      <c r="EE176" s="444"/>
      <c r="EF176" s="444"/>
      <c r="EG176" s="444"/>
      <c r="EH176" s="444"/>
      <c r="EI176" s="444"/>
      <c r="EJ176" s="444"/>
      <c r="EK176" s="444"/>
      <c r="EL176" s="444"/>
      <c r="EM176" s="444"/>
      <c r="EN176" s="444"/>
      <c r="EO176" s="444"/>
      <c r="EP176" s="444"/>
      <c r="EQ176" s="444"/>
      <c r="ER176" s="444"/>
      <c r="ES176" s="444"/>
      <c r="ET176" s="444"/>
      <c r="EU176" s="444"/>
      <c r="EV176" s="444"/>
      <c r="EW176" s="444"/>
      <c r="EX176" s="444"/>
      <c r="EY176" s="444"/>
      <c r="EZ176" s="444"/>
      <c r="FA176" s="444"/>
      <c r="FB176" s="444"/>
      <c r="FC176" s="444"/>
      <c r="FD176" s="444"/>
      <c r="FE176" s="444"/>
      <c r="FF176" s="444"/>
      <c r="FG176" s="444"/>
      <c r="FH176" s="444"/>
      <c r="FI176" s="444"/>
      <c r="FJ176" s="444"/>
      <c r="FK176" s="444"/>
    </row>
    <row r="177" spans="1:179" ht="13.8">
      <c r="A177" s="444"/>
      <c r="B177" s="444"/>
      <c r="C177" s="808" t="s">
        <v>740</v>
      </c>
      <c r="D177" s="444"/>
      <c r="E177" s="444"/>
      <c r="F177" s="444"/>
      <c r="G177" s="444"/>
      <c r="H177" s="444"/>
      <c r="I177" s="444"/>
      <c r="J177" s="444"/>
      <c r="K177" s="444"/>
      <c r="L177" s="444"/>
      <c r="M177" s="444"/>
      <c r="N177" s="444"/>
      <c r="O177" s="444"/>
      <c r="P177" s="444"/>
      <c r="Q177" s="444"/>
      <c r="R177" s="444"/>
      <c r="S177" s="444"/>
      <c r="T177" s="444"/>
      <c r="U177" s="444"/>
      <c r="V177" s="444"/>
      <c r="W177" s="444"/>
      <c r="X177" s="444"/>
      <c r="Y177" s="444"/>
      <c r="Z177" s="444"/>
      <c r="AA177" s="444"/>
      <c r="AB177" s="444"/>
      <c r="AC177" s="444"/>
      <c r="AD177" s="444"/>
      <c r="AE177" s="444"/>
      <c r="AF177" s="444"/>
      <c r="AG177" s="444"/>
      <c r="AH177" s="444"/>
      <c r="AI177" s="444"/>
      <c r="AJ177" s="444"/>
      <c r="AK177" s="444"/>
      <c r="AL177" s="444"/>
      <c r="AM177" s="444"/>
      <c r="AN177" s="444"/>
      <c r="AO177" s="444"/>
      <c r="AP177" s="444"/>
      <c r="AQ177" s="444"/>
      <c r="AR177" s="444"/>
      <c r="AS177" s="444"/>
      <c r="AT177" s="808">
        <f>SUM(AT174:AT176)</f>
        <v>-153</v>
      </c>
      <c r="AU177" s="444"/>
      <c r="AV177" s="808">
        <f>SUM(AV174:AV176)</f>
        <v>-67</v>
      </c>
      <c r="AW177" s="808">
        <f t="shared" ref="AW177:BJ177" si="143">SUM(AW174:AW176)</f>
        <v>-352</v>
      </c>
      <c r="AX177" s="808">
        <f t="shared" si="143"/>
        <v>-419</v>
      </c>
      <c r="AY177" s="808">
        <f t="shared" si="143"/>
        <v>0</v>
      </c>
      <c r="AZ177" s="808">
        <f t="shared" si="143"/>
        <v>-102</v>
      </c>
      <c r="BA177" s="808">
        <f>SUM(BA174:BA176)</f>
        <v>-456</v>
      </c>
      <c r="BB177" s="808">
        <f>SUM(BB174:BB176)</f>
        <v>-558</v>
      </c>
      <c r="BC177" s="808"/>
      <c r="BD177" s="808">
        <f t="shared" si="143"/>
        <v>-85</v>
      </c>
      <c r="BE177" s="808">
        <f t="shared" si="143"/>
        <v>-200</v>
      </c>
      <c r="BF177" s="808">
        <f t="shared" si="143"/>
        <v>-285</v>
      </c>
      <c r="BG177" s="808"/>
      <c r="BH177" s="808">
        <f t="shared" si="143"/>
        <v>-133</v>
      </c>
      <c r="BI177" s="808">
        <f t="shared" si="143"/>
        <v>-117</v>
      </c>
      <c r="BJ177" s="808">
        <f t="shared" si="143"/>
        <v>-250</v>
      </c>
      <c r="BK177" s="808"/>
      <c r="BL177" s="808">
        <f>SUM(BL174:BL176)</f>
        <v>-135</v>
      </c>
      <c r="BM177" s="808">
        <f>SUM(BM174:BM176)</f>
        <v>-38</v>
      </c>
      <c r="BN177" s="808">
        <f>SUM(BN174:BN176)</f>
        <v>-173</v>
      </c>
      <c r="BO177" s="808"/>
      <c r="BP177" s="808">
        <f>SUM(BP174:BP176)</f>
        <v>-45</v>
      </c>
      <c r="BQ177" s="808">
        <f>SUM(BQ174:BQ176)</f>
        <v>-57</v>
      </c>
      <c r="BR177" s="808">
        <f>SUM(BR174:BR176)</f>
        <v>-102</v>
      </c>
      <c r="BS177" s="808"/>
      <c r="BT177" s="808">
        <f>SUM(BT174:BT176)</f>
        <v>0</v>
      </c>
      <c r="BU177" s="808">
        <f>SUM(BU174:BU176)</f>
        <v>0</v>
      </c>
      <c r="BV177" s="808">
        <f>SUM(BV174:BV176)</f>
        <v>0</v>
      </c>
      <c r="BW177" s="808"/>
      <c r="BX177" s="808">
        <f>SUM(BX174:BX176)</f>
        <v>0</v>
      </c>
      <c r="BY177" s="808">
        <f>SUM(BY174:BY176)</f>
        <v>0</v>
      </c>
      <c r="BZ177" s="808">
        <f>SUM(BZ174:BZ176)</f>
        <v>0</v>
      </c>
      <c r="CA177" s="808"/>
      <c r="CB177" s="808">
        <f>SUM(CB174:CB176)</f>
        <v>0</v>
      </c>
      <c r="CC177" s="808">
        <f>SUM(CC174:CC176)</f>
        <v>0</v>
      </c>
      <c r="CD177" s="808">
        <f>SUM(CD174:CD176)</f>
        <v>0</v>
      </c>
      <c r="CE177" s="808"/>
      <c r="CF177" s="808">
        <f>SUM(CF174:CF176)</f>
        <v>0</v>
      </c>
      <c r="CG177" s="808">
        <f>SUM(CG174:CG176)</f>
        <v>0</v>
      </c>
      <c r="CH177" s="808">
        <f>SUM(CH174:CH176)</f>
        <v>0</v>
      </c>
      <c r="CI177" s="808"/>
      <c r="CJ177" s="808">
        <f>SUM(CJ174:CJ176)</f>
        <v>0</v>
      </c>
      <c r="CK177" s="808">
        <f>SUM(CK174:CK176)</f>
        <v>0</v>
      </c>
      <c r="CL177" s="808">
        <f>SUM(CL174:CL176)</f>
        <v>0</v>
      </c>
      <c r="CM177" s="444"/>
      <c r="CN177" s="444"/>
      <c r="CO177" s="459"/>
      <c r="CP177" s="459"/>
      <c r="CQ177" s="459"/>
      <c r="CR177" s="459"/>
      <c r="CS177" s="459"/>
      <c r="CT177" s="459"/>
      <c r="CU177" s="459"/>
      <c r="CV177" s="459"/>
      <c r="CW177" s="459"/>
      <c r="CX177" s="459"/>
      <c r="CY177" s="459"/>
      <c r="CZ177" s="459"/>
      <c r="DA177" s="444"/>
      <c r="DB177" s="444"/>
      <c r="DC177" s="444"/>
      <c r="DD177" s="444"/>
      <c r="DE177" s="444"/>
      <c r="DF177" s="444"/>
      <c r="DG177" s="444"/>
      <c r="DH177" s="444"/>
      <c r="DI177" s="444"/>
      <c r="DJ177" s="444"/>
      <c r="DK177" s="444"/>
      <c r="DL177" s="444"/>
      <c r="DM177" s="444"/>
      <c r="DN177" s="444"/>
      <c r="DO177" s="444"/>
      <c r="DP177" s="444"/>
      <c r="DQ177" s="444"/>
      <c r="DR177" s="444"/>
      <c r="DS177" s="444"/>
      <c r="DT177" s="444"/>
      <c r="DU177" s="444"/>
      <c r="DV177" s="444"/>
      <c r="DW177" s="444"/>
      <c r="DX177" s="444"/>
      <c r="DY177" s="444"/>
      <c r="DZ177" s="444"/>
      <c r="EA177" s="444"/>
      <c r="EB177" s="444"/>
      <c r="EC177" s="444"/>
      <c r="ED177" s="444"/>
      <c r="EE177" s="444"/>
      <c r="EF177" s="444"/>
      <c r="EG177" s="444"/>
      <c r="EH177" s="444"/>
      <c r="EI177" s="444"/>
      <c r="EJ177" s="444"/>
      <c r="EK177" s="444"/>
      <c r="EL177" s="444"/>
      <c r="EM177" s="444"/>
      <c r="EN177" s="444"/>
      <c r="EO177" s="444"/>
      <c r="EP177" s="444"/>
      <c r="EQ177" s="444"/>
      <c r="ER177" s="444"/>
      <c r="ES177" s="444"/>
      <c r="ET177" s="444"/>
      <c r="EU177" s="444"/>
      <c r="EV177" s="444"/>
      <c r="EW177" s="444"/>
      <c r="EX177" s="444"/>
      <c r="EY177" s="444"/>
      <c r="EZ177" s="444"/>
      <c r="FA177" s="444"/>
      <c r="FB177" s="444"/>
      <c r="FC177" s="444"/>
      <c r="FD177" s="444"/>
      <c r="FE177" s="444"/>
      <c r="FF177" s="444"/>
      <c r="FG177" s="444"/>
      <c r="FH177" s="444"/>
      <c r="FI177" s="444"/>
      <c r="FJ177" s="444"/>
      <c r="FK177" s="444"/>
    </row>
    <row r="178" spans="1:179" ht="13.8">
      <c r="A178" s="444"/>
      <c r="B178" s="444"/>
      <c r="C178" s="444" t="s">
        <v>927</v>
      </c>
      <c r="D178" s="444"/>
      <c r="E178" s="444"/>
      <c r="F178" s="444"/>
      <c r="G178" s="444"/>
      <c r="H178" s="444"/>
      <c r="I178" s="444"/>
      <c r="J178" s="444"/>
      <c r="K178" s="444"/>
      <c r="L178" s="444"/>
      <c r="M178" s="444"/>
      <c r="N178" s="444"/>
      <c r="O178" s="444"/>
      <c r="P178" s="444"/>
      <c r="Q178" s="444"/>
      <c r="R178" s="444"/>
      <c r="S178" s="444"/>
      <c r="T178" s="444"/>
      <c r="U178" s="444"/>
      <c r="V178" s="444"/>
      <c r="W178" s="444"/>
      <c r="X178" s="444"/>
      <c r="Y178" s="444"/>
      <c r="Z178" s="444"/>
      <c r="AA178" s="444"/>
      <c r="AB178" s="444"/>
      <c r="AC178" s="444"/>
      <c r="AD178" s="444"/>
      <c r="AE178" s="444"/>
      <c r="AF178" s="444"/>
      <c r="AG178" s="444"/>
      <c r="AH178" s="444"/>
      <c r="AI178" s="444"/>
      <c r="AJ178" s="444"/>
      <c r="AK178" s="444"/>
      <c r="AL178" s="444"/>
      <c r="AM178" s="444"/>
      <c r="AN178" s="444"/>
      <c r="AO178" s="444"/>
      <c r="AP178" s="444"/>
      <c r="AQ178" s="444"/>
      <c r="AR178" s="444"/>
      <c r="AS178" s="444"/>
      <c r="AT178" s="444">
        <f>AT177-AT179</f>
        <v>-41</v>
      </c>
      <c r="AU178" s="444"/>
      <c r="AV178" s="444">
        <f>AV179-AV177</f>
        <v>22</v>
      </c>
      <c r="AW178" s="444">
        <f>AW179-AW177</f>
        <v>102</v>
      </c>
      <c r="AX178" s="444">
        <f>AX179-AX177</f>
        <v>124</v>
      </c>
      <c r="AY178" s="444"/>
      <c r="AZ178" s="758">
        <f>MODEL!CF548</f>
        <v>30</v>
      </c>
      <c r="BA178" s="813">
        <f>MODEL!CG548</f>
        <v>80</v>
      </c>
      <c r="BB178" s="813">
        <f>MODEL!CH548</f>
        <v>110</v>
      </c>
      <c r="BC178" s="813"/>
      <c r="BD178" s="867">
        <f>-BD177*0.3</f>
        <v>25.5</v>
      </c>
      <c r="BE178" s="867">
        <f>-BE177*0.3</f>
        <v>60</v>
      </c>
      <c r="BF178" s="813">
        <f>MODEL!CL548</f>
        <v>104</v>
      </c>
      <c r="BG178" s="444"/>
      <c r="BH178" s="867">
        <f>-BH177*0.3</f>
        <v>39.9</v>
      </c>
      <c r="BI178" s="867">
        <f>-BI177*0.3</f>
        <v>35.1</v>
      </c>
      <c r="BJ178" s="813">
        <f>MODEL!CP548</f>
        <v>98</v>
      </c>
      <c r="BK178" s="444"/>
      <c r="BL178" s="867">
        <f>-BL177*0.3</f>
        <v>40.5</v>
      </c>
      <c r="BM178" s="867">
        <f>-BM177*0.3</f>
        <v>11.4</v>
      </c>
      <c r="BN178" s="813">
        <f>MODEL!CT548</f>
        <v>58</v>
      </c>
      <c r="BO178" s="444"/>
      <c r="BP178" s="867">
        <f>-BP177*0.3</f>
        <v>13.5</v>
      </c>
      <c r="BQ178" s="867">
        <f>-BQ177*0.3</f>
        <v>17.099999999999998</v>
      </c>
      <c r="BR178" s="813">
        <f>MODEL!CX548</f>
        <v>26</v>
      </c>
      <c r="BS178" s="444"/>
      <c r="BT178" s="867">
        <f>-BT177*0.3</f>
        <v>0</v>
      </c>
      <c r="BU178" s="867">
        <f>-BU177*0.3</f>
        <v>0</v>
      </c>
      <c r="BV178" s="813">
        <f>MODEL!DB548</f>
        <v>0</v>
      </c>
      <c r="BW178" s="444"/>
      <c r="BX178" s="867">
        <f>-BX177*0.3</f>
        <v>0</v>
      </c>
      <c r="BY178" s="867">
        <f>-BY177*0.3</f>
        <v>0</v>
      </c>
      <c r="BZ178" s="813">
        <f>MODEL!DF548</f>
        <v>0</v>
      </c>
      <c r="CA178" s="444"/>
      <c r="CB178" s="867">
        <f>-CB177*0.3</f>
        <v>0</v>
      </c>
      <c r="CC178" s="867">
        <f>-CC177*0.3</f>
        <v>0</v>
      </c>
      <c r="CD178" s="813">
        <f>MODEL!DJ548</f>
        <v>0</v>
      </c>
      <c r="CE178" s="444"/>
      <c r="CF178" s="867">
        <f>-CF177*0.3</f>
        <v>0</v>
      </c>
      <c r="CG178" s="867">
        <f>-CG177*0.3</f>
        <v>0</v>
      </c>
      <c r="CH178" s="813">
        <f>MODEL!DN548</f>
        <v>0</v>
      </c>
      <c r="CI178" s="444"/>
      <c r="CJ178" s="867">
        <f>-CJ177*0.3</f>
        <v>0</v>
      </c>
      <c r="CK178" s="867">
        <f>-CK177*0.3</f>
        <v>0</v>
      </c>
      <c r="CL178" s="813">
        <f>MODEL!DR548</f>
        <v>0</v>
      </c>
      <c r="CM178" s="444"/>
      <c r="CN178" s="444"/>
      <c r="CO178" s="459"/>
      <c r="CP178" s="459"/>
      <c r="CQ178" s="459"/>
      <c r="CR178" s="459"/>
      <c r="CS178" s="459"/>
      <c r="CT178" s="459"/>
      <c r="CU178" s="459"/>
      <c r="CV178" s="459"/>
      <c r="CW178" s="459"/>
      <c r="CX178" s="459"/>
      <c r="CY178" s="459"/>
      <c r="CZ178" s="459"/>
      <c r="DA178" s="444"/>
      <c r="DB178" s="444"/>
      <c r="DC178" s="444"/>
      <c r="DD178" s="444"/>
      <c r="DE178" s="444"/>
      <c r="DF178" s="444"/>
      <c r="DG178" s="444"/>
      <c r="DH178" s="444"/>
      <c r="DI178" s="444"/>
      <c r="DJ178" s="444"/>
      <c r="DK178" s="444"/>
      <c r="DL178" s="444"/>
      <c r="DM178" s="444"/>
      <c r="DN178" s="444"/>
      <c r="DO178" s="444"/>
      <c r="DP178" s="444"/>
      <c r="DQ178" s="444"/>
      <c r="DR178" s="444"/>
      <c r="DS178" s="444"/>
      <c r="DT178" s="444"/>
      <c r="DU178" s="444"/>
      <c r="DV178" s="444"/>
      <c r="DW178" s="444"/>
      <c r="DX178" s="444"/>
      <c r="DY178" s="444"/>
      <c r="DZ178" s="444"/>
      <c r="EA178" s="444"/>
      <c r="EB178" s="444"/>
      <c r="EC178" s="444"/>
      <c r="ED178" s="444"/>
      <c r="EE178" s="444"/>
      <c r="EF178" s="444"/>
      <c r="EG178" s="444"/>
      <c r="EH178" s="444"/>
      <c r="EI178" s="444"/>
      <c r="EJ178" s="444"/>
      <c r="EK178" s="444"/>
      <c r="EL178" s="444"/>
      <c r="EM178" s="444"/>
      <c r="EN178" s="444"/>
      <c r="EO178" s="444"/>
      <c r="EP178" s="444"/>
      <c r="EQ178" s="444"/>
      <c r="ER178" s="444"/>
      <c r="ES178" s="444"/>
      <c r="ET178" s="444"/>
      <c r="EU178" s="444"/>
      <c r="EV178" s="444"/>
      <c r="EW178" s="444"/>
      <c r="EX178" s="444"/>
      <c r="EY178" s="444"/>
      <c r="EZ178" s="444"/>
      <c r="FA178" s="444"/>
      <c r="FB178" s="444"/>
      <c r="FC178" s="444"/>
      <c r="FD178" s="444"/>
      <c r="FE178" s="444"/>
      <c r="FF178" s="444"/>
      <c r="FG178" s="444"/>
      <c r="FH178" s="444"/>
      <c r="FI178" s="444"/>
      <c r="FJ178" s="444"/>
      <c r="FK178" s="444"/>
    </row>
    <row r="179" spans="1:179" ht="13.8">
      <c r="A179" s="444"/>
      <c r="B179" s="444"/>
      <c r="C179" s="891" t="s">
        <v>928</v>
      </c>
      <c r="D179" s="595"/>
      <c r="E179" s="595"/>
      <c r="F179" s="595"/>
      <c r="G179" s="595"/>
      <c r="H179" s="595"/>
      <c r="I179" s="595"/>
      <c r="J179" s="595"/>
      <c r="K179" s="595"/>
      <c r="L179" s="595"/>
      <c r="M179" s="595"/>
      <c r="N179" s="595"/>
      <c r="O179" s="595"/>
      <c r="P179" s="595"/>
      <c r="Q179" s="595"/>
      <c r="R179" s="595"/>
      <c r="S179" s="595"/>
      <c r="T179" s="595"/>
      <c r="U179" s="595"/>
      <c r="V179" s="595"/>
      <c r="W179" s="595"/>
      <c r="X179" s="595"/>
      <c r="Y179" s="595"/>
      <c r="Z179" s="595"/>
      <c r="AA179" s="595"/>
      <c r="AB179" s="595"/>
      <c r="AC179" s="595"/>
      <c r="AD179" s="595"/>
      <c r="AE179" s="595"/>
      <c r="AF179" s="595"/>
      <c r="AG179" s="595"/>
      <c r="AH179" s="595"/>
      <c r="AI179" s="595"/>
      <c r="AJ179" s="595"/>
      <c r="AK179" s="595"/>
      <c r="AL179" s="595"/>
      <c r="AM179" s="595"/>
      <c r="AN179" s="595"/>
      <c r="AO179" s="595"/>
      <c r="AP179" s="595"/>
      <c r="AQ179" s="595"/>
      <c r="AR179" s="595"/>
      <c r="AS179" s="595"/>
      <c r="AT179" s="892">
        <v>-112</v>
      </c>
      <c r="AU179" s="595"/>
      <c r="AV179" s="892">
        <v>-45</v>
      </c>
      <c r="AW179" s="892">
        <v>-250</v>
      </c>
      <c r="AX179" s="891">
        <f>SUM(AV179:AW179)</f>
        <v>-295</v>
      </c>
      <c r="AY179" s="891">
        <f t="shared" ref="AY179:BI179" si="144">SUM(AY177:AY178)</f>
        <v>0</v>
      </c>
      <c r="AZ179" s="893">
        <f>SUM(AZ177:AZ178)</f>
        <v>-72</v>
      </c>
      <c r="BA179" s="894">
        <f>SUM(BA177:BA178)</f>
        <v>-376</v>
      </c>
      <c r="BB179" s="894">
        <f>SUM(BB177:BB178)</f>
        <v>-448</v>
      </c>
      <c r="BC179" s="894"/>
      <c r="BD179" s="894">
        <f t="shared" si="144"/>
        <v>-59.5</v>
      </c>
      <c r="BE179" s="894">
        <f t="shared" si="144"/>
        <v>-140</v>
      </c>
      <c r="BF179" s="894">
        <f>SUM(BF177:BF178)</f>
        <v>-181</v>
      </c>
      <c r="BG179" s="891"/>
      <c r="BH179" s="891">
        <f t="shared" si="144"/>
        <v>-93.1</v>
      </c>
      <c r="BI179" s="891">
        <f t="shared" si="144"/>
        <v>-81.900000000000006</v>
      </c>
      <c r="BJ179" s="894">
        <f>SUM(BJ177:BJ178)</f>
        <v>-152</v>
      </c>
      <c r="BK179" s="891"/>
      <c r="BL179" s="891">
        <f>SUM(BL177:BL178)</f>
        <v>-94.5</v>
      </c>
      <c r="BM179" s="891">
        <f>SUM(BM177:BM178)</f>
        <v>-26.6</v>
      </c>
      <c r="BN179" s="894">
        <f>SUM(BN177:BN178)</f>
        <v>-115</v>
      </c>
      <c r="BO179" s="891"/>
      <c r="BP179" s="891">
        <f>SUM(BP177:BP178)</f>
        <v>-31.5</v>
      </c>
      <c r="BQ179" s="891">
        <f>SUM(BQ177:BQ178)</f>
        <v>-39.900000000000006</v>
      </c>
      <c r="BR179" s="894">
        <f>SUM(BR177:BR178)</f>
        <v>-76</v>
      </c>
      <c r="BS179" s="891"/>
      <c r="BT179" s="891">
        <f>SUM(BT177:BT178)</f>
        <v>0</v>
      </c>
      <c r="BU179" s="891">
        <f>SUM(BU177:BU178)</f>
        <v>0</v>
      </c>
      <c r="BV179" s="894">
        <f>SUM(BV177:BV178)</f>
        <v>0</v>
      </c>
      <c r="BW179" s="891"/>
      <c r="BX179" s="891">
        <f>SUM(BX177:BX178)</f>
        <v>0</v>
      </c>
      <c r="BY179" s="891">
        <f>SUM(BY177:BY178)</f>
        <v>0</v>
      </c>
      <c r="BZ179" s="894">
        <f>SUM(BZ177:BZ178)</f>
        <v>0</v>
      </c>
      <c r="CA179" s="891"/>
      <c r="CB179" s="891">
        <f>SUM(CB177:CB178)</f>
        <v>0</v>
      </c>
      <c r="CC179" s="891">
        <f>SUM(CC177:CC178)</f>
        <v>0</v>
      </c>
      <c r="CD179" s="894">
        <f>SUM(CD177:CD178)</f>
        <v>0</v>
      </c>
      <c r="CE179" s="891"/>
      <c r="CF179" s="891">
        <f>SUM(CF177:CF178)</f>
        <v>0</v>
      </c>
      <c r="CG179" s="891">
        <f>SUM(CG177:CG178)</f>
        <v>0</v>
      </c>
      <c r="CH179" s="894">
        <f>SUM(CH177:CH178)</f>
        <v>0</v>
      </c>
      <c r="CI179" s="891"/>
      <c r="CJ179" s="891">
        <f>SUM(CJ177:CJ178)</f>
        <v>0</v>
      </c>
      <c r="CK179" s="891">
        <f>SUM(CK177:CK178)</f>
        <v>0</v>
      </c>
      <c r="CL179" s="894">
        <f>SUM(CL177:CL178)</f>
        <v>0</v>
      </c>
      <c r="CM179" s="444"/>
      <c r="CN179" s="444"/>
      <c r="CO179" s="459"/>
      <c r="CP179" s="459"/>
      <c r="CQ179" s="459"/>
      <c r="CR179" s="459"/>
      <c r="CS179" s="459"/>
      <c r="CT179" s="459"/>
      <c r="CU179" s="459"/>
      <c r="CV179" s="459"/>
      <c r="CW179" s="459"/>
      <c r="CX179" s="459"/>
      <c r="CY179" s="459"/>
      <c r="CZ179" s="459"/>
      <c r="DA179" s="444"/>
      <c r="DB179" s="444"/>
      <c r="DC179" s="444"/>
      <c r="DD179" s="444"/>
      <c r="DE179" s="444"/>
      <c r="DF179" s="444"/>
      <c r="DG179" s="444"/>
      <c r="DH179" s="444"/>
      <c r="DI179" s="444"/>
      <c r="DJ179" s="444"/>
      <c r="DK179" s="444"/>
      <c r="DL179" s="444"/>
      <c r="DM179" s="444"/>
      <c r="DN179" s="444"/>
      <c r="DO179" s="444"/>
      <c r="DP179" s="444"/>
      <c r="DQ179" s="444"/>
      <c r="DR179" s="444"/>
      <c r="DS179" s="444"/>
      <c r="DT179" s="444"/>
      <c r="DU179" s="444"/>
      <c r="DV179" s="444"/>
      <c r="DW179" s="444"/>
      <c r="DX179" s="444"/>
      <c r="DY179" s="444"/>
      <c r="DZ179" s="444"/>
      <c r="EA179" s="444"/>
      <c r="EB179" s="444"/>
      <c r="EC179" s="444"/>
      <c r="ED179" s="444"/>
      <c r="EE179" s="444"/>
      <c r="EF179" s="444"/>
      <c r="EG179" s="444"/>
      <c r="EH179" s="444"/>
      <c r="EI179" s="444"/>
      <c r="EJ179" s="444"/>
      <c r="EK179" s="444"/>
      <c r="EL179" s="444"/>
      <c r="EM179" s="444"/>
      <c r="EN179" s="444"/>
      <c r="EO179" s="444"/>
      <c r="EP179" s="444"/>
      <c r="EQ179" s="444"/>
      <c r="ER179" s="444"/>
      <c r="ES179" s="444"/>
      <c r="ET179" s="444"/>
      <c r="EU179" s="444"/>
      <c r="EV179" s="444"/>
      <c r="EW179" s="444"/>
      <c r="EX179" s="444"/>
      <c r="EY179" s="444"/>
      <c r="EZ179" s="444"/>
      <c r="FA179" s="444"/>
      <c r="FB179" s="444"/>
      <c r="FC179" s="444"/>
      <c r="FD179" s="444"/>
      <c r="FE179" s="444"/>
      <c r="FF179" s="444"/>
      <c r="FG179" s="444"/>
      <c r="FH179" s="444"/>
      <c r="FI179" s="444"/>
      <c r="FJ179" s="444"/>
      <c r="FK179" s="444"/>
    </row>
    <row r="180" spans="1:179" ht="13.8">
      <c r="A180" s="444"/>
      <c r="B180" s="444"/>
      <c r="C180" s="444"/>
      <c r="D180" s="444"/>
      <c r="E180" s="444"/>
      <c r="F180" s="444"/>
      <c r="G180" s="444"/>
      <c r="H180" s="444"/>
      <c r="I180" s="444"/>
      <c r="J180" s="444"/>
      <c r="K180" s="444"/>
      <c r="L180" s="444"/>
      <c r="M180" s="444"/>
      <c r="N180" s="444"/>
      <c r="O180" s="444"/>
      <c r="P180" s="444"/>
      <c r="Q180" s="444"/>
      <c r="R180" s="444"/>
      <c r="S180" s="444"/>
      <c r="T180" s="444"/>
      <c r="U180" s="444"/>
      <c r="V180" s="444"/>
      <c r="W180" s="444"/>
      <c r="X180" s="444"/>
      <c r="Y180" s="444"/>
      <c r="Z180" s="444"/>
      <c r="AA180" s="444"/>
      <c r="AB180" s="444"/>
      <c r="AC180" s="444"/>
      <c r="AD180" s="444"/>
      <c r="AE180" s="444"/>
      <c r="AF180" s="444"/>
      <c r="AG180" s="444"/>
      <c r="AH180" s="444"/>
      <c r="AI180" s="444"/>
      <c r="AJ180" s="444"/>
      <c r="AK180" s="444"/>
      <c r="AL180" s="444"/>
      <c r="AM180" s="444"/>
      <c r="AN180" s="444"/>
      <c r="AO180" s="444"/>
      <c r="AP180" s="444"/>
      <c r="AQ180" s="444"/>
      <c r="AR180" s="444"/>
      <c r="AS180" s="444"/>
      <c r="AT180" s="444"/>
      <c r="AU180" s="444"/>
      <c r="AV180" s="444"/>
      <c r="AW180" s="444"/>
      <c r="AX180" s="444"/>
      <c r="AY180" s="444"/>
      <c r="AZ180" s="444"/>
      <c r="BA180" s="845">
        <f>+BA177+BF177+BJ177</f>
        <v>-991</v>
      </c>
      <c r="BB180" s="444"/>
      <c r="BC180" s="444"/>
      <c r="BD180" s="444"/>
      <c r="BE180" s="444"/>
      <c r="BF180" s="847">
        <f>+BF177+BJ177</f>
        <v>-535</v>
      </c>
      <c r="BG180" s="444"/>
      <c r="BH180" s="444"/>
      <c r="BI180" s="444"/>
      <c r="BJ180" s="444"/>
      <c r="BK180" s="444"/>
      <c r="BL180" s="444"/>
      <c r="BM180" s="444"/>
      <c r="BN180" s="444"/>
      <c r="BO180" s="444"/>
      <c r="BP180" s="444"/>
      <c r="BQ180" s="444"/>
      <c r="BR180" s="444"/>
      <c r="BS180" s="444"/>
      <c r="BT180" s="444"/>
      <c r="BU180" s="444"/>
      <c r="BV180" s="444"/>
      <c r="BW180" s="444"/>
      <c r="BX180" s="444"/>
      <c r="BY180" s="444"/>
      <c r="BZ180" s="444"/>
      <c r="CA180" s="444"/>
      <c r="CB180" s="444"/>
      <c r="CC180" s="444"/>
      <c r="CD180" s="444"/>
      <c r="CE180" s="444"/>
      <c r="CF180" s="444"/>
      <c r="CG180" s="444"/>
      <c r="CH180" s="444"/>
      <c r="CI180" s="444"/>
      <c r="CJ180" s="444"/>
      <c r="CK180" s="444"/>
      <c r="CL180" s="444"/>
      <c r="CM180" s="444"/>
      <c r="CN180" s="444"/>
      <c r="CO180" s="459"/>
      <c r="CP180" s="459"/>
      <c r="CQ180" s="459"/>
      <c r="CR180" s="459"/>
      <c r="CS180" s="459"/>
      <c r="CT180" s="459"/>
      <c r="CU180" s="459"/>
      <c r="CV180" s="459"/>
      <c r="CW180" s="459"/>
      <c r="CX180" s="459"/>
      <c r="CY180" s="459"/>
      <c r="CZ180" s="459"/>
      <c r="DA180" s="444"/>
      <c r="DB180" s="444"/>
      <c r="DC180" s="444"/>
      <c r="DD180" s="444"/>
      <c r="DE180" s="444"/>
      <c r="DF180" s="444"/>
      <c r="DG180" s="444"/>
      <c r="DH180" s="444"/>
      <c r="DI180" s="444"/>
      <c r="DJ180" s="444"/>
      <c r="DK180" s="444"/>
      <c r="DL180" s="444"/>
      <c r="DM180" s="444"/>
      <c r="DN180" s="444"/>
      <c r="DO180" s="444"/>
      <c r="DP180" s="444"/>
      <c r="DQ180" s="444"/>
      <c r="DR180" s="444"/>
      <c r="DS180" s="444"/>
      <c r="DT180" s="444"/>
      <c r="DU180" s="444"/>
      <c r="DV180" s="444"/>
      <c r="DW180" s="444"/>
      <c r="DX180" s="444"/>
      <c r="DY180" s="444"/>
      <c r="DZ180" s="444"/>
      <c r="EA180" s="444"/>
      <c r="EB180" s="444"/>
      <c r="EC180" s="444"/>
      <c r="ED180" s="444"/>
      <c r="EE180" s="444"/>
      <c r="EF180" s="444"/>
      <c r="EG180" s="444"/>
      <c r="EH180" s="444"/>
      <c r="EI180" s="444"/>
      <c r="EJ180" s="444"/>
      <c r="EK180" s="444"/>
      <c r="EL180" s="444"/>
      <c r="EM180" s="444"/>
      <c r="EN180" s="444"/>
      <c r="EO180" s="444"/>
      <c r="EP180" s="444"/>
      <c r="EQ180" s="444"/>
      <c r="ER180" s="444"/>
      <c r="ES180" s="444"/>
      <c r="ET180" s="444"/>
      <c r="EU180" s="444"/>
      <c r="EV180" s="444"/>
      <c r="EW180" s="444"/>
      <c r="EX180" s="444"/>
      <c r="EY180" s="444"/>
      <c r="EZ180" s="444"/>
      <c r="FA180" s="444"/>
      <c r="FB180" s="444"/>
      <c r="FC180" s="444"/>
      <c r="FD180" s="444"/>
      <c r="FE180" s="444"/>
      <c r="FF180" s="444"/>
      <c r="FG180" s="444"/>
      <c r="FH180" s="444"/>
      <c r="FI180" s="444"/>
      <c r="FJ180" s="444"/>
      <c r="FK180" s="444"/>
    </row>
    <row r="181" spans="1:179" ht="13.8">
      <c r="A181" s="444"/>
      <c r="B181" s="444"/>
      <c r="C181" s="444"/>
      <c r="D181" s="444"/>
      <c r="E181" s="444"/>
      <c r="F181" s="444"/>
      <c r="G181" s="444"/>
      <c r="H181" s="444"/>
      <c r="I181" s="444"/>
      <c r="J181" s="444"/>
      <c r="K181" s="444"/>
      <c r="L181" s="444"/>
      <c r="M181" s="444"/>
      <c r="N181" s="444"/>
      <c r="O181" s="444"/>
      <c r="P181" s="444"/>
      <c r="Q181" s="444"/>
      <c r="R181" s="444"/>
      <c r="S181" s="444"/>
      <c r="T181" s="444"/>
      <c r="U181" s="444"/>
      <c r="V181" s="444"/>
      <c r="W181" s="444"/>
      <c r="X181" s="444"/>
      <c r="Y181" s="444"/>
      <c r="Z181" s="444"/>
      <c r="AA181" s="444"/>
      <c r="AB181" s="444"/>
      <c r="AC181" s="444"/>
      <c r="AD181" s="444"/>
      <c r="AE181" s="444"/>
      <c r="AF181" s="444"/>
      <c r="AG181" s="444"/>
      <c r="AH181" s="444"/>
      <c r="AI181" s="444"/>
      <c r="AJ181" s="444"/>
      <c r="AK181" s="444"/>
      <c r="AL181" s="444"/>
      <c r="AM181" s="444"/>
      <c r="AN181" s="444"/>
      <c r="AO181" s="444"/>
      <c r="AP181" s="444"/>
      <c r="AQ181" s="444"/>
      <c r="AR181" s="444"/>
      <c r="AS181" s="444"/>
      <c r="AT181" s="444"/>
      <c r="AU181" s="444"/>
      <c r="AV181" s="868"/>
      <c r="AW181" s="868"/>
      <c r="AX181" s="444"/>
      <c r="AY181" s="444"/>
      <c r="AZ181" s="444"/>
      <c r="BA181" s="845" t="s">
        <v>951</v>
      </c>
      <c r="BB181" s="444"/>
      <c r="BC181" s="444"/>
      <c r="BD181" s="444"/>
      <c r="BE181" s="444"/>
      <c r="BF181" s="444"/>
      <c r="BG181" s="444"/>
      <c r="BH181" s="444"/>
      <c r="BI181" s="444"/>
      <c r="BJ181" s="444"/>
      <c r="BK181" s="444"/>
      <c r="BL181" s="444"/>
      <c r="BM181" s="444"/>
      <c r="BN181" s="444"/>
      <c r="BO181" s="444"/>
      <c r="BP181" s="444"/>
      <c r="BQ181" s="444"/>
      <c r="BR181" s="444"/>
      <c r="BS181" s="444"/>
      <c r="BT181" s="444"/>
      <c r="BU181" s="444"/>
      <c r="BV181" s="444"/>
      <c r="BW181" s="444"/>
      <c r="BX181" s="444"/>
      <c r="BY181" s="444"/>
      <c r="BZ181" s="444"/>
      <c r="CA181" s="444"/>
      <c r="CB181" s="444"/>
      <c r="CC181" s="444"/>
      <c r="CD181" s="444"/>
      <c r="CE181" s="444"/>
      <c r="CF181" s="444"/>
      <c r="CG181" s="444"/>
      <c r="CH181" s="444"/>
      <c r="CI181" s="444"/>
      <c r="CJ181" s="444"/>
      <c r="CK181" s="444"/>
      <c r="CL181" s="444"/>
      <c r="CM181" s="444"/>
      <c r="CN181" s="444"/>
      <c r="CO181" s="459"/>
      <c r="CP181" s="459"/>
      <c r="CQ181" s="459"/>
      <c r="CR181" s="459"/>
      <c r="CS181" s="459"/>
      <c r="CT181" s="459"/>
      <c r="CU181" s="459"/>
      <c r="CV181" s="459"/>
      <c r="CW181" s="459"/>
      <c r="CX181" s="459"/>
      <c r="CY181" s="459"/>
      <c r="CZ181" s="459"/>
      <c r="DA181" s="444"/>
      <c r="DB181" s="444"/>
      <c r="DC181" s="444"/>
      <c r="DD181" s="444"/>
      <c r="DE181" s="444"/>
      <c r="DF181" s="444"/>
      <c r="DG181" s="444"/>
      <c r="DH181" s="444"/>
      <c r="DI181" s="444"/>
      <c r="DJ181" s="444"/>
      <c r="DK181" s="444"/>
      <c r="DL181" s="444"/>
      <c r="DM181" s="444"/>
      <c r="DN181" s="444"/>
      <c r="DO181" s="444"/>
      <c r="DP181" s="444"/>
      <c r="DQ181" s="444"/>
      <c r="DR181" s="444"/>
      <c r="DS181" s="444"/>
      <c r="DT181" s="444"/>
      <c r="DU181" s="444"/>
      <c r="DV181" s="444"/>
      <c r="DW181" s="444"/>
      <c r="DX181" s="444"/>
      <c r="DY181" s="444"/>
      <c r="DZ181" s="444"/>
      <c r="EA181" s="444"/>
      <c r="EB181" s="444"/>
      <c r="EC181" s="444"/>
      <c r="ED181" s="444"/>
      <c r="EE181" s="444"/>
      <c r="EF181" s="444"/>
      <c r="EG181" s="444"/>
      <c r="EH181" s="444"/>
      <c r="EI181" s="444"/>
      <c r="EJ181" s="444"/>
      <c r="EK181" s="444"/>
      <c r="EL181" s="444"/>
      <c r="EM181" s="444"/>
      <c r="EN181" s="444"/>
      <c r="EO181" s="444"/>
      <c r="EP181" s="444"/>
      <c r="EQ181" s="444"/>
      <c r="ER181" s="444"/>
      <c r="ES181" s="444"/>
      <c r="ET181" s="444"/>
      <c r="EU181" s="444"/>
      <c r="EV181" s="444"/>
      <c r="EW181" s="444"/>
      <c r="EX181" s="444"/>
      <c r="EY181" s="444"/>
      <c r="EZ181" s="444"/>
      <c r="FA181" s="444"/>
      <c r="FB181" s="444"/>
      <c r="FC181" s="444"/>
      <c r="FD181" s="444"/>
      <c r="FE181" s="444"/>
      <c r="FF181" s="444"/>
      <c r="FG181" s="444"/>
      <c r="FH181" s="444"/>
      <c r="FI181" s="444"/>
      <c r="FJ181" s="444"/>
      <c r="FK181" s="444"/>
    </row>
    <row r="182" spans="1:179" ht="13.8">
      <c r="A182" s="444"/>
      <c r="B182" s="444"/>
      <c r="C182" s="626" t="s">
        <v>950</v>
      </c>
      <c r="D182" s="628"/>
      <c r="E182" s="628"/>
      <c r="F182" s="628"/>
      <c r="G182" s="628"/>
      <c r="H182" s="628"/>
      <c r="I182" s="628"/>
      <c r="J182" s="628"/>
      <c r="K182" s="628"/>
      <c r="L182" s="628"/>
      <c r="M182" s="628"/>
      <c r="N182" s="628"/>
      <c r="O182" s="628"/>
      <c r="P182" s="628"/>
      <c r="Q182" s="628"/>
      <c r="R182" s="628"/>
      <c r="S182" s="628"/>
      <c r="T182" s="628"/>
      <c r="U182" s="628"/>
      <c r="V182" s="628"/>
      <c r="W182" s="628"/>
      <c r="X182" s="628"/>
      <c r="Y182" s="628"/>
      <c r="Z182" s="628"/>
      <c r="AA182" s="628"/>
      <c r="AB182" s="628"/>
      <c r="AC182" s="628"/>
      <c r="AD182" s="628"/>
      <c r="AE182" s="628"/>
      <c r="AF182" s="628"/>
      <c r="AG182" s="628"/>
      <c r="AH182" s="628"/>
      <c r="AI182" s="628"/>
      <c r="AJ182" s="628"/>
      <c r="AK182" s="628"/>
      <c r="AL182" s="628"/>
      <c r="AM182" s="628"/>
      <c r="AN182" s="628"/>
      <c r="AO182" s="628"/>
      <c r="AP182" s="628"/>
      <c r="AQ182" s="628"/>
      <c r="AR182" s="628"/>
      <c r="AS182" s="628"/>
      <c r="AT182" s="628"/>
      <c r="AU182" s="628"/>
      <c r="AV182" s="628"/>
      <c r="AW182" s="628"/>
      <c r="AX182" s="628"/>
      <c r="AY182" s="628"/>
      <c r="AZ182" s="628"/>
      <c r="BA182" s="628"/>
      <c r="BB182" s="628"/>
      <c r="BC182" s="628"/>
      <c r="BD182" s="628"/>
      <c r="BE182" s="628"/>
      <c r="BF182" s="628"/>
      <c r="BG182" s="628"/>
      <c r="BH182" s="628"/>
      <c r="BI182" s="628"/>
      <c r="BJ182" s="628"/>
      <c r="BK182" s="628"/>
      <c r="BL182" s="628"/>
      <c r="BM182" s="628"/>
      <c r="BN182" s="628"/>
      <c r="BO182" s="628"/>
      <c r="BP182" s="628"/>
      <c r="BQ182" s="628"/>
      <c r="BR182" s="628"/>
      <c r="BS182" s="628"/>
      <c r="BT182" s="628"/>
      <c r="BU182" s="628"/>
      <c r="BV182" s="628"/>
      <c r="BW182" s="628"/>
      <c r="BX182" s="628"/>
      <c r="BY182" s="628"/>
      <c r="BZ182" s="628"/>
      <c r="CA182" s="628"/>
      <c r="CB182" s="628"/>
      <c r="CC182" s="628"/>
      <c r="CD182" s="628"/>
      <c r="CE182" s="628"/>
      <c r="CF182" s="628"/>
      <c r="CG182" s="628"/>
      <c r="CH182" s="628"/>
      <c r="CI182" s="628"/>
      <c r="CJ182" s="628"/>
      <c r="CK182" s="628"/>
      <c r="CL182" s="628"/>
      <c r="CM182" s="444"/>
      <c r="CN182" s="444"/>
      <c r="CO182" s="459"/>
      <c r="CP182" s="459"/>
      <c r="CQ182" s="459"/>
      <c r="CR182" s="459"/>
      <c r="CS182" s="459"/>
      <c r="CT182" s="459"/>
      <c r="CU182" s="459"/>
      <c r="CV182" s="459"/>
      <c r="CW182" s="459"/>
      <c r="CX182" s="459"/>
      <c r="CY182" s="459"/>
      <c r="CZ182" s="459"/>
      <c r="DA182" s="444"/>
      <c r="DB182" s="444"/>
      <c r="DC182" s="444"/>
      <c r="DD182" s="444"/>
      <c r="DE182" s="444"/>
      <c r="DF182" s="444"/>
      <c r="DG182" s="444"/>
      <c r="DH182" s="444"/>
      <c r="DI182" s="444"/>
      <c r="DJ182" s="444"/>
      <c r="DK182" s="444"/>
      <c r="DL182" s="444"/>
      <c r="DM182" s="444"/>
      <c r="DN182" s="444"/>
      <c r="DO182" s="444"/>
      <c r="DP182" s="444"/>
      <c r="DQ182" s="444"/>
      <c r="DR182" s="444"/>
      <c r="DS182" s="444"/>
      <c r="DT182" s="444"/>
      <c r="DU182" s="444"/>
      <c r="DV182" s="444"/>
      <c r="DW182" s="444"/>
      <c r="DX182" s="444"/>
      <c r="DY182" s="444"/>
      <c r="DZ182" s="444"/>
      <c r="EA182" s="444"/>
      <c r="EB182" s="444"/>
      <c r="EC182" s="444"/>
      <c r="ED182" s="444"/>
      <c r="EE182" s="444"/>
      <c r="EF182" s="444"/>
      <c r="EG182" s="444"/>
      <c r="EH182" s="444"/>
      <c r="EI182" s="444"/>
      <c r="EJ182" s="444"/>
      <c r="EK182" s="444"/>
      <c r="EL182" s="444"/>
      <c r="EM182" s="444"/>
      <c r="EN182" s="444"/>
      <c r="EO182" s="444"/>
      <c r="EP182" s="444"/>
      <c r="EQ182" s="444"/>
      <c r="ER182" s="444"/>
      <c r="ES182" s="444"/>
      <c r="ET182" s="444"/>
      <c r="EU182" s="444"/>
      <c r="EV182" s="444"/>
      <c r="EW182" s="444"/>
      <c r="EX182" s="444"/>
      <c r="EY182" s="444"/>
      <c r="EZ182" s="444"/>
      <c r="FA182" s="444"/>
      <c r="FB182" s="444"/>
      <c r="FC182" s="444"/>
      <c r="FD182" s="444"/>
      <c r="FE182" s="444"/>
      <c r="FF182" s="444"/>
      <c r="FG182" s="444"/>
      <c r="FH182" s="444"/>
      <c r="FI182" s="444"/>
      <c r="FJ182" s="444"/>
      <c r="FK182" s="444"/>
    </row>
    <row r="183" spans="1:179" ht="13.8">
      <c r="A183" s="444"/>
      <c r="B183" s="444"/>
      <c r="C183" s="808" t="s">
        <v>928</v>
      </c>
      <c r="D183" s="444"/>
      <c r="E183" s="444"/>
      <c r="F183" s="444"/>
      <c r="G183" s="444"/>
      <c r="H183" s="444"/>
      <c r="I183" s="444"/>
      <c r="J183" s="444"/>
      <c r="K183" s="444"/>
      <c r="L183" s="444"/>
      <c r="M183" s="444"/>
      <c r="N183" s="444"/>
      <c r="O183" s="444"/>
      <c r="P183" s="444"/>
      <c r="Q183" s="444"/>
      <c r="R183" s="444"/>
      <c r="S183" s="444"/>
      <c r="T183" s="444"/>
      <c r="U183" s="444"/>
      <c r="V183" s="444"/>
      <c r="W183" s="444"/>
      <c r="X183" s="444"/>
      <c r="Y183" s="444"/>
      <c r="Z183" s="444"/>
      <c r="AA183" s="444"/>
      <c r="AB183" s="444"/>
      <c r="AC183" s="444"/>
      <c r="AD183" s="444"/>
      <c r="AE183" s="444"/>
      <c r="AF183" s="444"/>
      <c r="AG183" s="444"/>
      <c r="AH183" s="444"/>
      <c r="AI183" s="444"/>
      <c r="AJ183" s="444"/>
      <c r="AK183" s="444"/>
      <c r="AL183" s="444"/>
      <c r="AM183" s="444"/>
      <c r="AN183" s="444"/>
      <c r="AO183" s="444"/>
      <c r="AP183" s="444"/>
      <c r="AQ183" s="444"/>
      <c r="AR183" s="444"/>
      <c r="AS183" s="444"/>
      <c r="AT183" s="444"/>
      <c r="AU183" s="444"/>
      <c r="AV183" s="869">
        <f>MODEL!CB1034</f>
        <v>0</v>
      </c>
      <c r="AW183" s="869">
        <f>MODEL!CC1034</f>
        <v>-127</v>
      </c>
      <c r="AX183" s="870">
        <f>MODEL!CD1034</f>
        <v>-127</v>
      </c>
      <c r="AY183" s="758">
        <f>MODEL!CE1034</f>
        <v>0</v>
      </c>
      <c r="AZ183" s="758">
        <f>MODEL!CF1034</f>
        <v>-52.5</v>
      </c>
      <c r="BA183" s="871">
        <f>MODEL!CG1034</f>
        <v>-154</v>
      </c>
      <c r="BB183" s="758">
        <f>MODEL!CH1034</f>
        <v>-206.5</v>
      </c>
      <c r="BC183" s="758"/>
      <c r="BD183" s="758">
        <f>MODEL!CJ1034</f>
        <v>-94</v>
      </c>
      <c r="BE183" s="758">
        <f>MODEL!CK1034</f>
        <v>-2</v>
      </c>
      <c r="BF183" s="758">
        <f>MODEL!CL1034</f>
        <v>-96</v>
      </c>
      <c r="BG183" s="758"/>
      <c r="BH183" s="758">
        <f>MODEL!CN1034</f>
        <v>-1</v>
      </c>
      <c r="BI183" s="758">
        <f>MODEL!CO1034</f>
        <v>0</v>
      </c>
      <c r="BJ183" s="758">
        <f>MODEL!CP1034</f>
        <v>-1</v>
      </c>
      <c r="BK183" s="758"/>
      <c r="BL183" s="758">
        <f>MODEL!CR1034</f>
        <v>0</v>
      </c>
      <c r="BM183" s="758">
        <f>MODEL!CS1034</f>
        <v>0</v>
      </c>
      <c r="BN183" s="758">
        <f>MODEL!CT1034</f>
        <v>0</v>
      </c>
      <c r="BO183" s="758"/>
      <c r="BP183" s="758">
        <f>MODEL!CV1034</f>
        <v>0</v>
      </c>
      <c r="BQ183" s="758">
        <f>MODEL!CW1034</f>
        <v>0</v>
      </c>
      <c r="BR183" s="758">
        <f>MODEL!CX1034</f>
        <v>0</v>
      </c>
      <c r="BS183" s="758"/>
      <c r="BT183" s="758">
        <f>MODEL!CZ1034</f>
        <v>0</v>
      </c>
      <c r="BU183" s="758">
        <f>MODEL!DA1034</f>
        <v>0</v>
      </c>
      <c r="BV183" s="758">
        <f>MODEL!DB1034</f>
        <v>0</v>
      </c>
      <c r="BW183" s="758"/>
      <c r="BX183" s="758">
        <f>MODEL!DD1034</f>
        <v>0</v>
      </c>
      <c r="BY183" s="758">
        <f>MODEL!DE1034</f>
        <v>0</v>
      </c>
      <c r="BZ183" s="758">
        <f>MODEL!DF1034</f>
        <v>0</v>
      </c>
      <c r="CA183" s="758"/>
      <c r="CB183" s="758">
        <f>MODEL!DH1034</f>
        <v>0</v>
      </c>
      <c r="CC183" s="758">
        <f>MODEL!DI1034</f>
        <v>0</v>
      </c>
      <c r="CD183" s="758">
        <f>MODEL!DJ1034</f>
        <v>0</v>
      </c>
      <c r="CE183" s="758"/>
      <c r="CF183" s="758">
        <f>MODEL!DL1034</f>
        <v>0</v>
      </c>
      <c r="CG183" s="758">
        <f>MODEL!DM1034</f>
        <v>0</v>
      </c>
      <c r="CH183" s="758">
        <f>MODEL!DN1034</f>
        <v>0</v>
      </c>
      <c r="CI183" s="758"/>
      <c r="CJ183" s="758">
        <f>MODEL!DP1034</f>
        <v>0</v>
      </c>
      <c r="CK183" s="758">
        <f>MODEL!DQ1034</f>
        <v>0</v>
      </c>
      <c r="CL183" s="758">
        <f>MODEL!DR1034</f>
        <v>0</v>
      </c>
      <c r="CM183" s="444"/>
      <c r="CN183" s="444"/>
      <c r="CO183" s="459"/>
      <c r="CP183" s="459"/>
      <c r="CQ183" s="459"/>
      <c r="CR183" s="459"/>
      <c r="CS183" s="459"/>
      <c r="CT183" s="459"/>
      <c r="CU183" s="459"/>
      <c r="CV183" s="459"/>
      <c r="CW183" s="459"/>
      <c r="CX183" s="459"/>
      <c r="CY183" s="459"/>
      <c r="CZ183" s="459"/>
      <c r="DA183" s="444"/>
      <c r="DB183" s="444"/>
      <c r="DC183" s="444"/>
      <c r="DD183" s="444"/>
      <c r="DE183" s="444"/>
      <c r="DF183" s="444"/>
      <c r="DG183" s="444"/>
      <c r="DH183" s="444"/>
      <c r="DI183" s="444"/>
      <c r="DJ183" s="444"/>
      <c r="DK183" s="444"/>
      <c r="DL183" s="444"/>
      <c r="DM183" s="444"/>
      <c r="DN183" s="444"/>
      <c r="DO183" s="444"/>
      <c r="DP183" s="444"/>
      <c r="DQ183" s="444"/>
      <c r="DR183" s="444"/>
      <c r="DS183" s="444"/>
      <c r="DT183" s="444"/>
      <c r="DU183" s="444"/>
      <c r="DV183" s="444"/>
      <c r="DW183" s="444"/>
      <c r="DX183" s="444"/>
      <c r="DY183" s="444"/>
      <c r="DZ183" s="444"/>
      <c r="EA183" s="444"/>
      <c r="EB183" s="444"/>
      <c r="EC183" s="444"/>
      <c r="ED183" s="444"/>
      <c r="EE183" s="444"/>
      <c r="EF183" s="444"/>
      <c r="EG183" s="444"/>
      <c r="EH183" s="444"/>
      <c r="EI183" s="444"/>
      <c r="EJ183" s="444"/>
      <c r="EK183" s="444"/>
      <c r="EL183" s="444"/>
      <c r="EM183" s="444"/>
      <c r="EN183" s="444"/>
      <c r="EO183" s="444"/>
      <c r="EP183" s="444"/>
      <c r="EQ183" s="444"/>
      <c r="ER183" s="444"/>
      <c r="ES183" s="444"/>
      <c r="ET183" s="444"/>
      <c r="EU183" s="444"/>
      <c r="EV183" s="444"/>
      <c r="EW183" s="444"/>
      <c r="EX183" s="444"/>
      <c r="EY183" s="444"/>
      <c r="EZ183" s="444"/>
      <c r="FA183" s="444"/>
      <c r="FB183" s="444"/>
      <c r="FC183" s="444"/>
      <c r="FD183" s="444"/>
      <c r="FE183" s="444"/>
      <c r="FF183" s="444"/>
      <c r="FG183" s="444"/>
      <c r="FH183" s="444"/>
      <c r="FI183" s="444"/>
      <c r="FJ183" s="444"/>
      <c r="FK183" s="444"/>
    </row>
    <row r="184" spans="1:179" ht="13.8">
      <c r="A184" s="444"/>
      <c r="B184" s="444"/>
      <c r="C184" s="584"/>
      <c r="D184" s="444"/>
      <c r="E184" s="444"/>
      <c r="F184" s="444"/>
      <c r="G184" s="444"/>
      <c r="H184" s="444"/>
      <c r="I184" s="444"/>
      <c r="J184" s="444"/>
      <c r="K184" s="444"/>
      <c r="L184" s="444"/>
      <c r="M184" s="444"/>
      <c r="N184" s="444"/>
      <c r="O184" s="444"/>
      <c r="P184" s="444"/>
      <c r="Q184" s="444"/>
      <c r="R184" s="444"/>
      <c r="S184" s="444"/>
      <c r="T184" s="444"/>
      <c r="U184" s="444"/>
      <c r="V184" s="444"/>
      <c r="W184" s="444"/>
      <c r="X184" s="444"/>
      <c r="Y184" s="444"/>
      <c r="Z184" s="444"/>
      <c r="AA184" s="444"/>
      <c r="AB184" s="444"/>
      <c r="AC184" s="444"/>
      <c r="AD184" s="444"/>
      <c r="AE184" s="444"/>
      <c r="AF184" s="444"/>
      <c r="AG184" s="444"/>
      <c r="AH184" s="444"/>
      <c r="AI184" s="444"/>
      <c r="AJ184" s="444"/>
      <c r="AK184" s="444"/>
      <c r="AL184" s="444"/>
      <c r="AM184" s="444"/>
      <c r="AN184" s="444"/>
      <c r="AO184" s="444"/>
      <c r="AP184" s="444"/>
      <c r="AQ184" s="444"/>
      <c r="AR184" s="444"/>
      <c r="AS184" s="444"/>
      <c r="AT184" s="444"/>
      <c r="AU184" s="444"/>
      <c r="AV184" s="868"/>
      <c r="AW184" s="868"/>
      <c r="AX184" s="758"/>
      <c r="AY184" s="758"/>
      <c r="AZ184" s="758"/>
      <c r="BA184" s="846">
        <f>+BA183+BF183+BJ183</f>
        <v>-251</v>
      </c>
      <c r="BB184" s="758"/>
      <c r="BC184" s="758"/>
      <c r="BD184" s="758"/>
      <c r="BE184" s="758"/>
      <c r="BF184" s="848">
        <f>+BF183/0.7</f>
        <v>-137.14285714285714</v>
      </c>
      <c r="BG184" s="758"/>
      <c r="BH184" s="758"/>
      <c r="BI184" s="758"/>
      <c r="BJ184" s="758"/>
      <c r="BK184" s="758"/>
      <c r="BL184" s="758"/>
      <c r="BM184" s="758"/>
      <c r="BN184" s="758"/>
      <c r="BO184" s="758"/>
      <c r="BP184" s="758"/>
      <c r="BQ184" s="758"/>
      <c r="BR184" s="758"/>
      <c r="BS184" s="758"/>
      <c r="BT184" s="758"/>
      <c r="BU184" s="758"/>
      <c r="BV184" s="758"/>
      <c r="BW184" s="758"/>
      <c r="BX184" s="758"/>
      <c r="BY184" s="758"/>
      <c r="BZ184" s="758"/>
      <c r="CA184" s="758"/>
      <c r="CB184" s="758"/>
      <c r="CC184" s="758"/>
      <c r="CD184" s="758"/>
      <c r="CE184" s="758"/>
      <c r="CF184" s="758"/>
      <c r="CG184" s="758"/>
      <c r="CH184" s="758"/>
      <c r="CI184" s="758"/>
      <c r="CJ184" s="758"/>
      <c r="CK184" s="758"/>
      <c r="CL184" s="758"/>
      <c r="CM184" s="584"/>
      <c r="CN184" s="584"/>
      <c r="CO184" s="801"/>
      <c r="CP184" s="801"/>
      <c r="CQ184" s="801"/>
      <c r="CR184" s="801"/>
      <c r="CS184" s="801"/>
      <c r="CT184" s="801"/>
      <c r="CU184" s="801"/>
      <c r="CV184" s="801"/>
      <c r="CW184" s="801"/>
      <c r="CX184" s="801"/>
      <c r="CY184" s="801"/>
      <c r="CZ184" s="801"/>
      <c r="DA184" s="584"/>
      <c r="DB184" s="584"/>
      <c r="DC184" s="584"/>
      <c r="DD184" s="584"/>
      <c r="DE184" s="584"/>
      <c r="DF184" s="584"/>
      <c r="DG184" s="584"/>
      <c r="DH184" s="584"/>
      <c r="DI184" s="584"/>
      <c r="DJ184" s="584"/>
      <c r="DK184" s="584"/>
      <c r="DL184" s="584"/>
      <c r="DM184" s="584"/>
      <c r="DN184" s="584"/>
      <c r="DO184" s="584"/>
      <c r="DP184" s="584"/>
      <c r="DQ184" s="584"/>
      <c r="DR184" s="584"/>
      <c r="DS184" s="584"/>
      <c r="DT184" s="584"/>
      <c r="DU184" s="584"/>
      <c r="DV184" s="584"/>
      <c r="DW184" s="584"/>
      <c r="DX184" s="584"/>
      <c r="DY184" s="584"/>
      <c r="DZ184" s="584"/>
      <c r="EA184" s="584"/>
      <c r="EB184" s="584"/>
      <c r="EC184" s="584"/>
      <c r="ED184" s="584"/>
      <c r="EE184" s="584"/>
      <c r="EF184" s="584"/>
      <c r="EG184" s="584"/>
      <c r="EH184" s="584"/>
      <c r="EI184" s="584"/>
      <c r="EJ184" s="584"/>
      <c r="EK184" s="584"/>
      <c r="EL184" s="584"/>
      <c r="EM184" s="584"/>
      <c r="EN184" s="584"/>
      <c r="EO184" s="584"/>
      <c r="EP184" s="584"/>
      <c r="EQ184" s="584"/>
      <c r="ER184" s="584"/>
      <c r="ES184" s="584"/>
      <c r="ET184" s="584"/>
      <c r="EU184" s="584"/>
      <c r="EV184" s="584"/>
      <c r="EW184" s="584"/>
      <c r="EX184" s="584"/>
      <c r="EY184" s="584"/>
      <c r="EZ184" s="584"/>
      <c r="FA184" s="584"/>
      <c r="FB184" s="584"/>
      <c r="FC184" s="584"/>
      <c r="FD184" s="584"/>
      <c r="FE184" s="584"/>
      <c r="FF184" s="584"/>
      <c r="FG184" s="584"/>
      <c r="FH184" s="584"/>
      <c r="FI184" s="584"/>
      <c r="FJ184" s="584"/>
      <c r="FK184" s="584"/>
      <c r="FL184" s="444"/>
      <c r="FM184" s="444"/>
      <c r="FN184" s="444"/>
      <c r="FO184" s="444"/>
      <c r="FP184" s="444"/>
      <c r="FQ184" s="444"/>
      <c r="FR184" s="444"/>
      <c r="FS184" s="444"/>
      <c r="FT184" s="444"/>
      <c r="FU184" s="444"/>
      <c r="FV184" s="444"/>
      <c r="FW184" s="444"/>
    </row>
    <row r="185" spans="1:179" ht="13.8">
      <c r="A185" s="444"/>
      <c r="B185" s="444"/>
      <c r="C185" s="444"/>
      <c r="D185" s="444"/>
      <c r="E185" s="444"/>
      <c r="F185" s="444"/>
      <c r="G185" s="444"/>
      <c r="H185" s="444"/>
      <c r="I185" s="444"/>
      <c r="J185" s="444"/>
      <c r="K185" s="444"/>
      <c r="L185" s="444"/>
      <c r="M185" s="444"/>
      <c r="N185" s="444"/>
      <c r="O185" s="444"/>
      <c r="P185" s="444"/>
      <c r="Q185" s="444"/>
      <c r="R185" s="444"/>
      <c r="S185" s="444"/>
      <c r="T185" s="444"/>
      <c r="U185" s="444"/>
      <c r="V185" s="444"/>
      <c r="W185" s="444"/>
      <c r="X185" s="444"/>
      <c r="Y185" s="444"/>
      <c r="Z185" s="444"/>
      <c r="AA185" s="444"/>
      <c r="AB185" s="444"/>
      <c r="AC185" s="444"/>
      <c r="AD185" s="444"/>
      <c r="AE185" s="444"/>
      <c r="AF185" s="444"/>
      <c r="AG185" s="444"/>
      <c r="AH185" s="444"/>
      <c r="AI185" s="444"/>
      <c r="AJ185" s="444"/>
      <c r="AK185" s="444"/>
      <c r="AL185" s="444"/>
      <c r="AM185" s="444"/>
      <c r="AN185" s="444"/>
      <c r="AO185" s="444"/>
      <c r="AP185" s="444"/>
      <c r="AQ185" s="444"/>
      <c r="AR185" s="444"/>
      <c r="AS185" s="444"/>
      <c r="AT185" s="444"/>
      <c r="AU185" s="444"/>
      <c r="AV185" s="868"/>
      <c r="AW185" s="868"/>
      <c r="AX185" s="444"/>
      <c r="AY185" s="444"/>
      <c r="AZ185" s="444"/>
      <c r="BA185" s="845" t="s">
        <v>952</v>
      </c>
      <c r="BB185" s="444"/>
      <c r="BC185" s="444"/>
      <c r="BD185" s="444"/>
      <c r="BE185" s="444"/>
      <c r="BF185" s="846">
        <f>+BF184+BF180</f>
        <v>-672.14285714285711</v>
      </c>
      <c r="BG185" s="444"/>
      <c r="BH185" s="444"/>
      <c r="BI185" s="444"/>
      <c r="BJ185" s="444"/>
      <c r="BK185" s="444"/>
      <c r="BL185" s="444"/>
      <c r="BM185" s="444"/>
      <c r="BN185" s="444"/>
      <c r="BO185" s="444"/>
      <c r="BP185" s="444"/>
      <c r="BQ185" s="444"/>
      <c r="BR185" s="444"/>
      <c r="BS185" s="444"/>
      <c r="BT185" s="444"/>
      <c r="BU185" s="444"/>
      <c r="BV185" s="444"/>
      <c r="BW185" s="444"/>
      <c r="BX185" s="444"/>
      <c r="BY185" s="444"/>
      <c r="BZ185" s="444"/>
      <c r="CA185" s="444"/>
      <c r="CB185" s="444"/>
      <c r="CC185" s="444"/>
      <c r="CD185" s="444"/>
      <c r="CE185" s="444"/>
      <c r="CF185" s="444"/>
      <c r="CG185" s="444"/>
      <c r="CH185" s="444"/>
      <c r="CI185" s="444"/>
      <c r="CJ185" s="444"/>
      <c r="CK185" s="444"/>
      <c r="CL185" s="444"/>
      <c r="CM185" s="444"/>
      <c r="CN185" s="444"/>
      <c r="CO185" s="459"/>
      <c r="CP185" s="459"/>
      <c r="CQ185" s="459"/>
      <c r="CR185" s="459"/>
      <c r="CS185" s="459"/>
      <c r="CT185" s="459"/>
      <c r="CU185" s="459"/>
      <c r="CV185" s="459"/>
      <c r="CW185" s="459"/>
      <c r="CX185" s="459"/>
      <c r="CY185" s="459"/>
      <c r="CZ185" s="459"/>
      <c r="DA185" s="444"/>
      <c r="DB185" s="444"/>
      <c r="DC185" s="444"/>
      <c r="DD185" s="444"/>
      <c r="DE185" s="444"/>
      <c r="DF185" s="444"/>
      <c r="DG185" s="444"/>
      <c r="DH185" s="444"/>
      <c r="DI185" s="444"/>
      <c r="DJ185" s="444"/>
      <c r="DK185" s="444"/>
      <c r="DL185" s="444"/>
      <c r="DM185" s="444"/>
      <c r="DN185" s="444"/>
      <c r="DO185" s="444"/>
      <c r="DP185" s="444"/>
      <c r="DQ185" s="444"/>
      <c r="DR185" s="444"/>
      <c r="DS185" s="444"/>
      <c r="DT185" s="444"/>
      <c r="DU185" s="444"/>
      <c r="DV185" s="444"/>
      <c r="DW185" s="444"/>
      <c r="DX185" s="444"/>
      <c r="DY185" s="444"/>
      <c r="DZ185" s="444"/>
      <c r="EA185" s="444"/>
      <c r="EB185" s="444"/>
      <c r="EC185" s="444"/>
      <c r="ED185" s="444"/>
      <c r="EE185" s="444"/>
      <c r="EF185" s="444"/>
      <c r="EG185" s="444"/>
      <c r="EH185" s="444"/>
      <c r="EI185" s="444"/>
      <c r="EJ185" s="444"/>
      <c r="EK185" s="444"/>
      <c r="EL185" s="444"/>
      <c r="EM185" s="444"/>
      <c r="EN185" s="444"/>
      <c r="EO185" s="444"/>
      <c r="EP185" s="444"/>
      <c r="EQ185" s="444"/>
      <c r="ER185" s="444"/>
      <c r="ES185" s="444"/>
      <c r="ET185" s="444"/>
      <c r="EU185" s="444"/>
      <c r="EV185" s="444"/>
      <c r="EW185" s="444"/>
      <c r="EX185" s="444"/>
      <c r="EY185" s="444"/>
      <c r="EZ185" s="444"/>
      <c r="FA185" s="444"/>
      <c r="FB185" s="444"/>
      <c r="FC185" s="444"/>
      <c r="FD185" s="444"/>
      <c r="FE185" s="444"/>
      <c r="FF185" s="444"/>
      <c r="FG185" s="444"/>
      <c r="FH185" s="444"/>
      <c r="FI185" s="444"/>
      <c r="FJ185" s="444"/>
      <c r="FK185" s="444"/>
      <c r="FL185" s="444"/>
      <c r="FM185" s="444"/>
      <c r="FN185" s="444"/>
      <c r="FO185" s="444"/>
      <c r="FP185" s="444"/>
      <c r="FQ185" s="444"/>
      <c r="FR185" s="444"/>
      <c r="FS185" s="444"/>
      <c r="FT185" s="444"/>
      <c r="FU185" s="444"/>
      <c r="FV185" s="444"/>
      <c r="FW185" s="444"/>
    </row>
    <row r="186" spans="1:179" s="565" customFormat="1" ht="13.8">
      <c r="A186" s="584"/>
      <c r="B186" s="584"/>
      <c r="C186" s="444" t="s">
        <v>726</v>
      </c>
      <c r="D186" s="444"/>
      <c r="E186" s="444"/>
      <c r="F186" s="444"/>
      <c r="G186" s="444"/>
      <c r="H186" s="444"/>
      <c r="I186" s="444"/>
      <c r="J186" s="444"/>
      <c r="K186" s="444"/>
      <c r="L186" s="444"/>
      <c r="M186" s="444"/>
      <c r="N186" s="444"/>
      <c r="O186" s="444"/>
      <c r="P186" s="444"/>
      <c r="Q186" s="444"/>
      <c r="R186" s="444"/>
      <c r="S186" s="444"/>
      <c r="T186" s="444"/>
      <c r="U186" s="444"/>
      <c r="V186" s="444"/>
      <c r="W186" s="444"/>
      <c r="X186" s="444"/>
      <c r="Y186" s="444"/>
      <c r="Z186" s="444"/>
      <c r="AA186" s="444"/>
      <c r="AB186" s="444"/>
      <c r="AC186" s="444"/>
      <c r="AD186" s="444"/>
      <c r="AE186" s="444"/>
      <c r="AF186" s="444"/>
      <c r="AG186" s="444"/>
      <c r="AH186" s="444"/>
      <c r="AI186" s="444"/>
      <c r="AJ186" s="444"/>
      <c r="AK186" s="444"/>
      <c r="AL186" s="444"/>
      <c r="AM186" s="444"/>
      <c r="AN186" s="444"/>
      <c r="AO186" s="444"/>
      <c r="AP186" s="444"/>
      <c r="AQ186" s="444"/>
      <c r="AR186" s="444"/>
      <c r="AS186" s="444"/>
      <c r="AT186" s="758">
        <f>AT20</f>
        <v>-1199</v>
      </c>
      <c r="AU186" s="444"/>
      <c r="AV186" s="868"/>
      <c r="AW186" s="868"/>
      <c r="AX186" s="758">
        <f>AX20</f>
        <v>-688</v>
      </c>
      <c r="AY186" s="444"/>
      <c r="AZ186" s="758">
        <f>AZ20</f>
        <v>-393</v>
      </c>
      <c r="BA186" s="758">
        <f>BA20</f>
        <v>-402</v>
      </c>
      <c r="BB186" s="758">
        <f>BB20</f>
        <v>-795</v>
      </c>
      <c r="BC186" s="444"/>
      <c r="BD186" s="444"/>
      <c r="BE186" s="444"/>
      <c r="BF186" s="758">
        <f>BF20</f>
        <v>-2738</v>
      </c>
      <c r="BG186" s="444"/>
      <c r="BH186" s="444"/>
      <c r="BI186" s="444"/>
      <c r="BJ186" s="758">
        <f>BJ20</f>
        <v>567</v>
      </c>
      <c r="BK186" s="444"/>
      <c r="BL186" s="444"/>
      <c r="BM186" s="444"/>
      <c r="BN186" s="758">
        <f>BN20</f>
        <v>232</v>
      </c>
      <c r="BO186" s="444"/>
      <c r="BP186" s="444"/>
      <c r="BQ186" s="444"/>
      <c r="BR186" s="758">
        <f>BR20</f>
        <v>-245</v>
      </c>
      <c r="BS186" s="444"/>
      <c r="BT186" s="444"/>
      <c r="BU186" s="444"/>
      <c r="BV186" s="758">
        <f>BV20</f>
        <v>-406</v>
      </c>
      <c r="BW186" s="444"/>
      <c r="BX186" s="444"/>
      <c r="BY186" s="444"/>
      <c r="BZ186" s="758">
        <f>BZ20</f>
        <v>-441</v>
      </c>
      <c r="CA186" s="444"/>
      <c r="CB186" s="444"/>
      <c r="CC186" s="444"/>
      <c r="CD186" s="758">
        <f>CD20</f>
        <v>-553.53940151358358</v>
      </c>
      <c r="CE186" s="444"/>
      <c r="CF186" s="444"/>
      <c r="CG186" s="444"/>
      <c r="CH186" s="758">
        <f>CH20</f>
        <v>-799.04874714688481</v>
      </c>
      <c r="CI186" s="444"/>
      <c r="CJ186" s="444"/>
      <c r="CK186" s="444"/>
      <c r="CL186" s="758">
        <f>CL20</f>
        <v>-926.46021679081628</v>
      </c>
      <c r="CM186" s="444"/>
      <c r="CN186" s="444"/>
      <c r="CO186" s="459"/>
      <c r="CP186" s="459"/>
      <c r="CQ186" s="459"/>
      <c r="CR186" s="459"/>
      <c r="CS186" s="459"/>
      <c r="CT186" s="459"/>
      <c r="CU186" s="459"/>
      <c r="CV186" s="459"/>
      <c r="CW186" s="459"/>
      <c r="CX186" s="459"/>
      <c r="CY186" s="459"/>
      <c r="CZ186" s="459"/>
      <c r="DA186" s="444"/>
      <c r="DB186" s="444"/>
      <c r="DC186" s="444"/>
      <c r="DD186" s="444"/>
      <c r="DE186" s="444"/>
      <c r="DF186" s="444"/>
      <c r="DG186" s="444"/>
      <c r="DH186" s="444"/>
      <c r="DI186" s="444"/>
      <c r="DJ186" s="444"/>
      <c r="DK186" s="444"/>
      <c r="DL186" s="444"/>
      <c r="DM186" s="444"/>
      <c r="DN186" s="444"/>
      <c r="DO186" s="444"/>
      <c r="DP186" s="444"/>
      <c r="DQ186" s="444"/>
      <c r="DR186" s="444"/>
      <c r="DS186" s="444"/>
      <c r="DT186" s="444"/>
      <c r="DU186" s="444"/>
      <c r="DV186" s="444"/>
      <c r="DW186" s="444"/>
      <c r="DX186" s="444"/>
      <c r="DY186" s="444"/>
      <c r="DZ186" s="444"/>
      <c r="EA186" s="444"/>
      <c r="EB186" s="444"/>
      <c r="EC186" s="444"/>
      <c r="ED186" s="444"/>
      <c r="EE186" s="444"/>
      <c r="EF186" s="444"/>
      <c r="EG186" s="444"/>
      <c r="EH186" s="444"/>
      <c r="EI186" s="444"/>
      <c r="EJ186" s="444"/>
      <c r="EK186" s="444"/>
      <c r="EL186" s="444"/>
      <c r="EM186" s="444"/>
      <c r="EN186" s="444"/>
      <c r="EO186" s="444"/>
      <c r="EP186" s="444"/>
      <c r="EQ186" s="444"/>
      <c r="ER186" s="444"/>
      <c r="ES186" s="444"/>
      <c r="ET186" s="444"/>
      <c r="EU186" s="444"/>
      <c r="EV186" s="444"/>
      <c r="EW186" s="444"/>
      <c r="EX186" s="444"/>
      <c r="EY186" s="444"/>
      <c r="EZ186" s="444"/>
      <c r="FA186" s="444"/>
      <c r="FB186" s="444"/>
      <c r="FC186" s="444"/>
      <c r="FD186" s="444"/>
      <c r="FE186" s="444"/>
      <c r="FF186" s="444"/>
      <c r="FG186" s="444"/>
      <c r="FH186" s="444"/>
      <c r="FI186" s="444"/>
      <c r="FJ186" s="444"/>
      <c r="FK186" s="444"/>
      <c r="FL186" s="584"/>
      <c r="FM186" s="584"/>
      <c r="FN186" s="584"/>
      <c r="FO186" s="584"/>
      <c r="FP186" s="584"/>
      <c r="FQ186" s="584"/>
      <c r="FR186" s="584"/>
      <c r="FS186" s="584"/>
      <c r="FT186" s="584"/>
      <c r="FU186" s="584"/>
      <c r="FV186" s="584"/>
      <c r="FW186" s="584"/>
    </row>
    <row r="187" spans="1:179" ht="13.8">
      <c r="A187" s="444"/>
      <c r="B187" s="444"/>
      <c r="C187" s="444" t="s">
        <v>933</v>
      </c>
      <c r="D187" s="444"/>
      <c r="E187" s="444"/>
      <c r="F187" s="444"/>
      <c r="G187" s="444"/>
      <c r="H187" s="444"/>
      <c r="I187" s="444"/>
      <c r="J187" s="444"/>
      <c r="K187" s="444"/>
      <c r="L187" s="444"/>
      <c r="M187" s="444"/>
      <c r="N187" s="444"/>
      <c r="O187" s="444"/>
      <c r="P187" s="444"/>
      <c r="Q187" s="444"/>
      <c r="R187" s="444"/>
      <c r="S187" s="444"/>
      <c r="T187" s="444"/>
      <c r="U187" s="444"/>
      <c r="V187" s="444"/>
      <c r="W187" s="444"/>
      <c r="X187" s="444"/>
      <c r="Y187" s="444"/>
      <c r="Z187" s="444"/>
      <c r="AA187" s="444"/>
      <c r="AB187" s="444"/>
      <c r="AC187" s="444"/>
      <c r="AD187" s="444"/>
      <c r="AE187" s="444"/>
      <c r="AF187" s="444"/>
      <c r="AG187" s="444"/>
      <c r="AH187" s="444"/>
      <c r="AI187" s="444"/>
      <c r="AJ187" s="444"/>
      <c r="AK187" s="444"/>
      <c r="AL187" s="444"/>
      <c r="AM187" s="444"/>
      <c r="AN187" s="444"/>
      <c r="AO187" s="444"/>
      <c r="AP187" s="444"/>
      <c r="AQ187" s="444"/>
      <c r="AR187" s="444"/>
      <c r="AS187" s="444"/>
      <c r="AT187" s="812">
        <v>-124</v>
      </c>
      <c r="AU187" s="812"/>
      <c r="AV187" s="872"/>
      <c r="AW187" s="872"/>
      <c r="AX187" s="812">
        <v>-26</v>
      </c>
      <c r="AY187" s="444"/>
      <c r="AZ187" s="812">
        <v>0</v>
      </c>
      <c r="BA187" s="812">
        <v>-2</v>
      </c>
      <c r="BB187" s="812">
        <v>0</v>
      </c>
      <c r="BC187" s="444"/>
      <c r="BD187" s="444"/>
      <c r="BE187" s="444"/>
      <c r="BF187" s="812">
        <v>0</v>
      </c>
      <c r="BG187" s="444"/>
      <c r="BH187" s="444"/>
      <c r="BI187" s="444"/>
      <c r="BJ187" s="812">
        <v>0</v>
      </c>
      <c r="BK187" s="444"/>
      <c r="BL187" s="444"/>
      <c r="BM187" s="444"/>
      <c r="BN187" s="812">
        <v>0</v>
      </c>
      <c r="BO187" s="444"/>
      <c r="BP187" s="444"/>
      <c r="BQ187" s="444"/>
      <c r="BR187" s="812">
        <v>0</v>
      </c>
      <c r="BS187" s="444"/>
      <c r="BT187" s="444"/>
      <c r="BU187" s="444"/>
      <c r="BV187" s="812">
        <v>0</v>
      </c>
      <c r="BW187" s="444"/>
      <c r="BX187" s="444"/>
      <c r="BY187" s="444"/>
      <c r="BZ187" s="812">
        <v>0</v>
      </c>
      <c r="CA187" s="444"/>
      <c r="CB187" s="444"/>
      <c r="CC187" s="444"/>
      <c r="CD187" s="812">
        <v>0</v>
      </c>
      <c r="CE187" s="444"/>
      <c r="CF187" s="444"/>
      <c r="CG187" s="444"/>
      <c r="CH187" s="812">
        <v>0</v>
      </c>
      <c r="CI187" s="444"/>
      <c r="CJ187" s="444"/>
      <c r="CK187" s="444"/>
      <c r="CL187" s="812">
        <v>0</v>
      </c>
      <c r="CM187" s="444"/>
      <c r="CN187" s="444"/>
      <c r="CO187" s="459"/>
      <c r="CP187" s="459"/>
      <c r="CQ187" s="459"/>
      <c r="CR187" s="459"/>
      <c r="CS187" s="459"/>
      <c r="CT187" s="459"/>
      <c r="CU187" s="459"/>
      <c r="CV187" s="459"/>
      <c r="CW187" s="459"/>
      <c r="CX187" s="459"/>
      <c r="CY187" s="459"/>
      <c r="CZ187" s="459"/>
      <c r="DA187" s="444"/>
      <c r="DB187" s="444"/>
      <c r="DC187" s="444"/>
      <c r="DD187" s="444"/>
      <c r="DE187" s="444"/>
      <c r="DF187" s="444"/>
      <c r="DG187" s="444"/>
      <c r="DH187" s="444"/>
      <c r="DI187" s="444"/>
      <c r="DJ187" s="444"/>
      <c r="DK187" s="444"/>
      <c r="DL187" s="444"/>
      <c r="DM187" s="444"/>
      <c r="DN187" s="444"/>
      <c r="DO187" s="444"/>
      <c r="DP187" s="444"/>
      <c r="DQ187" s="444"/>
      <c r="DR187" s="444"/>
      <c r="DS187" s="444"/>
      <c r="DT187" s="444"/>
      <c r="DU187" s="444"/>
      <c r="DV187" s="444"/>
      <c r="DW187" s="444"/>
      <c r="DX187" s="444"/>
      <c r="DY187" s="444"/>
      <c r="DZ187" s="444"/>
      <c r="EA187" s="444"/>
      <c r="EB187" s="444"/>
      <c r="EC187" s="444"/>
      <c r="ED187" s="444"/>
      <c r="EE187" s="444"/>
      <c r="EF187" s="444"/>
      <c r="EG187" s="444"/>
      <c r="EH187" s="444"/>
      <c r="EI187" s="444"/>
      <c r="EJ187" s="444"/>
      <c r="EK187" s="444"/>
      <c r="EL187" s="444"/>
      <c r="EM187" s="444"/>
      <c r="EN187" s="444"/>
      <c r="EO187" s="444"/>
      <c r="EP187" s="444"/>
      <c r="EQ187" s="444"/>
      <c r="ER187" s="444"/>
      <c r="ES187" s="444"/>
      <c r="ET187" s="444"/>
      <c r="EU187" s="444"/>
      <c r="EV187" s="444"/>
      <c r="EW187" s="444"/>
      <c r="EX187" s="444"/>
      <c r="EY187" s="444"/>
      <c r="EZ187" s="444"/>
      <c r="FA187" s="444"/>
      <c r="FB187" s="444"/>
      <c r="FC187" s="444"/>
      <c r="FD187" s="444"/>
      <c r="FE187" s="444"/>
      <c r="FF187" s="444"/>
      <c r="FG187" s="444"/>
      <c r="FH187" s="444"/>
      <c r="FI187" s="444"/>
      <c r="FJ187" s="444"/>
      <c r="FK187" s="444"/>
      <c r="FL187" s="444"/>
      <c r="FM187" s="444"/>
      <c r="FN187" s="444"/>
      <c r="FO187" s="444"/>
      <c r="FP187" s="444"/>
      <c r="FQ187" s="444"/>
      <c r="FR187" s="444"/>
      <c r="FS187" s="444"/>
      <c r="FT187" s="444"/>
      <c r="FU187" s="444"/>
      <c r="FV187" s="444"/>
      <c r="FW187" s="444"/>
    </row>
    <row r="188" spans="1:179" ht="13.8">
      <c r="A188" s="444"/>
      <c r="B188" s="444"/>
      <c r="C188" s="584" t="s">
        <v>813</v>
      </c>
      <c r="D188" s="584"/>
      <c r="E188" s="584"/>
      <c r="F188" s="584"/>
      <c r="G188" s="584"/>
      <c r="H188" s="584"/>
      <c r="I188" s="584"/>
      <c r="J188" s="584"/>
      <c r="K188" s="584"/>
      <c r="L188" s="584"/>
      <c r="M188" s="584"/>
      <c r="N188" s="584"/>
      <c r="O188" s="584"/>
      <c r="P188" s="584"/>
      <c r="Q188" s="584"/>
      <c r="R188" s="584"/>
      <c r="S188" s="584"/>
      <c r="T188" s="584"/>
      <c r="U188" s="584"/>
      <c r="V188" s="584"/>
      <c r="W188" s="584"/>
      <c r="X188" s="584"/>
      <c r="Y188" s="584"/>
      <c r="Z188" s="584"/>
      <c r="AA188" s="584"/>
      <c r="AB188" s="584"/>
      <c r="AC188" s="584"/>
      <c r="AD188" s="584"/>
      <c r="AE188" s="584"/>
      <c r="AF188" s="584"/>
      <c r="AG188" s="584"/>
      <c r="AH188" s="584"/>
      <c r="AI188" s="584"/>
      <c r="AJ188" s="584"/>
      <c r="AK188" s="584"/>
      <c r="AL188" s="584"/>
      <c r="AM188" s="584"/>
      <c r="AN188" s="584"/>
      <c r="AO188" s="584"/>
      <c r="AP188" s="584"/>
      <c r="AQ188" s="584"/>
      <c r="AR188" s="584"/>
      <c r="AS188" s="584"/>
      <c r="AT188" s="753">
        <f>+AT186-AT187</f>
        <v>-1075</v>
      </c>
      <c r="AU188" s="584"/>
      <c r="AV188" s="873"/>
      <c r="AW188" s="873"/>
      <c r="AX188" s="753">
        <f>+AX186-AX187</f>
        <v>-662</v>
      </c>
      <c r="AY188" s="584"/>
      <c r="AZ188" s="753">
        <f>+AZ186-AZ187</f>
        <v>-393</v>
      </c>
      <c r="BA188" s="753">
        <f>+BA186-BA187</f>
        <v>-400</v>
      </c>
      <c r="BB188" s="753">
        <f>+BB186-BB187</f>
        <v>-795</v>
      </c>
      <c r="BC188" s="584"/>
      <c r="BD188" s="584"/>
      <c r="BE188" s="584"/>
      <c r="BF188" s="753">
        <f>+BF186-BF187</f>
        <v>-2738</v>
      </c>
      <c r="BG188" s="584"/>
      <c r="BH188" s="584"/>
      <c r="BI188" s="584"/>
      <c r="BJ188" s="753">
        <f>+BJ186-BJ187</f>
        <v>567</v>
      </c>
      <c r="BK188" s="584"/>
      <c r="BL188" s="584"/>
      <c r="BM188" s="584"/>
      <c r="BN188" s="753">
        <f>+BN186-BN187</f>
        <v>232</v>
      </c>
      <c r="BO188" s="584"/>
      <c r="BP188" s="584"/>
      <c r="BQ188" s="584"/>
      <c r="BR188" s="753">
        <f>+BR186-BR187</f>
        <v>-245</v>
      </c>
      <c r="BS188" s="584"/>
      <c r="BT188" s="584"/>
      <c r="BU188" s="584"/>
      <c r="BV188" s="753">
        <f>+BV186-BV187</f>
        <v>-406</v>
      </c>
      <c r="BW188" s="584"/>
      <c r="BX188" s="584"/>
      <c r="BY188" s="584"/>
      <c r="BZ188" s="753">
        <f>+BZ186-BZ187</f>
        <v>-441</v>
      </c>
      <c r="CA188" s="584"/>
      <c r="CB188" s="584"/>
      <c r="CC188" s="584"/>
      <c r="CD188" s="753">
        <f>+CD186-CD187</f>
        <v>-553.53940151358358</v>
      </c>
      <c r="CE188" s="584"/>
      <c r="CF188" s="584"/>
      <c r="CG188" s="584"/>
      <c r="CH188" s="753">
        <f>+CH186-CH187</f>
        <v>-799.04874714688481</v>
      </c>
      <c r="CI188" s="584"/>
      <c r="CJ188" s="584"/>
      <c r="CK188" s="584"/>
      <c r="CL188" s="753">
        <f>+CL186-CL187</f>
        <v>-926.46021679081628</v>
      </c>
      <c r="CM188" s="444"/>
      <c r="CN188" s="444"/>
      <c r="CO188" s="459"/>
      <c r="CP188" s="459"/>
      <c r="CQ188" s="459"/>
      <c r="CR188" s="459"/>
      <c r="CS188" s="459"/>
      <c r="CT188" s="459"/>
      <c r="CU188" s="459"/>
      <c r="CV188" s="459"/>
      <c r="CW188" s="459"/>
      <c r="CX188" s="459"/>
      <c r="CY188" s="459"/>
      <c r="CZ188" s="459"/>
      <c r="DA188" s="444"/>
      <c r="DB188" s="444"/>
      <c r="DC188" s="444"/>
      <c r="DD188" s="444"/>
      <c r="DE188" s="444"/>
      <c r="DF188" s="444"/>
      <c r="DG188" s="444"/>
      <c r="DH188" s="444"/>
      <c r="DI188" s="444"/>
      <c r="DJ188" s="444"/>
      <c r="DK188" s="444"/>
      <c r="DL188" s="444"/>
      <c r="DM188" s="444"/>
      <c r="DN188" s="444"/>
      <c r="DO188" s="444"/>
      <c r="DP188" s="444"/>
      <c r="DQ188" s="444"/>
      <c r="DR188" s="444"/>
      <c r="DS188" s="444"/>
      <c r="DT188" s="444"/>
      <c r="DU188" s="444"/>
      <c r="DV188" s="444"/>
      <c r="DW188" s="444"/>
      <c r="DX188" s="444"/>
      <c r="DY188" s="444"/>
      <c r="DZ188" s="444"/>
      <c r="EA188" s="444"/>
      <c r="EB188" s="444"/>
      <c r="EC188" s="444"/>
      <c r="ED188" s="444"/>
      <c r="EE188" s="444"/>
      <c r="EF188" s="444"/>
      <c r="EG188" s="444"/>
      <c r="EH188" s="444"/>
      <c r="EI188" s="444"/>
      <c r="EJ188" s="444"/>
      <c r="EK188" s="444"/>
      <c r="EL188" s="444"/>
      <c r="EM188" s="444"/>
      <c r="EN188" s="444"/>
      <c r="EO188" s="444"/>
      <c r="EP188" s="444"/>
      <c r="EQ188" s="444"/>
      <c r="ER188" s="444"/>
      <c r="ES188" s="444"/>
      <c r="ET188" s="444"/>
      <c r="EU188" s="444"/>
      <c r="EV188" s="444"/>
      <c r="EW188" s="444"/>
      <c r="EX188" s="444"/>
      <c r="EY188" s="444"/>
      <c r="EZ188" s="444"/>
      <c r="FA188" s="444"/>
      <c r="FB188" s="444"/>
      <c r="FC188" s="444"/>
      <c r="FD188" s="444"/>
      <c r="FE188" s="444"/>
      <c r="FF188" s="444"/>
      <c r="FG188" s="444"/>
      <c r="FH188" s="444"/>
      <c r="FI188" s="444"/>
      <c r="FJ188" s="444"/>
      <c r="FK188" s="444"/>
      <c r="FL188" s="444"/>
      <c r="FM188" s="444"/>
      <c r="FN188" s="444"/>
      <c r="FO188" s="444"/>
      <c r="FP188" s="444"/>
      <c r="FQ188" s="444"/>
      <c r="FR188" s="444"/>
      <c r="FS188" s="444"/>
      <c r="FT188" s="444"/>
      <c r="FU188" s="444"/>
      <c r="FV188" s="444"/>
      <c r="FW188" s="444"/>
    </row>
    <row r="189" spans="1:179" ht="13.8">
      <c r="A189" s="444"/>
      <c r="B189" s="444"/>
      <c r="C189" s="444"/>
      <c r="D189" s="444"/>
      <c r="E189" s="444"/>
      <c r="F189" s="444"/>
      <c r="G189" s="444"/>
      <c r="H189" s="444"/>
      <c r="I189" s="444"/>
      <c r="J189" s="444"/>
      <c r="K189" s="444"/>
      <c r="L189" s="444"/>
      <c r="M189" s="444"/>
      <c r="N189" s="444"/>
      <c r="O189" s="444"/>
      <c r="P189" s="444"/>
      <c r="Q189" s="444"/>
      <c r="R189" s="444"/>
      <c r="S189" s="444"/>
      <c r="T189" s="444"/>
      <c r="U189" s="444"/>
      <c r="V189" s="444"/>
      <c r="W189" s="444"/>
      <c r="X189" s="444"/>
      <c r="Y189" s="444"/>
      <c r="Z189" s="444"/>
      <c r="AA189" s="444"/>
      <c r="AB189" s="444"/>
      <c r="AC189" s="444"/>
      <c r="AD189" s="444"/>
      <c r="AE189" s="444"/>
      <c r="AF189" s="444"/>
      <c r="AG189" s="444"/>
      <c r="AH189" s="444"/>
      <c r="AI189" s="444"/>
      <c r="AJ189" s="444"/>
      <c r="AK189" s="444"/>
      <c r="AL189" s="444"/>
      <c r="AM189" s="444"/>
      <c r="AN189" s="444"/>
      <c r="AO189" s="444"/>
      <c r="AP189" s="444"/>
      <c r="AQ189" s="444"/>
      <c r="AR189" s="444"/>
      <c r="AS189" s="444"/>
      <c r="AT189" s="444"/>
      <c r="AU189" s="444"/>
      <c r="AV189" s="868"/>
      <c r="AW189" s="868"/>
      <c r="AX189" s="444"/>
      <c r="AY189" s="444"/>
      <c r="AZ189" s="444"/>
      <c r="BA189" s="444"/>
      <c r="BB189" s="444"/>
      <c r="BC189" s="444"/>
      <c r="BD189" s="444"/>
      <c r="BE189" s="444"/>
      <c r="BF189" s="444"/>
      <c r="BG189" s="444"/>
      <c r="BH189" s="444"/>
      <c r="BI189" s="444"/>
      <c r="BJ189" s="444"/>
      <c r="BK189" s="444"/>
      <c r="BL189" s="444"/>
      <c r="BM189" s="444"/>
      <c r="BN189" s="444"/>
      <c r="BO189" s="444"/>
      <c r="BP189" s="444"/>
      <c r="BQ189" s="444"/>
      <c r="BR189" s="444"/>
      <c r="BS189" s="444"/>
      <c r="BT189" s="444"/>
      <c r="BU189" s="444"/>
      <c r="BV189" s="444"/>
      <c r="BW189" s="444"/>
      <c r="BX189" s="444"/>
      <c r="BY189" s="444"/>
      <c r="BZ189" s="444"/>
      <c r="CA189" s="444"/>
      <c r="CB189" s="444"/>
      <c r="CC189" s="444"/>
      <c r="CD189" s="444"/>
      <c r="CE189" s="444"/>
      <c r="CF189" s="444"/>
      <c r="CG189" s="444"/>
      <c r="CH189" s="444"/>
      <c r="CI189" s="444"/>
      <c r="CJ189" s="444"/>
      <c r="CK189" s="444"/>
      <c r="CL189" s="444"/>
      <c r="CM189" s="444"/>
      <c r="CN189" s="444"/>
      <c r="CO189" s="459"/>
      <c r="CP189" s="459"/>
      <c r="CQ189" s="459"/>
      <c r="CR189" s="459"/>
      <c r="CS189" s="459"/>
      <c r="CT189" s="459"/>
      <c r="CU189" s="459"/>
      <c r="CV189" s="459"/>
      <c r="CW189" s="459"/>
      <c r="CX189" s="459"/>
      <c r="CY189" s="459"/>
      <c r="CZ189" s="459"/>
      <c r="DA189" s="444"/>
      <c r="DB189" s="444"/>
      <c r="DC189" s="444"/>
      <c r="DD189" s="444"/>
      <c r="DE189" s="444"/>
      <c r="DF189" s="444"/>
      <c r="DG189" s="444"/>
      <c r="DH189" s="444"/>
      <c r="DI189" s="444"/>
      <c r="DJ189" s="444"/>
      <c r="DK189" s="444"/>
      <c r="DL189" s="444"/>
      <c r="DM189" s="444"/>
      <c r="DN189" s="444"/>
      <c r="DO189" s="444"/>
      <c r="DP189" s="444"/>
      <c r="DQ189" s="444"/>
      <c r="DR189" s="444"/>
      <c r="DS189" s="444"/>
      <c r="DT189" s="444"/>
      <c r="DU189" s="444"/>
      <c r="DV189" s="444"/>
      <c r="DW189" s="444"/>
      <c r="DX189" s="444"/>
      <c r="DY189" s="444"/>
      <c r="DZ189" s="444"/>
      <c r="EA189" s="444"/>
      <c r="EB189" s="444"/>
      <c r="EC189" s="444"/>
      <c r="ED189" s="444"/>
      <c r="EE189" s="444"/>
      <c r="EF189" s="444"/>
      <c r="EG189" s="444"/>
      <c r="EH189" s="444"/>
      <c r="EI189" s="444"/>
      <c r="EJ189" s="444"/>
      <c r="EK189" s="444"/>
      <c r="EL189" s="444"/>
      <c r="EM189" s="444"/>
      <c r="EN189" s="444"/>
      <c r="EO189" s="444"/>
      <c r="EP189" s="444"/>
      <c r="EQ189" s="444"/>
      <c r="ER189" s="444"/>
      <c r="ES189" s="444"/>
      <c r="ET189" s="444"/>
      <c r="EU189" s="444"/>
      <c r="EV189" s="444"/>
      <c r="EW189" s="444"/>
      <c r="EX189" s="444"/>
      <c r="EY189" s="444"/>
      <c r="EZ189" s="444"/>
      <c r="FA189" s="444"/>
      <c r="FB189" s="444"/>
      <c r="FC189" s="444"/>
      <c r="FD189" s="444"/>
      <c r="FE189" s="444"/>
      <c r="FF189" s="444"/>
      <c r="FG189" s="444"/>
      <c r="FH189" s="444"/>
      <c r="FI189" s="444"/>
      <c r="FJ189" s="444"/>
      <c r="FK189" s="444"/>
      <c r="FL189" s="444"/>
      <c r="FM189" s="444"/>
      <c r="FN189" s="444"/>
      <c r="FO189" s="444"/>
      <c r="FP189" s="444"/>
      <c r="FQ189" s="444"/>
      <c r="FR189" s="444"/>
      <c r="FS189" s="444"/>
      <c r="FT189" s="444"/>
      <c r="FU189" s="444"/>
      <c r="FV189" s="444"/>
      <c r="FW189" s="444"/>
    </row>
    <row r="190" spans="1:179" ht="13.8">
      <c r="A190" s="444"/>
      <c r="B190" s="444"/>
      <c r="C190" s="444" t="s">
        <v>939</v>
      </c>
      <c r="D190" s="444"/>
      <c r="E190" s="444"/>
      <c r="F190" s="444"/>
      <c r="G190" s="444"/>
      <c r="H190" s="444"/>
      <c r="I190" s="444"/>
      <c r="J190" s="444"/>
      <c r="K190" s="444"/>
      <c r="L190" s="444"/>
      <c r="M190" s="444"/>
      <c r="N190" s="444"/>
      <c r="O190" s="444"/>
      <c r="P190" s="444"/>
      <c r="Q190" s="444"/>
      <c r="R190" s="444"/>
      <c r="S190" s="444"/>
      <c r="T190" s="444"/>
      <c r="U190" s="444"/>
      <c r="V190" s="444"/>
      <c r="W190" s="444"/>
      <c r="X190" s="444"/>
      <c r="Y190" s="444"/>
      <c r="Z190" s="444"/>
      <c r="AA190" s="444"/>
      <c r="AB190" s="444"/>
      <c r="AC190" s="444"/>
      <c r="AD190" s="444"/>
      <c r="AE190" s="444"/>
      <c r="AF190" s="444"/>
      <c r="AG190" s="444"/>
      <c r="AH190" s="444"/>
      <c r="AI190" s="444"/>
      <c r="AJ190" s="444"/>
      <c r="AK190" s="444"/>
      <c r="AL190" s="444"/>
      <c r="AM190" s="444"/>
      <c r="AN190" s="444"/>
      <c r="AO190" s="444"/>
      <c r="AP190" s="444"/>
      <c r="AQ190" s="444"/>
      <c r="AR190" s="444"/>
      <c r="AS190" s="444"/>
      <c r="AT190" s="758">
        <f>+AT22+AT23</f>
        <v>-2841</v>
      </c>
      <c r="AU190" s="444"/>
      <c r="AV190" s="874">
        <f t="shared" ref="AV190:BB190" si="145">+AV22+AV23</f>
        <v>-1496</v>
      </c>
      <c r="AW190" s="874">
        <f t="shared" si="145"/>
        <v>-1295</v>
      </c>
      <c r="AX190" s="758">
        <f t="shared" si="145"/>
        <v>-2791</v>
      </c>
      <c r="AY190" s="758">
        <f t="shared" si="145"/>
        <v>0</v>
      </c>
      <c r="AZ190" s="758">
        <f t="shared" si="145"/>
        <v>-1424</v>
      </c>
      <c r="BA190" s="758">
        <f t="shared" si="145"/>
        <v>-1269</v>
      </c>
      <c r="BB190" s="758">
        <f t="shared" si="145"/>
        <v>-2693</v>
      </c>
      <c r="BC190" s="444"/>
      <c r="BD190" s="758">
        <f>+BD22+BD23</f>
        <v>-887</v>
      </c>
      <c r="BE190" s="758">
        <f>+BE22+BE23</f>
        <v>-986</v>
      </c>
      <c r="BF190" s="758">
        <f>+BF22+BF23</f>
        <v>-1873</v>
      </c>
      <c r="BG190" s="444"/>
      <c r="BH190" s="758">
        <f>+BH22+BH23</f>
        <v>-1442</v>
      </c>
      <c r="BI190" s="758">
        <f>+BI22+BI23</f>
        <v>-1323</v>
      </c>
      <c r="BJ190" s="758">
        <f>+BJ22+BJ23</f>
        <v>-2765</v>
      </c>
      <c r="BK190" s="444"/>
      <c r="BL190" s="758">
        <f>+BL22+BL23</f>
        <v>-1328</v>
      </c>
      <c r="BM190" s="758">
        <f>+BM22+BM23</f>
        <v>-1357</v>
      </c>
      <c r="BN190" s="758">
        <f>+BN22+BN23</f>
        <v>-2685</v>
      </c>
      <c r="BO190" s="444"/>
      <c r="BP190" s="758">
        <f>+BP22+BP23</f>
        <v>-1581</v>
      </c>
      <c r="BQ190" s="758">
        <f>+BQ22+BQ23</f>
        <v>-1527</v>
      </c>
      <c r="BR190" s="758">
        <f>+BR22+BR23</f>
        <v>-3108</v>
      </c>
      <c r="BS190" s="444"/>
      <c r="BT190" s="758">
        <f>+BT22+BT23</f>
        <v>-1510</v>
      </c>
      <c r="BU190" s="758">
        <f>+BU22+BU23</f>
        <v>-1427</v>
      </c>
      <c r="BV190" s="758">
        <f>+BV22+BV23</f>
        <v>-2937</v>
      </c>
      <c r="BW190" s="444"/>
      <c r="BX190" s="758">
        <f>+BX22+BX23</f>
        <v>-1540</v>
      </c>
      <c r="BY190" s="758">
        <f>+BY22+BY23</f>
        <v>-1251</v>
      </c>
      <c r="BZ190" s="758">
        <f>+BZ22+BZ23</f>
        <v>-2791</v>
      </c>
      <c r="CA190" s="444"/>
      <c r="CB190" s="758">
        <f ca="1">+CB22+CB23</f>
        <v>-1577.245847282293</v>
      </c>
      <c r="CC190" s="758">
        <f ca="1">+CC22+CC23</f>
        <v>-1629.4408793469324</v>
      </c>
      <c r="CD190" s="758">
        <f ca="1">+CD22+CD23</f>
        <v>-3206.6867266292256</v>
      </c>
      <c r="CE190" s="444"/>
      <c r="CF190" s="758">
        <f ca="1">+CF22+CF23</f>
        <v>-1693.8918121729657</v>
      </c>
      <c r="CG190" s="758">
        <f ca="1">+CG22+CG23</f>
        <v>-1699.729900806019</v>
      </c>
      <c r="CH190" s="758">
        <f ca="1">+CH22+CH23</f>
        <v>-3393.6217129789848</v>
      </c>
      <c r="CI190" s="444"/>
      <c r="CJ190" s="758">
        <f ca="1">+CJ22+CJ23</f>
        <v>-1769.4826257272898</v>
      </c>
      <c r="CK190" s="758">
        <f ca="1">+CK22+CK23</f>
        <v>-1835.2349647719377</v>
      </c>
      <c r="CL190" s="758">
        <f ca="1">+CL22+CL23</f>
        <v>-3604.7175904992273</v>
      </c>
      <c r="CM190" s="444"/>
      <c r="CN190" s="444"/>
      <c r="CO190" s="459"/>
      <c r="CP190" s="459"/>
      <c r="CQ190" s="459"/>
      <c r="CR190" s="459"/>
      <c r="CS190" s="459"/>
      <c r="CT190" s="459"/>
      <c r="CU190" s="459"/>
      <c r="CV190" s="459"/>
      <c r="CW190" s="459"/>
      <c r="CX190" s="459"/>
      <c r="CY190" s="459"/>
      <c r="CZ190" s="459"/>
      <c r="DA190" s="444"/>
      <c r="DB190" s="444"/>
      <c r="DC190" s="444"/>
      <c r="DD190" s="444"/>
      <c r="DE190" s="444"/>
      <c r="DF190" s="444"/>
      <c r="DG190" s="444"/>
      <c r="DH190" s="444"/>
      <c r="DI190" s="444"/>
      <c r="DJ190" s="444"/>
      <c r="DK190" s="444"/>
      <c r="DL190" s="444"/>
      <c r="DM190" s="444"/>
      <c r="DN190" s="444"/>
      <c r="DO190" s="444"/>
      <c r="DP190" s="444"/>
      <c r="DQ190" s="444"/>
      <c r="DR190" s="444"/>
      <c r="DS190" s="444"/>
      <c r="DT190" s="444"/>
      <c r="DU190" s="444"/>
      <c r="DV190" s="444"/>
      <c r="DW190" s="444"/>
      <c r="DX190" s="444"/>
      <c r="DY190" s="444"/>
      <c r="DZ190" s="444"/>
      <c r="EA190" s="444"/>
      <c r="EB190" s="444"/>
      <c r="EC190" s="444"/>
      <c r="ED190" s="444"/>
      <c r="EE190" s="444"/>
      <c r="EF190" s="444"/>
      <c r="EG190" s="444"/>
      <c r="EH190" s="444"/>
      <c r="EI190" s="444"/>
      <c r="EJ190" s="444"/>
      <c r="EK190" s="444"/>
      <c r="EL190" s="444"/>
      <c r="EM190" s="444"/>
      <c r="EN190" s="444"/>
      <c r="EO190" s="444"/>
      <c r="EP190" s="444"/>
      <c r="EQ190" s="444"/>
      <c r="ER190" s="444"/>
      <c r="ES190" s="444"/>
      <c r="ET190" s="444"/>
      <c r="EU190" s="444"/>
      <c r="EV190" s="444"/>
      <c r="EW190" s="444"/>
      <c r="EX190" s="444"/>
      <c r="EY190" s="444"/>
      <c r="EZ190" s="444"/>
      <c r="FA190" s="444"/>
      <c r="FB190" s="444"/>
      <c r="FC190" s="444"/>
      <c r="FD190" s="444"/>
      <c r="FE190" s="444"/>
      <c r="FF190" s="444"/>
      <c r="FG190" s="444"/>
      <c r="FH190" s="444"/>
      <c r="FI190" s="444"/>
      <c r="FJ190" s="444"/>
      <c r="FK190" s="444"/>
      <c r="FL190" s="444"/>
      <c r="FM190" s="444"/>
      <c r="FN190" s="444"/>
      <c r="FO190" s="444"/>
      <c r="FP190" s="444"/>
      <c r="FQ190" s="444"/>
      <c r="FR190" s="444"/>
      <c r="FS190" s="444"/>
      <c r="FT190" s="444"/>
      <c r="FU190" s="444"/>
      <c r="FV190" s="444"/>
      <c r="FW190" s="444"/>
    </row>
    <row r="191" spans="1:179" ht="13.8">
      <c r="A191" s="444"/>
      <c r="B191" s="444"/>
      <c r="C191" s="444" t="s">
        <v>879</v>
      </c>
      <c r="D191" s="444"/>
      <c r="E191" s="444"/>
      <c r="F191" s="444"/>
      <c r="G191" s="444"/>
      <c r="H191" s="444"/>
      <c r="I191" s="444"/>
      <c r="J191" s="444"/>
      <c r="K191" s="444"/>
      <c r="L191" s="444"/>
      <c r="M191" s="444"/>
      <c r="N191" s="444"/>
      <c r="O191" s="444"/>
      <c r="P191" s="444"/>
      <c r="Q191" s="444"/>
      <c r="R191" s="444"/>
      <c r="S191" s="444"/>
      <c r="T191" s="444"/>
      <c r="U191" s="444"/>
      <c r="V191" s="444"/>
      <c r="W191" s="444"/>
      <c r="X191" s="444"/>
      <c r="Y191" s="444"/>
      <c r="Z191" s="444"/>
      <c r="AA191" s="444"/>
      <c r="AB191" s="444"/>
      <c r="AC191" s="444"/>
      <c r="AD191" s="444"/>
      <c r="AE191" s="444"/>
      <c r="AF191" s="444"/>
      <c r="AG191" s="444"/>
      <c r="AH191" s="444"/>
      <c r="AI191" s="444"/>
      <c r="AJ191" s="444"/>
      <c r="AK191" s="444"/>
      <c r="AL191" s="444"/>
      <c r="AM191" s="444"/>
      <c r="AN191" s="444"/>
      <c r="AO191" s="444"/>
      <c r="AP191" s="444"/>
      <c r="AQ191" s="444"/>
      <c r="AR191" s="444"/>
      <c r="AS191" s="444"/>
      <c r="AT191" s="812">
        <f>40-2</f>
        <v>38</v>
      </c>
      <c r="AU191" s="444"/>
      <c r="AV191" s="812">
        <v>-100</v>
      </c>
      <c r="AW191" s="813">
        <f t="shared" ref="AW191:AW196" si="146">+AX191-AV191</f>
        <v>3</v>
      </c>
      <c r="AX191" s="824">
        <v>-97</v>
      </c>
      <c r="AY191" s="444"/>
      <c r="AZ191" s="812">
        <v>-47</v>
      </c>
      <c r="BA191" s="812">
        <v>0</v>
      </c>
      <c r="BB191" s="813">
        <f>+AZ191+BA191</f>
        <v>-47</v>
      </c>
      <c r="BC191" s="444"/>
      <c r="BD191" s="864">
        <f>-0.3*(BD134+BD147)</f>
        <v>244.5</v>
      </c>
      <c r="BE191" s="864">
        <f>-0.3*(BE134+BE147)</f>
        <v>11.4</v>
      </c>
      <c r="BF191" s="444">
        <f>+BD191+BE191</f>
        <v>255.9</v>
      </c>
      <c r="BG191" s="444"/>
      <c r="BH191" s="864">
        <f>-0.3*(BH134+BH147)</f>
        <v>71.399999999999991</v>
      </c>
      <c r="BI191" s="864">
        <f>-0.3*(BI134+BI147)</f>
        <v>0</v>
      </c>
      <c r="BJ191" s="444">
        <f>+BH191+BI191</f>
        <v>71.399999999999991</v>
      </c>
      <c r="BK191" s="444"/>
      <c r="BL191" s="864">
        <f>-0.3*(BL134+BL147)</f>
        <v>-88.2</v>
      </c>
      <c r="BM191" s="864">
        <f>-0.3*(BM134+BM147)</f>
        <v>-8.1</v>
      </c>
      <c r="BN191" s="444">
        <f>+BL191+BM191</f>
        <v>-96.3</v>
      </c>
      <c r="BO191" s="444"/>
      <c r="BP191" s="864">
        <f>-0.3*(BP134+BP147)</f>
        <v>12.9</v>
      </c>
      <c r="BQ191" s="864">
        <f>-0.3*(BQ134+BQ147)</f>
        <v>-19.8</v>
      </c>
      <c r="BR191" s="444">
        <f>+BP191+BQ191</f>
        <v>-6.9</v>
      </c>
      <c r="BS191" s="444"/>
      <c r="BT191" s="864">
        <f>-0.3*(BT134+BT147)</f>
        <v>6.3</v>
      </c>
      <c r="BU191" s="864">
        <f>-0.3*(BU134+BU147)</f>
        <v>0</v>
      </c>
      <c r="BV191" s="444">
        <f>+BT191+BU191</f>
        <v>6.3</v>
      </c>
      <c r="BW191" s="444"/>
      <c r="BX191" s="864">
        <f>-0.3*(BX134+BX147)</f>
        <v>0</v>
      </c>
      <c r="BY191" s="864">
        <f>-0.3*(BY134+BY147)</f>
        <v>85.5</v>
      </c>
      <c r="BZ191" s="444">
        <f>+BX191+BY191</f>
        <v>85.5</v>
      </c>
      <c r="CA191" s="444"/>
      <c r="CB191" s="864">
        <f>-0.3*(CB134+CB147)</f>
        <v>0</v>
      </c>
      <c r="CC191" s="864">
        <f>-0.3*(CC134+CC147)</f>
        <v>0</v>
      </c>
      <c r="CD191" s="444">
        <f>+CB191+CC191</f>
        <v>0</v>
      </c>
      <c r="CE191" s="444"/>
      <c r="CF191" s="864">
        <f>-0.3*(CF134+CF147)</f>
        <v>0</v>
      </c>
      <c r="CG191" s="864">
        <f>-0.3*(CG134+CG147)</f>
        <v>0</v>
      </c>
      <c r="CH191" s="444">
        <f>+CF191+CG191</f>
        <v>0</v>
      </c>
      <c r="CI191" s="444"/>
      <c r="CJ191" s="864">
        <f>-0.3*(CJ134+CJ147)</f>
        <v>0</v>
      </c>
      <c r="CK191" s="864">
        <f>-0.3*(CK134+CK147)</f>
        <v>0</v>
      </c>
      <c r="CL191" s="444">
        <f>+CJ191+CK191</f>
        <v>0</v>
      </c>
      <c r="CM191" s="444"/>
      <c r="CN191" s="444"/>
      <c r="CO191" s="459"/>
      <c r="CP191" s="459"/>
      <c r="CQ191" s="459"/>
      <c r="CR191" s="459"/>
      <c r="CS191" s="459"/>
      <c r="CT191" s="459"/>
      <c r="CU191" s="459"/>
      <c r="CV191" s="459"/>
      <c r="CW191" s="459"/>
      <c r="CX191" s="459"/>
      <c r="CY191" s="459"/>
      <c r="CZ191" s="459"/>
      <c r="DA191" s="444"/>
      <c r="DB191" s="444"/>
      <c r="DC191" s="444"/>
      <c r="DD191" s="444"/>
      <c r="DE191" s="444"/>
      <c r="DF191" s="444"/>
      <c r="DG191" s="444"/>
      <c r="DH191" s="444"/>
      <c r="DI191" s="444"/>
      <c r="DJ191" s="444"/>
      <c r="DK191" s="444"/>
      <c r="DL191" s="444"/>
      <c r="DM191" s="444"/>
      <c r="DN191" s="444"/>
      <c r="DO191" s="444"/>
      <c r="DP191" s="444"/>
      <c r="DQ191" s="444"/>
      <c r="DR191" s="444"/>
      <c r="DS191" s="444"/>
      <c r="DT191" s="444"/>
      <c r="DU191" s="444"/>
      <c r="DV191" s="444"/>
      <c r="DW191" s="444"/>
      <c r="DX191" s="444"/>
      <c r="DY191" s="444"/>
      <c r="DZ191" s="444"/>
      <c r="EA191" s="444"/>
      <c r="EB191" s="444"/>
      <c r="EC191" s="444"/>
      <c r="ED191" s="444"/>
      <c r="EE191" s="444"/>
      <c r="EF191" s="444"/>
      <c r="EG191" s="444"/>
      <c r="EH191" s="444"/>
      <c r="EI191" s="444"/>
      <c r="EJ191" s="444"/>
      <c r="EK191" s="444"/>
      <c r="EL191" s="444"/>
      <c r="EM191" s="444"/>
      <c r="EN191" s="444"/>
      <c r="EO191" s="444"/>
      <c r="EP191" s="444"/>
      <c r="EQ191" s="444"/>
      <c r="ER191" s="444"/>
      <c r="ES191" s="444"/>
      <c r="ET191" s="444"/>
      <c r="EU191" s="444"/>
      <c r="EV191" s="444"/>
      <c r="EW191" s="444"/>
      <c r="EX191" s="444"/>
      <c r="EY191" s="444"/>
      <c r="EZ191" s="444"/>
      <c r="FA191" s="444"/>
      <c r="FB191" s="444"/>
      <c r="FC191" s="444"/>
      <c r="FD191" s="444"/>
      <c r="FE191" s="444"/>
      <c r="FF191" s="444"/>
      <c r="FG191" s="444"/>
      <c r="FH191" s="444"/>
      <c r="FI191" s="444"/>
      <c r="FJ191" s="444"/>
      <c r="FK191" s="444"/>
      <c r="FL191" s="444"/>
      <c r="FM191" s="444"/>
      <c r="FN191" s="444"/>
      <c r="FO191" s="444"/>
      <c r="FP191" s="444"/>
      <c r="FQ191" s="444"/>
      <c r="FR191" s="444"/>
      <c r="FS191" s="444"/>
      <c r="FT191" s="444"/>
      <c r="FU191" s="444"/>
      <c r="FV191" s="444"/>
      <c r="FW191" s="444"/>
    </row>
    <row r="192" spans="1:179" ht="13.8">
      <c r="A192" s="444"/>
      <c r="B192" s="444"/>
      <c r="C192" s="444" t="s">
        <v>933</v>
      </c>
      <c r="D192" s="444"/>
      <c r="E192" s="444"/>
      <c r="F192" s="444"/>
      <c r="G192" s="444"/>
      <c r="H192" s="444"/>
      <c r="I192" s="444"/>
      <c r="J192" s="444"/>
      <c r="K192" s="444"/>
      <c r="L192" s="444"/>
      <c r="M192" s="444"/>
      <c r="N192" s="444"/>
      <c r="O192" s="444"/>
      <c r="P192" s="444"/>
      <c r="Q192" s="444"/>
      <c r="R192" s="444"/>
      <c r="S192" s="444"/>
      <c r="T192" s="444"/>
      <c r="U192" s="444"/>
      <c r="V192" s="444"/>
      <c r="W192" s="444"/>
      <c r="X192" s="444"/>
      <c r="Y192" s="444"/>
      <c r="Z192" s="444"/>
      <c r="AA192" s="444"/>
      <c r="AB192" s="444"/>
      <c r="AC192" s="444"/>
      <c r="AD192" s="444"/>
      <c r="AE192" s="444"/>
      <c r="AF192" s="444"/>
      <c r="AG192" s="444"/>
      <c r="AH192" s="444"/>
      <c r="AI192" s="444"/>
      <c r="AJ192" s="444"/>
      <c r="AK192" s="444"/>
      <c r="AL192" s="444"/>
      <c r="AM192" s="444"/>
      <c r="AN192" s="444"/>
      <c r="AO192" s="444"/>
      <c r="AP192" s="444"/>
      <c r="AQ192" s="444"/>
      <c r="AR192" s="444"/>
      <c r="AS192" s="444"/>
      <c r="AT192" s="812">
        <v>-63</v>
      </c>
      <c r="AU192" s="444"/>
      <c r="AV192" s="812">
        <v>-19</v>
      </c>
      <c r="AW192" s="813">
        <f t="shared" si="146"/>
        <v>-12</v>
      </c>
      <c r="AX192" s="875">
        <v>-31</v>
      </c>
      <c r="AY192" s="444"/>
      <c r="AZ192" s="824">
        <v>-18.5</v>
      </c>
      <c r="BA192" s="824">
        <v>-7.5</v>
      </c>
      <c r="BB192" s="813">
        <f>+AZ192+BA192</f>
        <v>-26</v>
      </c>
      <c r="BC192" s="444"/>
      <c r="BD192" s="864">
        <f>-0.3*(BD135+BD148)</f>
        <v>-17.399999999999999</v>
      </c>
      <c r="BE192" s="864">
        <f>-0.3*(BE135+BE148)</f>
        <v>-13.2</v>
      </c>
      <c r="BF192" s="444">
        <f>+BD192+BE192</f>
        <v>-30.599999999999998</v>
      </c>
      <c r="BG192" s="444"/>
      <c r="BH192" s="864">
        <f>-0.3*(BH135+BH148)</f>
        <v>0</v>
      </c>
      <c r="BI192" s="864">
        <f>-0.3*(BI135+BI148)</f>
        <v>0</v>
      </c>
      <c r="BJ192" s="444">
        <f>+BH192+BI192</f>
        <v>0</v>
      </c>
      <c r="BK192" s="444"/>
      <c r="BL192" s="864">
        <f>-0.3*(BL135+BL148)</f>
        <v>17.7</v>
      </c>
      <c r="BM192" s="864">
        <f>-0.3*(BM135+BM148)</f>
        <v>3</v>
      </c>
      <c r="BN192" s="444">
        <f>+BL192+BM192</f>
        <v>20.7</v>
      </c>
      <c r="BO192" s="444"/>
      <c r="BP192" s="864">
        <f>-0.3*(BP135+BP148)</f>
        <v>16.8</v>
      </c>
      <c r="BQ192" s="864">
        <f>-0.3*(BQ135+BQ148)</f>
        <v>21.599999999999998</v>
      </c>
      <c r="BR192" s="444">
        <f>+BP192+BQ192</f>
        <v>38.4</v>
      </c>
      <c r="BS192" s="444"/>
      <c r="BT192" s="864">
        <f>-0.3*(BT135+BT148)</f>
        <v>0</v>
      </c>
      <c r="BU192" s="864">
        <f>-0.3*(BU135+BU148)</f>
        <v>0</v>
      </c>
      <c r="BV192" s="444">
        <f>+BT192+BU192</f>
        <v>0</v>
      </c>
      <c r="BW192" s="444"/>
      <c r="BX192" s="864">
        <f>-0.3*(BX135+BX148)</f>
        <v>0</v>
      </c>
      <c r="BY192" s="864">
        <f>-0.3*(BY135+BY148)</f>
        <v>23.4</v>
      </c>
      <c r="BZ192" s="444">
        <f>+BX192+BY192</f>
        <v>23.4</v>
      </c>
      <c r="CA192" s="444"/>
      <c r="CB192" s="864">
        <f>-0.3*(CB135+CB148)</f>
        <v>0</v>
      </c>
      <c r="CC192" s="864">
        <f>-0.3*(CC135+CC148)</f>
        <v>0</v>
      </c>
      <c r="CD192" s="444">
        <f>+CB192+CC192</f>
        <v>0</v>
      </c>
      <c r="CE192" s="444"/>
      <c r="CF192" s="864">
        <f>-0.3*(CF135+CF148)</f>
        <v>0</v>
      </c>
      <c r="CG192" s="864">
        <f>-0.3*(CG135+CG148)</f>
        <v>0</v>
      </c>
      <c r="CH192" s="444">
        <f>+CF192+CG192</f>
        <v>0</v>
      </c>
      <c r="CI192" s="444"/>
      <c r="CJ192" s="864">
        <f>-0.3*(CJ135+CJ148)</f>
        <v>0</v>
      </c>
      <c r="CK192" s="864">
        <f>-0.3*(CK135+CK148)</f>
        <v>0</v>
      </c>
      <c r="CL192" s="444">
        <f>+CJ192+CK192</f>
        <v>0</v>
      </c>
      <c r="CM192" s="444"/>
      <c r="CN192" s="444"/>
      <c r="CO192" s="459"/>
      <c r="CP192" s="459"/>
      <c r="CQ192" s="459"/>
      <c r="CR192" s="459"/>
      <c r="CS192" s="459"/>
      <c r="CT192" s="459"/>
      <c r="CU192" s="459"/>
      <c r="CV192" s="459"/>
      <c r="CW192" s="459"/>
      <c r="CX192" s="459"/>
      <c r="CY192" s="459"/>
      <c r="CZ192" s="459"/>
      <c r="DA192" s="444"/>
      <c r="DB192" s="444"/>
      <c r="DC192" s="444"/>
      <c r="DD192" s="444"/>
      <c r="DE192" s="444"/>
      <c r="DF192" s="444"/>
      <c r="DG192" s="444"/>
      <c r="DH192" s="444"/>
      <c r="DI192" s="444"/>
      <c r="DJ192" s="444"/>
      <c r="DK192" s="444"/>
      <c r="DL192" s="444"/>
      <c r="DM192" s="444"/>
      <c r="DN192" s="444"/>
      <c r="DO192" s="444"/>
      <c r="DP192" s="444"/>
      <c r="DQ192" s="444"/>
      <c r="DR192" s="444"/>
      <c r="DS192" s="444"/>
      <c r="DT192" s="444"/>
      <c r="DU192" s="444"/>
      <c r="DV192" s="444"/>
      <c r="DW192" s="444"/>
      <c r="DX192" s="444"/>
      <c r="DY192" s="444"/>
      <c r="DZ192" s="444"/>
      <c r="EA192" s="444"/>
      <c r="EB192" s="444"/>
      <c r="EC192" s="444"/>
      <c r="ED192" s="444"/>
      <c r="EE192" s="444"/>
      <c r="EF192" s="444"/>
      <c r="EG192" s="444"/>
      <c r="EH192" s="444"/>
      <c r="EI192" s="444"/>
      <c r="EJ192" s="444"/>
      <c r="EK192" s="444"/>
      <c r="EL192" s="444"/>
      <c r="EM192" s="444"/>
      <c r="EN192" s="444"/>
      <c r="EO192" s="444"/>
      <c r="EP192" s="444"/>
      <c r="EQ192" s="444"/>
      <c r="ER192" s="444"/>
      <c r="ES192" s="444"/>
      <c r="ET192" s="444"/>
      <c r="EU192" s="444"/>
      <c r="EV192" s="444"/>
      <c r="EW192" s="444"/>
      <c r="EX192" s="444"/>
      <c r="EY192" s="444"/>
      <c r="EZ192" s="444"/>
      <c r="FA192" s="444"/>
      <c r="FB192" s="444"/>
      <c r="FC192" s="444"/>
      <c r="FD192" s="444"/>
      <c r="FE192" s="444"/>
      <c r="FF192" s="444"/>
      <c r="FG192" s="444"/>
      <c r="FH192" s="444"/>
      <c r="FI192" s="444"/>
      <c r="FJ192" s="444"/>
      <c r="FK192" s="444"/>
      <c r="FL192" s="444"/>
      <c r="FM192" s="444"/>
      <c r="FN192" s="444"/>
      <c r="FO192" s="444"/>
      <c r="FP192" s="444"/>
      <c r="FQ192" s="444"/>
      <c r="FR192" s="444"/>
      <c r="FS192" s="444"/>
      <c r="FT192" s="444"/>
      <c r="FU192" s="444"/>
      <c r="FV192" s="444"/>
      <c r="FW192" s="444"/>
    </row>
    <row r="193" spans="1:179" ht="13.8">
      <c r="A193" s="444"/>
      <c r="B193" s="444"/>
      <c r="C193" s="445" t="s">
        <v>924</v>
      </c>
      <c r="D193" s="444"/>
      <c r="E193" s="444"/>
      <c r="F193" s="444"/>
      <c r="G193" s="444"/>
      <c r="H193" s="444"/>
      <c r="I193" s="444"/>
      <c r="J193" s="444"/>
      <c r="K193" s="444"/>
      <c r="L193" s="444"/>
      <c r="M193" s="444"/>
      <c r="N193" s="444"/>
      <c r="O193" s="444"/>
      <c r="P193" s="444"/>
      <c r="Q193" s="444"/>
      <c r="R193" s="444"/>
      <c r="S193" s="444"/>
      <c r="T193" s="444"/>
      <c r="U193" s="444"/>
      <c r="V193" s="444"/>
      <c r="W193" s="444"/>
      <c r="X193" s="444"/>
      <c r="Y193" s="444"/>
      <c r="Z193" s="444"/>
      <c r="AA193" s="444"/>
      <c r="AB193" s="444"/>
      <c r="AC193" s="444"/>
      <c r="AD193" s="444"/>
      <c r="AE193" s="444"/>
      <c r="AF193" s="444"/>
      <c r="AG193" s="444"/>
      <c r="AH193" s="444"/>
      <c r="AI193" s="444"/>
      <c r="AJ193" s="444"/>
      <c r="AK193" s="444"/>
      <c r="AL193" s="444"/>
      <c r="AM193" s="444"/>
      <c r="AN193" s="444"/>
      <c r="AO193" s="444"/>
      <c r="AP193" s="444"/>
      <c r="AQ193" s="444"/>
      <c r="AR193" s="444"/>
      <c r="AS193" s="444"/>
      <c r="AT193" s="444">
        <f>-AT178</f>
        <v>41</v>
      </c>
      <c r="AU193" s="444"/>
      <c r="AV193" s="812">
        <v>22</v>
      </c>
      <c r="AW193" s="813">
        <f t="shared" si="146"/>
        <v>102</v>
      </c>
      <c r="AX193" s="813">
        <f>AX178</f>
        <v>124</v>
      </c>
      <c r="AY193" s="444"/>
      <c r="AZ193" s="758">
        <f>AZ178</f>
        <v>30</v>
      </c>
      <c r="BA193" s="813">
        <f>BA178</f>
        <v>80</v>
      </c>
      <c r="BB193" s="813">
        <f>BB178</f>
        <v>110</v>
      </c>
      <c r="BC193" s="813"/>
      <c r="BD193" s="813">
        <f>BD178</f>
        <v>25.5</v>
      </c>
      <c r="BE193" s="813">
        <f>BE178</f>
        <v>60</v>
      </c>
      <c r="BF193" s="813">
        <f>BF178</f>
        <v>104</v>
      </c>
      <c r="BG193" s="813"/>
      <c r="BH193" s="813">
        <f>BH178</f>
        <v>39.9</v>
      </c>
      <c r="BI193" s="813">
        <f>BI178</f>
        <v>35.1</v>
      </c>
      <c r="BJ193" s="813">
        <f>BJ178</f>
        <v>98</v>
      </c>
      <c r="BK193" s="813"/>
      <c r="BL193" s="813">
        <f>BL178</f>
        <v>40.5</v>
      </c>
      <c r="BM193" s="813">
        <f>BM178</f>
        <v>11.4</v>
      </c>
      <c r="BN193" s="813">
        <f>BN178</f>
        <v>58</v>
      </c>
      <c r="BO193" s="813"/>
      <c r="BP193" s="813">
        <f>BP178</f>
        <v>13.5</v>
      </c>
      <c r="BQ193" s="813">
        <f>BQ178</f>
        <v>17.099999999999998</v>
      </c>
      <c r="BR193" s="813">
        <f>BR178</f>
        <v>26</v>
      </c>
      <c r="BS193" s="813"/>
      <c r="BT193" s="813">
        <f>BT178</f>
        <v>0</v>
      </c>
      <c r="BU193" s="813">
        <f>BU178</f>
        <v>0</v>
      </c>
      <c r="BV193" s="813">
        <f>BV178</f>
        <v>0</v>
      </c>
      <c r="BW193" s="813"/>
      <c r="BX193" s="813">
        <f>BX178</f>
        <v>0</v>
      </c>
      <c r="BY193" s="813">
        <f>BY178</f>
        <v>0</v>
      </c>
      <c r="BZ193" s="813">
        <f>BZ178</f>
        <v>0</v>
      </c>
      <c r="CA193" s="813"/>
      <c r="CB193" s="813">
        <f>CB178</f>
        <v>0</v>
      </c>
      <c r="CC193" s="813">
        <f>CC178</f>
        <v>0</v>
      </c>
      <c r="CD193" s="813">
        <f>CD178</f>
        <v>0</v>
      </c>
      <c r="CE193" s="813"/>
      <c r="CF193" s="813">
        <f>CF178</f>
        <v>0</v>
      </c>
      <c r="CG193" s="813">
        <f>CG178</f>
        <v>0</v>
      </c>
      <c r="CH193" s="813">
        <f>CH178</f>
        <v>0</v>
      </c>
      <c r="CI193" s="813"/>
      <c r="CJ193" s="813">
        <f>CJ178</f>
        <v>0</v>
      </c>
      <c r="CK193" s="813">
        <f>CK178</f>
        <v>0</v>
      </c>
      <c r="CL193" s="813">
        <f>CL178</f>
        <v>0</v>
      </c>
      <c r="CM193" s="584"/>
      <c r="CN193" s="584"/>
      <c r="CO193" s="801"/>
      <c r="CP193" s="801"/>
      <c r="CQ193" s="801"/>
      <c r="CR193" s="801"/>
      <c r="CS193" s="801"/>
      <c r="CT193" s="801"/>
      <c r="CU193" s="801"/>
      <c r="CV193" s="801"/>
      <c r="CW193" s="801"/>
      <c r="CX193" s="801"/>
      <c r="CY193" s="801"/>
      <c r="CZ193" s="801"/>
      <c r="DA193" s="584"/>
      <c r="DB193" s="584"/>
      <c r="DC193" s="584"/>
      <c r="DD193" s="584"/>
      <c r="DE193" s="584"/>
      <c r="DF193" s="584"/>
      <c r="DG193" s="584"/>
      <c r="DH193" s="584"/>
      <c r="DI193" s="584"/>
      <c r="DJ193" s="584"/>
      <c r="DK193" s="584"/>
      <c r="DL193" s="584"/>
      <c r="DM193" s="584"/>
      <c r="DN193" s="584"/>
      <c r="DO193" s="584"/>
      <c r="DP193" s="584"/>
      <c r="DQ193" s="584"/>
      <c r="DR193" s="584"/>
      <c r="DS193" s="584"/>
      <c r="DT193" s="584"/>
      <c r="DU193" s="584"/>
      <c r="DV193" s="584"/>
      <c r="DW193" s="584"/>
      <c r="DX193" s="444"/>
      <c r="DY193" s="444"/>
      <c r="DZ193" s="444"/>
      <c r="EA193" s="444"/>
      <c r="EB193" s="444"/>
      <c r="EC193" s="444"/>
      <c r="ED193" s="444"/>
      <c r="EE193" s="444"/>
      <c r="EF193" s="444"/>
      <c r="EG193" s="444"/>
      <c r="EH193" s="444"/>
      <c r="EI193" s="444"/>
      <c r="EJ193" s="444"/>
      <c r="EK193" s="444"/>
      <c r="EL193" s="444"/>
      <c r="EM193" s="444"/>
      <c r="EN193" s="444"/>
      <c r="EO193" s="444"/>
      <c r="EP193" s="444"/>
      <c r="EQ193" s="444"/>
      <c r="ER193" s="444"/>
      <c r="ES193" s="444"/>
      <c r="ET193" s="444"/>
      <c r="EU193" s="444"/>
      <c r="EV193" s="444"/>
      <c r="EW193" s="444"/>
      <c r="EX193" s="444"/>
      <c r="EY193" s="444"/>
      <c r="EZ193" s="444"/>
      <c r="FA193" s="444"/>
      <c r="FB193" s="444"/>
      <c r="FC193" s="444"/>
      <c r="FD193" s="444"/>
      <c r="FE193" s="444"/>
      <c r="FF193" s="444"/>
      <c r="FG193" s="444"/>
      <c r="FH193" s="444"/>
      <c r="FI193" s="444"/>
      <c r="FJ193" s="444"/>
      <c r="FK193" s="444"/>
      <c r="FL193" s="444"/>
      <c r="FM193" s="444"/>
      <c r="FN193" s="444"/>
      <c r="FO193" s="444"/>
      <c r="FP193" s="444"/>
      <c r="FQ193" s="444"/>
      <c r="FR193" s="444"/>
      <c r="FS193" s="444"/>
      <c r="FT193" s="444"/>
      <c r="FU193" s="444"/>
      <c r="FV193" s="444"/>
      <c r="FW193" s="444"/>
    </row>
    <row r="194" spans="1:179" ht="13.8">
      <c r="A194" s="444"/>
      <c r="B194" s="444"/>
      <c r="C194" s="445" t="s">
        <v>936</v>
      </c>
      <c r="D194" s="444"/>
      <c r="E194" s="444"/>
      <c r="F194" s="444"/>
      <c r="G194" s="444"/>
      <c r="H194" s="444"/>
      <c r="I194" s="444"/>
      <c r="J194" s="444"/>
      <c r="K194" s="444"/>
      <c r="L194" s="444"/>
      <c r="M194" s="444"/>
      <c r="N194" s="444"/>
      <c r="O194" s="444"/>
      <c r="P194" s="444"/>
      <c r="Q194" s="444"/>
      <c r="R194" s="444"/>
      <c r="S194" s="444"/>
      <c r="T194" s="444"/>
      <c r="U194" s="444"/>
      <c r="V194" s="444"/>
      <c r="W194" s="444"/>
      <c r="X194" s="444"/>
      <c r="Y194" s="444"/>
      <c r="Z194" s="444"/>
      <c r="AA194" s="444"/>
      <c r="AB194" s="444"/>
      <c r="AC194" s="444"/>
      <c r="AD194" s="444"/>
      <c r="AE194" s="444"/>
      <c r="AF194" s="444"/>
      <c r="AG194" s="444"/>
      <c r="AH194" s="444"/>
      <c r="AI194" s="444"/>
      <c r="AJ194" s="444"/>
      <c r="AK194" s="444"/>
      <c r="AL194" s="444"/>
      <c r="AM194" s="444"/>
      <c r="AN194" s="444"/>
      <c r="AO194" s="444"/>
      <c r="AP194" s="444"/>
      <c r="AQ194" s="444"/>
      <c r="AR194" s="444"/>
      <c r="AS194" s="444"/>
      <c r="AT194" s="824">
        <f>-AT150*0.3</f>
        <v>0</v>
      </c>
      <c r="AU194" s="444"/>
      <c r="AV194" s="812">
        <v>5</v>
      </c>
      <c r="AW194" s="813">
        <f t="shared" si="146"/>
        <v>11.5</v>
      </c>
      <c r="AX194" s="824">
        <f>-AX150*0.3</f>
        <v>16.5</v>
      </c>
      <c r="AY194" s="444"/>
      <c r="AZ194" s="812">
        <v>4</v>
      </c>
      <c r="BA194" s="813">
        <f>-BA150*0.3</f>
        <v>0.6</v>
      </c>
      <c r="BB194" s="813">
        <f>+AZ194+BA194</f>
        <v>4.5999999999999996</v>
      </c>
      <c r="BC194" s="444"/>
      <c r="BD194" s="864">
        <f t="shared" ref="BD194:BE196" si="147">-0.3*(BD150)</f>
        <v>0</v>
      </c>
      <c r="BE194" s="864">
        <f t="shared" si="147"/>
        <v>0</v>
      </c>
      <c r="BF194" s="444">
        <f>+BD194+BE194</f>
        <v>0</v>
      </c>
      <c r="BG194" s="444"/>
      <c r="BH194" s="864">
        <f t="shared" ref="BH194:BI196" si="148">-0.3*(BH150)</f>
        <v>0</v>
      </c>
      <c r="BI194" s="864">
        <f t="shared" si="148"/>
        <v>0</v>
      </c>
      <c r="BJ194" s="444">
        <f>+BH194+BI194</f>
        <v>0</v>
      </c>
      <c r="BK194" s="444"/>
      <c r="BL194" s="864">
        <f t="shared" ref="BL194:BM196" si="149">-0.3*(BL150)</f>
        <v>0</v>
      </c>
      <c r="BM194" s="864">
        <f t="shared" si="149"/>
        <v>0</v>
      </c>
      <c r="BN194" s="444">
        <f>+BL194+BM194</f>
        <v>0</v>
      </c>
      <c r="BO194" s="444"/>
      <c r="BP194" s="864">
        <f t="shared" ref="BP194:BQ196" si="150">-0.3*(BP150)</f>
        <v>0</v>
      </c>
      <c r="BQ194" s="864">
        <f t="shared" si="150"/>
        <v>12</v>
      </c>
      <c r="BR194" s="444">
        <f>+BP194+BQ194</f>
        <v>12</v>
      </c>
      <c r="BS194" s="444"/>
      <c r="BT194" s="864">
        <f t="shared" ref="BT194:BU194" si="151">-0.3*(BT150)</f>
        <v>0</v>
      </c>
      <c r="BU194" s="864">
        <f t="shared" si="151"/>
        <v>0</v>
      </c>
      <c r="BV194" s="444">
        <f>+BT194+BU194</f>
        <v>0</v>
      </c>
      <c r="BW194" s="444"/>
      <c r="BX194" s="864">
        <f t="shared" ref="BX194:BY194" si="152">-0.3*(BX150)</f>
        <v>0</v>
      </c>
      <c r="BY194" s="864">
        <f t="shared" si="152"/>
        <v>81.3</v>
      </c>
      <c r="BZ194" s="444">
        <f>+BX194+BY194</f>
        <v>81.3</v>
      </c>
      <c r="CA194" s="444"/>
      <c r="CB194" s="864">
        <f t="shared" ref="CB194:CC194" si="153">-0.3*(CB150)</f>
        <v>0</v>
      </c>
      <c r="CC194" s="864">
        <f t="shared" si="153"/>
        <v>0</v>
      </c>
      <c r="CD194" s="444">
        <f>+CB194+CC194</f>
        <v>0</v>
      </c>
      <c r="CE194" s="444"/>
      <c r="CF194" s="864">
        <f t="shared" ref="CF194:CG194" si="154">-0.3*(CF150)</f>
        <v>0</v>
      </c>
      <c r="CG194" s="864">
        <f t="shared" si="154"/>
        <v>0</v>
      </c>
      <c r="CH194" s="444">
        <f>+CF194+CG194</f>
        <v>0</v>
      </c>
      <c r="CI194" s="444"/>
      <c r="CJ194" s="864">
        <f t="shared" ref="CJ194:CK194" si="155">-0.3*(CJ150)</f>
        <v>0</v>
      </c>
      <c r="CK194" s="864">
        <f t="shared" si="155"/>
        <v>0</v>
      </c>
      <c r="CL194" s="444">
        <f>+CJ194+CK194</f>
        <v>0</v>
      </c>
      <c r="CM194" s="444"/>
      <c r="CN194" s="444"/>
      <c r="CO194" s="459"/>
      <c r="CP194" s="459"/>
      <c r="CQ194" s="459"/>
      <c r="CR194" s="459"/>
      <c r="CS194" s="459"/>
      <c r="CT194" s="459"/>
      <c r="CU194" s="459"/>
      <c r="CV194" s="459"/>
      <c r="CW194" s="459"/>
      <c r="CX194" s="459"/>
      <c r="CY194" s="459"/>
      <c r="CZ194" s="459"/>
      <c r="DA194" s="444"/>
      <c r="DB194" s="444"/>
      <c r="DC194" s="444"/>
      <c r="DD194" s="444"/>
      <c r="DE194" s="444"/>
      <c r="DF194" s="444"/>
      <c r="DG194" s="444"/>
      <c r="DH194" s="444"/>
      <c r="DI194" s="444"/>
      <c r="DJ194" s="444"/>
      <c r="DK194" s="444"/>
      <c r="DL194" s="444"/>
      <c r="DM194" s="444"/>
      <c r="DN194" s="444"/>
      <c r="DO194" s="444"/>
      <c r="DP194" s="444"/>
      <c r="DQ194" s="444"/>
      <c r="DR194" s="444"/>
      <c r="DS194" s="444"/>
      <c r="DT194" s="444"/>
      <c r="DU194" s="444"/>
      <c r="DV194" s="444"/>
      <c r="DW194" s="444"/>
      <c r="DX194" s="444"/>
      <c r="DY194" s="444"/>
      <c r="DZ194" s="444"/>
      <c r="EA194" s="444"/>
      <c r="EB194" s="444"/>
      <c r="EC194" s="444"/>
      <c r="ED194" s="444"/>
      <c r="EE194" s="444"/>
      <c r="EF194" s="444"/>
      <c r="EG194" s="444"/>
      <c r="EH194" s="444"/>
      <c r="EI194" s="444"/>
      <c r="EJ194" s="444"/>
      <c r="EK194" s="444"/>
      <c r="EL194" s="444"/>
      <c r="EM194" s="444"/>
      <c r="EN194" s="444"/>
      <c r="EO194" s="444"/>
      <c r="EP194" s="444"/>
      <c r="EQ194" s="444"/>
      <c r="ER194" s="444"/>
      <c r="ES194" s="444"/>
      <c r="ET194" s="444"/>
      <c r="EU194" s="444"/>
      <c r="EV194" s="444"/>
      <c r="EW194" s="444"/>
      <c r="EX194" s="444"/>
      <c r="EY194" s="444"/>
      <c r="EZ194" s="444"/>
      <c r="FA194" s="444"/>
      <c r="FB194" s="444"/>
      <c r="FC194" s="444"/>
      <c r="FD194" s="444"/>
      <c r="FE194" s="444"/>
      <c r="FF194" s="444"/>
      <c r="FG194" s="444"/>
      <c r="FH194" s="444"/>
      <c r="FI194" s="444"/>
      <c r="FJ194" s="444"/>
      <c r="FK194" s="444"/>
      <c r="FL194" s="444"/>
      <c r="FM194" s="444"/>
      <c r="FN194" s="444"/>
      <c r="FO194" s="444"/>
      <c r="FP194" s="444"/>
      <c r="FQ194" s="444"/>
      <c r="FR194" s="444"/>
      <c r="FS194" s="444"/>
      <c r="FT194" s="444"/>
      <c r="FU194" s="444"/>
      <c r="FV194" s="444"/>
      <c r="FW194" s="444"/>
    </row>
    <row r="195" spans="1:179" ht="13.8">
      <c r="A195" s="444"/>
      <c r="B195" s="444"/>
      <c r="C195" s="444" t="s">
        <v>925</v>
      </c>
      <c r="D195" s="444"/>
      <c r="E195" s="444"/>
      <c r="F195" s="444"/>
      <c r="G195" s="444"/>
      <c r="H195" s="444"/>
      <c r="I195" s="444"/>
      <c r="J195" s="444"/>
      <c r="K195" s="444"/>
      <c r="L195" s="444"/>
      <c r="M195" s="444"/>
      <c r="N195" s="444"/>
      <c r="O195" s="444"/>
      <c r="P195" s="444"/>
      <c r="Q195" s="444"/>
      <c r="R195" s="444"/>
      <c r="S195" s="444"/>
      <c r="T195" s="444"/>
      <c r="U195" s="444"/>
      <c r="V195" s="444"/>
      <c r="W195" s="444"/>
      <c r="X195" s="444"/>
      <c r="Y195" s="444"/>
      <c r="Z195" s="444"/>
      <c r="AA195" s="444"/>
      <c r="AB195" s="444"/>
      <c r="AC195" s="444"/>
      <c r="AD195" s="444"/>
      <c r="AE195" s="444"/>
      <c r="AF195" s="444"/>
      <c r="AG195" s="444"/>
      <c r="AH195" s="444"/>
      <c r="AI195" s="444"/>
      <c r="AJ195" s="444"/>
      <c r="AK195" s="444"/>
      <c r="AL195" s="444"/>
      <c r="AM195" s="444"/>
      <c r="AN195" s="444"/>
      <c r="AO195" s="444"/>
      <c r="AP195" s="444"/>
      <c r="AQ195" s="444"/>
      <c r="AR195" s="444"/>
      <c r="AS195" s="444"/>
      <c r="AT195" s="824">
        <v>0</v>
      </c>
      <c r="AU195" s="444"/>
      <c r="AV195" s="812">
        <v>0</v>
      </c>
      <c r="AW195" s="813">
        <f t="shared" si="146"/>
        <v>45</v>
      </c>
      <c r="AX195" s="824">
        <v>45</v>
      </c>
      <c r="AY195" s="444"/>
      <c r="AZ195" s="812">
        <v>0</v>
      </c>
      <c r="BA195" s="813">
        <f>-BA151*0.3</f>
        <v>0</v>
      </c>
      <c r="BB195" s="813">
        <f>+AZ195+BA195</f>
        <v>0</v>
      </c>
      <c r="BC195" s="444"/>
      <c r="BD195" s="864">
        <f t="shared" si="147"/>
        <v>0</v>
      </c>
      <c r="BE195" s="864">
        <f t="shared" si="147"/>
        <v>59.099999999999994</v>
      </c>
      <c r="BF195" s="444">
        <f>+BD195+BE195</f>
        <v>59.099999999999994</v>
      </c>
      <c r="BG195" s="444"/>
      <c r="BH195" s="864">
        <f t="shared" si="148"/>
        <v>0</v>
      </c>
      <c r="BI195" s="864">
        <f t="shared" si="148"/>
        <v>0</v>
      </c>
      <c r="BJ195" s="444">
        <f>+BH195+BI195</f>
        <v>0</v>
      </c>
      <c r="BK195" s="444"/>
      <c r="BL195" s="864">
        <f t="shared" si="149"/>
        <v>0</v>
      </c>
      <c r="BM195" s="864">
        <f t="shared" si="149"/>
        <v>0</v>
      </c>
      <c r="BN195" s="444">
        <f>+BL195+BM195</f>
        <v>0</v>
      </c>
      <c r="BO195" s="444"/>
      <c r="BP195" s="864">
        <f t="shared" si="150"/>
        <v>0</v>
      </c>
      <c r="BQ195" s="864">
        <f t="shared" si="150"/>
        <v>0</v>
      </c>
      <c r="BR195" s="444">
        <f>+BP195+BQ195</f>
        <v>0</v>
      </c>
      <c r="BS195" s="444"/>
      <c r="BT195" s="864">
        <f t="shared" ref="BT195:BU195" si="156">-0.3*(BT151)</f>
        <v>0</v>
      </c>
      <c r="BU195" s="864">
        <f t="shared" si="156"/>
        <v>0</v>
      </c>
      <c r="BV195" s="444">
        <f>+BT195+BU195</f>
        <v>0</v>
      </c>
      <c r="BW195" s="444"/>
      <c r="BX195" s="864">
        <f t="shared" ref="BX195:BY195" si="157">-0.3*(BX151)</f>
        <v>0</v>
      </c>
      <c r="BY195" s="864">
        <f t="shared" si="157"/>
        <v>0</v>
      </c>
      <c r="BZ195" s="444">
        <f>+BX195+BY195</f>
        <v>0</v>
      </c>
      <c r="CA195" s="444"/>
      <c r="CB195" s="864">
        <f t="shared" ref="CB195:CC195" si="158">-0.3*(CB151)</f>
        <v>0</v>
      </c>
      <c r="CC195" s="864">
        <f t="shared" si="158"/>
        <v>0</v>
      </c>
      <c r="CD195" s="444">
        <f>+CB195+CC195</f>
        <v>0</v>
      </c>
      <c r="CE195" s="444"/>
      <c r="CF195" s="864">
        <f t="shared" ref="CF195:CG195" si="159">-0.3*(CF151)</f>
        <v>0</v>
      </c>
      <c r="CG195" s="864">
        <f t="shared" si="159"/>
        <v>0</v>
      </c>
      <c r="CH195" s="444">
        <f>+CF195+CG195</f>
        <v>0</v>
      </c>
      <c r="CI195" s="444"/>
      <c r="CJ195" s="864">
        <f t="shared" ref="CJ195:CK195" si="160">-0.3*(CJ151)</f>
        <v>0</v>
      </c>
      <c r="CK195" s="864">
        <f t="shared" si="160"/>
        <v>0</v>
      </c>
      <c r="CL195" s="444">
        <f>+CJ195+CK195</f>
        <v>0</v>
      </c>
      <c r="CM195" s="444"/>
      <c r="CN195" s="444"/>
      <c r="CO195" s="459"/>
      <c r="CP195" s="459"/>
      <c r="CQ195" s="459"/>
      <c r="CR195" s="459"/>
      <c r="CS195" s="459"/>
      <c r="CT195" s="459"/>
      <c r="CU195" s="459"/>
      <c r="CV195" s="459"/>
      <c r="CW195" s="459"/>
      <c r="CX195" s="459"/>
      <c r="CY195" s="459"/>
      <c r="CZ195" s="459"/>
      <c r="DA195" s="444"/>
      <c r="DB195" s="444"/>
      <c r="DC195" s="444"/>
      <c r="DD195" s="444"/>
      <c r="DE195" s="444"/>
      <c r="DF195" s="444"/>
      <c r="DG195" s="444"/>
      <c r="DH195" s="444"/>
      <c r="DI195" s="444"/>
      <c r="DJ195" s="444"/>
      <c r="DK195" s="444"/>
      <c r="DL195" s="444"/>
      <c r="DM195" s="444"/>
      <c r="DN195" s="444"/>
      <c r="DO195" s="444"/>
      <c r="DP195" s="444"/>
      <c r="DQ195" s="444"/>
      <c r="DR195" s="444"/>
      <c r="DS195" s="444"/>
      <c r="DT195" s="444"/>
      <c r="DU195" s="444"/>
      <c r="DV195" s="444"/>
      <c r="DW195" s="444"/>
      <c r="DX195" s="444"/>
      <c r="DY195" s="444"/>
      <c r="DZ195" s="444"/>
      <c r="EA195" s="444"/>
      <c r="EB195" s="444"/>
      <c r="EC195" s="444"/>
      <c r="ED195" s="444"/>
      <c r="EE195" s="444"/>
      <c r="EF195" s="444"/>
      <c r="EG195" s="444"/>
      <c r="EH195" s="444"/>
      <c r="EI195" s="444"/>
      <c r="EJ195" s="444"/>
      <c r="EK195" s="444"/>
      <c r="EL195" s="444"/>
      <c r="EM195" s="444"/>
      <c r="EN195" s="444"/>
      <c r="EO195" s="444"/>
      <c r="EP195" s="444"/>
      <c r="EQ195" s="444"/>
      <c r="ER195" s="444"/>
      <c r="ES195" s="444"/>
      <c r="ET195" s="444"/>
      <c r="EU195" s="444"/>
      <c r="EV195" s="444"/>
      <c r="EW195" s="444"/>
      <c r="EX195" s="444"/>
      <c r="EY195" s="444"/>
      <c r="EZ195" s="444"/>
      <c r="FA195" s="444"/>
      <c r="FB195" s="444"/>
      <c r="FC195" s="444"/>
      <c r="FD195" s="444"/>
      <c r="FE195" s="444"/>
      <c r="FF195" s="444"/>
      <c r="FG195" s="444"/>
      <c r="FH195" s="444"/>
      <c r="FI195" s="444"/>
      <c r="FJ195" s="444"/>
      <c r="FK195" s="444"/>
      <c r="FL195" s="444"/>
      <c r="FM195" s="444"/>
      <c r="FN195" s="444"/>
      <c r="FO195" s="444"/>
      <c r="FP195" s="444"/>
      <c r="FQ195" s="444"/>
      <c r="FR195" s="444"/>
      <c r="FS195" s="444"/>
      <c r="FT195" s="444"/>
      <c r="FU195" s="444"/>
      <c r="FV195" s="444"/>
      <c r="FW195" s="444"/>
    </row>
    <row r="196" spans="1:179" ht="13.8">
      <c r="A196" s="444"/>
      <c r="B196" s="444"/>
      <c r="C196" s="445" t="s">
        <v>800</v>
      </c>
      <c r="D196" s="444"/>
      <c r="E196" s="444"/>
      <c r="F196" s="444"/>
      <c r="G196" s="444"/>
      <c r="H196" s="444"/>
      <c r="I196" s="444"/>
      <c r="J196" s="444"/>
      <c r="K196" s="444"/>
      <c r="L196" s="444"/>
      <c r="M196" s="444"/>
      <c r="N196" s="444"/>
      <c r="O196" s="444"/>
      <c r="P196" s="444"/>
      <c r="Q196" s="444"/>
      <c r="R196" s="444"/>
      <c r="S196" s="444"/>
      <c r="T196" s="444"/>
      <c r="U196" s="444"/>
      <c r="V196" s="444"/>
      <c r="W196" s="444"/>
      <c r="X196" s="444"/>
      <c r="Y196" s="444"/>
      <c r="Z196" s="444"/>
      <c r="AA196" s="444"/>
      <c r="AB196" s="444"/>
      <c r="AC196" s="444"/>
      <c r="AD196" s="444"/>
      <c r="AE196" s="444"/>
      <c r="AF196" s="444"/>
      <c r="AG196" s="444"/>
      <c r="AH196" s="444"/>
      <c r="AI196" s="444"/>
      <c r="AJ196" s="444"/>
      <c r="AK196" s="444"/>
      <c r="AL196" s="444"/>
      <c r="AM196" s="444"/>
      <c r="AN196" s="444"/>
      <c r="AO196" s="444"/>
      <c r="AP196" s="444"/>
      <c r="AQ196" s="444"/>
      <c r="AR196" s="444"/>
      <c r="AS196" s="444"/>
      <c r="AT196" s="824">
        <f>-AT152*0.3</f>
        <v>18.599999999999998</v>
      </c>
      <c r="AU196" s="444"/>
      <c r="AV196" s="812">
        <v>23</v>
      </c>
      <c r="AW196" s="813">
        <f t="shared" si="146"/>
        <v>45.099999999999994</v>
      </c>
      <c r="AX196" s="813">
        <f>-AX152*0.3</f>
        <v>68.099999999999994</v>
      </c>
      <c r="AY196" s="444"/>
      <c r="AZ196" s="812">
        <v>15</v>
      </c>
      <c r="BA196" s="813">
        <f>-BA152*0.3</f>
        <v>-0.89999999999999991</v>
      </c>
      <c r="BB196" s="813">
        <f>+AZ196+BA196</f>
        <v>14.1</v>
      </c>
      <c r="BC196" s="444"/>
      <c r="BD196" s="864">
        <f t="shared" si="147"/>
        <v>9.6</v>
      </c>
      <c r="BE196" s="864">
        <f t="shared" si="147"/>
        <v>4.5</v>
      </c>
      <c r="BF196" s="444">
        <f>+BD196+BE196</f>
        <v>14.1</v>
      </c>
      <c r="BG196" s="444"/>
      <c r="BH196" s="864">
        <f t="shared" si="148"/>
        <v>45</v>
      </c>
      <c r="BI196" s="864">
        <f t="shared" si="148"/>
        <v>0.3</v>
      </c>
      <c r="BJ196" s="444">
        <f>+BH196+BI196</f>
        <v>45.3</v>
      </c>
      <c r="BK196" s="444"/>
      <c r="BL196" s="864">
        <f t="shared" si="149"/>
        <v>0.3</v>
      </c>
      <c r="BM196" s="864">
        <f t="shared" si="149"/>
        <v>6.3</v>
      </c>
      <c r="BN196" s="444">
        <f>+BL196+BM196</f>
        <v>6.6</v>
      </c>
      <c r="BO196" s="444"/>
      <c r="BP196" s="864">
        <f t="shared" si="150"/>
        <v>5.7</v>
      </c>
      <c r="BQ196" s="864">
        <f t="shared" si="150"/>
        <v>4.5</v>
      </c>
      <c r="BR196" s="444">
        <f>+BP196+BQ196</f>
        <v>10.199999999999999</v>
      </c>
      <c r="BS196" s="444"/>
      <c r="BT196" s="864">
        <f t="shared" ref="BT196:BU196" si="161">-0.3*(BT152)</f>
        <v>6.3</v>
      </c>
      <c r="BU196" s="864">
        <f t="shared" si="161"/>
        <v>0</v>
      </c>
      <c r="BV196" s="444">
        <f>+BT196+BU196</f>
        <v>6.3</v>
      </c>
      <c r="BW196" s="444"/>
      <c r="BX196" s="864">
        <f t="shared" ref="BX196:BY196" si="162">-0.3*(BX152)</f>
        <v>0</v>
      </c>
      <c r="BY196" s="864">
        <f t="shared" si="162"/>
        <v>0</v>
      </c>
      <c r="BZ196" s="444">
        <f>+BX196+BY196</f>
        <v>0</v>
      </c>
      <c r="CA196" s="444"/>
      <c r="CB196" s="864">
        <f t="shared" ref="CB196:CC196" si="163">-0.3*(CB152)</f>
        <v>0</v>
      </c>
      <c r="CC196" s="864">
        <f t="shared" si="163"/>
        <v>0</v>
      </c>
      <c r="CD196" s="444">
        <f>+CB196+CC196</f>
        <v>0</v>
      </c>
      <c r="CE196" s="444"/>
      <c r="CF196" s="864">
        <f t="shared" ref="CF196:CG196" si="164">-0.3*(CF152)</f>
        <v>0</v>
      </c>
      <c r="CG196" s="864">
        <f t="shared" si="164"/>
        <v>0</v>
      </c>
      <c r="CH196" s="444">
        <f>+CF196+CG196</f>
        <v>0</v>
      </c>
      <c r="CI196" s="444"/>
      <c r="CJ196" s="864">
        <f t="shared" ref="CJ196:CK196" si="165">-0.3*(CJ152)</f>
        <v>0</v>
      </c>
      <c r="CK196" s="864">
        <f t="shared" si="165"/>
        <v>0</v>
      </c>
      <c r="CL196" s="444">
        <f>+CJ196+CK196</f>
        <v>0</v>
      </c>
      <c r="CM196" s="444"/>
      <c r="CN196" s="444"/>
      <c r="CO196" s="459"/>
      <c r="CP196" s="459"/>
      <c r="CQ196" s="459"/>
      <c r="CR196" s="459"/>
      <c r="CS196" s="459"/>
      <c r="CT196" s="459"/>
      <c r="CU196" s="459"/>
      <c r="CV196" s="459"/>
      <c r="CW196" s="459"/>
      <c r="CX196" s="459"/>
      <c r="CY196" s="459"/>
      <c r="CZ196" s="459"/>
      <c r="DA196" s="444"/>
      <c r="DB196" s="444"/>
      <c r="DC196" s="444"/>
      <c r="DD196" s="444"/>
      <c r="DE196" s="444"/>
      <c r="DF196" s="444"/>
      <c r="DG196" s="444"/>
      <c r="DH196" s="444"/>
      <c r="DI196" s="444"/>
      <c r="DJ196" s="444"/>
      <c r="DK196" s="444"/>
      <c r="DL196" s="444"/>
      <c r="DM196" s="444"/>
      <c r="DN196" s="444"/>
      <c r="DO196" s="444"/>
      <c r="DP196" s="444"/>
      <c r="DQ196" s="444"/>
      <c r="DR196" s="444"/>
      <c r="DS196" s="444"/>
      <c r="DT196" s="444"/>
      <c r="DU196" s="444"/>
      <c r="DV196" s="444"/>
      <c r="DW196" s="444"/>
      <c r="DX196" s="444"/>
      <c r="DY196" s="444"/>
      <c r="DZ196" s="444"/>
      <c r="EA196" s="444"/>
      <c r="EB196" s="444"/>
      <c r="EC196" s="444"/>
      <c r="ED196" s="444"/>
      <c r="EE196" s="444"/>
      <c r="EF196" s="444"/>
      <c r="EG196" s="444"/>
      <c r="EH196" s="444"/>
      <c r="EI196" s="444"/>
      <c r="EJ196" s="444"/>
      <c r="EK196" s="444"/>
      <c r="EL196" s="444"/>
      <c r="EM196" s="444"/>
      <c r="EN196" s="444"/>
      <c r="EO196" s="444"/>
      <c r="EP196" s="444"/>
      <c r="EQ196" s="444"/>
      <c r="ER196" s="444"/>
      <c r="ES196" s="444"/>
      <c r="ET196" s="444"/>
      <c r="EU196" s="444"/>
      <c r="EV196" s="444"/>
      <c r="EW196" s="444"/>
      <c r="EX196" s="444"/>
      <c r="EY196" s="444"/>
      <c r="EZ196" s="444"/>
      <c r="FA196" s="444"/>
      <c r="FB196" s="444"/>
      <c r="FC196" s="444"/>
      <c r="FD196" s="444"/>
      <c r="FE196" s="444"/>
      <c r="FF196" s="444"/>
      <c r="FG196" s="444"/>
      <c r="FH196" s="444"/>
      <c r="FI196" s="444"/>
      <c r="FJ196" s="444"/>
      <c r="FK196" s="444"/>
      <c r="FL196" s="444"/>
      <c r="FM196" s="444"/>
      <c r="FN196" s="444"/>
      <c r="FO196" s="444"/>
      <c r="FP196" s="444"/>
      <c r="FQ196" s="444"/>
      <c r="FR196" s="444"/>
      <c r="FS196" s="444"/>
      <c r="FT196" s="444"/>
      <c r="FU196" s="444"/>
      <c r="FV196" s="444"/>
      <c r="FW196" s="444"/>
    </row>
    <row r="197" spans="1:179" ht="13.8">
      <c r="A197" s="444"/>
      <c r="B197" s="444"/>
      <c r="C197" s="445" t="s">
        <v>854</v>
      </c>
      <c r="D197" s="444"/>
      <c r="E197" s="444"/>
      <c r="F197" s="444"/>
      <c r="G197" s="444"/>
      <c r="H197" s="444"/>
      <c r="I197" s="444"/>
      <c r="J197" s="444"/>
      <c r="K197" s="444"/>
      <c r="L197" s="444"/>
      <c r="M197" s="444"/>
      <c r="N197" s="444"/>
      <c r="O197" s="444"/>
      <c r="P197" s="444"/>
      <c r="Q197" s="444"/>
      <c r="R197" s="444"/>
      <c r="S197" s="444"/>
      <c r="T197" s="444"/>
      <c r="U197" s="444"/>
      <c r="V197" s="444"/>
      <c r="W197" s="444"/>
      <c r="X197" s="444"/>
      <c r="Y197" s="444"/>
      <c r="Z197" s="444"/>
      <c r="AA197" s="444"/>
      <c r="AB197" s="444"/>
      <c r="AC197" s="444"/>
      <c r="AD197" s="444"/>
      <c r="AE197" s="444"/>
      <c r="AF197" s="444"/>
      <c r="AG197" s="444"/>
      <c r="AH197" s="444"/>
      <c r="AI197" s="444"/>
      <c r="AJ197" s="444"/>
      <c r="AK197" s="444"/>
      <c r="AL197" s="444"/>
      <c r="AM197" s="444"/>
      <c r="AN197" s="444"/>
      <c r="AO197" s="444"/>
      <c r="AP197" s="444"/>
      <c r="AQ197" s="444"/>
      <c r="AR197" s="444"/>
      <c r="AS197" s="444"/>
      <c r="AT197" s="813">
        <f>SUM(AT191:AT196)</f>
        <v>34.599999999999994</v>
      </c>
      <c r="AU197" s="444"/>
      <c r="AV197" s="444">
        <f>SUM(AV191:AV196)</f>
        <v>-69</v>
      </c>
      <c r="AW197" s="813">
        <f>SUM(AW191:AW196)</f>
        <v>194.6</v>
      </c>
      <c r="AX197" s="813">
        <f>SUM(AX191:AX196)</f>
        <v>125.6</v>
      </c>
      <c r="AY197" s="584"/>
      <c r="AZ197" s="444">
        <f>SUM(AZ191:AZ196)</f>
        <v>-16.5</v>
      </c>
      <c r="BA197" s="444">
        <f>SUM(BA191:BA196)</f>
        <v>72.199999999999989</v>
      </c>
      <c r="BB197" s="813">
        <f>SUM(BB191:BB196)</f>
        <v>55.7</v>
      </c>
      <c r="BC197" s="584"/>
      <c r="BD197" s="813">
        <f>SUM(BD191:BD196)</f>
        <v>262.2</v>
      </c>
      <c r="BE197" s="813">
        <f>SUM(BE191:BE196)</f>
        <v>121.8</v>
      </c>
      <c r="BF197" s="813">
        <f>SUM(BF191:BF196)</f>
        <v>402.5</v>
      </c>
      <c r="BG197" s="584"/>
      <c r="BH197" s="813">
        <f>SUM(BH191:BH196)</f>
        <v>156.29999999999998</v>
      </c>
      <c r="BI197" s="813">
        <f>SUM(BI191:BI196)</f>
        <v>35.4</v>
      </c>
      <c r="BJ197" s="813">
        <f>SUM(BJ191:BJ196)</f>
        <v>214.7</v>
      </c>
      <c r="BK197" s="584"/>
      <c r="BL197" s="813">
        <f>SUM(BL191:BL196)</f>
        <v>-29.7</v>
      </c>
      <c r="BM197" s="813">
        <f>SUM(BM191:BM196)</f>
        <v>12.600000000000001</v>
      </c>
      <c r="BN197" s="813">
        <f>SUM(BN191:BN196)</f>
        <v>-10.999999999999995</v>
      </c>
      <c r="BO197" s="584"/>
      <c r="BP197" s="813">
        <f>SUM(BP191:BP196)</f>
        <v>48.900000000000006</v>
      </c>
      <c r="BQ197" s="813">
        <f>SUM(BQ191:BQ196)</f>
        <v>35.399999999999991</v>
      </c>
      <c r="BR197" s="813">
        <f>SUM(BR191:BR196)</f>
        <v>79.7</v>
      </c>
      <c r="BS197" s="584"/>
      <c r="BT197" s="813">
        <f>SUM(BT191:BT196)</f>
        <v>12.6</v>
      </c>
      <c r="BU197" s="813">
        <f>SUM(BU191:BU196)</f>
        <v>0</v>
      </c>
      <c r="BV197" s="813">
        <f>SUM(BV191:BV196)</f>
        <v>12.6</v>
      </c>
      <c r="BW197" s="584"/>
      <c r="BX197" s="813">
        <f>SUM(BX191:BX196)</f>
        <v>0</v>
      </c>
      <c r="BY197" s="813">
        <f>SUM(BY191:BY196)</f>
        <v>190.2</v>
      </c>
      <c r="BZ197" s="813">
        <f>SUM(BZ191:BZ196)</f>
        <v>190.2</v>
      </c>
      <c r="CA197" s="584"/>
      <c r="CB197" s="813">
        <f>SUM(CB191:CB196)</f>
        <v>0</v>
      </c>
      <c r="CC197" s="813">
        <f>SUM(CC191:CC196)</f>
        <v>0</v>
      </c>
      <c r="CD197" s="813">
        <f>SUM(CD191:CD196)</f>
        <v>0</v>
      </c>
      <c r="CE197" s="584"/>
      <c r="CF197" s="813">
        <f>SUM(CF191:CF196)</f>
        <v>0</v>
      </c>
      <c r="CG197" s="813">
        <f>SUM(CG191:CG196)</f>
        <v>0</v>
      </c>
      <c r="CH197" s="813">
        <f>SUM(CH191:CH196)</f>
        <v>0</v>
      </c>
      <c r="CI197" s="584"/>
      <c r="CJ197" s="813">
        <f>SUM(CJ191:CJ196)</f>
        <v>0</v>
      </c>
      <c r="CK197" s="813">
        <f>SUM(CK191:CK196)</f>
        <v>0</v>
      </c>
      <c r="CL197" s="813">
        <f>SUM(CL191:CL196)</f>
        <v>0</v>
      </c>
      <c r="CM197" s="444"/>
      <c r="CN197" s="444"/>
      <c r="CO197" s="459"/>
      <c r="CP197" s="459"/>
      <c r="CQ197" s="459"/>
      <c r="CR197" s="459"/>
      <c r="CS197" s="459"/>
      <c r="CT197" s="459"/>
      <c r="CU197" s="459"/>
      <c r="CV197" s="459"/>
      <c r="CW197" s="459"/>
      <c r="CX197" s="459"/>
      <c r="CY197" s="459"/>
      <c r="CZ197" s="459"/>
      <c r="DA197" s="444"/>
      <c r="DB197" s="444"/>
      <c r="DC197" s="444"/>
      <c r="DD197" s="444"/>
      <c r="DE197" s="444"/>
      <c r="DF197" s="444"/>
      <c r="DG197" s="444"/>
      <c r="DH197" s="444"/>
      <c r="DI197" s="444"/>
      <c r="DJ197" s="444"/>
      <c r="DK197" s="444"/>
      <c r="DL197" s="444"/>
      <c r="DM197" s="444"/>
      <c r="DN197" s="444"/>
      <c r="DO197" s="444"/>
      <c r="DP197" s="444"/>
      <c r="DQ197" s="444"/>
      <c r="DR197" s="444"/>
      <c r="DS197" s="444"/>
      <c r="DT197" s="444"/>
      <c r="DU197" s="444"/>
      <c r="DV197" s="444"/>
      <c r="DW197" s="444"/>
      <c r="DX197" s="444"/>
      <c r="DY197" s="444"/>
      <c r="DZ197" s="444"/>
      <c r="EA197" s="444"/>
      <c r="EB197" s="444"/>
      <c r="EC197" s="444"/>
      <c r="ED197" s="444"/>
      <c r="EE197" s="444"/>
      <c r="EF197" s="444"/>
      <c r="EG197" s="444"/>
      <c r="EH197" s="444"/>
      <c r="EI197" s="444"/>
      <c r="EJ197" s="444"/>
      <c r="EK197" s="444"/>
      <c r="EL197" s="444"/>
      <c r="EM197" s="444"/>
      <c r="EN197" s="444"/>
      <c r="EO197" s="444"/>
      <c r="EP197" s="444"/>
      <c r="EQ197" s="444"/>
      <c r="ER197" s="444"/>
      <c r="ES197" s="444"/>
      <c r="ET197" s="444"/>
      <c r="EU197" s="444"/>
      <c r="EV197" s="444"/>
      <c r="EW197" s="444"/>
      <c r="EX197" s="444"/>
      <c r="EY197" s="444"/>
      <c r="EZ197" s="444"/>
      <c r="FA197" s="444"/>
      <c r="FB197" s="444"/>
      <c r="FC197" s="444"/>
      <c r="FD197" s="444"/>
      <c r="FE197" s="444"/>
      <c r="FF197" s="444"/>
      <c r="FG197" s="444"/>
      <c r="FH197" s="444"/>
      <c r="FI197" s="444"/>
      <c r="FJ197" s="444"/>
      <c r="FK197" s="444"/>
      <c r="FL197" s="444"/>
      <c r="FM197" s="444"/>
      <c r="FN197" s="444"/>
      <c r="FO197" s="444"/>
      <c r="FP197" s="444"/>
      <c r="FQ197" s="444"/>
      <c r="FR197" s="444"/>
      <c r="FS197" s="444"/>
      <c r="FT197" s="444"/>
      <c r="FU197" s="444"/>
      <c r="FV197" s="444"/>
      <c r="FW197" s="444"/>
    </row>
    <row r="198" spans="1:179" ht="13.8">
      <c r="A198" s="444"/>
      <c r="B198" s="444"/>
      <c r="C198" s="584" t="s">
        <v>959</v>
      </c>
      <c r="D198" s="584"/>
      <c r="E198" s="584"/>
      <c r="F198" s="584"/>
      <c r="G198" s="584"/>
      <c r="H198" s="584"/>
      <c r="I198" s="584"/>
      <c r="J198" s="584"/>
      <c r="K198" s="584"/>
      <c r="L198" s="584"/>
      <c r="M198" s="584"/>
      <c r="N198" s="584"/>
      <c r="O198" s="584"/>
      <c r="P198" s="584"/>
      <c r="Q198" s="584"/>
      <c r="R198" s="584"/>
      <c r="S198" s="584"/>
      <c r="T198" s="584"/>
      <c r="U198" s="584"/>
      <c r="V198" s="584"/>
      <c r="W198" s="584"/>
      <c r="X198" s="584"/>
      <c r="Y198" s="584"/>
      <c r="Z198" s="584"/>
      <c r="AA198" s="584"/>
      <c r="AB198" s="584"/>
      <c r="AC198" s="584"/>
      <c r="AD198" s="584"/>
      <c r="AE198" s="584"/>
      <c r="AF198" s="584"/>
      <c r="AG198" s="584"/>
      <c r="AH198" s="584"/>
      <c r="AI198" s="584"/>
      <c r="AJ198" s="584"/>
      <c r="AK198" s="584"/>
      <c r="AL198" s="584"/>
      <c r="AM198" s="584"/>
      <c r="AN198" s="584"/>
      <c r="AO198" s="584"/>
      <c r="AP198" s="584"/>
      <c r="AQ198" s="584"/>
      <c r="AR198" s="584"/>
      <c r="AS198" s="584"/>
      <c r="AT198" s="753">
        <f>+AT190-AT197</f>
        <v>-2875.6</v>
      </c>
      <c r="AU198" s="584"/>
      <c r="AV198" s="876">
        <f t="shared" ref="AV198:BB198" si="166">+AV190-AV197</f>
        <v>-1427</v>
      </c>
      <c r="AW198" s="877">
        <f t="shared" si="166"/>
        <v>-1489.6</v>
      </c>
      <c r="AX198" s="878">
        <f t="shared" si="166"/>
        <v>-2916.6</v>
      </c>
      <c r="AY198" s="758">
        <f t="shared" si="166"/>
        <v>0</v>
      </c>
      <c r="AZ198" s="876">
        <f t="shared" si="166"/>
        <v>-1407.5</v>
      </c>
      <c r="BA198" s="877">
        <f t="shared" si="166"/>
        <v>-1341.2</v>
      </c>
      <c r="BB198" s="753">
        <f t="shared" si="166"/>
        <v>-2748.7</v>
      </c>
      <c r="BC198" s="444"/>
      <c r="BD198" s="753">
        <f>+BD190-BD197</f>
        <v>-1149.2</v>
      </c>
      <c r="BE198" s="753">
        <f>+BE190-BE197</f>
        <v>-1107.8</v>
      </c>
      <c r="BF198" s="753">
        <f>+BF190-BF197</f>
        <v>-2275.5</v>
      </c>
      <c r="BG198" s="444"/>
      <c r="BH198" s="753">
        <f>+BH190-BH197</f>
        <v>-1598.3</v>
      </c>
      <c r="BI198" s="753">
        <f>+BI190-BI197</f>
        <v>-1358.4</v>
      </c>
      <c r="BJ198" s="753">
        <f>+BJ190-BJ197</f>
        <v>-2979.7</v>
      </c>
      <c r="BK198" s="444"/>
      <c r="BL198" s="753">
        <f>+BL190-BL197</f>
        <v>-1298.3</v>
      </c>
      <c r="BM198" s="753">
        <f>+BM190-BM197</f>
        <v>-1369.6</v>
      </c>
      <c r="BN198" s="753">
        <f>+BN190-BN197</f>
        <v>-2674</v>
      </c>
      <c r="BO198" s="444"/>
      <c r="BP198" s="753">
        <f>+BP190-BP197</f>
        <v>-1629.9</v>
      </c>
      <c r="BQ198" s="753">
        <f>+BQ190-BQ197</f>
        <v>-1562.4</v>
      </c>
      <c r="BR198" s="753">
        <f>+BR190-BR197</f>
        <v>-3187.7</v>
      </c>
      <c r="BS198" s="444"/>
      <c r="BT198" s="753">
        <f>+BT190-BT197</f>
        <v>-1522.6</v>
      </c>
      <c r="BU198" s="753">
        <f>+BU190-BU197</f>
        <v>-1427</v>
      </c>
      <c r="BV198" s="753">
        <f>+BV190-BV197</f>
        <v>-2949.6</v>
      </c>
      <c r="BW198" s="444"/>
      <c r="BX198" s="753">
        <f>+BX190-BX197</f>
        <v>-1540</v>
      </c>
      <c r="BY198" s="753">
        <f>+BY190-BY197</f>
        <v>-1441.2</v>
      </c>
      <c r="BZ198" s="753">
        <f>+BZ190-BZ197</f>
        <v>-2981.2</v>
      </c>
      <c r="CA198" s="444"/>
      <c r="CB198" s="753">
        <f ca="1">+CB190-CB197</f>
        <v>-1577.245847282293</v>
      </c>
      <c r="CC198" s="753">
        <f ca="1">+CC190-CC197</f>
        <v>-1629.4408793469324</v>
      </c>
      <c r="CD198" s="753">
        <f ca="1">+CD190-CD197</f>
        <v>-3206.6867266292256</v>
      </c>
      <c r="CE198" s="444"/>
      <c r="CF198" s="753">
        <f ca="1">+CF190-CF197</f>
        <v>-1693.8918121729657</v>
      </c>
      <c r="CG198" s="753">
        <f ca="1">+CG190-CG197</f>
        <v>-1699.729900806019</v>
      </c>
      <c r="CH198" s="753">
        <f ca="1">+CH190-CH197</f>
        <v>-3393.6217129789848</v>
      </c>
      <c r="CI198" s="444"/>
      <c r="CJ198" s="753">
        <f ca="1">+CJ190-CJ197</f>
        <v>-1769.4826257272898</v>
      </c>
      <c r="CK198" s="753">
        <f ca="1">+CK190-CK197</f>
        <v>-1835.2349647719377</v>
      </c>
      <c r="CL198" s="753">
        <f ca="1">+CL190-CL197</f>
        <v>-3604.7175904992273</v>
      </c>
      <c r="CM198" s="444"/>
      <c r="CN198" s="444"/>
      <c r="CO198" s="459"/>
      <c r="CP198" s="459"/>
      <c r="CQ198" s="459"/>
      <c r="CR198" s="459"/>
      <c r="CS198" s="459"/>
      <c r="CT198" s="459"/>
      <c r="CU198" s="459"/>
      <c r="CV198" s="459"/>
      <c r="CW198" s="459"/>
      <c r="CX198" s="459"/>
      <c r="CY198" s="459"/>
      <c r="CZ198" s="459"/>
      <c r="DA198" s="444"/>
      <c r="DB198" s="444"/>
      <c r="DC198" s="444"/>
      <c r="DD198" s="444"/>
      <c r="DE198" s="444"/>
      <c r="DF198" s="444"/>
      <c r="DG198" s="444"/>
      <c r="DH198" s="444"/>
      <c r="DI198" s="444"/>
      <c r="DJ198" s="444"/>
      <c r="DK198" s="444"/>
      <c r="DL198" s="444"/>
      <c r="DM198" s="444"/>
      <c r="DN198" s="444"/>
      <c r="DO198" s="444"/>
      <c r="DP198" s="444"/>
      <c r="DQ198" s="444"/>
      <c r="DR198" s="444"/>
      <c r="DS198" s="444"/>
      <c r="DT198" s="444"/>
      <c r="DU198" s="444"/>
      <c r="DV198" s="444"/>
      <c r="DW198" s="444"/>
      <c r="DX198" s="444"/>
      <c r="DY198" s="444"/>
      <c r="DZ198" s="444"/>
      <c r="EA198" s="444"/>
      <c r="EB198" s="444"/>
      <c r="EC198" s="444"/>
      <c r="ED198" s="444"/>
      <c r="EE198" s="444"/>
      <c r="EF198" s="444"/>
      <c r="EG198" s="444"/>
      <c r="EH198" s="444"/>
      <c r="EI198" s="444"/>
      <c r="EJ198" s="444"/>
      <c r="EK198" s="444"/>
      <c r="EL198" s="444"/>
      <c r="EM198" s="444"/>
      <c r="EN198" s="444"/>
      <c r="EO198" s="444"/>
      <c r="EP198" s="444"/>
      <c r="EQ198" s="444"/>
      <c r="ER198" s="444"/>
      <c r="ES198" s="444"/>
      <c r="ET198" s="444"/>
      <c r="EU198" s="444"/>
      <c r="EV198" s="444"/>
      <c r="EW198" s="444"/>
      <c r="EX198" s="444"/>
      <c r="EY198" s="444"/>
      <c r="EZ198" s="444"/>
      <c r="FA198" s="444"/>
      <c r="FB198" s="444"/>
      <c r="FC198" s="444"/>
      <c r="FD198" s="444"/>
      <c r="FE198" s="444"/>
      <c r="FF198" s="444"/>
      <c r="FG198" s="444"/>
      <c r="FH198" s="444"/>
      <c r="FI198" s="444"/>
      <c r="FJ198" s="444"/>
      <c r="FK198" s="444"/>
      <c r="FL198" s="444"/>
      <c r="FM198" s="444"/>
      <c r="FN198" s="444"/>
      <c r="FO198" s="444"/>
      <c r="FP198" s="444"/>
      <c r="FQ198" s="444"/>
      <c r="FR198" s="444"/>
      <c r="FS198" s="444"/>
      <c r="FT198" s="444"/>
      <c r="FU198" s="444"/>
      <c r="FV198" s="444"/>
      <c r="FW198" s="444"/>
    </row>
    <row r="199" spans="1:179" ht="13.8">
      <c r="A199" s="444"/>
      <c r="B199" s="444"/>
      <c r="C199" s="444"/>
      <c r="D199" s="444"/>
      <c r="E199" s="444"/>
      <c r="F199" s="444"/>
      <c r="G199" s="444"/>
      <c r="H199" s="444"/>
      <c r="I199" s="444"/>
      <c r="J199" s="444"/>
      <c r="K199" s="444"/>
      <c r="L199" s="444"/>
      <c r="M199" s="444"/>
      <c r="N199" s="444"/>
      <c r="O199" s="444"/>
      <c r="P199" s="444"/>
      <c r="Q199" s="444"/>
      <c r="R199" s="444"/>
      <c r="S199" s="444"/>
      <c r="T199" s="444"/>
      <c r="U199" s="444"/>
      <c r="V199" s="444"/>
      <c r="W199" s="444"/>
      <c r="X199" s="444"/>
      <c r="Y199" s="444"/>
      <c r="Z199" s="444"/>
      <c r="AA199" s="444"/>
      <c r="AB199" s="444"/>
      <c r="AC199" s="444"/>
      <c r="AD199" s="444"/>
      <c r="AE199" s="444"/>
      <c r="AF199" s="444"/>
      <c r="AG199" s="444"/>
      <c r="AH199" s="444"/>
      <c r="AI199" s="444"/>
      <c r="AJ199" s="444"/>
      <c r="AK199" s="444"/>
      <c r="AL199" s="444"/>
      <c r="AM199" s="444"/>
      <c r="AN199" s="444"/>
      <c r="AO199" s="444"/>
      <c r="AP199" s="444"/>
      <c r="AQ199" s="444"/>
      <c r="AR199" s="444"/>
      <c r="AS199" s="444"/>
      <c r="AT199" s="444"/>
      <c r="AU199" s="444"/>
      <c r="AV199" s="868"/>
      <c r="AW199" s="868"/>
      <c r="AX199" s="444"/>
      <c r="AY199" s="444"/>
      <c r="AZ199" s="444"/>
      <c r="BA199" s="444"/>
      <c r="BB199" s="444"/>
      <c r="BC199" s="444"/>
      <c r="BD199" s="444"/>
      <c r="BE199" s="444"/>
      <c r="BF199" s="444"/>
      <c r="BG199" s="444"/>
      <c r="BH199" s="444"/>
      <c r="BI199" s="444"/>
      <c r="BJ199" s="444"/>
      <c r="BK199" s="444"/>
      <c r="BL199" s="444"/>
      <c r="BM199" s="444"/>
      <c r="BN199" s="444"/>
      <c r="BO199" s="444"/>
      <c r="BP199" s="444"/>
      <c r="BQ199" s="444"/>
      <c r="BR199" s="444"/>
      <c r="BS199" s="444"/>
      <c r="BT199" s="444"/>
      <c r="BU199" s="444"/>
      <c r="BV199" s="444"/>
      <c r="BW199" s="444"/>
      <c r="BX199" s="444"/>
      <c r="BY199" s="444"/>
      <c r="BZ199" s="444"/>
      <c r="CA199" s="444"/>
      <c r="CB199" s="444"/>
      <c r="CC199" s="444"/>
      <c r="CD199" s="444"/>
      <c r="CE199" s="444"/>
      <c r="CF199" s="444"/>
      <c r="CG199" s="444"/>
      <c r="CH199" s="444"/>
      <c r="CI199" s="444"/>
      <c r="CJ199" s="444"/>
      <c r="CK199" s="444"/>
      <c r="CL199" s="444"/>
      <c r="CM199" s="444"/>
      <c r="CN199" s="444"/>
      <c r="CO199" s="459"/>
      <c r="CP199" s="459"/>
      <c r="CQ199" s="459"/>
      <c r="CR199" s="459"/>
      <c r="CS199" s="459"/>
      <c r="CT199" s="459"/>
      <c r="CU199" s="459"/>
      <c r="CV199" s="459"/>
      <c r="CW199" s="459"/>
      <c r="CX199" s="459"/>
      <c r="CY199" s="459"/>
      <c r="CZ199" s="459"/>
      <c r="DA199" s="444"/>
      <c r="DB199" s="444"/>
      <c r="DC199" s="444"/>
      <c r="DD199" s="444"/>
      <c r="DE199" s="444"/>
      <c r="DF199" s="444"/>
      <c r="DG199" s="444"/>
      <c r="DH199" s="444"/>
      <c r="DI199" s="444"/>
      <c r="DJ199" s="444"/>
      <c r="DK199" s="444"/>
      <c r="DL199" s="444"/>
      <c r="DM199" s="444"/>
      <c r="DN199" s="444"/>
      <c r="DO199" s="444"/>
      <c r="DP199" s="444"/>
      <c r="DQ199" s="444"/>
      <c r="DR199" s="444"/>
      <c r="DS199" s="444"/>
      <c r="DT199" s="444"/>
      <c r="DU199" s="444"/>
      <c r="DV199" s="444"/>
      <c r="DW199" s="444"/>
      <c r="DX199" s="444"/>
      <c r="DY199" s="444"/>
      <c r="DZ199" s="444"/>
      <c r="EA199" s="444"/>
      <c r="EB199" s="444"/>
      <c r="EC199" s="444"/>
      <c r="ED199" s="444"/>
      <c r="EE199" s="444"/>
      <c r="EF199" s="444"/>
      <c r="EG199" s="444"/>
      <c r="EH199" s="444"/>
      <c r="EI199" s="444"/>
      <c r="EJ199" s="444"/>
      <c r="EK199" s="444"/>
      <c r="EL199" s="444"/>
      <c r="EM199" s="444"/>
      <c r="EN199" s="444"/>
      <c r="EO199" s="444"/>
      <c r="EP199" s="444"/>
      <c r="EQ199" s="444"/>
      <c r="ER199" s="444"/>
      <c r="ES199" s="444"/>
      <c r="ET199" s="444"/>
      <c r="EU199" s="444"/>
      <c r="EV199" s="444"/>
      <c r="EW199" s="444"/>
      <c r="EX199" s="444"/>
      <c r="EY199" s="444"/>
      <c r="EZ199" s="444"/>
      <c r="FA199" s="444"/>
      <c r="FB199" s="444"/>
      <c r="FC199" s="444"/>
      <c r="FD199" s="444"/>
      <c r="FE199" s="444"/>
      <c r="FF199" s="444"/>
      <c r="FG199" s="444"/>
      <c r="FH199" s="444"/>
      <c r="FI199" s="444"/>
      <c r="FJ199" s="444"/>
      <c r="FK199" s="444"/>
      <c r="FL199" s="444"/>
      <c r="FM199" s="444"/>
      <c r="FN199" s="444"/>
      <c r="FO199" s="444"/>
      <c r="FP199" s="444"/>
      <c r="FQ199" s="444"/>
      <c r="FR199" s="444"/>
      <c r="FS199" s="444"/>
      <c r="FT199" s="444"/>
      <c r="FU199" s="444"/>
      <c r="FV199" s="444"/>
      <c r="FW199" s="444"/>
    </row>
    <row r="200" spans="1:179" ht="13.8">
      <c r="A200" s="444"/>
      <c r="B200" s="444"/>
      <c r="C200" s="444"/>
      <c r="D200" s="444"/>
      <c r="E200" s="444"/>
      <c r="F200" s="444"/>
      <c r="G200" s="444"/>
      <c r="H200" s="444"/>
      <c r="I200" s="444"/>
      <c r="J200" s="444"/>
      <c r="K200" s="444"/>
      <c r="L200" s="444"/>
      <c r="M200" s="444"/>
      <c r="N200" s="444"/>
      <c r="O200" s="444"/>
      <c r="P200" s="444"/>
      <c r="Q200" s="444"/>
      <c r="R200" s="444"/>
      <c r="S200" s="444"/>
      <c r="T200" s="444"/>
      <c r="U200" s="444"/>
      <c r="V200" s="444"/>
      <c r="W200" s="444"/>
      <c r="X200" s="444"/>
      <c r="Y200" s="444"/>
      <c r="Z200" s="444"/>
      <c r="AA200" s="444"/>
      <c r="AB200" s="444"/>
      <c r="AC200" s="444"/>
      <c r="AD200" s="444"/>
      <c r="AE200" s="444"/>
      <c r="AF200" s="444"/>
      <c r="AG200" s="444"/>
      <c r="AH200" s="444"/>
      <c r="AI200" s="444"/>
      <c r="AJ200" s="444"/>
      <c r="AK200" s="444"/>
      <c r="AL200" s="444"/>
      <c r="AM200" s="444"/>
      <c r="AN200" s="444"/>
      <c r="AO200" s="444"/>
      <c r="AP200" s="444"/>
      <c r="AQ200" s="444"/>
      <c r="AR200" s="444"/>
      <c r="AS200" s="444"/>
      <c r="AT200" s="444"/>
      <c r="AU200" s="444"/>
      <c r="AV200" s="868"/>
      <c r="AW200" s="868"/>
      <c r="AX200" s="444"/>
      <c r="AY200" s="444"/>
      <c r="AZ200" s="444"/>
      <c r="BA200" s="444"/>
      <c r="BB200" s="444"/>
      <c r="BC200" s="444"/>
      <c r="BD200" s="444"/>
      <c r="BE200" s="444"/>
      <c r="BF200" s="444"/>
      <c r="BG200" s="444"/>
      <c r="BH200" s="444"/>
      <c r="BI200" s="444"/>
      <c r="BJ200" s="444"/>
      <c r="BK200" s="444"/>
      <c r="BL200" s="444"/>
      <c r="BM200" s="444"/>
      <c r="BN200" s="444"/>
      <c r="BO200" s="444"/>
      <c r="BP200" s="444"/>
      <c r="BQ200" s="444"/>
      <c r="BR200" s="444"/>
      <c r="BS200" s="444"/>
      <c r="BT200" s="444"/>
      <c r="BU200" s="444"/>
      <c r="BV200" s="444"/>
      <c r="BW200" s="444"/>
      <c r="BX200" s="444"/>
      <c r="BY200" s="444"/>
      <c r="BZ200" s="444"/>
      <c r="CA200" s="444"/>
      <c r="CB200" s="444"/>
      <c r="CC200" s="444"/>
      <c r="CD200" s="444"/>
      <c r="CE200" s="444"/>
      <c r="CF200" s="444"/>
      <c r="CG200" s="444"/>
      <c r="CH200" s="444"/>
      <c r="CI200" s="444"/>
      <c r="CJ200" s="444"/>
      <c r="CK200" s="444"/>
      <c r="CL200" s="444"/>
      <c r="CM200" s="444"/>
      <c r="CN200" s="444"/>
      <c r="CO200" s="459"/>
      <c r="CP200" s="459"/>
      <c r="CQ200" s="459"/>
      <c r="CR200" s="459"/>
      <c r="CS200" s="459"/>
      <c r="CT200" s="459"/>
      <c r="CU200" s="459"/>
      <c r="CV200" s="459"/>
      <c r="CW200" s="459"/>
      <c r="CX200" s="459"/>
      <c r="CY200" s="459"/>
      <c r="CZ200" s="459"/>
      <c r="DA200" s="444"/>
      <c r="DB200" s="444"/>
      <c r="DC200" s="444"/>
      <c r="DD200" s="444"/>
      <c r="DE200" s="444"/>
      <c r="DF200" s="444"/>
      <c r="DG200" s="444"/>
      <c r="DH200" s="444"/>
      <c r="DI200" s="444"/>
      <c r="DJ200" s="444"/>
      <c r="DK200" s="444"/>
      <c r="DL200" s="444"/>
      <c r="DM200" s="444"/>
      <c r="DN200" s="444"/>
      <c r="DO200" s="444"/>
      <c r="DP200" s="444"/>
      <c r="DQ200" s="444"/>
      <c r="DR200" s="444"/>
      <c r="DS200" s="444"/>
      <c r="DT200" s="444"/>
      <c r="DU200" s="444"/>
      <c r="DV200" s="444"/>
      <c r="DW200" s="444"/>
      <c r="DX200" s="444"/>
      <c r="DY200" s="444"/>
      <c r="DZ200" s="444"/>
      <c r="EA200" s="444"/>
      <c r="EB200" s="444"/>
      <c r="EC200" s="444"/>
      <c r="ED200" s="444"/>
      <c r="EE200" s="444"/>
      <c r="EF200" s="444"/>
      <c r="EG200" s="444"/>
      <c r="EH200" s="444"/>
      <c r="EI200" s="444"/>
      <c r="EJ200" s="444"/>
      <c r="EK200" s="444"/>
      <c r="EL200" s="444"/>
      <c r="EM200" s="444"/>
      <c r="EN200" s="444"/>
      <c r="EO200" s="444"/>
      <c r="EP200" s="444"/>
      <c r="EQ200" s="444"/>
      <c r="ER200" s="444"/>
      <c r="ES200" s="444"/>
      <c r="ET200" s="444"/>
      <c r="EU200" s="444"/>
      <c r="EV200" s="444"/>
      <c r="EW200" s="444"/>
      <c r="EX200" s="444"/>
      <c r="EY200" s="444"/>
      <c r="EZ200" s="444"/>
      <c r="FA200" s="444"/>
      <c r="FB200" s="444"/>
      <c r="FC200" s="444"/>
      <c r="FD200" s="444"/>
      <c r="FE200" s="444"/>
      <c r="FF200" s="444"/>
      <c r="FG200" s="444"/>
      <c r="FH200" s="444"/>
      <c r="FI200" s="444"/>
      <c r="FJ200" s="444"/>
      <c r="FK200" s="444"/>
      <c r="FL200" s="444"/>
      <c r="FM200" s="444"/>
      <c r="FN200" s="444"/>
      <c r="FO200" s="444"/>
      <c r="FP200" s="444"/>
      <c r="FQ200" s="444"/>
      <c r="FR200" s="444"/>
      <c r="FS200" s="444"/>
      <c r="FT200" s="444"/>
      <c r="FU200" s="444"/>
      <c r="FV200" s="444"/>
      <c r="FW200" s="444"/>
    </row>
    <row r="201" spans="1:179" ht="13.8">
      <c r="A201" s="444"/>
      <c r="B201" s="444"/>
      <c r="C201" s="626" t="s">
        <v>938</v>
      </c>
      <c r="D201" s="628"/>
      <c r="E201" s="628"/>
      <c r="F201" s="628"/>
      <c r="G201" s="628"/>
      <c r="H201" s="628"/>
      <c r="I201" s="628"/>
      <c r="J201" s="628"/>
      <c r="K201" s="628"/>
      <c r="L201" s="628"/>
      <c r="M201" s="628"/>
      <c r="N201" s="628"/>
      <c r="O201" s="628"/>
      <c r="P201" s="628"/>
      <c r="Q201" s="628"/>
      <c r="R201" s="628"/>
      <c r="S201" s="628"/>
      <c r="T201" s="628"/>
      <c r="U201" s="628"/>
      <c r="V201" s="628"/>
      <c r="W201" s="628"/>
      <c r="X201" s="628"/>
      <c r="Y201" s="628"/>
      <c r="Z201" s="628"/>
      <c r="AA201" s="628"/>
      <c r="AB201" s="628"/>
      <c r="AC201" s="628"/>
      <c r="AD201" s="628"/>
      <c r="AE201" s="628"/>
      <c r="AF201" s="628"/>
      <c r="AG201" s="628"/>
      <c r="AH201" s="628"/>
      <c r="AI201" s="628"/>
      <c r="AJ201" s="628"/>
      <c r="AK201" s="628"/>
      <c r="AL201" s="628"/>
      <c r="AM201" s="628"/>
      <c r="AN201" s="628"/>
      <c r="AO201" s="628"/>
      <c r="AP201" s="628"/>
      <c r="AQ201" s="628"/>
      <c r="AR201" s="628"/>
      <c r="AS201" s="628"/>
      <c r="AT201" s="628"/>
      <c r="AU201" s="628"/>
      <c r="AV201" s="897"/>
      <c r="AW201" s="897"/>
      <c r="AX201" s="628"/>
      <c r="AY201" s="628"/>
      <c r="AZ201" s="628"/>
      <c r="BA201" s="628"/>
      <c r="BB201" s="628"/>
      <c r="BC201" s="628"/>
      <c r="BD201" s="628"/>
      <c r="BE201" s="628"/>
      <c r="BF201" s="628"/>
      <c r="BG201" s="628"/>
      <c r="BH201" s="628"/>
      <c r="BI201" s="628"/>
      <c r="BJ201" s="628"/>
      <c r="BK201" s="628"/>
      <c r="BL201" s="628"/>
      <c r="BM201" s="628"/>
      <c r="BN201" s="628"/>
      <c r="BO201" s="628"/>
      <c r="BP201" s="628"/>
      <c r="BQ201" s="628"/>
      <c r="BR201" s="628"/>
      <c r="BS201" s="628"/>
      <c r="BT201" s="628"/>
      <c r="BU201" s="628"/>
      <c r="BV201" s="628"/>
      <c r="BW201" s="628"/>
      <c r="BX201" s="628"/>
      <c r="BY201" s="628"/>
      <c r="BZ201" s="628"/>
      <c r="CA201" s="628"/>
      <c r="CB201" s="628"/>
      <c r="CC201" s="628"/>
      <c r="CD201" s="628"/>
      <c r="CE201" s="628"/>
      <c r="CF201" s="628"/>
      <c r="CG201" s="628"/>
      <c r="CH201" s="628"/>
      <c r="CI201" s="628"/>
      <c r="CJ201" s="628"/>
      <c r="CK201" s="628"/>
      <c r="CL201" s="628"/>
      <c r="CM201" s="444"/>
      <c r="CN201" s="444"/>
      <c r="CO201" s="459"/>
      <c r="CP201" s="459"/>
      <c r="CQ201" s="459"/>
      <c r="CR201" s="459"/>
      <c r="CS201" s="459"/>
      <c r="CT201" s="459"/>
      <c r="CU201" s="459"/>
      <c r="CV201" s="459"/>
      <c r="CW201" s="459"/>
      <c r="CX201" s="459"/>
      <c r="CY201" s="459"/>
      <c r="CZ201" s="459"/>
      <c r="DA201" s="444"/>
      <c r="DB201" s="444"/>
      <c r="DC201" s="444"/>
      <c r="DD201" s="444"/>
      <c r="DE201" s="444"/>
      <c r="DF201" s="444"/>
      <c r="DG201" s="444"/>
      <c r="DH201" s="444"/>
      <c r="DI201" s="444"/>
      <c r="DJ201" s="444"/>
      <c r="DK201" s="444"/>
      <c r="DL201" s="444"/>
      <c r="DM201" s="444"/>
      <c r="DN201" s="444"/>
      <c r="DO201" s="444"/>
      <c r="DP201" s="444"/>
      <c r="DQ201" s="444"/>
      <c r="DR201" s="444"/>
      <c r="DS201" s="444"/>
      <c r="DT201" s="444"/>
      <c r="DU201" s="444"/>
      <c r="DV201" s="444"/>
      <c r="DW201" s="444"/>
      <c r="DX201" s="444"/>
      <c r="DY201" s="444"/>
      <c r="DZ201" s="444"/>
      <c r="EA201" s="444"/>
      <c r="EB201" s="444"/>
      <c r="EC201" s="444"/>
      <c r="ED201" s="444"/>
      <c r="EE201" s="444"/>
      <c r="EF201" s="444"/>
      <c r="EG201" s="444"/>
      <c r="EH201" s="444"/>
      <c r="EI201" s="444"/>
      <c r="EJ201" s="444"/>
      <c r="EK201" s="444"/>
      <c r="EL201" s="444"/>
      <c r="EM201" s="444"/>
      <c r="EN201" s="444"/>
      <c r="EO201" s="444"/>
      <c r="EP201" s="444"/>
      <c r="EQ201" s="444"/>
      <c r="ER201" s="444"/>
      <c r="ES201" s="444"/>
      <c r="ET201" s="444"/>
      <c r="EU201" s="444"/>
      <c r="EV201" s="444"/>
      <c r="EW201" s="444"/>
      <c r="EX201" s="444"/>
      <c r="EY201" s="444"/>
      <c r="EZ201" s="444"/>
      <c r="FA201" s="444"/>
      <c r="FB201" s="444"/>
      <c r="FC201" s="444"/>
      <c r="FD201" s="444"/>
      <c r="FE201" s="444"/>
      <c r="FF201" s="444"/>
      <c r="FG201" s="444"/>
      <c r="FH201" s="444"/>
      <c r="FI201" s="444"/>
      <c r="FJ201" s="444"/>
      <c r="FK201" s="444"/>
      <c r="FL201" s="444"/>
      <c r="FM201" s="444"/>
      <c r="FN201" s="444"/>
      <c r="FO201" s="444"/>
      <c r="FP201" s="444"/>
      <c r="FQ201" s="444"/>
      <c r="FR201" s="444"/>
      <c r="FS201" s="444"/>
      <c r="FT201" s="444"/>
      <c r="FU201" s="444"/>
      <c r="FV201" s="444"/>
      <c r="FW201" s="444"/>
    </row>
    <row r="202" spans="1:179" ht="13.8">
      <c r="A202" s="444"/>
      <c r="B202" s="444"/>
      <c r="C202" s="444" t="s">
        <v>527</v>
      </c>
      <c r="D202" s="444"/>
      <c r="E202" s="444"/>
      <c r="F202" s="444"/>
      <c r="G202" s="444"/>
      <c r="H202" s="444"/>
      <c r="I202" s="444"/>
      <c r="J202" s="444"/>
      <c r="K202" s="444"/>
      <c r="L202" s="444"/>
      <c r="M202" s="444"/>
      <c r="N202" s="444"/>
      <c r="O202" s="444"/>
      <c r="P202" s="444"/>
      <c r="Q202" s="444"/>
      <c r="R202" s="444"/>
      <c r="S202" s="444"/>
      <c r="T202" s="444"/>
      <c r="U202" s="444"/>
      <c r="V202" s="444"/>
      <c r="W202" s="444"/>
      <c r="X202" s="444"/>
      <c r="Y202" s="444"/>
      <c r="Z202" s="444"/>
      <c r="AA202" s="444"/>
      <c r="AB202" s="444"/>
      <c r="AC202" s="444"/>
      <c r="AD202" s="444"/>
      <c r="AE202" s="444"/>
      <c r="AF202" s="444"/>
      <c r="AG202" s="444"/>
      <c r="AH202" s="444"/>
      <c r="AI202" s="444"/>
      <c r="AJ202" s="444"/>
      <c r="AK202" s="444"/>
      <c r="AL202" s="444"/>
      <c r="AM202" s="444"/>
      <c r="AN202" s="444"/>
      <c r="AO202" s="444"/>
      <c r="AP202" s="444"/>
      <c r="AQ202" s="444"/>
      <c r="AR202" s="444"/>
      <c r="AS202" s="444"/>
      <c r="AT202" s="758">
        <f>AT139</f>
        <v>19319</v>
      </c>
      <c r="AU202" s="444"/>
      <c r="AV202" s="758">
        <f>AV139</f>
        <v>9464</v>
      </c>
      <c r="AW202" s="758">
        <f>AW139</f>
        <v>9516</v>
      </c>
      <c r="AX202" s="758">
        <f>AX139</f>
        <v>18980</v>
      </c>
      <c r="AY202" s="444"/>
      <c r="AZ202" s="758">
        <f>AZ139</f>
        <v>9508</v>
      </c>
      <c r="BA202" s="758">
        <f>BA139</f>
        <v>9378</v>
      </c>
      <c r="BB202" s="758">
        <f>BB139</f>
        <v>18886</v>
      </c>
      <c r="BC202" s="444"/>
      <c r="BD202" s="758">
        <f>BD139</f>
        <v>9376</v>
      </c>
      <c r="BE202" s="758">
        <f>BE139</f>
        <v>9267</v>
      </c>
      <c r="BF202" s="758">
        <f>BF139</f>
        <v>18643</v>
      </c>
      <c r="BG202" s="444"/>
      <c r="BH202" s="758">
        <f>BH139</f>
        <v>8735</v>
      </c>
      <c r="BI202" s="758">
        <f>BI139</f>
        <v>9092</v>
      </c>
      <c r="BJ202" s="758">
        <f>BJ139</f>
        <v>17827</v>
      </c>
      <c r="BK202" s="444"/>
      <c r="BL202" s="758">
        <f>BL139</f>
        <v>8679</v>
      </c>
      <c r="BM202" s="758">
        <f>BM139</f>
        <v>9581</v>
      </c>
      <c r="BN202" s="758">
        <f>BN139</f>
        <v>18260</v>
      </c>
      <c r="BO202" s="444"/>
      <c r="BP202" s="758">
        <f>BP139</f>
        <v>10600</v>
      </c>
      <c r="BQ202" s="758">
        <f>BQ139</f>
        <v>10330</v>
      </c>
      <c r="BR202" s="758">
        <f>BR139</f>
        <v>20930</v>
      </c>
      <c r="BS202" s="444"/>
      <c r="BT202" s="758">
        <f>BT139</f>
        <v>10368</v>
      </c>
      <c r="BU202" s="758">
        <f>BU139</f>
        <v>10462</v>
      </c>
      <c r="BV202" s="758">
        <f>BV139</f>
        <v>20830</v>
      </c>
      <c r="BW202" s="444"/>
      <c r="BX202" s="758">
        <f>BX139</f>
        <v>10995</v>
      </c>
      <c r="BY202" s="758">
        <f>BY139</f>
        <v>11189</v>
      </c>
      <c r="BZ202" s="758">
        <f>BZ139</f>
        <v>22184</v>
      </c>
      <c r="CA202" s="444"/>
      <c r="CB202" s="758">
        <f ca="1">CB139</f>
        <v>11288.984147560002</v>
      </c>
      <c r="CC202" s="758">
        <f ca="1">CC139</f>
        <v>11374.515751326247</v>
      </c>
      <c r="CD202" s="758">
        <f ca="1">CD139</f>
        <v>22663.49989888625</v>
      </c>
      <c r="CE202" s="444"/>
      <c r="CF202" s="758">
        <f ca="1">CF139</f>
        <v>11626.422084593729</v>
      </c>
      <c r="CG202" s="758">
        <f ca="1">CG139</f>
        <v>11798.408556718041</v>
      </c>
      <c r="CH202" s="758">
        <f ca="1">CH139</f>
        <v>23424.830641311768</v>
      </c>
      <c r="CI202" s="444"/>
      <c r="CJ202" s="758">
        <f ca="1">CJ139</f>
        <v>12079.634094440933</v>
      </c>
      <c r="CK202" s="758">
        <f ca="1">CK139</f>
        <v>12244.903307413953</v>
      </c>
      <c r="CL202" s="758">
        <f ca="1">CL139</f>
        <v>24324.537401854886</v>
      </c>
      <c r="CM202" s="444"/>
      <c r="CN202" s="444"/>
      <c r="CO202" s="459"/>
      <c r="CP202" s="459"/>
      <c r="CQ202" s="459"/>
      <c r="CR202" s="459"/>
      <c r="CS202" s="459"/>
      <c r="CT202" s="459"/>
      <c r="CU202" s="459"/>
      <c r="CV202" s="459"/>
      <c r="CW202" s="459"/>
      <c r="CX202" s="459"/>
      <c r="CY202" s="459"/>
      <c r="CZ202" s="459"/>
      <c r="DA202" s="444"/>
      <c r="DB202" s="444"/>
      <c r="DC202" s="444"/>
      <c r="DD202" s="444"/>
      <c r="DE202" s="444"/>
      <c r="DF202" s="444"/>
      <c r="DG202" s="444"/>
      <c r="DH202" s="444"/>
      <c r="DI202" s="444"/>
      <c r="DJ202" s="444"/>
      <c r="DK202" s="444"/>
      <c r="DL202" s="444"/>
      <c r="DM202" s="444"/>
      <c r="DN202" s="444"/>
      <c r="DO202" s="444"/>
      <c r="DP202" s="444"/>
      <c r="DQ202" s="444"/>
      <c r="DR202" s="444"/>
      <c r="DS202" s="444"/>
      <c r="DT202" s="444"/>
      <c r="DU202" s="444"/>
      <c r="DV202" s="444"/>
      <c r="DW202" s="444"/>
      <c r="DX202" s="444"/>
      <c r="DY202" s="444"/>
      <c r="DZ202" s="444"/>
      <c r="EA202" s="444"/>
      <c r="EB202" s="444"/>
      <c r="EC202" s="444"/>
      <c r="ED202" s="444"/>
      <c r="EE202" s="444"/>
      <c r="EF202" s="444"/>
      <c r="EG202" s="444"/>
      <c r="EH202" s="444"/>
      <c r="EI202" s="444"/>
      <c r="EJ202" s="444"/>
      <c r="EK202" s="444"/>
      <c r="EL202" s="444"/>
      <c r="EM202" s="444"/>
      <c r="EN202" s="444"/>
      <c r="EO202" s="444"/>
      <c r="EP202" s="444"/>
      <c r="EQ202" s="444"/>
      <c r="ER202" s="444"/>
      <c r="ES202" s="444"/>
      <c r="ET202" s="444"/>
      <c r="EU202" s="444"/>
      <c r="EV202" s="444"/>
      <c r="EW202" s="444"/>
      <c r="EX202" s="444"/>
      <c r="EY202" s="444"/>
      <c r="EZ202" s="444"/>
      <c r="FA202" s="444"/>
      <c r="FB202" s="444"/>
      <c r="FC202" s="444"/>
      <c r="FD202" s="444"/>
      <c r="FE202" s="444"/>
      <c r="FF202" s="444"/>
      <c r="FG202" s="444"/>
      <c r="FH202" s="444"/>
      <c r="FI202" s="444"/>
      <c r="FJ202" s="444"/>
      <c r="FK202" s="444"/>
      <c r="FL202" s="444"/>
      <c r="FM202" s="444"/>
      <c r="FN202" s="444"/>
      <c r="FO202" s="444"/>
      <c r="FP202" s="444"/>
      <c r="FQ202" s="444"/>
      <c r="FR202" s="444"/>
      <c r="FS202" s="444"/>
      <c r="FT202" s="444"/>
      <c r="FU202" s="444"/>
      <c r="FV202" s="444"/>
      <c r="FW202" s="444"/>
    </row>
    <row r="203" spans="1:179" ht="13.8">
      <c r="A203" s="444"/>
      <c r="B203" s="444"/>
      <c r="C203" s="444" t="s">
        <v>238</v>
      </c>
      <c r="D203" s="444"/>
      <c r="E203" s="444"/>
      <c r="F203" s="444"/>
      <c r="G203" s="444"/>
      <c r="H203" s="444"/>
      <c r="I203" s="444"/>
      <c r="J203" s="444"/>
      <c r="K203" s="444"/>
      <c r="L203" s="444"/>
      <c r="M203" s="444"/>
      <c r="N203" s="444"/>
      <c r="O203" s="444"/>
      <c r="P203" s="444"/>
      <c r="Q203" s="444"/>
      <c r="R203" s="444"/>
      <c r="S203" s="444"/>
      <c r="T203" s="444"/>
      <c r="U203" s="444"/>
      <c r="V203" s="444"/>
      <c r="W203" s="444"/>
      <c r="X203" s="444"/>
      <c r="Y203" s="444"/>
      <c r="Z203" s="444"/>
      <c r="AA203" s="444"/>
      <c r="AB203" s="444"/>
      <c r="AC203" s="444"/>
      <c r="AD203" s="444"/>
      <c r="AE203" s="444"/>
      <c r="AF203" s="444"/>
      <c r="AG203" s="444"/>
      <c r="AH203" s="444"/>
      <c r="AI203" s="444"/>
      <c r="AJ203" s="444"/>
      <c r="AK203" s="444"/>
      <c r="AL203" s="444"/>
      <c r="AM203" s="444"/>
      <c r="AN203" s="444"/>
      <c r="AO203" s="444"/>
      <c r="AP203" s="444"/>
      <c r="AQ203" s="444"/>
      <c r="AR203" s="444"/>
      <c r="AS203" s="444"/>
      <c r="AT203" s="758">
        <f>AT154</f>
        <v>-8605</v>
      </c>
      <c r="AU203" s="444"/>
      <c r="AV203" s="758">
        <f>AV154</f>
        <v>-4294</v>
      </c>
      <c r="AW203" s="758">
        <f>AW154</f>
        <v>-4308</v>
      </c>
      <c r="AX203" s="758">
        <f>AX154</f>
        <v>-8602</v>
      </c>
      <c r="AY203" s="444"/>
      <c r="AZ203" s="758">
        <f>AZ154</f>
        <v>-4263</v>
      </c>
      <c r="BA203" s="758">
        <f>BA154</f>
        <v>-4380</v>
      </c>
      <c r="BB203" s="758">
        <f>BB154</f>
        <v>-8643</v>
      </c>
      <c r="BC203" s="444"/>
      <c r="BD203" s="758">
        <f>BD154</f>
        <v>-4528</v>
      </c>
      <c r="BE203" s="758">
        <f>BE154</f>
        <v>-4466</v>
      </c>
      <c r="BF203" s="758">
        <f>BF154</f>
        <v>-8994</v>
      </c>
      <c r="BG203" s="444"/>
      <c r="BH203" s="758">
        <f>BH154</f>
        <v>-4273</v>
      </c>
      <c r="BI203" s="758">
        <f>BI154</f>
        <v>-4519</v>
      </c>
      <c r="BJ203" s="758">
        <f>BJ154</f>
        <v>-8792</v>
      </c>
      <c r="BK203" s="444"/>
      <c r="BL203" s="758">
        <f>BL154</f>
        <v>-4621</v>
      </c>
      <c r="BM203" s="758">
        <f>BM154</f>
        <v>-4728</v>
      </c>
      <c r="BN203" s="758">
        <f>BN154</f>
        <v>-9349</v>
      </c>
      <c r="BO203" s="444"/>
      <c r="BP203" s="758">
        <f>BP154</f>
        <v>-4894</v>
      </c>
      <c r="BQ203" s="758">
        <f>BQ154</f>
        <v>-4989</v>
      </c>
      <c r="BR203" s="758">
        <f>BR154</f>
        <v>-9883</v>
      </c>
      <c r="BS203" s="444"/>
      <c r="BT203" s="758">
        <f>BT154</f>
        <v>-5194</v>
      </c>
      <c r="BU203" s="758">
        <f>BU154</f>
        <v>-5526</v>
      </c>
      <c r="BV203" s="758">
        <f>BV154</f>
        <v>-10720</v>
      </c>
      <c r="BW203" s="444"/>
      <c r="BX203" s="758">
        <f>BX154</f>
        <v>-5742</v>
      </c>
      <c r="BY203" s="758">
        <f>BY154</f>
        <v>-6789</v>
      </c>
      <c r="BZ203" s="758">
        <f>BZ154</f>
        <v>-12531</v>
      </c>
      <c r="CA203" s="444"/>
      <c r="CB203" s="758">
        <f>CB154</f>
        <v>-5800.8062475343522</v>
      </c>
      <c r="CC203" s="758">
        <f>CC154</f>
        <v>-5574.622973129075</v>
      </c>
      <c r="CD203" s="758">
        <f>CD154</f>
        <v>-11375.429220663427</v>
      </c>
      <c r="CE203" s="444"/>
      <c r="CF203" s="758">
        <f>CF154</f>
        <v>-5558.5700572482638</v>
      </c>
      <c r="CG203" s="758">
        <f>CG154</f>
        <v>-5699.0026403776892</v>
      </c>
      <c r="CH203" s="758">
        <f>CH154</f>
        <v>-11257.572697625954</v>
      </c>
      <c r="CI203" s="444"/>
      <c r="CJ203" s="758">
        <f>CJ154</f>
        <v>-5690.9196519848028</v>
      </c>
      <c r="CK203" s="758">
        <f>CK154</f>
        <v>-5623.3690907090013</v>
      </c>
      <c r="CL203" s="758">
        <f>CL154</f>
        <v>-11314.288742693803</v>
      </c>
      <c r="CM203" s="444"/>
      <c r="CN203" s="444"/>
      <c r="CO203" s="459"/>
      <c r="CP203" s="459"/>
      <c r="CQ203" s="459"/>
      <c r="CR203" s="459"/>
      <c r="CS203" s="459"/>
      <c r="CT203" s="459"/>
      <c r="CU203" s="459"/>
      <c r="CV203" s="459"/>
      <c r="CW203" s="459"/>
      <c r="CX203" s="459"/>
      <c r="CY203" s="459"/>
      <c r="CZ203" s="459"/>
      <c r="DA203" s="444"/>
      <c r="DB203" s="444"/>
      <c r="DC203" s="444"/>
      <c r="DD203" s="444"/>
      <c r="DE203" s="444"/>
      <c r="DF203" s="444"/>
      <c r="DG203" s="444"/>
      <c r="DH203" s="444"/>
      <c r="DI203" s="444"/>
      <c r="DJ203" s="444"/>
      <c r="DK203" s="444"/>
      <c r="DL203" s="444"/>
      <c r="DM203" s="444"/>
      <c r="DN203" s="444"/>
      <c r="DO203" s="444"/>
      <c r="DP203" s="444"/>
      <c r="DQ203" s="444"/>
      <c r="DR203" s="444"/>
      <c r="DS203" s="444"/>
      <c r="DT203" s="444"/>
      <c r="DU203" s="444"/>
      <c r="DV203" s="444"/>
      <c r="DW203" s="444"/>
      <c r="DX203" s="444"/>
      <c r="DY203" s="444"/>
      <c r="DZ203" s="444"/>
      <c r="EA203" s="444"/>
      <c r="EB203" s="444"/>
      <c r="EC203" s="444"/>
      <c r="ED203" s="444"/>
      <c r="EE203" s="444"/>
      <c r="EF203" s="444"/>
      <c r="EG203" s="444"/>
      <c r="EH203" s="444"/>
      <c r="EI203" s="444"/>
      <c r="EJ203" s="444"/>
      <c r="EK203" s="444"/>
      <c r="EL203" s="444"/>
      <c r="EM203" s="444"/>
      <c r="EN203" s="444"/>
      <c r="EO203" s="444"/>
      <c r="EP203" s="444"/>
      <c r="EQ203" s="444"/>
      <c r="ER203" s="444"/>
      <c r="ES203" s="444"/>
      <c r="ET203" s="444"/>
      <c r="EU203" s="444"/>
      <c r="EV203" s="444"/>
      <c r="EW203" s="444"/>
      <c r="EX203" s="444"/>
      <c r="EY203" s="444"/>
      <c r="EZ203" s="444"/>
      <c r="FA203" s="444"/>
      <c r="FB203" s="444"/>
      <c r="FC203" s="444"/>
      <c r="FD203" s="444"/>
      <c r="FE203" s="444"/>
      <c r="FF203" s="444"/>
      <c r="FG203" s="444"/>
      <c r="FH203" s="444"/>
      <c r="FI203" s="444"/>
      <c r="FJ203" s="444"/>
      <c r="FK203" s="444"/>
      <c r="FL203" s="444"/>
      <c r="FM203" s="444"/>
      <c r="FN203" s="444"/>
      <c r="FO203" s="444"/>
      <c r="FP203" s="444"/>
      <c r="FQ203" s="444"/>
      <c r="FR203" s="444"/>
      <c r="FS203" s="444"/>
      <c r="FT203" s="444"/>
      <c r="FU203" s="444"/>
      <c r="FV203" s="444"/>
      <c r="FW203" s="444"/>
    </row>
    <row r="204" spans="1:179" ht="13.8">
      <c r="A204" s="444"/>
      <c r="B204" s="444"/>
      <c r="C204" s="444" t="s">
        <v>448</v>
      </c>
      <c r="D204" s="444"/>
      <c r="E204" s="444"/>
      <c r="F204" s="444"/>
      <c r="G204" s="444"/>
      <c r="H204" s="444"/>
      <c r="I204" s="444"/>
      <c r="J204" s="444"/>
      <c r="K204" s="444"/>
      <c r="L204" s="444"/>
      <c r="M204" s="444"/>
      <c r="N204" s="444"/>
      <c r="O204" s="444"/>
      <c r="P204" s="444"/>
      <c r="Q204" s="444"/>
      <c r="R204" s="444"/>
      <c r="S204" s="444"/>
      <c r="T204" s="444"/>
      <c r="U204" s="444"/>
      <c r="V204" s="444"/>
      <c r="W204" s="444"/>
      <c r="X204" s="444"/>
      <c r="Y204" s="444"/>
      <c r="Z204" s="444"/>
      <c r="AA204" s="444"/>
      <c r="AB204" s="444"/>
      <c r="AC204" s="444"/>
      <c r="AD204" s="444"/>
      <c r="AE204" s="444"/>
      <c r="AF204" s="444"/>
      <c r="AG204" s="444"/>
      <c r="AH204" s="444"/>
      <c r="AI204" s="444"/>
      <c r="AJ204" s="444"/>
      <c r="AK204" s="444"/>
      <c r="AL204" s="444"/>
      <c r="AM204" s="444"/>
      <c r="AN204" s="444"/>
      <c r="AO204" s="444"/>
      <c r="AP204" s="444"/>
      <c r="AQ204" s="444"/>
      <c r="AR204" s="444"/>
      <c r="AS204" s="444"/>
      <c r="AT204" s="758">
        <f>SUM(AT202:AT203)</f>
        <v>10714</v>
      </c>
      <c r="AU204" s="444"/>
      <c r="AV204" s="758">
        <f>SUM(AV202:AV203)</f>
        <v>5170</v>
      </c>
      <c r="AW204" s="758">
        <f>SUM(AW202:AW203)</f>
        <v>5208</v>
      </c>
      <c r="AX204" s="758">
        <f>SUM(AX202:AX203)</f>
        <v>10378</v>
      </c>
      <c r="AY204" s="444"/>
      <c r="AZ204" s="758">
        <f>SUM(AZ202:AZ203)</f>
        <v>5245</v>
      </c>
      <c r="BA204" s="758">
        <f>SUM(BA202:BA203)</f>
        <v>4998</v>
      </c>
      <c r="BB204" s="758">
        <f>SUM(BB202:BB203)</f>
        <v>10243</v>
      </c>
      <c r="BC204" s="444"/>
      <c r="BD204" s="758">
        <f>SUM(BD202:BD203)</f>
        <v>4848</v>
      </c>
      <c r="BE204" s="758">
        <f>SUM(BE202:BE203)</f>
        <v>4801</v>
      </c>
      <c r="BF204" s="758">
        <f>SUM(BF202:BF203)</f>
        <v>9649</v>
      </c>
      <c r="BG204" s="444"/>
      <c r="BH204" s="758">
        <f>SUM(BH202:BH203)</f>
        <v>4462</v>
      </c>
      <c r="BI204" s="758">
        <f>SUM(BI202:BI203)</f>
        <v>4573</v>
      </c>
      <c r="BJ204" s="758">
        <f>SUM(BJ202:BJ203)</f>
        <v>9035</v>
      </c>
      <c r="BK204" s="444"/>
      <c r="BL204" s="758">
        <f>SUM(BL202:BL203)</f>
        <v>4058</v>
      </c>
      <c r="BM204" s="758">
        <f>SUM(BM202:BM203)</f>
        <v>4853</v>
      </c>
      <c r="BN204" s="758">
        <f>SUM(BN202:BN203)</f>
        <v>8911</v>
      </c>
      <c r="BO204" s="444"/>
      <c r="BP204" s="758">
        <f>SUM(BP202:BP203)</f>
        <v>5706</v>
      </c>
      <c r="BQ204" s="758">
        <f>SUM(BQ202:BQ203)</f>
        <v>5341</v>
      </c>
      <c r="BR204" s="758">
        <f>SUM(BR202:BR203)</f>
        <v>11047</v>
      </c>
      <c r="BS204" s="444"/>
      <c r="BT204" s="758">
        <f>SUM(BT202:BT203)</f>
        <v>5174</v>
      </c>
      <c r="BU204" s="758">
        <f>SUM(BU202:BU203)</f>
        <v>4936</v>
      </c>
      <c r="BV204" s="758">
        <f>SUM(BV202:BV203)</f>
        <v>10110</v>
      </c>
      <c r="BW204" s="444"/>
      <c r="BX204" s="758">
        <f>SUM(BX202:BX203)</f>
        <v>5253</v>
      </c>
      <c r="BY204" s="758">
        <f>SUM(BY202:BY203)</f>
        <v>4400</v>
      </c>
      <c r="BZ204" s="758">
        <f>SUM(BZ202:BZ203)</f>
        <v>9653</v>
      </c>
      <c r="CA204" s="444"/>
      <c r="CB204" s="758">
        <f ca="1">SUM(CB202:CB203)</f>
        <v>5488.1779000256502</v>
      </c>
      <c r="CC204" s="758">
        <f ca="1">SUM(CC202:CC203)</f>
        <v>5799.8927781971724</v>
      </c>
      <c r="CD204" s="758">
        <f ca="1">SUM(CD202:CD203)</f>
        <v>11288.070678222823</v>
      </c>
      <c r="CE204" s="444"/>
      <c r="CF204" s="758">
        <f ca="1">SUM(CF202:CF203)</f>
        <v>6067.8520273454651</v>
      </c>
      <c r="CG204" s="758">
        <f ca="1">SUM(CG202:CG203)</f>
        <v>6099.4059163403517</v>
      </c>
      <c r="CH204" s="758">
        <f ca="1">SUM(CH202:CH203)</f>
        <v>12167.257943685814</v>
      </c>
      <c r="CI204" s="444"/>
      <c r="CJ204" s="758">
        <f ca="1">SUM(CJ202:CJ203)</f>
        <v>6388.7144424561302</v>
      </c>
      <c r="CK204" s="758">
        <f ca="1">SUM(CK202:CK203)</f>
        <v>6621.5342167049521</v>
      </c>
      <c r="CL204" s="758">
        <f ca="1">SUM(CL202:CL203)</f>
        <v>13010.248659161083</v>
      </c>
      <c r="CM204" s="444"/>
      <c r="CN204" s="444"/>
      <c r="CO204" s="459"/>
      <c r="CP204" s="459"/>
      <c r="CQ204" s="459"/>
      <c r="CR204" s="459"/>
      <c r="CS204" s="459"/>
      <c r="CT204" s="459"/>
      <c r="CU204" s="459"/>
      <c r="CV204" s="459"/>
      <c r="CW204" s="459"/>
      <c r="CX204" s="459"/>
      <c r="CY204" s="459"/>
      <c r="CZ204" s="459"/>
      <c r="DA204" s="444"/>
      <c r="DB204" s="444"/>
      <c r="DC204" s="444"/>
      <c r="DD204" s="444"/>
      <c r="DE204" s="444"/>
      <c r="DF204" s="444"/>
      <c r="DG204" s="444"/>
      <c r="DH204" s="444"/>
      <c r="DI204" s="444"/>
      <c r="DJ204" s="444"/>
      <c r="DK204" s="444"/>
      <c r="DL204" s="444"/>
      <c r="DM204" s="444"/>
      <c r="DN204" s="444"/>
      <c r="DO204" s="444"/>
      <c r="DP204" s="444"/>
      <c r="DQ204" s="444"/>
      <c r="DR204" s="444"/>
      <c r="DS204" s="444"/>
      <c r="DT204" s="444"/>
      <c r="DU204" s="444"/>
      <c r="DV204" s="444"/>
      <c r="DW204" s="444"/>
      <c r="DX204" s="444"/>
      <c r="DY204" s="444"/>
      <c r="DZ204" s="444"/>
      <c r="EA204" s="444"/>
      <c r="EB204" s="444"/>
      <c r="EC204" s="444"/>
      <c r="ED204" s="444"/>
      <c r="EE204" s="444"/>
      <c r="EF204" s="444"/>
      <c r="EG204" s="444"/>
      <c r="EH204" s="444"/>
      <c r="EI204" s="444"/>
      <c r="EJ204" s="444"/>
      <c r="EK204" s="444"/>
      <c r="EL204" s="444"/>
      <c r="EM204" s="444"/>
      <c r="EN204" s="444"/>
      <c r="EO204" s="444"/>
      <c r="EP204" s="444"/>
      <c r="EQ204" s="444"/>
      <c r="ER204" s="444"/>
      <c r="ES204" s="444"/>
      <c r="ET204" s="444"/>
      <c r="EU204" s="444"/>
      <c r="EV204" s="444"/>
      <c r="EW204" s="444"/>
      <c r="EX204" s="444"/>
      <c r="EY204" s="444"/>
      <c r="EZ204" s="444"/>
      <c r="FA204" s="444"/>
      <c r="FB204" s="444"/>
      <c r="FC204" s="444"/>
      <c r="FD204" s="444"/>
      <c r="FE204" s="444"/>
      <c r="FF204" s="444"/>
      <c r="FG204" s="444"/>
      <c r="FH204" s="444"/>
      <c r="FI204" s="444"/>
      <c r="FJ204" s="444"/>
      <c r="FK204" s="444"/>
      <c r="FL204" s="444"/>
      <c r="FM204" s="444"/>
      <c r="FN204" s="444"/>
      <c r="FO204" s="444"/>
      <c r="FP204" s="444"/>
      <c r="FQ204" s="444"/>
      <c r="FR204" s="444"/>
      <c r="FS204" s="444"/>
      <c r="FT204" s="444"/>
      <c r="FU204" s="444"/>
      <c r="FV204" s="444"/>
      <c r="FW204" s="444"/>
    </row>
    <row r="205" spans="1:179" ht="13.8">
      <c r="A205" s="444"/>
      <c r="B205" s="444"/>
      <c r="C205" s="444" t="s">
        <v>726</v>
      </c>
      <c r="D205" s="444"/>
      <c r="E205" s="444"/>
      <c r="F205" s="444"/>
      <c r="G205" s="444"/>
      <c r="H205" s="444"/>
      <c r="I205" s="444"/>
      <c r="J205" s="444"/>
      <c r="K205" s="444"/>
      <c r="L205" s="444"/>
      <c r="M205" s="444"/>
      <c r="N205" s="444"/>
      <c r="O205" s="444"/>
      <c r="P205" s="444"/>
      <c r="Q205" s="444"/>
      <c r="R205" s="444"/>
      <c r="S205" s="444"/>
      <c r="T205" s="444"/>
      <c r="U205" s="444"/>
      <c r="V205" s="444"/>
      <c r="W205" s="444"/>
      <c r="X205" s="444"/>
      <c r="Y205" s="444"/>
      <c r="Z205" s="444"/>
      <c r="AA205" s="444"/>
      <c r="AB205" s="444"/>
      <c r="AC205" s="444"/>
      <c r="AD205" s="444"/>
      <c r="AE205" s="444"/>
      <c r="AF205" s="444"/>
      <c r="AG205" s="444"/>
      <c r="AH205" s="444"/>
      <c r="AI205" s="444"/>
      <c r="AJ205" s="444"/>
      <c r="AK205" s="444"/>
      <c r="AL205" s="444"/>
      <c r="AM205" s="444"/>
      <c r="AN205" s="444"/>
      <c r="AO205" s="444"/>
      <c r="AP205" s="444"/>
      <c r="AQ205" s="444"/>
      <c r="AR205" s="444"/>
      <c r="AS205" s="444"/>
      <c r="AT205" s="758">
        <f>AT188</f>
        <v>-1075</v>
      </c>
      <c r="AU205" s="444"/>
      <c r="AV205" s="758">
        <f>AV188</f>
        <v>0</v>
      </c>
      <c r="AW205" s="758">
        <f>AW188</f>
        <v>0</v>
      </c>
      <c r="AX205" s="758">
        <f>AX188</f>
        <v>-662</v>
      </c>
      <c r="AY205" s="444"/>
      <c r="AZ205" s="758">
        <f>AZ188</f>
        <v>-393</v>
      </c>
      <c r="BA205" s="758">
        <f>BA188</f>
        <v>-400</v>
      </c>
      <c r="BB205" s="758">
        <f>BB188</f>
        <v>-795</v>
      </c>
      <c r="BC205" s="444"/>
      <c r="BD205" s="758">
        <f>BD188</f>
        <v>0</v>
      </c>
      <c r="BE205" s="758">
        <f>BE188</f>
        <v>0</v>
      </c>
      <c r="BF205" s="758">
        <f>BF188</f>
        <v>-2738</v>
      </c>
      <c r="BG205" s="444"/>
      <c r="BH205" s="758">
        <f>BH188</f>
        <v>0</v>
      </c>
      <c r="BI205" s="758">
        <f>BI188</f>
        <v>0</v>
      </c>
      <c r="BJ205" s="758">
        <f>BJ188</f>
        <v>567</v>
      </c>
      <c r="BK205" s="444"/>
      <c r="BL205" s="758">
        <f>BL188</f>
        <v>0</v>
      </c>
      <c r="BM205" s="758">
        <f>BM188</f>
        <v>0</v>
      </c>
      <c r="BN205" s="758">
        <f>BN188</f>
        <v>232</v>
      </c>
      <c r="BO205" s="444"/>
      <c r="BP205" s="758">
        <f>BP188</f>
        <v>0</v>
      </c>
      <c r="BQ205" s="758">
        <f>BQ188</f>
        <v>0</v>
      </c>
      <c r="BR205" s="758">
        <f>BR188</f>
        <v>-245</v>
      </c>
      <c r="BS205" s="444"/>
      <c r="BT205" s="758">
        <f>BT188</f>
        <v>0</v>
      </c>
      <c r="BU205" s="758">
        <f>BU188</f>
        <v>0</v>
      </c>
      <c r="BV205" s="758">
        <f>BV188</f>
        <v>-406</v>
      </c>
      <c r="BW205" s="444"/>
      <c r="BX205" s="758">
        <f>BX188</f>
        <v>0</v>
      </c>
      <c r="BY205" s="758">
        <f>BY188</f>
        <v>0</v>
      </c>
      <c r="BZ205" s="758">
        <f>BZ188</f>
        <v>-441</v>
      </c>
      <c r="CA205" s="444"/>
      <c r="CB205" s="758">
        <f>CB188</f>
        <v>0</v>
      </c>
      <c r="CC205" s="758">
        <f>CC188</f>
        <v>0</v>
      </c>
      <c r="CD205" s="758">
        <f>CD188</f>
        <v>-553.53940151358358</v>
      </c>
      <c r="CE205" s="444"/>
      <c r="CF205" s="758">
        <f>CF188</f>
        <v>0</v>
      </c>
      <c r="CG205" s="758">
        <f>CG188</f>
        <v>0</v>
      </c>
      <c r="CH205" s="758">
        <f>CH188</f>
        <v>-799.04874714688481</v>
      </c>
      <c r="CI205" s="444"/>
      <c r="CJ205" s="758">
        <f>CJ188</f>
        <v>0</v>
      </c>
      <c r="CK205" s="758">
        <f>CK188</f>
        <v>0</v>
      </c>
      <c r="CL205" s="758">
        <f>CL188</f>
        <v>-926.46021679081628</v>
      </c>
      <c r="CM205" s="585"/>
      <c r="CN205" s="444"/>
      <c r="CO205" s="459"/>
      <c r="CP205" s="459"/>
      <c r="CQ205" s="459"/>
      <c r="CR205" s="459"/>
      <c r="CS205" s="459"/>
      <c r="CT205" s="459"/>
      <c r="CU205" s="459"/>
      <c r="CV205" s="459"/>
      <c r="CW205" s="459"/>
      <c r="CX205" s="459"/>
      <c r="CY205" s="459"/>
      <c r="CZ205" s="459"/>
      <c r="DA205" s="444"/>
      <c r="DB205" s="444"/>
      <c r="DC205" s="444"/>
      <c r="DD205" s="444"/>
      <c r="DE205" s="444"/>
      <c r="DF205" s="444"/>
      <c r="DG205" s="444"/>
      <c r="DH205" s="444"/>
      <c r="DI205" s="444"/>
      <c r="DJ205" s="444"/>
      <c r="DK205" s="444"/>
      <c r="DL205" s="444"/>
      <c r="DM205" s="444"/>
      <c r="DN205" s="444"/>
      <c r="DO205" s="444"/>
      <c r="DP205" s="444"/>
      <c r="DQ205" s="444"/>
      <c r="DR205" s="444"/>
      <c r="DS205" s="444"/>
      <c r="DT205" s="444"/>
      <c r="DU205" s="444"/>
      <c r="DV205" s="444"/>
      <c r="DW205" s="444"/>
      <c r="DX205" s="444"/>
      <c r="DY205" s="444"/>
      <c r="DZ205" s="444"/>
      <c r="EA205" s="444"/>
      <c r="EB205" s="444"/>
      <c r="EC205" s="444"/>
      <c r="ED205" s="444"/>
      <c r="EE205" s="444"/>
      <c r="EF205" s="444"/>
      <c r="EG205" s="444"/>
      <c r="EH205" s="444"/>
      <c r="EI205" s="444"/>
      <c r="EJ205" s="444"/>
      <c r="EK205" s="444"/>
      <c r="EL205" s="444"/>
      <c r="EM205" s="444"/>
      <c r="EN205" s="444"/>
      <c r="EO205" s="444"/>
      <c r="EP205" s="444"/>
      <c r="EQ205" s="444"/>
      <c r="ER205" s="444"/>
      <c r="ES205" s="444"/>
      <c r="ET205" s="444"/>
      <c r="EU205" s="444"/>
      <c r="EV205" s="444"/>
      <c r="EW205" s="444"/>
      <c r="EX205" s="444"/>
      <c r="EY205" s="444"/>
      <c r="EZ205" s="444"/>
      <c r="FA205" s="444"/>
      <c r="FB205" s="444"/>
      <c r="FC205" s="444"/>
      <c r="FD205" s="444"/>
      <c r="FE205" s="444"/>
      <c r="FF205" s="444"/>
      <c r="FG205" s="444"/>
      <c r="FH205" s="444"/>
      <c r="FI205" s="444"/>
      <c r="FJ205" s="444"/>
      <c r="FK205" s="444"/>
      <c r="FL205" s="444"/>
      <c r="FM205" s="444"/>
      <c r="FN205" s="444"/>
      <c r="FO205" s="444"/>
      <c r="FP205" s="444"/>
      <c r="FQ205" s="444"/>
      <c r="FR205" s="444"/>
      <c r="FS205" s="444"/>
      <c r="FT205" s="444"/>
      <c r="FU205" s="444"/>
      <c r="FV205" s="444"/>
      <c r="FW205" s="444"/>
    </row>
    <row r="206" spans="1:179" ht="13.8">
      <c r="A206" s="444"/>
      <c r="B206" s="444"/>
      <c r="C206" s="444" t="s">
        <v>708</v>
      </c>
      <c r="D206" s="444"/>
      <c r="E206" s="444"/>
      <c r="F206" s="444"/>
      <c r="G206" s="444"/>
      <c r="H206" s="444"/>
      <c r="I206" s="444"/>
      <c r="J206" s="444"/>
      <c r="K206" s="444"/>
      <c r="L206" s="444"/>
      <c r="M206" s="444"/>
      <c r="N206" s="444"/>
      <c r="O206" s="444"/>
      <c r="P206" s="444"/>
      <c r="Q206" s="444"/>
      <c r="R206" s="444"/>
      <c r="S206" s="444"/>
      <c r="T206" s="444"/>
      <c r="U206" s="444"/>
      <c r="V206" s="444"/>
      <c r="W206" s="444"/>
      <c r="X206" s="444"/>
      <c r="Y206" s="444"/>
      <c r="Z206" s="444"/>
      <c r="AA206" s="444"/>
      <c r="AB206" s="444"/>
      <c r="AC206" s="444"/>
      <c r="AD206" s="444"/>
      <c r="AE206" s="444"/>
      <c r="AF206" s="444"/>
      <c r="AG206" s="444"/>
      <c r="AH206" s="444"/>
      <c r="AI206" s="444"/>
      <c r="AJ206" s="444"/>
      <c r="AK206" s="444"/>
      <c r="AL206" s="444"/>
      <c r="AM206" s="444"/>
      <c r="AN206" s="444"/>
      <c r="AO206" s="444"/>
      <c r="AP206" s="444"/>
      <c r="AQ206" s="444"/>
      <c r="AR206" s="444"/>
      <c r="AS206" s="444"/>
      <c r="AT206" s="758">
        <f>SUM(AT204:AT205)</f>
        <v>9639</v>
      </c>
      <c r="AU206" s="444"/>
      <c r="AV206" s="758">
        <f>SUM(AV204:AV205)</f>
        <v>5170</v>
      </c>
      <c r="AW206" s="758">
        <f>SUM(AW204:AW205)</f>
        <v>5208</v>
      </c>
      <c r="AX206" s="758">
        <f>SUM(AX204:AX205)</f>
        <v>9716</v>
      </c>
      <c r="AY206" s="444"/>
      <c r="AZ206" s="758">
        <f>SUM(AZ204:AZ205)</f>
        <v>4852</v>
      </c>
      <c r="BA206" s="758">
        <f>SUM(BA204:BA205)</f>
        <v>4598</v>
      </c>
      <c r="BB206" s="758">
        <f>SUM(BB204:BB205)</f>
        <v>9448</v>
      </c>
      <c r="BC206" s="444"/>
      <c r="BD206" s="758">
        <f>SUM(BD204:BD205)</f>
        <v>4848</v>
      </c>
      <c r="BE206" s="758">
        <f>SUM(BE204:BE205)</f>
        <v>4801</v>
      </c>
      <c r="BF206" s="758">
        <f>SUM(BF204:BF205)</f>
        <v>6911</v>
      </c>
      <c r="BG206" s="444"/>
      <c r="BH206" s="758">
        <f>SUM(BH204:BH205)</f>
        <v>4462</v>
      </c>
      <c r="BI206" s="758">
        <f>SUM(BI204:BI205)</f>
        <v>4573</v>
      </c>
      <c r="BJ206" s="758">
        <f>SUM(BJ204:BJ205)</f>
        <v>9602</v>
      </c>
      <c r="BK206" s="444"/>
      <c r="BL206" s="758">
        <f>SUM(BL204:BL205)</f>
        <v>4058</v>
      </c>
      <c r="BM206" s="758">
        <f>SUM(BM204:BM205)</f>
        <v>4853</v>
      </c>
      <c r="BN206" s="758">
        <f>SUM(BN204:BN205)</f>
        <v>9143</v>
      </c>
      <c r="BO206" s="444"/>
      <c r="BP206" s="758">
        <f>SUM(BP204:BP205)</f>
        <v>5706</v>
      </c>
      <c r="BQ206" s="758">
        <f>SUM(BQ204:BQ205)</f>
        <v>5341</v>
      </c>
      <c r="BR206" s="758">
        <f>SUM(BR204:BR205)</f>
        <v>10802</v>
      </c>
      <c r="BS206" s="444"/>
      <c r="BT206" s="758">
        <f>SUM(BT204:BT205)</f>
        <v>5174</v>
      </c>
      <c r="BU206" s="758">
        <f>SUM(BU204:BU205)</f>
        <v>4936</v>
      </c>
      <c r="BV206" s="758">
        <f>SUM(BV204:BV205)</f>
        <v>9704</v>
      </c>
      <c r="BW206" s="444"/>
      <c r="BX206" s="758">
        <f>SUM(BX204:BX205)</f>
        <v>5253</v>
      </c>
      <c r="BY206" s="758">
        <f>SUM(BY204:BY205)</f>
        <v>4400</v>
      </c>
      <c r="BZ206" s="758">
        <f>SUM(BZ204:BZ205)</f>
        <v>9212</v>
      </c>
      <c r="CA206" s="444"/>
      <c r="CB206" s="758">
        <f ca="1">SUM(CB204:CB205)</f>
        <v>5488.1779000256502</v>
      </c>
      <c r="CC206" s="758">
        <f ca="1">SUM(CC204:CC205)</f>
        <v>5799.8927781971724</v>
      </c>
      <c r="CD206" s="758">
        <f ca="1">SUM(CD204:CD205)</f>
        <v>10734.531276709238</v>
      </c>
      <c r="CE206" s="444"/>
      <c r="CF206" s="758">
        <f ca="1">SUM(CF204:CF205)</f>
        <v>6067.8520273454651</v>
      </c>
      <c r="CG206" s="758">
        <f ca="1">SUM(CG204:CG205)</f>
        <v>6099.4059163403517</v>
      </c>
      <c r="CH206" s="758">
        <f ca="1">SUM(CH204:CH205)</f>
        <v>11368.20919653893</v>
      </c>
      <c r="CI206" s="444"/>
      <c r="CJ206" s="758">
        <f ca="1">SUM(CJ204:CJ205)</f>
        <v>6388.7144424561302</v>
      </c>
      <c r="CK206" s="758">
        <f ca="1">SUM(CK204:CK205)</f>
        <v>6621.5342167049521</v>
      </c>
      <c r="CL206" s="758">
        <f ca="1">SUM(CL204:CL205)</f>
        <v>12083.788442370267</v>
      </c>
      <c r="CM206" s="444"/>
      <c r="CN206" s="444"/>
      <c r="CO206" s="459"/>
      <c r="CP206" s="459"/>
      <c r="CQ206" s="459"/>
      <c r="CR206" s="459"/>
      <c r="CS206" s="459"/>
      <c r="CT206" s="459"/>
      <c r="CU206" s="459"/>
      <c r="CV206" s="459"/>
      <c r="CW206" s="459"/>
      <c r="CX206" s="459"/>
      <c r="CY206" s="459"/>
      <c r="CZ206" s="459"/>
      <c r="DA206" s="444"/>
      <c r="DB206" s="444"/>
      <c r="DC206" s="444"/>
      <c r="DD206" s="444"/>
      <c r="DE206" s="444"/>
      <c r="DF206" s="444"/>
      <c r="DG206" s="444"/>
      <c r="DH206" s="444"/>
      <c r="DI206" s="444"/>
      <c r="DJ206" s="444"/>
      <c r="DK206" s="444"/>
      <c r="DL206" s="444"/>
      <c r="DM206" s="444"/>
      <c r="DN206" s="444"/>
      <c r="DO206" s="444"/>
      <c r="DP206" s="444"/>
      <c r="DQ206" s="444"/>
      <c r="DR206" s="444"/>
      <c r="DS206" s="444"/>
      <c r="DT206" s="444"/>
      <c r="DU206" s="444"/>
      <c r="DV206" s="444"/>
      <c r="DW206" s="444"/>
      <c r="DX206" s="444"/>
      <c r="DY206" s="444"/>
      <c r="DZ206" s="444"/>
      <c r="EA206" s="444"/>
      <c r="EB206" s="444"/>
      <c r="EC206" s="444"/>
      <c r="ED206" s="444"/>
      <c r="EE206" s="444"/>
      <c r="EF206" s="444"/>
      <c r="EG206" s="444"/>
      <c r="EH206" s="444"/>
      <c r="EI206" s="444"/>
      <c r="EJ206" s="444"/>
      <c r="EK206" s="444"/>
      <c r="EL206" s="444"/>
      <c r="EM206" s="444"/>
      <c r="EN206" s="444"/>
      <c r="EO206" s="444"/>
      <c r="EP206" s="444"/>
      <c r="EQ206" s="444"/>
      <c r="ER206" s="444"/>
      <c r="ES206" s="444"/>
      <c r="ET206" s="444"/>
      <c r="EU206" s="444"/>
      <c r="EV206" s="444"/>
      <c r="EW206" s="444"/>
      <c r="EX206" s="444"/>
      <c r="EY206" s="444"/>
      <c r="EZ206" s="444"/>
      <c r="FA206" s="444"/>
      <c r="FB206" s="444"/>
      <c r="FC206" s="444"/>
      <c r="FD206" s="444"/>
      <c r="FE206" s="444"/>
      <c r="FF206" s="444"/>
      <c r="FG206" s="444"/>
      <c r="FH206" s="444"/>
      <c r="FI206" s="444"/>
      <c r="FJ206" s="444"/>
      <c r="FK206" s="444"/>
      <c r="FL206" s="444"/>
      <c r="FM206" s="444"/>
      <c r="FN206" s="444"/>
      <c r="FO206" s="444"/>
      <c r="FP206" s="444"/>
      <c r="FQ206" s="444"/>
      <c r="FR206" s="444"/>
      <c r="FS206" s="444"/>
      <c r="FT206" s="444"/>
      <c r="FU206" s="444"/>
      <c r="FV206" s="444"/>
      <c r="FW206" s="444"/>
    </row>
    <row r="207" spans="1:179" ht="13.8">
      <c r="A207" s="444"/>
      <c r="B207" s="444"/>
      <c r="C207" s="444" t="s">
        <v>545</v>
      </c>
      <c r="D207" s="444"/>
      <c r="E207" s="444"/>
      <c r="F207" s="444"/>
      <c r="G207" s="444"/>
      <c r="H207" s="444"/>
      <c r="I207" s="444"/>
      <c r="J207" s="444"/>
      <c r="K207" s="444"/>
      <c r="L207" s="444"/>
      <c r="M207" s="444"/>
      <c r="N207" s="444"/>
      <c r="O207" s="444"/>
      <c r="P207" s="444"/>
      <c r="Q207" s="444"/>
      <c r="R207" s="444"/>
      <c r="S207" s="444"/>
      <c r="T207" s="444"/>
      <c r="U207" s="444"/>
      <c r="V207" s="444"/>
      <c r="W207" s="444"/>
      <c r="X207" s="444"/>
      <c r="Y207" s="444"/>
      <c r="Z207" s="444"/>
      <c r="AA207" s="444"/>
      <c r="AB207" s="444"/>
      <c r="AC207" s="444"/>
      <c r="AD207" s="444"/>
      <c r="AE207" s="444"/>
      <c r="AF207" s="444"/>
      <c r="AG207" s="444"/>
      <c r="AH207" s="444"/>
      <c r="AI207" s="444"/>
      <c r="AJ207" s="444"/>
      <c r="AK207" s="444"/>
      <c r="AL207" s="444"/>
      <c r="AM207" s="444"/>
      <c r="AN207" s="444"/>
      <c r="AO207" s="444"/>
      <c r="AP207" s="444"/>
      <c r="AQ207" s="444"/>
      <c r="AR207" s="444"/>
      <c r="AS207" s="444"/>
      <c r="AT207" s="758">
        <f>AT198</f>
        <v>-2875.6</v>
      </c>
      <c r="AU207" s="444"/>
      <c r="AV207" s="758">
        <f>AV198</f>
        <v>-1427</v>
      </c>
      <c r="AW207" s="758">
        <f>AW198</f>
        <v>-1489.6</v>
      </c>
      <c r="AX207" s="758">
        <f>AX198</f>
        <v>-2916.6</v>
      </c>
      <c r="AY207" s="444"/>
      <c r="AZ207" s="758">
        <f>AZ198</f>
        <v>-1407.5</v>
      </c>
      <c r="BA207" s="758">
        <f>BA198</f>
        <v>-1341.2</v>
      </c>
      <c r="BB207" s="758">
        <f>BB198</f>
        <v>-2748.7</v>
      </c>
      <c r="BC207" s="444"/>
      <c r="BD207" s="758">
        <f>BD198</f>
        <v>-1149.2</v>
      </c>
      <c r="BE207" s="758">
        <f>BE198</f>
        <v>-1107.8</v>
      </c>
      <c r="BF207" s="758">
        <f>BF198</f>
        <v>-2275.5</v>
      </c>
      <c r="BG207" s="444"/>
      <c r="BH207" s="758">
        <f>BH198</f>
        <v>-1598.3</v>
      </c>
      <c r="BI207" s="758">
        <f>BI198</f>
        <v>-1358.4</v>
      </c>
      <c r="BJ207" s="758">
        <f>BJ198</f>
        <v>-2979.7</v>
      </c>
      <c r="BK207" s="444"/>
      <c r="BL207" s="758">
        <f>BL198</f>
        <v>-1298.3</v>
      </c>
      <c r="BM207" s="758">
        <f>BM198</f>
        <v>-1369.6</v>
      </c>
      <c r="BN207" s="758">
        <f>BN198</f>
        <v>-2674</v>
      </c>
      <c r="BO207" s="444"/>
      <c r="BP207" s="758">
        <f>BP198</f>
        <v>-1629.9</v>
      </c>
      <c r="BQ207" s="758">
        <f>BQ198</f>
        <v>-1562.4</v>
      </c>
      <c r="BR207" s="758">
        <f>BR198</f>
        <v>-3187.7</v>
      </c>
      <c r="BS207" s="444"/>
      <c r="BT207" s="758">
        <f>BT198</f>
        <v>-1522.6</v>
      </c>
      <c r="BU207" s="758">
        <f>BU198</f>
        <v>-1427</v>
      </c>
      <c r="BV207" s="758">
        <f>BV198</f>
        <v>-2949.6</v>
      </c>
      <c r="BW207" s="444"/>
      <c r="BX207" s="758">
        <f>BX198</f>
        <v>-1540</v>
      </c>
      <c r="BY207" s="758">
        <f>BY198</f>
        <v>-1441.2</v>
      </c>
      <c r="BZ207" s="758">
        <f>BZ198</f>
        <v>-2981.2</v>
      </c>
      <c r="CA207" s="444"/>
      <c r="CB207" s="758">
        <f ca="1">CB198</f>
        <v>-1577.245847282293</v>
      </c>
      <c r="CC207" s="758">
        <f ca="1">CC198</f>
        <v>-1629.4408793469324</v>
      </c>
      <c r="CD207" s="758">
        <f ca="1">CD198</f>
        <v>-3206.6867266292256</v>
      </c>
      <c r="CE207" s="444"/>
      <c r="CF207" s="758">
        <f ca="1">CF198</f>
        <v>-1693.8918121729657</v>
      </c>
      <c r="CG207" s="758">
        <f ca="1">CG198</f>
        <v>-1699.729900806019</v>
      </c>
      <c r="CH207" s="758">
        <f ca="1">CH198</f>
        <v>-3393.6217129789848</v>
      </c>
      <c r="CI207" s="444"/>
      <c r="CJ207" s="758">
        <f ca="1">CJ198</f>
        <v>-1769.4826257272898</v>
      </c>
      <c r="CK207" s="758">
        <f ca="1">CK198</f>
        <v>-1835.2349647719377</v>
      </c>
      <c r="CL207" s="758">
        <f ca="1">CL198</f>
        <v>-3604.7175904992273</v>
      </c>
      <c r="CM207" s="444"/>
      <c r="CN207" s="444"/>
      <c r="CO207" s="459"/>
      <c r="CP207" s="459"/>
      <c r="CQ207" s="459"/>
      <c r="CR207" s="459"/>
      <c r="CS207" s="459"/>
      <c r="CT207" s="459"/>
      <c r="CU207" s="459"/>
      <c r="CV207" s="459"/>
      <c r="CW207" s="459"/>
      <c r="CX207" s="459"/>
      <c r="CY207" s="459"/>
      <c r="CZ207" s="459"/>
      <c r="DA207" s="444"/>
      <c r="DB207" s="444"/>
      <c r="DC207" s="444"/>
      <c r="DD207" s="444"/>
      <c r="DE207" s="444"/>
      <c r="DF207" s="444"/>
      <c r="DG207" s="444"/>
      <c r="DH207" s="444"/>
      <c r="DI207" s="444"/>
      <c r="DJ207" s="444"/>
      <c r="DK207" s="444"/>
      <c r="DL207" s="444"/>
      <c r="DM207" s="444"/>
      <c r="DN207" s="444"/>
      <c r="DO207" s="444"/>
      <c r="DP207" s="444"/>
      <c r="DQ207" s="444"/>
      <c r="DR207" s="444"/>
      <c r="DS207" s="444"/>
      <c r="DT207" s="444"/>
      <c r="DU207" s="444"/>
      <c r="DV207" s="444"/>
      <c r="DW207" s="444"/>
      <c r="DX207" s="444"/>
      <c r="DY207" s="444"/>
      <c r="DZ207" s="444"/>
      <c r="EA207" s="444"/>
      <c r="EB207" s="444"/>
      <c r="EC207" s="444"/>
      <c r="ED207" s="444"/>
      <c r="EE207" s="444"/>
      <c r="EF207" s="444"/>
      <c r="EG207" s="444"/>
      <c r="EH207" s="444"/>
      <c r="EI207" s="444"/>
      <c r="EJ207" s="444"/>
      <c r="EK207" s="444"/>
      <c r="EL207" s="444"/>
      <c r="EM207" s="444"/>
      <c r="EN207" s="444"/>
      <c r="EO207" s="444"/>
      <c r="EP207" s="444"/>
      <c r="EQ207" s="444"/>
      <c r="ER207" s="444"/>
      <c r="ES207" s="444"/>
      <c r="ET207" s="444"/>
      <c r="EU207" s="444"/>
      <c r="EV207" s="444"/>
      <c r="EW207" s="444"/>
      <c r="EX207" s="444"/>
      <c r="EY207" s="444"/>
      <c r="EZ207" s="444"/>
      <c r="FA207" s="444"/>
      <c r="FB207" s="444"/>
      <c r="FC207" s="444"/>
      <c r="FD207" s="444"/>
      <c r="FE207" s="444"/>
      <c r="FF207" s="444"/>
      <c r="FG207" s="444"/>
      <c r="FH207" s="444"/>
      <c r="FI207" s="444"/>
      <c r="FJ207" s="444"/>
      <c r="FK207" s="444"/>
      <c r="FL207" s="444"/>
      <c r="FM207" s="444"/>
      <c r="FN207" s="444"/>
      <c r="FO207" s="444"/>
      <c r="FP207" s="444"/>
      <c r="FQ207" s="444"/>
      <c r="FR207" s="444"/>
      <c r="FS207" s="444"/>
      <c r="FT207" s="444"/>
      <c r="FU207" s="444"/>
      <c r="FV207" s="444"/>
      <c r="FW207" s="444"/>
    </row>
    <row r="208" spans="1:179" ht="13.8">
      <c r="A208" s="444"/>
      <c r="B208" s="444"/>
      <c r="C208" s="584" t="s">
        <v>124</v>
      </c>
      <c r="D208" s="584"/>
      <c r="E208" s="584"/>
      <c r="F208" s="584"/>
      <c r="G208" s="584"/>
      <c r="H208" s="584"/>
      <c r="I208" s="584"/>
      <c r="J208" s="584"/>
      <c r="K208" s="584"/>
      <c r="L208" s="584"/>
      <c r="M208" s="584"/>
      <c r="N208" s="584"/>
      <c r="O208" s="584"/>
      <c r="P208" s="584"/>
      <c r="Q208" s="584"/>
      <c r="R208" s="584"/>
      <c r="S208" s="584"/>
      <c r="T208" s="584"/>
      <c r="U208" s="584"/>
      <c r="V208" s="584"/>
      <c r="W208" s="584"/>
      <c r="X208" s="584"/>
      <c r="Y208" s="584"/>
      <c r="Z208" s="584"/>
      <c r="AA208" s="584"/>
      <c r="AB208" s="584"/>
      <c r="AC208" s="584"/>
      <c r="AD208" s="584"/>
      <c r="AE208" s="584"/>
      <c r="AF208" s="584"/>
      <c r="AG208" s="584"/>
      <c r="AH208" s="584"/>
      <c r="AI208" s="584"/>
      <c r="AJ208" s="584"/>
      <c r="AK208" s="584"/>
      <c r="AL208" s="584"/>
      <c r="AM208" s="584"/>
      <c r="AN208" s="584"/>
      <c r="AO208" s="584"/>
      <c r="AP208" s="584"/>
      <c r="AQ208" s="584"/>
      <c r="AR208" s="584"/>
      <c r="AS208" s="584"/>
      <c r="AT208" s="753">
        <f>SUM(AT206:AT207)</f>
        <v>6763.4</v>
      </c>
      <c r="AU208" s="584"/>
      <c r="AV208" s="753">
        <f>SUM(AV206:AV207)</f>
        <v>3743</v>
      </c>
      <c r="AW208" s="753">
        <f>SUM(AW206:AW207)</f>
        <v>3718.4</v>
      </c>
      <c r="AX208" s="753">
        <f>SUM(AX206:AX207)</f>
        <v>6799.4</v>
      </c>
      <c r="AY208" s="584"/>
      <c r="AZ208" s="753">
        <f>SUM(AZ206:AZ207)</f>
        <v>3444.5</v>
      </c>
      <c r="BA208" s="753">
        <f>SUM(BA206:BA207)</f>
        <v>3256.8</v>
      </c>
      <c r="BB208" s="753">
        <f>SUM(BB206:BB207)</f>
        <v>6699.3</v>
      </c>
      <c r="BC208" s="584"/>
      <c r="BD208" s="753">
        <f>SUM(BD206:BD207)</f>
        <v>3698.8</v>
      </c>
      <c r="BE208" s="753">
        <f>SUM(BE206:BE207)</f>
        <v>3693.2</v>
      </c>
      <c r="BF208" s="753">
        <f>SUM(BF206:BF207)</f>
        <v>4635.5</v>
      </c>
      <c r="BG208" s="584"/>
      <c r="BH208" s="753">
        <f>SUM(BH206:BH207)</f>
        <v>2863.7</v>
      </c>
      <c r="BI208" s="753">
        <f>SUM(BI206:BI207)</f>
        <v>3214.6</v>
      </c>
      <c r="BJ208" s="753">
        <f>SUM(BJ206:BJ207)</f>
        <v>6622.3</v>
      </c>
      <c r="BK208" s="584"/>
      <c r="BL208" s="753">
        <f>SUM(BL206:BL207)</f>
        <v>2759.7</v>
      </c>
      <c r="BM208" s="753">
        <f>SUM(BM206:BM207)</f>
        <v>3483.4</v>
      </c>
      <c r="BN208" s="753">
        <f>SUM(BN206:BN207)</f>
        <v>6469</v>
      </c>
      <c r="BO208" s="584"/>
      <c r="BP208" s="753">
        <f>SUM(BP206:BP207)</f>
        <v>4076.1</v>
      </c>
      <c r="BQ208" s="753">
        <f>SUM(BQ206:BQ207)</f>
        <v>3778.6</v>
      </c>
      <c r="BR208" s="753">
        <f>SUM(BR206:BR207)</f>
        <v>7614.3</v>
      </c>
      <c r="BS208" s="584"/>
      <c r="BT208" s="753">
        <f>SUM(BT206:BT207)</f>
        <v>3651.4</v>
      </c>
      <c r="BU208" s="753">
        <f>SUM(BU206:BU207)</f>
        <v>3509</v>
      </c>
      <c r="BV208" s="753">
        <f>SUM(BV206:BV207)</f>
        <v>6754.4</v>
      </c>
      <c r="BW208" s="584"/>
      <c r="BX208" s="753">
        <f>SUM(BX206:BX207)</f>
        <v>3713</v>
      </c>
      <c r="BY208" s="753">
        <f>SUM(BY206:BY207)</f>
        <v>2958.8</v>
      </c>
      <c r="BZ208" s="753">
        <f>SUM(BZ206:BZ207)</f>
        <v>6230.8</v>
      </c>
      <c r="CA208" s="584"/>
      <c r="CB208" s="753">
        <f ca="1">SUM(CB206:CB207)</f>
        <v>3910.9320527433574</v>
      </c>
      <c r="CC208" s="753">
        <f ca="1">SUM(CC206:CC207)</f>
        <v>4170.4518988502405</v>
      </c>
      <c r="CD208" s="753">
        <f ca="1">SUM(CD206:CD207)</f>
        <v>7527.8445500800126</v>
      </c>
      <c r="CE208" s="584"/>
      <c r="CF208" s="753">
        <f ca="1">SUM(CF206:CF207)</f>
        <v>4373.9602151724994</v>
      </c>
      <c r="CG208" s="753">
        <f ca="1">SUM(CG206:CG207)</f>
        <v>4399.6760155343327</v>
      </c>
      <c r="CH208" s="753">
        <f ca="1">SUM(CH206:CH207)</f>
        <v>7974.5874835599452</v>
      </c>
      <c r="CI208" s="584"/>
      <c r="CJ208" s="753">
        <f ca="1">SUM(CJ206:CJ207)</f>
        <v>4619.2318167288404</v>
      </c>
      <c r="CK208" s="753">
        <f ca="1">SUM(CK206:CK207)</f>
        <v>4786.2992519330146</v>
      </c>
      <c r="CL208" s="753">
        <f ca="1">SUM(CL206:CL207)</f>
        <v>8479.0708518710398</v>
      </c>
      <c r="CM208" s="444"/>
      <c r="CN208" s="444"/>
      <c r="CO208" s="459"/>
      <c r="CP208" s="459"/>
      <c r="CQ208" s="459"/>
      <c r="CR208" s="459"/>
      <c r="CS208" s="459"/>
      <c r="CT208" s="459"/>
      <c r="CU208" s="459"/>
      <c r="CV208" s="459"/>
      <c r="CW208" s="459"/>
      <c r="CX208" s="459"/>
      <c r="CY208" s="459"/>
      <c r="CZ208" s="459"/>
      <c r="DA208" s="444"/>
      <c r="DB208" s="444"/>
      <c r="DC208" s="444"/>
      <c r="DD208" s="444"/>
      <c r="DE208" s="444"/>
      <c r="DF208" s="444"/>
      <c r="DG208" s="444"/>
      <c r="DH208" s="444"/>
      <c r="DI208" s="444"/>
      <c r="DJ208" s="444"/>
      <c r="DK208" s="444"/>
      <c r="DL208" s="444"/>
      <c r="DM208" s="444"/>
      <c r="DN208" s="444"/>
      <c r="DO208" s="444"/>
      <c r="DP208" s="444"/>
      <c r="DQ208" s="444"/>
      <c r="DR208" s="444"/>
      <c r="DS208" s="444"/>
      <c r="DT208" s="444"/>
      <c r="DU208" s="444"/>
      <c r="DV208" s="444"/>
      <c r="DW208" s="444"/>
      <c r="DX208" s="444"/>
      <c r="DY208" s="444"/>
      <c r="DZ208" s="444"/>
      <c r="EA208" s="444"/>
      <c r="EB208" s="444"/>
      <c r="EC208" s="444"/>
      <c r="ED208" s="444"/>
      <c r="EE208" s="444"/>
      <c r="EF208" s="444"/>
      <c r="EG208" s="444"/>
      <c r="EH208" s="444"/>
      <c r="EI208" s="444"/>
      <c r="EJ208" s="444"/>
      <c r="EK208" s="444"/>
      <c r="EL208" s="444"/>
      <c r="EM208" s="444"/>
      <c r="EN208" s="444"/>
      <c r="EO208" s="444"/>
      <c r="EP208" s="444"/>
      <c r="EQ208" s="444"/>
      <c r="ER208" s="444"/>
      <c r="ES208" s="444"/>
      <c r="ET208" s="444"/>
      <c r="EU208" s="444"/>
      <c r="EV208" s="444"/>
      <c r="EW208" s="444"/>
      <c r="EX208" s="444"/>
      <c r="EY208" s="444"/>
      <c r="EZ208" s="444"/>
      <c r="FA208" s="444"/>
      <c r="FB208" s="444"/>
      <c r="FC208" s="444"/>
      <c r="FD208" s="444"/>
      <c r="FE208" s="444"/>
      <c r="FF208" s="444"/>
      <c r="FG208" s="444"/>
      <c r="FH208" s="444"/>
      <c r="FI208" s="444"/>
      <c r="FJ208" s="444"/>
      <c r="FK208" s="444"/>
      <c r="FL208" s="444"/>
      <c r="FM208" s="444"/>
      <c r="FN208" s="444"/>
      <c r="FO208" s="444"/>
      <c r="FP208" s="444"/>
      <c r="FQ208" s="444"/>
      <c r="FR208" s="444"/>
      <c r="FS208" s="444"/>
      <c r="FT208" s="444"/>
      <c r="FU208" s="444"/>
      <c r="FV208" s="444"/>
      <c r="FW208" s="444"/>
    </row>
    <row r="209" spans="1:179" ht="13.8">
      <c r="A209" s="444"/>
      <c r="B209" s="444"/>
      <c r="C209" s="736" t="s">
        <v>293</v>
      </c>
      <c r="D209" s="585"/>
      <c r="E209" s="585"/>
      <c r="F209" s="585"/>
      <c r="G209" s="585"/>
      <c r="H209" s="585"/>
      <c r="I209" s="585"/>
      <c r="J209" s="585"/>
      <c r="K209" s="585"/>
      <c r="L209" s="585"/>
      <c r="M209" s="585"/>
      <c r="N209" s="585"/>
      <c r="O209" s="585"/>
      <c r="P209" s="585"/>
      <c r="Q209" s="585"/>
      <c r="R209" s="585"/>
      <c r="S209" s="585"/>
      <c r="T209" s="585"/>
      <c r="U209" s="585"/>
      <c r="V209" s="585"/>
      <c r="W209" s="585"/>
      <c r="X209" s="585"/>
      <c r="Y209" s="585"/>
      <c r="Z209" s="585"/>
      <c r="AA209" s="585"/>
      <c r="AB209" s="585"/>
      <c r="AC209" s="585"/>
      <c r="AD209" s="585"/>
      <c r="AE209" s="585"/>
      <c r="AF209" s="585"/>
      <c r="AG209" s="585"/>
      <c r="AH209" s="585"/>
      <c r="AI209" s="585"/>
      <c r="AJ209" s="585"/>
      <c r="AK209" s="585"/>
      <c r="AL209" s="585"/>
      <c r="AM209" s="585"/>
      <c r="AN209" s="585"/>
      <c r="AO209" s="585"/>
      <c r="AP209" s="585"/>
      <c r="AQ209" s="585"/>
      <c r="AR209" s="585"/>
      <c r="AS209" s="585"/>
      <c r="AT209" s="825">
        <v>6763</v>
      </c>
      <c r="AU209" s="585"/>
      <c r="AV209" s="879"/>
      <c r="AW209" s="879"/>
      <c r="AX209" s="825">
        <v>6960</v>
      </c>
      <c r="AY209" s="585"/>
      <c r="AZ209" s="585"/>
      <c r="BA209" s="585"/>
      <c r="BB209" s="825"/>
      <c r="BC209" s="585"/>
      <c r="BD209" s="585"/>
      <c r="BE209" s="585"/>
      <c r="BF209" s="585"/>
      <c r="BG209" s="585"/>
      <c r="BH209" s="585"/>
      <c r="BI209" s="585"/>
      <c r="BJ209" s="825"/>
      <c r="BK209" s="585"/>
      <c r="BL209" s="585"/>
      <c r="BM209" s="585"/>
      <c r="BN209" s="825"/>
      <c r="BO209" s="585"/>
      <c r="BP209" s="585"/>
      <c r="BQ209" s="585"/>
      <c r="BR209" s="825"/>
      <c r="BS209" s="585"/>
      <c r="BT209" s="585"/>
      <c r="BU209" s="585"/>
      <c r="BV209" s="825"/>
      <c r="BW209" s="585"/>
      <c r="BX209" s="585"/>
      <c r="BY209" s="585"/>
      <c r="BZ209" s="825"/>
      <c r="CA209" s="585"/>
      <c r="CB209" s="585"/>
      <c r="CC209" s="585"/>
      <c r="CD209" s="825"/>
      <c r="CE209" s="585"/>
      <c r="CF209" s="585"/>
      <c r="CG209" s="585"/>
      <c r="CH209" s="825"/>
      <c r="CI209" s="585"/>
      <c r="CJ209" s="585"/>
      <c r="CK209" s="585"/>
      <c r="CL209" s="825"/>
      <c r="CM209" s="444"/>
      <c r="CN209" s="444"/>
      <c r="CO209" s="459"/>
      <c r="CP209" s="459"/>
      <c r="CQ209" s="459"/>
      <c r="CR209" s="459"/>
      <c r="CS209" s="459"/>
      <c r="CT209" s="459"/>
      <c r="CU209" s="459"/>
      <c r="CV209" s="459"/>
      <c r="CW209" s="459"/>
      <c r="CX209" s="459"/>
      <c r="CY209" s="459"/>
      <c r="CZ209" s="459"/>
      <c r="DA209" s="444"/>
      <c r="DB209" s="444"/>
      <c r="DC209" s="444"/>
      <c r="DD209" s="444"/>
      <c r="DE209" s="444"/>
      <c r="DF209" s="444"/>
      <c r="DG209" s="444"/>
      <c r="DH209" s="444"/>
      <c r="DI209" s="444"/>
      <c r="DJ209" s="444"/>
      <c r="DK209" s="444"/>
      <c r="DL209" s="444"/>
      <c r="DM209" s="444"/>
      <c r="DN209" s="444"/>
      <c r="DO209" s="444"/>
      <c r="DP209" s="444"/>
      <c r="DQ209" s="444"/>
      <c r="DR209" s="444"/>
      <c r="DS209" s="444"/>
      <c r="DT209" s="444"/>
      <c r="DU209" s="444"/>
      <c r="DV209" s="444"/>
      <c r="DW209" s="444"/>
      <c r="DX209" s="444"/>
      <c r="DY209" s="444"/>
      <c r="DZ209" s="444"/>
      <c r="EA209" s="444"/>
      <c r="EB209" s="444"/>
      <c r="EC209" s="444"/>
      <c r="ED209" s="444"/>
      <c r="EE209" s="444"/>
      <c r="EF209" s="444"/>
      <c r="EG209" s="444"/>
      <c r="EH209" s="444"/>
      <c r="EI209" s="444"/>
      <c r="EJ209" s="444"/>
      <c r="EK209" s="444"/>
      <c r="EL209" s="444"/>
      <c r="EM209" s="444"/>
      <c r="EN209" s="444"/>
      <c r="EO209" s="444"/>
      <c r="EP209" s="444"/>
      <c r="EQ209" s="444"/>
      <c r="ER209" s="444"/>
      <c r="ES209" s="444"/>
      <c r="ET209" s="444"/>
      <c r="EU209" s="444"/>
      <c r="EV209" s="444"/>
      <c r="EW209" s="444"/>
      <c r="EX209" s="444"/>
      <c r="EY209" s="444"/>
      <c r="EZ209" s="444"/>
      <c r="FA209" s="444"/>
      <c r="FB209" s="444"/>
      <c r="FC209" s="444"/>
      <c r="FD209" s="444"/>
      <c r="FE209" s="444"/>
      <c r="FF209" s="444"/>
      <c r="FG209" s="444"/>
      <c r="FH209" s="444"/>
      <c r="FI209" s="444"/>
      <c r="FJ209" s="444"/>
      <c r="FK209" s="444"/>
      <c r="FL209" s="444"/>
      <c r="FM209" s="444"/>
      <c r="FN209" s="444"/>
      <c r="FO209" s="444"/>
      <c r="FP209" s="444"/>
      <c r="FQ209" s="444"/>
      <c r="FR209" s="444"/>
      <c r="FS209" s="444"/>
      <c r="FT209" s="444"/>
      <c r="FU209" s="444"/>
      <c r="FV209" s="444"/>
      <c r="FW209" s="444"/>
    </row>
    <row r="210" spans="1:179" ht="13.8">
      <c r="A210" s="444"/>
      <c r="B210" s="444"/>
      <c r="C210" s="444"/>
      <c r="D210" s="444"/>
      <c r="E210" s="444"/>
      <c r="F210" s="444"/>
      <c r="G210" s="444"/>
      <c r="H210" s="444"/>
      <c r="I210" s="444"/>
      <c r="J210" s="444"/>
      <c r="K210" s="444"/>
      <c r="L210" s="444"/>
      <c r="M210" s="444"/>
      <c r="N210" s="444"/>
      <c r="O210" s="444"/>
      <c r="P210" s="444"/>
      <c r="Q210" s="444"/>
      <c r="R210" s="444"/>
      <c r="S210" s="444"/>
      <c r="T210" s="444"/>
      <c r="U210" s="444"/>
      <c r="V210" s="444"/>
      <c r="W210" s="444"/>
      <c r="X210" s="444"/>
      <c r="Y210" s="444"/>
      <c r="Z210" s="444"/>
      <c r="AA210" s="444"/>
      <c r="AB210" s="444"/>
      <c r="AC210" s="444"/>
      <c r="AD210" s="444"/>
      <c r="AE210" s="444"/>
      <c r="AF210" s="444"/>
      <c r="AG210" s="444"/>
      <c r="AH210" s="444"/>
      <c r="AI210" s="444"/>
      <c r="AJ210" s="444"/>
      <c r="AK210" s="444"/>
      <c r="AL210" s="444"/>
      <c r="AM210" s="444"/>
      <c r="AN210" s="444"/>
      <c r="AO210" s="444"/>
      <c r="AP210" s="444"/>
      <c r="AQ210" s="444"/>
      <c r="AR210" s="444"/>
      <c r="AS210" s="444"/>
      <c r="AT210" s="444"/>
      <c r="AU210" s="444"/>
      <c r="AV210" s="868"/>
      <c r="AW210" s="868"/>
      <c r="AX210" s="444"/>
      <c r="AY210" s="444"/>
      <c r="AZ210" s="444"/>
      <c r="BA210" s="444"/>
      <c r="BB210" s="444"/>
      <c r="BC210" s="444"/>
      <c r="BD210" s="444"/>
      <c r="BE210" s="444"/>
      <c r="BF210" s="444"/>
      <c r="BG210" s="444"/>
      <c r="BH210" s="444"/>
      <c r="BI210" s="444"/>
      <c r="BJ210" s="444"/>
      <c r="BK210" s="444"/>
      <c r="BL210" s="444"/>
      <c r="BM210" s="444"/>
      <c r="BN210" s="444"/>
      <c r="BO210" s="444"/>
      <c r="BP210" s="444"/>
      <c r="BQ210" s="444"/>
      <c r="BR210" s="444"/>
      <c r="BS210" s="444"/>
      <c r="BT210" s="444"/>
      <c r="BU210" s="444"/>
      <c r="BV210" s="444"/>
      <c r="BW210" s="444"/>
      <c r="BX210" s="444"/>
      <c r="BY210" s="444"/>
      <c r="BZ210" s="444"/>
      <c r="CA210" s="444"/>
      <c r="CB210" s="444"/>
      <c r="CC210" s="444"/>
      <c r="CD210" s="444"/>
      <c r="CE210" s="444"/>
      <c r="CF210" s="444"/>
      <c r="CG210" s="444"/>
      <c r="CH210" s="444"/>
      <c r="CI210" s="444"/>
      <c r="CJ210" s="444"/>
      <c r="CK210" s="444"/>
      <c r="CL210" s="444"/>
      <c r="CM210" s="444"/>
      <c r="CN210" s="444"/>
      <c r="CO210" s="459"/>
      <c r="CP210" s="459"/>
      <c r="CQ210" s="459"/>
      <c r="CR210" s="459"/>
      <c r="CS210" s="459"/>
      <c r="CT210" s="459"/>
      <c r="CU210" s="459"/>
      <c r="CV210" s="459"/>
      <c r="CW210" s="459"/>
      <c r="CX210" s="459"/>
      <c r="CY210" s="459"/>
      <c r="CZ210" s="459"/>
      <c r="DA210" s="444"/>
      <c r="DB210" s="444"/>
      <c r="DC210" s="444"/>
      <c r="DD210" s="444"/>
      <c r="DE210" s="444"/>
      <c r="DF210" s="444"/>
      <c r="DG210" s="444"/>
      <c r="DH210" s="444"/>
      <c r="DI210" s="444"/>
      <c r="DJ210" s="444"/>
      <c r="DK210" s="444"/>
      <c r="DL210" s="444"/>
      <c r="DM210" s="444"/>
      <c r="DN210" s="444"/>
      <c r="DO210" s="444"/>
      <c r="DP210" s="444"/>
      <c r="DQ210" s="444"/>
      <c r="DR210" s="444"/>
      <c r="DS210" s="444"/>
      <c r="DT210" s="444"/>
      <c r="DU210" s="444"/>
      <c r="DV210" s="444"/>
      <c r="DW210" s="444"/>
      <c r="DX210" s="444"/>
      <c r="DY210" s="444"/>
      <c r="DZ210" s="444"/>
      <c r="EA210" s="444"/>
      <c r="EB210" s="444"/>
      <c r="EC210" s="444"/>
      <c r="ED210" s="444"/>
      <c r="EE210" s="444"/>
      <c r="EF210" s="444"/>
      <c r="EG210" s="444"/>
      <c r="EH210" s="444"/>
      <c r="EI210" s="444"/>
      <c r="EJ210" s="444"/>
      <c r="EK210" s="444"/>
      <c r="EL210" s="444"/>
      <c r="EM210" s="444"/>
      <c r="EN210" s="444"/>
      <c r="EO210" s="444"/>
      <c r="EP210" s="444"/>
      <c r="EQ210" s="444"/>
      <c r="ER210" s="444"/>
      <c r="ES210" s="444"/>
      <c r="ET210" s="444"/>
      <c r="EU210" s="444"/>
      <c r="EV210" s="444"/>
      <c r="EW210" s="444"/>
      <c r="EX210" s="444"/>
      <c r="EY210" s="444"/>
      <c r="EZ210" s="444"/>
      <c r="FA210" s="444"/>
      <c r="FB210" s="444"/>
      <c r="FC210" s="444"/>
      <c r="FD210" s="444"/>
      <c r="FE210" s="444"/>
      <c r="FF210" s="444"/>
      <c r="FG210" s="444"/>
      <c r="FH210" s="444"/>
      <c r="FI210" s="444"/>
      <c r="FJ210" s="444"/>
      <c r="FK210" s="444"/>
      <c r="FL210" s="444"/>
      <c r="FM210" s="444"/>
      <c r="FN210" s="444"/>
      <c r="FO210" s="444"/>
      <c r="FP210" s="444"/>
      <c r="FQ210" s="444"/>
      <c r="FR210" s="444"/>
      <c r="FS210" s="444"/>
      <c r="FT210" s="444"/>
      <c r="FU210" s="444"/>
      <c r="FV210" s="444"/>
      <c r="FW210" s="444"/>
    </row>
    <row r="211" spans="1:179" ht="13.8">
      <c r="A211" s="444"/>
      <c r="B211" s="444"/>
      <c r="C211" s="444"/>
      <c r="D211" s="444"/>
      <c r="E211" s="444"/>
      <c r="F211" s="444"/>
      <c r="G211" s="444"/>
      <c r="H211" s="444"/>
      <c r="I211" s="444"/>
      <c r="J211" s="444"/>
      <c r="K211" s="444"/>
      <c r="L211" s="444"/>
      <c r="M211" s="444"/>
      <c r="N211" s="444"/>
      <c r="O211" s="444"/>
      <c r="P211" s="444"/>
      <c r="Q211" s="444"/>
      <c r="R211" s="444"/>
      <c r="S211" s="444"/>
      <c r="T211" s="444"/>
      <c r="U211" s="444"/>
      <c r="V211" s="444"/>
      <c r="W211" s="444"/>
      <c r="X211" s="444"/>
      <c r="Y211" s="444"/>
      <c r="Z211" s="444"/>
      <c r="AA211" s="444"/>
      <c r="AB211" s="444"/>
      <c r="AC211" s="444"/>
      <c r="AD211" s="444"/>
      <c r="AE211" s="444"/>
      <c r="AF211" s="444"/>
      <c r="AG211" s="444"/>
      <c r="AH211" s="444"/>
      <c r="AI211" s="444"/>
      <c r="AJ211" s="444"/>
      <c r="AK211" s="444"/>
      <c r="AL211" s="444"/>
      <c r="AM211" s="444"/>
      <c r="AN211" s="444"/>
      <c r="AO211" s="444"/>
      <c r="AP211" s="444"/>
      <c r="AQ211" s="444"/>
      <c r="AR211" s="444"/>
      <c r="AS211" s="444"/>
      <c r="AT211" s="444"/>
      <c r="AU211" s="444"/>
      <c r="AV211" s="868"/>
      <c r="AW211" s="868"/>
      <c r="AX211" s="863">
        <f>AX207/AX206</f>
        <v>-0.30018526142445451</v>
      </c>
      <c r="AY211" s="444"/>
      <c r="AZ211" s="444"/>
      <c r="BA211" s="444"/>
      <c r="BB211" s="863">
        <f>BB207/BB206</f>
        <v>-0.29092929720575783</v>
      </c>
      <c r="BC211" s="444"/>
      <c r="BD211" s="444"/>
      <c r="BE211" s="444"/>
      <c r="BF211" s="863">
        <f>BF207/BF206</f>
        <v>-0.32925770510779917</v>
      </c>
      <c r="BG211" s="444"/>
      <c r="BH211" s="444"/>
      <c r="BI211" s="444"/>
      <c r="BJ211" s="863">
        <f>BJ207/BJ206</f>
        <v>-0.31032076650697771</v>
      </c>
      <c r="BK211" s="444"/>
      <c r="BL211" s="444"/>
      <c r="BM211" s="444"/>
      <c r="BN211" s="863">
        <f>BN207/BN206</f>
        <v>-0.29246418024718362</v>
      </c>
      <c r="BO211" s="444"/>
      <c r="BP211" s="444"/>
      <c r="BQ211" s="444"/>
      <c r="BR211" s="863">
        <f>BR207/BR206</f>
        <v>-0.29510275874837993</v>
      </c>
      <c r="BS211" s="444"/>
      <c r="BT211" s="444"/>
      <c r="BU211" s="444"/>
      <c r="BV211" s="863">
        <f>BV207/BV206</f>
        <v>-0.30395713107996702</v>
      </c>
      <c r="BW211" s="444"/>
      <c r="BX211" s="444"/>
      <c r="BY211" s="444"/>
      <c r="BZ211" s="863">
        <f>BZ207/BZ206</f>
        <v>-0.32362136343899262</v>
      </c>
      <c r="CA211" s="444"/>
      <c r="CB211" s="444"/>
      <c r="CC211" s="444"/>
      <c r="CD211" s="863">
        <f ca="1">CD207/CD206</f>
        <v>-0.29872629218443741</v>
      </c>
      <c r="CE211" s="444"/>
      <c r="CF211" s="444"/>
      <c r="CG211" s="444"/>
      <c r="CH211" s="863">
        <f ca="1">CH207/CH206</f>
        <v>-0.29851858408905585</v>
      </c>
      <c r="CI211" s="444"/>
      <c r="CJ211" s="444"/>
      <c r="CK211" s="444"/>
      <c r="CL211" s="863">
        <f ca="1">CL207/CL206</f>
        <v>-0.29831022015080499</v>
      </c>
      <c r="CM211" s="444"/>
      <c r="CN211" s="444"/>
      <c r="CO211" s="459"/>
      <c r="CP211" s="459"/>
      <c r="CQ211" s="459"/>
      <c r="CR211" s="459"/>
      <c r="CS211" s="459"/>
      <c r="CT211" s="459"/>
      <c r="CU211" s="459"/>
      <c r="CV211" s="459"/>
      <c r="CW211" s="459"/>
      <c r="CX211" s="459"/>
      <c r="CY211" s="459"/>
      <c r="CZ211" s="459"/>
      <c r="DA211" s="444"/>
      <c r="DB211" s="444"/>
      <c r="DC211" s="444"/>
      <c r="DD211" s="444"/>
      <c r="DE211" s="444"/>
      <c r="DF211" s="444"/>
      <c r="DG211" s="444"/>
      <c r="DH211" s="444"/>
      <c r="DI211" s="444"/>
      <c r="DJ211" s="444"/>
      <c r="DK211" s="444"/>
      <c r="DL211" s="444"/>
      <c r="DM211" s="444"/>
      <c r="DN211" s="444"/>
      <c r="DO211" s="444"/>
      <c r="DP211" s="444"/>
      <c r="DQ211" s="444"/>
      <c r="DR211" s="444"/>
      <c r="DS211" s="444"/>
      <c r="DT211" s="444"/>
      <c r="DU211" s="444"/>
      <c r="DV211" s="444"/>
      <c r="DW211" s="444"/>
      <c r="DX211" s="444"/>
      <c r="DY211" s="444"/>
      <c r="DZ211" s="444"/>
      <c r="EA211" s="444"/>
      <c r="EB211" s="444"/>
      <c r="EC211" s="444"/>
      <c r="ED211" s="444"/>
      <c r="EE211" s="444"/>
      <c r="EF211" s="444"/>
      <c r="EG211" s="444"/>
      <c r="EH211" s="444"/>
      <c r="EI211" s="444"/>
      <c r="EJ211" s="444"/>
      <c r="EK211" s="444"/>
      <c r="EL211" s="444"/>
      <c r="EM211" s="444"/>
      <c r="EN211" s="444"/>
      <c r="EO211" s="444"/>
      <c r="EP211" s="444"/>
      <c r="EQ211" s="444"/>
      <c r="ER211" s="444"/>
      <c r="ES211" s="444"/>
      <c r="ET211" s="444"/>
      <c r="EU211" s="444"/>
      <c r="EV211" s="444"/>
      <c r="EW211" s="444"/>
      <c r="EX211" s="444"/>
      <c r="EY211" s="444"/>
      <c r="EZ211" s="444"/>
      <c r="FA211" s="444"/>
      <c r="FB211" s="444"/>
      <c r="FC211" s="444"/>
      <c r="FD211" s="444"/>
      <c r="FE211" s="444"/>
      <c r="FF211" s="444"/>
      <c r="FG211" s="444"/>
      <c r="FH211" s="444"/>
      <c r="FI211" s="444"/>
      <c r="FJ211" s="444"/>
      <c r="FK211" s="444"/>
      <c r="FL211" s="444"/>
      <c r="FM211" s="444"/>
      <c r="FN211" s="444"/>
      <c r="FO211" s="444"/>
      <c r="FP211" s="444"/>
      <c r="FQ211" s="444"/>
      <c r="FR211" s="444"/>
      <c r="FS211" s="444"/>
      <c r="FT211" s="444"/>
      <c r="FU211" s="444"/>
      <c r="FV211" s="444"/>
      <c r="FW211" s="444"/>
    </row>
    <row r="212" spans="1:179" ht="13.8">
      <c r="A212" s="444"/>
      <c r="B212" s="444"/>
      <c r="C212" s="444"/>
      <c r="D212" s="444"/>
      <c r="E212" s="444"/>
      <c r="F212" s="444"/>
      <c r="G212" s="444"/>
      <c r="H212" s="444"/>
      <c r="I212" s="444"/>
      <c r="J212" s="444"/>
      <c r="K212" s="444"/>
      <c r="L212" s="444"/>
      <c r="M212" s="444"/>
      <c r="N212" s="444"/>
      <c r="O212" s="444"/>
      <c r="P212" s="444"/>
      <c r="Q212" s="444"/>
      <c r="R212" s="444"/>
      <c r="S212" s="444"/>
      <c r="T212" s="444"/>
      <c r="U212" s="444"/>
      <c r="V212" s="444"/>
      <c r="W212" s="444"/>
      <c r="X212" s="444"/>
      <c r="Y212" s="444"/>
      <c r="Z212" s="444"/>
      <c r="AA212" s="444"/>
      <c r="AB212" s="444"/>
      <c r="AC212" s="444"/>
      <c r="AD212" s="444"/>
      <c r="AE212" s="444"/>
      <c r="AF212" s="444"/>
      <c r="AG212" s="444"/>
      <c r="AH212" s="444"/>
      <c r="AI212" s="444"/>
      <c r="AJ212" s="444"/>
      <c r="AK212" s="444"/>
      <c r="AL212" s="444"/>
      <c r="AM212" s="444"/>
      <c r="AN212" s="444"/>
      <c r="AO212" s="444"/>
      <c r="AP212" s="444"/>
      <c r="AQ212" s="444"/>
      <c r="AR212" s="444"/>
      <c r="AS212" s="444"/>
      <c r="AT212" s="444"/>
      <c r="AU212" s="444"/>
      <c r="AV212" s="868"/>
      <c r="AW212" s="868"/>
      <c r="AX212" s="444"/>
      <c r="AY212" s="444"/>
      <c r="AZ212" s="444"/>
      <c r="BA212" s="444"/>
      <c r="BB212" s="444"/>
      <c r="BC212" s="444"/>
      <c r="BD212" s="444"/>
      <c r="BE212" s="444"/>
      <c r="BF212" s="444"/>
      <c r="BG212" s="444"/>
      <c r="BH212" s="444"/>
      <c r="BI212" s="444"/>
      <c r="BJ212" s="444"/>
      <c r="BK212" s="444"/>
      <c r="BL212" s="444"/>
      <c r="BM212" s="444"/>
      <c r="BN212" s="444"/>
      <c r="BO212" s="444"/>
      <c r="BP212" s="444"/>
      <c r="BQ212" s="444"/>
      <c r="BR212" s="444"/>
      <c r="BS212" s="444"/>
      <c r="BT212" s="444"/>
      <c r="BU212" s="444"/>
      <c r="BV212" s="444"/>
      <c r="BW212" s="444"/>
      <c r="BX212" s="444"/>
      <c r="BY212" s="444"/>
      <c r="BZ212" s="444"/>
      <c r="CA212" s="444"/>
      <c r="CB212" s="444"/>
      <c r="CC212" s="444"/>
      <c r="CD212" s="444"/>
      <c r="CE212" s="444"/>
      <c r="CF212" s="444"/>
      <c r="CG212" s="444"/>
      <c r="CH212" s="444"/>
      <c r="CI212" s="444"/>
      <c r="CJ212" s="444"/>
      <c r="CK212" s="444"/>
      <c r="CL212" s="444"/>
      <c r="CM212" s="444"/>
      <c r="CN212" s="444"/>
      <c r="CO212" s="459"/>
      <c r="CP212" s="459"/>
      <c r="CQ212" s="459"/>
      <c r="CR212" s="459"/>
      <c r="CS212" s="459"/>
      <c r="CT212" s="459"/>
      <c r="CU212" s="459"/>
      <c r="CV212" s="459"/>
      <c r="CW212" s="459"/>
      <c r="CX212" s="459"/>
      <c r="CY212" s="459"/>
      <c r="CZ212" s="459"/>
      <c r="DA212" s="444"/>
      <c r="DB212" s="444"/>
      <c r="DC212" s="444"/>
      <c r="DD212" s="444"/>
      <c r="DE212" s="444"/>
      <c r="DF212" s="444"/>
      <c r="DG212" s="444"/>
      <c r="DH212" s="444"/>
      <c r="DI212" s="444"/>
      <c r="DJ212" s="444"/>
      <c r="DK212" s="444"/>
      <c r="DL212" s="444"/>
      <c r="DM212" s="444"/>
      <c r="DN212" s="444"/>
      <c r="DO212" s="444"/>
      <c r="DP212" s="444"/>
      <c r="DQ212" s="444"/>
      <c r="DR212" s="444"/>
      <c r="DS212" s="444"/>
      <c r="DT212" s="444"/>
      <c r="DU212" s="444"/>
      <c r="DV212" s="444"/>
      <c r="DW212" s="444"/>
      <c r="DX212" s="444"/>
      <c r="DY212" s="444"/>
      <c r="DZ212" s="444"/>
      <c r="EA212" s="444"/>
      <c r="EB212" s="444"/>
      <c r="EC212" s="444"/>
      <c r="ED212" s="444"/>
      <c r="EE212" s="444"/>
      <c r="EF212" s="444"/>
      <c r="EG212" s="444"/>
      <c r="EH212" s="444"/>
      <c r="EI212" s="444"/>
      <c r="EJ212" s="444"/>
      <c r="EK212" s="444"/>
      <c r="EL212" s="444"/>
      <c r="EM212" s="444"/>
      <c r="EN212" s="444"/>
      <c r="EO212" s="444"/>
      <c r="EP212" s="444"/>
      <c r="EQ212" s="444"/>
      <c r="ER212" s="444"/>
      <c r="ES212" s="444"/>
      <c r="ET212" s="444"/>
      <c r="EU212" s="444"/>
      <c r="EV212" s="444"/>
      <c r="EW212" s="444"/>
      <c r="EX212" s="444"/>
      <c r="EY212" s="444"/>
      <c r="EZ212" s="444"/>
      <c r="FA212" s="444"/>
      <c r="FB212" s="444"/>
      <c r="FC212" s="444"/>
      <c r="FD212" s="444"/>
      <c r="FE212" s="444"/>
      <c r="FF212" s="444"/>
      <c r="FG212" s="444"/>
      <c r="FH212" s="444"/>
      <c r="FI212" s="444"/>
      <c r="FJ212" s="444"/>
      <c r="FK212" s="444"/>
      <c r="FL212" s="444"/>
      <c r="FM212" s="444"/>
      <c r="FN212" s="444"/>
      <c r="FO212" s="444"/>
      <c r="FP212" s="444"/>
      <c r="FQ212" s="444"/>
      <c r="FR212" s="444"/>
      <c r="FS212" s="444"/>
      <c r="FT212" s="444"/>
      <c r="FU212" s="444"/>
      <c r="FV212" s="444"/>
      <c r="FW212" s="444"/>
    </row>
    <row r="213" spans="1:179" ht="13.8">
      <c r="A213" s="444"/>
      <c r="B213" s="444"/>
      <c r="C213" s="444"/>
      <c r="D213" s="444"/>
      <c r="E213" s="444"/>
      <c r="F213" s="444"/>
      <c r="G213" s="444"/>
      <c r="H213" s="444"/>
      <c r="I213" s="444"/>
      <c r="J213" s="444"/>
      <c r="K213" s="444"/>
      <c r="L213" s="444"/>
      <c r="M213" s="444"/>
      <c r="N213" s="444"/>
      <c r="O213" s="444"/>
      <c r="P213" s="444"/>
      <c r="Q213" s="444"/>
      <c r="R213" s="444"/>
      <c r="S213" s="444"/>
      <c r="T213" s="444"/>
      <c r="U213" s="444"/>
      <c r="V213" s="444"/>
      <c r="W213" s="444"/>
      <c r="X213" s="444"/>
      <c r="Y213" s="444"/>
      <c r="Z213" s="444"/>
      <c r="AA213" s="444"/>
      <c r="AB213" s="444"/>
      <c r="AC213" s="444"/>
      <c r="AD213" s="444"/>
      <c r="AE213" s="444"/>
      <c r="AF213" s="444"/>
      <c r="AG213" s="444"/>
      <c r="AH213" s="444"/>
      <c r="AI213" s="444"/>
      <c r="AJ213" s="444"/>
      <c r="AK213" s="444"/>
      <c r="AL213" s="444"/>
      <c r="AM213" s="444"/>
      <c r="AN213" s="444"/>
      <c r="AO213" s="444"/>
      <c r="AP213" s="444"/>
      <c r="AQ213" s="444"/>
      <c r="AR213" s="444"/>
      <c r="AS213" s="444"/>
      <c r="AT213" s="444"/>
      <c r="AU213" s="444"/>
      <c r="AV213" s="868"/>
      <c r="AW213" s="868"/>
      <c r="AX213" s="444"/>
      <c r="AY213" s="444"/>
      <c r="AZ213" s="444"/>
      <c r="BA213" s="444"/>
      <c r="BB213" s="444"/>
      <c r="BC213" s="444"/>
      <c r="BD213" s="444"/>
      <c r="BE213" s="444"/>
      <c r="BF213" s="444"/>
      <c r="BG213" s="444"/>
      <c r="BH213" s="444"/>
      <c r="BI213" s="444"/>
      <c r="BJ213" s="444"/>
      <c r="BK213" s="444"/>
      <c r="BL213" s="444"/>
      <c r="BM213" s="444"/>
      <c r="BN213" s="444"/>
      <c r="BO213" s="444"/>
      <c r="BP213" s="444"/>
      <c r="BQ213" s="444"/>
      <c r="BR213" s="444"/>
      <c r="BS213" s="444"/>
      <c r="BT213" s="444"/>
      <c r="BU213" s="444"/>
      <c r="BV213" s="444"/>
      <c r="BW213" s="444"/>
      <c r="BX213" s="444"/>
      <c r="BY213" s="444"/>
      <c r="BZ213" s="444"/>
      <c r="CA213" s="444"/>
      <c r="CB213" s="444"/>
      <c r="CC213" s="444"/>
      <c r="CD213" s="444"/>
      <c r="CE213" s="444"/>
      <c r="CF213" s="444"/>
      <c r="CG213" s="444"/>
      <c r="CH213" s="444"/>
      <c r="CI213" s="444"/>
      <c r="CJ213" s="444"/>
      <c r="CK213" s="444"/>
      <c r="CL213" s="444"/>
      <c r="CM213" s="444"/>
      <c r="CN213" s="444"/>
      <c r="CO213" s="459"/>
      <c r="CP213" s="459"/>
      <c r="CQ213" s="459"/>
      <c r="CR213" s="459"/>
      <c r="CS213" s="459"/>
      <c r="CT213" s="459"/>
      <c r="CU213" s="459"/>
      <c r="CV213" s="459"/>
      <c r="CW213" s="459"/>
      <c r="CX213" s="459"/>
      <c r="CY213" s="459"/>
      <c r="CZ213" s="459"/>
      <c r="DA213" s="444"/>
      <c r="DB213" s="444"/>
      <c r="DC213" s="444"/>
      <c r="DD213" s="444"/>
      <c r="DE213" s="444"/>
      <c r="DF213" s="444"/>
      <c r="DG213" s="444"/>
      <c r="DH213" s="444"/>
      <c r="DI213" s="444"/>
      <c r="DJ213" s="444"/>
      <c r="DK213" s="444"/>
      <c r="DL213" s="444"/>
      <c r="DM213" s="444"/>
      <c r="DN213" s="444"/>
      <c r="DO213" s="444"/>
      <c r="DP213" s="444"/>
      <c r="DQ213" s="444"/>
      <c r="DR213" s="444"/>
      <c r="DS213" s="444"/>
      <c r="DT213" s="444"/>
      <c r="DU213" s="444"/>
      <c r="DV213" s="444"/>
      <c r="DW213" s="444"/>
      <c r="DX213" s="444"/>
      <c r="DY213" s="444"/>
      <c r="DZ213" s="444"/>
      <c r="EA213" s="444"/>
      <c r="EB213" s="444"/>
      <c r="EC213" s="444"/>
      <c r="ED213" s="444"/>
      <c r="EE213" s="444"/>
      <c r="EF213" s="444"/>
      <c r="EG213" s="444"/>
      <c r="EH213" s="444"/>
      <c r="EI213" s="444"/>
      <c r="EJ213" s="444"/>
      <c r="EK213" s="444"/>
      <c r="EL213" s="444"/>
      <c r="EM213" s="444"/>
      <c r="EN213" s="444"/>
      <c r="EO213" s="444"/>
      <c r="EP213" s="444"/>
      <c r="EQ213" s="444"/>
      <c r="ER213" s="444"/>
      <c r="ES213" s="444"/>
      <c r="ET213" s="444"/>
      <c r="EU213" s="444"/>
      <c r="EV213" s="444"/>
      <c r="EW213" s="444"/>
      <c r="EX213" s="444"/>
      <c r="EY213" s="444"/>
      <c r="EZ213" s="444"/>
      <c r="FA213" s="444"/>
      <c r="FB213" s="444"/>
      <c r="FC213" s="444"/>
      <c r="FD213" s="444"/>
      <c r="FE213" s="444"/>
      <c r="FF213" s="444"/>
      <c r="FG213" s="444"/>
      <c r="FH213" s="444"/>
      <c r="FI213" s="444"/>
      <c r="FJ213" s="444"/>
      <c r="FK213" s="444"/>
      <c r="FL213" s="444"/>
      <c r="FM213" s="444"/>
      <c r="FN213" s="444"/>
      <c r="FO213" s="444"/>
      <c r="FP213" s="444"/>
      <c r="FQ213" s="444"/>
      <c r="FR213" s="444"/>
      <c r="FS213" s="444"/>
      <c r="FT213" s="444"/>
      <c r="FU213" s="444"/>
      <c r="FV213" s="444"/>
      <c r="FW213" s="444"/>
    </row>
    <row r="214" spans="1:179" ht="13.8">
      <c r="A214" s="444"/>
      <c r="B214" s="444"/>
      <c r="C214" s="444"/>
      <c r="D214" s="444"/>
      <c r="E214" s="444"/>
      <c r="F214" s="444"/>
      <c r="G214" s="444"/>
      <c r="H214" s="444"/>
      <c r="I214" s="444"/>
      <c r="J214" s="444"/>
      <c r="K214" s="444"/>
      <c r="L214" s="444"/>
      <c r="M214" s="444"/>
      <c r="N214" s="444"/>
      <c r="O214" s="444"/>
      <c r="P214" s="444"/>
      <c r="Q214" s="444"/>
      <c r="R214" s="444"/>
      <c r="S214" s="444"/>
      <c r="T214" s="444"/>
      <c r="U214" s="444"/>
      <c r="V214" s="444"/>
      <c r="W214" s="444"/>
      <c r="X214" s="444"/>
      <c r="Y214" s="444"/>
      <c r="Z214" s="444"/>
      <c r="AA214" s="444"/>
      <c r="AB214" s="444"/>
      <c r="AC214" s="444"/>
      <c r="AD214" s="444"/>
      <c r="AE214" s="444"/>
      <c r="AF214" s="444"/>
      <c r="AG214" s="444"/>
      <c r="AH214" s="444"/>
      <c r="AI214" s="444"/>
      <c r="AJ214" s="444"/>
      <c r="AK214" s="444"/>
      <c r="AL214" s="444"/>
      <c r="AM214" s="444"/>
      <c r="AN214" s="444"/>
      <c r="AO214" s="444"/>
      <c r="AP214" s="444"/>
      <c r="AQ214" s="444"/>
      <c r="AR214" s="444"/>
      <c r="AS214" s="444"/>
      <c r="AT214" s="444"/>
      <c r="AU214" s="444"/>
      <c r="AV214" s="868"/>
      <c r="AW214" s="868"/>
      <c r="AX214" s="444"/>
      <c r="AY214" s="444"/>
      <c r="AZ214" s="444"/>
      <c r="BA214" s="444"/>
      <c r="BB214" s="444"/>
      <c r="BC214" s="444"/>
      <c r="BD214" s="444"/>
      <c r="BE214" s="444"/>
      <c r="BF214" s="444"/>
      <c r="BG214" s="444"/>
      <c r="BH214" s="444"/>
      <c r="BI214" s="444"/>
      <c r="BJ214" s="444"/>
      <c r="BK214" s="444"/>
      <c r="BL214" s="444"/>
      <c r="BM214" s="444"/>
      <c r="BN214" s="444"/>
      <c r="BO214" s="444"/>
      <c r="BP214" s="444"/>
      <c r="BQ214" s="444"/>
      <c r="BR214" s="444"/>
      <c r="BS214" s="444"/>
      <c r="BT214" s="444"/>
      <c r="BU214" s="444"/>
      <c r="BV214" s="444"/>
      <c r="BW214" s="444"/>
      <c r="BX214" s="444"/>
      <c r="BY214" s="444"/>
      <c r="BZ214" s="444"/>
      <c r="CA214" s="444"/>
      <c r="CB214" s="444"/>
      <c r="CC214" s="444"/>
      <c r="CD214" s="444"/>
      <c r="CE214" s="444"/>
      <c r="CF214" s="444"/>
      <c r="CG214" s="444"/>
      <c r="CH214" s="444"/>
      <c r="CI214" s="444"/>
      <c r="CJ214" s="444"/>
      <c r="CK214" s="444"/>
      <c r="CL214" s="444"/>
      <c r="CM214" s="444"/>
      <c r="CN214" s="444"/>
      <c r="CO214" s="459"/>
      <c r="CP214" s="459"/>
      <c r="CQ214" s="459"/>
      <c r="CR214" s="459"/>
      <c r="CS214" s="459"/>
      <c r="CT214" s="459"/>
      <c r="CU214" s="459"/>
      <c r="CV214" s="459"/>
      <c r="CW214" s="459"/>
      <c r="CX214" s="459"/>
      <c r="CY214" s="459"/>
      <c r="CZ214" s="459"/>
      <c r="DA214" s="444"/>
      <c r="DB214" s="444"/>
      <c r="DC214" s="444"/>
      <c r="DD214" s="444"/>
      <c r="DE214" s="444"/>
      <c r="DF214" s="444"/>
      <c r="DG214" s="444"/>
      <c r="DH214" s="444"/>
      <c r="DI214" s="444"/>
      <c r="DJ214" s="444"/>
      <c r="DK214" s="444"/>
      <c r="DL214" s="444"/>
      <c r="DM214" s="444"/>
      <c r="DN214" s="444"/>
      <c r="DO214" s="444"/>
      <c r="DP214" s="444"/>
      <c r="DQ214" s="444"/>
      <c r="DR214" s="444"/>
      <c r="DS214" s="444"/>
      <c r="DT214" s="444"/>
      <c r="DU214" s="444"/>
      <c r="DV214" s="444"/>
      <c r="DW214" s="444"/>
      <c r="DX214" s="444"/>
      <c r="DY214" s="444"/>
      <c r="DZ214" s="444"/>
      <c r="EA214" s="444"/>
      <c r="EB214" s="444"/>
      <c r="EC214" s="444"/>
      <c r="ED214" s="444"/>
      <c r="EE214" s="444"/>
      <c r="EF214" s="444"/>
      <c r="EG214" s="444"/>
      <c r="EH214" s="444"/>
      <c r="EI214" s="444"/>
      <c r="EJ214" s="444"/>
      <c r="EK214" s="444"/>
      <c r="EL214" s="444"/>
      <c r="EM214" s="444"/>
      <c r="EN214" s="444"/>
      <c r="EO214" s="444"/>
      <c r="EP214" s="444"/>
      <c r="EQ214" s="444"/>
      <c r="ER214" s="444"/>
      <c r="ES214" s="444"/>
      <c r="ET214" s="444"/>
      <c r="EU214" s="444"/>
      <c r="EV214" s="444"/>
      <c r="EW214" s="444"/>
      <c r="EX214" s="444"/>
      <c r="EY214" s="444"/>
      <c r="EZ214" s="444"/>
      <c r="FA214" s="444"/>
      <c r="FB214" s="444"/>
      <c r="FC214" s="444"/>
      <c r="FD214" s="444"/>
      <c r="FE214" s="444"/>
      <c r="FF214" s="444"/>
      <c r="FG214" s="444"/>
      <c r="FH214" s="444"/>
      <c r="FI214" s="444"/>
      <c r="FJ214" s="444"/>
      <c r="FK214" s="444"/>
      <c r="FL214" s="444"/>
      <c r="FM214" s="444"/>
      <c r="FN214" s="444"/>
      <c r="FO214" s="444"/>
      <c r="FP214" s="444"/>
      <c r="FQ214" s="444"/>
      <c r="FR214" s="444"/>
      <c r="FS214" s="444"/>
      <c r="FT214" s="444"/>
      <c r="FU214" s="444"/>
      <c r="FV214" s="444"/>
      <c r="FW214" s="444"/>
    </row>
    <row r="215" spans="1:179" ht="13.8">
      <c r="A215" s="444"/>
      <c r="B215" s="444"/>
      <c r="C215" s="444"/>
      <c r="D215" s="444"/>
      <c r="E215" s="444"/>
      <c r="F215" s="444"/>
      <c r="G215" s="444"/>
      <c r="H215" s="444"/>
      <c r="I215" s="444"/>
      <c r="J215" s="444"/>
      <c r="K215" s="444"/>
      <c r="L215" s="444"/>
      <c r="M215" s="444"/>
      <c r="N215" s="444"/>
      <c r="O215" s="444"/>
      <c r="P215" s="444"/>
      <c r="Q215" s="444"/>
      <c r="R215" s="444"/>
      <c r="S215" s="444"/>
      <c r="T215" s="444"/>
      <c r="U215" s="444"/>
      <c r="V215" s="444"/>
      <c r="W215" s="444"/>
      <c r="X215" s="444"/>
      <c r="Y215" s="444"/>
      <c r="Z215" s="444"/>
      <c r="AA215" s="444"/>
      <c r="AB215" s="444"/>
      <c r="AC215" s="444"/>
      <c r="AD215" s="444"/>
      <c r="AE215" s="444"/>
      <c r="AF215" s="444"/>
      <c r="AG215" s="444"/>
      <c r="AH215" s="444"/>
      <c r="AI215" s="444"/>
      <c r="AJ215" s="444"/>
      <c r="AK215" s="444"/>
      <c r="AL215" s="444"/>
      <c r="AM215" s="444"/>
      <c r="AN215" s="444"/>
      <c r="AO215" s="444"/>
      <c r="AP215" s="444"/>
      <c r="AQ215" s="444"/>
      <c r="AR215" s="444"/>
      <c r="AS215" s="444"/>
      <c r="AT215" s="444"/>
      <c r="AU215" s="444"/>
      <c r="AV215" s="868"/>
      <c r="AW215" s="868"/>
      <c r="AX215" s="444"/>
      <c r="AY215" s="444"/>
      <c r="AZ215" s="863"/>
      <c r="BA215" s="444"/>
      <c r="BB215" s="444"/>
      <c r="BC215" s="444"/>
      <c r="BD215" s="444"/>
      <c r="BE215" s="444"/>
      <c r="BF215" s="444"/>
      <c r="BG215" s="444"/>
      <c r="BH215" s="444"/>
      <c r="BI215" s="444"/>
      <c r="BJ215" s="444"/>
      <c r="BK215" s="444"/>
      <c r="BL215" s="444"/>
      <c r="BM215" s="444"/>
      <c r="BN215" s="444"/>
      <c r="BO215" s="444"/>
      <c r="BP215" s="444"/>
      <c r="BQ215" s="444"/>
      <c r="BR215" s="444"/>
      <c r="BS215" s="444"/>
      <c r="BT215" s="444"/>
      <c r="BU215" s="444"/>
      <c r="BV215" s="444"/>
      <c r="BW215" s="444"/>
      <c r="BX215" s="444"/>
      <c r="BY215" s="444"/>
      <c r="BZ215" s="444"/>
      <c r="CA215" s="444"/>
      <c r="CB215" s="444"/>
      <c r="CC215" s="444"/>
      <c r="CD215" s="444"/>
      <c r="CE215" s="444"/>
      <c r="CF215" s="444"/>
      <c r="CG215" s="444"/>
      <c r="CH215" s="444"/>
      <c r="CI215" s="444"/>
      <c r="CJ215" s="444"/>
      <c r="CK215" s="444"/>
      <c r="CL215" s="444"/>
      <c r="FL215" s="444"/>
      <c r="FM215" s="444"/>
      <c r="FN215" s="444"/>
      <c r="FO215" s="444"/>
      <c r="FP215" s="444"/>
      <c r="FQ215" s="444"/>
      <c r="FR215" s="444"/>
      <c r="FS215" s="444"/>
      <c r="FT215" s="444"/>
      <c r="FU215" s="444"/>
      <c r="FV215" s="444"/>
      <c r="FW215" s="444"/>
    </row>
    <row r="216" spans="1:179" ht="13.8">
      <c r="A216" s="444"/>
      <c r="B216" s="444"/>
      <c r="C216" s="444"/>
      <c r="D216" s="444"/>
      <c r="E216" s="444"/>
      <c r="F216" s="444"/>
      <c r="G216" s="444"/>
      <c r="H216" s="444"/>
      <c r="I216" s="444"/>
      <c r="J216" s="444"/>
      <c r="K216" s="444"/>
      <c r="L216" s="444"/>
      <c r="M216" s="444"/>
      <c r="N216" s="444"/>
      <c r="O216" s="444"/>
      <c r="P216" s="444"/>
      <c r="Q216" s="444"/>
      <c r="R216" s="444"/>
      <c r="S216" s="444"/>
      <c r="T216" s="444"/>
      <c r="U216" s="444"/>
      <c r="V216" s="444"/>
      <c r="W216" s="444"/>
      <c r="X216" s="444"/>
      <c r="Y216" s="444"/>
      <c r="Z216" s="444"/>
      <c r="AA216" s="444"/>
      <c r="AB216" s="444"/>
      <c r="AC216" s="444"/>
      <c r="AD216" s="444"/>
      <c r="AE216" s="444"/>
      <c r="AF216" s="444"/>
      <c r="AG216" s="444"/>
      <c r="AH216" s="444"/>
      <c r="AI216" s="444"/>
      <c r="AJ216" s="444"/>
      <c r="AK216" s="444"/>
      <c r="AL216" s="444"/>
      <c r="AM216" s="444"/>
      <c r="AN216" s="444"/>
      <c r="AO216" s="444"/>
      <c r="AP216" s="444"/>
      <c r="AQ216" s="444"/>
      <c r="AR216" s="444"/>
      <c r="AS216" s="444"/>
      <c r="AT216" s="444"/>
      <c r="AU216" s="444"/>
      <c r="AV216" s="890" t="str">
        <f>AV172</f>
        <v>1H18</v>
      </c>
      <c r="AW216" s="890" t="str">
        <f>AW172</f>
        <v>2H18</v>
      </c>
      <c r="AX216" s="890" t="str">
        <f>AX172</f>
        <v>FY18</v>
      </c>
      <c r="AY216" s="444"/>
      <c r="AZ216" s="890" t="str">
        <f>AZ172</f>
        <v>1H19</v>
      </c>
      <c r="BA216" s="890" t="str">
        <f>BA172</f>
        <v>2H19</v>
      </c>
      <c r="BB216" s="890" t="str">
        <f>BB172</f>
        <v>FY19</v>
      </c>
      <c r="BC216" s="890"/>
      <c r="BD216" s="890" t="str">
        <f>BD172</f>
        <v>1H20</v>
      </c>
      <c r="BE216" s="890" t="str">
        <f>BE172</f>
        <v>2H20</v>
      </c>
      <c r="BF216" s="890" t="str">
        <f>BF172</f>
        <v>FY20</v>
      </c>
      <c r="BG216" s="444"/>
      <c r="BH216" s="890" t="str">
        <f>BH172</f>
        <v>1H21</v>
      </c>
      <c r="BI216" s="890" t="str">
        <f>BI172</f>
        <v>2H21</v>
      </c>
      <c r="BJ216" s="890" t="str">
        <f>BJ172</f>
        <v>FY21</v>
      </c>
      <c r="BK216" s="444"/>
      <c r="BL216" s="890" t="str">
        <f>BL172</f>
        <v>1H22</v>
      </c>
      <c r="BM216" s="890" t="str">
        <f>BM172</f>
        <v>2H22</v>
      </c>
      <c r="BN216" s="890" t="str">
        <f>BN172</f>
        <v>FY22</v>
      </c>
      <c r="BO216" s="444"/>
      <c r="BP216" s="890" t="str">
        <f>BP172</f>
        <v>1H23</v>
      </c>
      <c r="BQ216" s="890" t="str">
        <f>BQ172</f>
        <v>2H23</v>
      </c>
      <c r="BR216" s="890" t="str">
        <f>BR172</f>
        <v>FY23</v>
      </c>
      <c r="BS216" s="444"/>
      <c r="BT216" s="890" t="str">
        <f>BT172</f>
        <v>1H24</v>
      </c>
      <c r="BU216" s="890" t="str">
        <f>BU172</f>
        <v>2H24</v>
      </c>
      <c r="BV216" s="890" t="str">
        <f>BV172</f>
        <v>FY24</v>
      </c>
      <c r="BW216" s="444"/>
      <c r="BX216" s="890" t="str">
        <f>BX172</f>
        <v>1H25</v>
      </c>
      <c r="BY216" s="890" t="str">
        <f>BY172</f>
        <v>2H25</v>
      </c>
      <c r="BZ216" s="890" t="str">
        <f>BZ172</f>
        <v>FY25</v>
      </c>
      <c r="CA216" s="444"/>
      <c r="CB216" s="890" t="str">
        <f>CB172</f>
        <v>1H26E</v>
      </c>
      <c r="CC216" s="890" t="str">
        <f>CC172</f>
        <v>2H26E</v>
      </c>
      <c r="CD216" s="890" t="str">
        <f>CD172</f>
        <v>FY26E</v>
      </c>
      <c r="CE216" s="444"/>
      <c r="CF216" s="890" t="str">
        <f>CF172</f>
        <v>1H27E</v>
      </c>
      <c r="CG216" s="890" t="str">
        <f>CG172</f>
        <v>2H27E</v>
      </c>
      <c r="CH216" s="890" t="str">
        <f>CH172</f>
        <v>FY27E</v>
      </c>
      <c r="CI216" s="444"/>
      <c r="CJ216" s="890" t="str">
        <f>CJ172</f>
        <v>1H28E</v>
      </c>
      <c r="CK216" s="890" t="str">
        <f>CK172</f>
        <v>2H28E</v>
      </c>
      <c r="CL216" s="890" t="str">
        <f>CL172</f>
        <v>FY28E</v>
      </c>
      <c r="FL216" s="444"/>
      <c r="FM216" s="444"/>
      <c r="FN216" s="444"/>
      <c r="FO216" s="444"/>
      <c r="FP216" s="444"/>
      <c r="FQ216" s="444"/>
      <c r="FR216" s="444"/>
      <c r="FS216" s="444"/>
      <c r="FT216" s="444"/>
      <c r="FU216" s="444"/>
      <c r="FV216" s="444"/>
      <c r="FW216" s="444"/>
    </row>
    <row r="217" spans="1:179" ht="13.8">
      <c r="C217" s="584" t="s">
        <v>941</v>
      </c>
      <c r="D217" s="444"/>
      <c r="E217" s="444"/>
      <c r="F217" s="444"/>
      <c r="G217" s="444"/>
      <c r="H217" s="444"/>
      <c r="I217" s="444"/>
      <c r="J217" s="444"/>
      <c r="K217" s="444"/>
      <c r="L217" s="444"/>
      <c r="M217" s="444"/>
      <c r="N217" s="444"/>
      <c r="O217" s="444"/>
      <c r="P217" s="444"/>
      <c r="Q217" s="444"/>
      <c r="R217" s="444"/>
      <c r="S217" s="444"/>
      <c r="T217" s="444"/>
      <c r="U217" s="444"/>
      <c r="V217" s="444"/>
      <c r="W217" s="444"/>
      <c r="X217" s="444"/>
      <c r="Y217" s="444"/>
      <c r="Z217" s="444"/>
      <c r="AA217" s="444"/>
      <c r="AB217" s="444"/>
      <c r="AC217" s="444"/>
      <c r="AD217" s="444"/>
      <c r="AE217" s="444"/>
      <c r="AF217" s="444"/>
      <c r="AG217" s="444"/>
      <c r="AH217" s="444"/>
      <c r="AI217" s="444"/>
      <c r="AJ217" s="444"/>
      <c r="AK217" s="444"/>
      <c r="AL217" s="444"/>
      <c r="AM217" s="444"/>
      <c r="AN217" s="444"/>
      <c r="AO217" s="444"/>
      <c r="AP217" s="444"/>
      <c r="AQ217" s="444"/>
      <c r="AR217" s="444"/>
      <c r="AS217" s="444"/>
      <c r="AT217" s="444"/>
      <c r="AU217" s="444"/>
      <c r="AV217" s="444"/>
      <c r="AW217" s="444"/>
      <c r="AX217" s="444"/>
      <c r="AY217" s="444"/>
      <c r="AZ217" s="444"/>
      <c r="BA217" s="444"/>
      <c r="BB217" s="444"/>
      <c r="BC217" s="444"/>
      <c r="BD217" s="444"/>
      <c r="BE217" s="444"/>
      <c r="BF217" s="444"/>
      <c r="BG217" s="444"/>
      <c r="BH217" s="444"/>
      <c r="BI217" s="444"/>
      <c r="BJ217" s="444"/>
      <c r="BK217" s="444"/>
      <c r="BL217" s="444"/>
      <c r="BM217" s="444"/>
      <c r="BN217" s="444"/>
      <c r="BO217" s="444"/>
      <c r="BP217" s="444"/>
      <c r="BQ217" s="444"/>
      <c r="BR217" s="444"/>
      <c r="BS217" s="444"/>
      <c r="BT217" s="444"/>
      <c r="BU217" s="444"/>
      <c r="BV217" s="444"/>
      <c r="BW217" s="444"/>
      <c r="BX217" s="444"/>
      <c r="BY217" s="444"/>
      <c r="BZ217" s="444"/>
      <c r="CA217" s="444"/>
      <c r="CB217" s="444"/>
      <c r="CC217" s="444"/>
      <c r="CD217" s="444"/>
      <c r="CE217" s="444"/>
      <c r="CF217" s="444"/>
      <c r="CG217" s="444"/>
      <c r="CH217" s="444"/>
      <c r="CI217" s="444"/>
      <c r="CJ217" s="444"/>
      <c r="CK217" s="444"/>
      <c r="CL217" s="444"/>
    </row>
    <row r="218" spans="1:179" ht="13.8">
      <c r="C218" s="444" t="s">
        <v>282</v>
      </c>
      <c r="D218" s="444"/>
      <c r="E218" s="444"/>
      <c r="F218" s="444"/>
      <c r="G218" s="444"/>
      <c r="H218" s="444"/>
      <c r="I218" s="444"/>
      <c r="J218" s="444"/>
      <c r="K218" s="444"/>
      <c r="L218" s="444"/>
      <c r="M218" s="444"/>
      <c r="N218" s="444"/>
      <c r="O218" s="444"/>
      <c r="P218" s="444"/>
      <c r="Q218" s="444"/>
      <c r="R218" s="444"/>
      <c r="S218" s="444"/>
      <c r="T218" s="444"/>
      <c r="U218" s="444"/>
      <c r="V218" s="444"/>
      <c r="W218" s="444"/>
      <c r="X218" s="444"/>
      <c r="Y218" s="444"/>
      <c r="Z218" s="444"/>
      <c r="AA218" s="444"/>
      <c r="AB218" s="444"/>
      <c r="AC218" s="444"/>
      <c r="AD218" s="444"/>
      <c r="AE218" s="444"/>
      <c r="AF218" s="444"/>
      <c r="AG218" s="444"/>
      <c r="AH218" s="444"/>
      <c r="AI218" s="444"/>
      <c r="AJ218" s="444"/>
      <c r="AK218" s="444"/>
      <c r="AL218" s="444"/>
      <c r="AM218" s="444"/>
      <c r="AN218" s="444"/>
      <c r="AO218" s="444"/>
      <c r="AP218" s="444"/>
      <c r="AQ218" s="444"/>
      <c r="AR218" s="444"/>
      <c r="AS218" s="444"/>
      <c r="AT218" s="444"/>
      <c r="AU218" s="444"/>
      <c r="AV218" s="483">
        <f>AV7-AV174</f>
        <v>7369</v>
      </c>
      <c r="AW218" s="483">
        <f>AW7-AW174</f>
        <v>7250</v>
      </c>
      <c r="AX218" s="483">
        <f>AX7-AX174</f>
        <v>14619</v>
      </c>
      <c r="AY218" s="444"/>
      <c r="AZ218" s="483">
        <f>AZ7-AZ174</f>
        <v>7321</v>
      </c>
      <c r="BA218" s="483">
        <f>BA7-BA174</f>
        <v>7159</v>
      </c>
      <c r="BB218" s="483">
        <f>BB7-BB174</f>
        <v>14480</v>
      </c>
      <c r="BC218" s="444"/>
      <c r="BD218" s="444"/>
      <c r="BE218" s="444"/>
      <c r="BF218" s="483">
        <f>BF7-BF174</f>
        <v>14155</v>
      </c>
      <c r="BG218" s="444"/>
      <c r="BH218" s="444"/>
      <c r="BI218" s="444"/>
      <c r="BJ218" s="483">
        <f>BJ7-BJ174</f>
        <v>14247</v>
      </c>
      <c r="BK218" s="444"/>
      <c r="BL218" s="444"/>
      <c r="BM218" s="444"/>
      <c r="BN218" s="483">
        <f>BN7-BN174</f>
        <v>14874</v>
      </c>
      <c r="BO218" s="444"/>
      <c r="BP218" s="444"/>
      <c r="BQ218" s="444"/>
      <c r="BR218" s="483">
        <f>BR7-BR174</f>
        <v>16592</v>
      </c>
      <c r="BS218" s="444"/>
      <c r="BT218" s="444"/>
      <c r="BU218" s="444"/>
      <c r="BV218" s="483">
        <f>BV7-BV174</f>
        <v>16069</v>
      </c>
      <c r="BW218" s="444"/>
      <c r="BX218" s="444"/>
      <c r="BY218" s="444"/>
      <c r="BZ218" s="483">
        <f>BZ7-BZ174</f>
        <v>17961</v>
      </c>
      <c r="CA218" s="444"/>
      <c r="CB218" s="444"/>
      <c r="CC218" s="444"/>
      <c r="CD218" s="483">
        <f ca="1">CD7-CD174</f>
        <v>18490.851554886249</v>
      </c>
      <c r="CE218" s="444"/>
      <c r="CF218" s="444"/>
      <c r="CG218" s="444"/>
      <c r="CH218" s="483">
        <f ca="1">CH7-CH174</f>
        <v>19125.018144844169</v>
      </c>
      <c r="CI218" s="444"/>
      <c r="CJ218" s="444"/>
      <c r="CK218" s="444"/>
      <c r="CL218" s="483">
        <f ca="1">CL7-CL174</f>
        <v>19914.567779208657</v>
      </c>
    </row>
    <row r="219" spans="1:179" ht="13.8">
      <c r="C219" s="465" t="s">
        <v>343</v>
      </c>
      <c r="AV219" s="483">
        <f t="shared" ref="AV219:AX221" si="167">AV10</f>
        <v>1335</v>
      </c>
      <c r="AW219" s="483">
        <f t="shared" si="167"/>
        <v>1289</v>
      </c>
      <c r="AX219" s="483">
        <f t="shared" si="167"/>
        <v>2624</v>
      </c>
      <c r="AY219" s="444"/>
      <c r="AZ219" s="483">
        <f t="shared" ref="AZ219:BB221" si="168">AZ10</f>
        <v>1218</v>
      </c>
      <c r="BA219" s="483">
        <f t="shared" si="168"/>
        <v>1275</v>
      </c>
      <c r="BB219" s="483">
        <f t="shared" si="168"/>
        <v>2493</v>
      </c>
      <c r="BC219" s="444"/>
      <c r="BD219" s="444"/>
      <c r="BE219" s="444"/>
      <c r="BF219" s="483">
        <f>BF10</f>
        <v>2215</v>
      </c>
      <c r="BG219" s="444"/>
      <c r="BH219" s="444"/>
      <c r="BI219" s="444"/>
      <c r="BJ219" s="483">
        <f>BJ10</f>
        <v>2063</v>
      </c>
      <c r="BK219" s="444"/>
      <c r="BL219" s="444"/>
      <c r="BM219" s="444"/>
      <c r="BN219" s="483">
        <f>BN10</f>
        <v>1907</v>
      </c>
      <c r="BO219" s="444"/>
      <c r="BP219" s="444"/>
      <c r="BQ219" s="444"/>
      <c r="BR219" s="483">
        <f>BR10</f>
        <v>1862</v>
      </c>
      <c r="BS219" s="444"/>
      <c r="BT219" s="444"/>
      <c r="BU219" s="444"/>
      <c r="BV219" s="483">
        <f>BV10</f>
        <v>1875</v>
      </c>
      <c r="BW219" s="444"/>
      <c r="BX219" s="444"/>
      <c r="BY219" s="444"/>
      <c r="BZ219" s="483">
        <f>BZ10</f>
        <v>1803</v>
      </c>
      <c r="CA219" s="444"/>
      <c r="CB219" s="444"/>
      <c r="CC219" s="444"/>
      <c r="CD219" s="483">
        <f>CD10</f>
        <v>1835.7072000000001</v>
      </c>
      <c r="CE219" s="444"/>
      <c r="CF219" s="444"/>
      <c r="CG219" s="444"/>
      <c r="CH219" s="483">
        <f>CH10</f>
        <v>1868.0156467199999</v>
      </c>
      <c r="CI219" s="444"/>
      <c r="CJ219" s="444"/>
      <c r="CK219" s="444"/>
      <c r="CL219" s="483">
        <f>CL10</f>
        <v>1900.892722102272</v>
      </c>
    </row>
    <row r="220" spans="1:179" ht="13.8">
      <c r="C220" s="465" t="s">
        <v>344</v>
      </c>
      <c r="AV220" s="483">
        <f t="shared" si="167"/>
        <v>552</v>
      </c>
      <c r="AW220" s="483">
        <f t="shared" si="167"/>
        <v>577</v>
      </c>
      <c r="AX220" s="483">
        <f t="shared" si="167"/>
        <v>1129</v>
      </c>
      <c r="AY220" s="444"/>
      <c r="AZ220" s="483">
        <f t="shared" si="168"/>
        <v>667</v>
      </c>
      <c r="BA220" s="483">
        <f t="shared" si="168"/>
        <v>619</v>
      </c>
      <c r="BB220" s="483">
        <f t="shared" si="168"/>
        <v>1286</v>
      </c>
      <c r="BC220" s="444"/>
      <c r="BD220" s="444"/>
      <c r="BE220" s="444"/>
      <c r="BF220" s="483">
        <f>BF11</f>
        <v>1884</v>
      </c>
      <c r="BG220" s="444"/>
      <c r="BH220" s="444"/>
      <c r="BI220" s="444"/>
      <c r="BJ220" s="483">
        <f>BJ11</f>
        <v>1130</v>
      </c>
      <c r="BK220" s="444"/>
      <c r="BL220" s="444"/>
      <c r="BM220" s="444"/>
      <c r="BN220" s="483">
        <f>BN11</f>
        <v>860</v>
      </c>
      <c r="BO220" s="444"/>
      <c r="BP220" s="444"/>
      <c r="BQ220" s="444"/>
      <c r="BR220" s="483">
        <f>BR11</f>
        <v>1923</v>
      </c>
      <c r="BS220" s="444"/>
      <c r="BT220" s="444"/>
      <c r="BU220" s="444"/>
      <c r="BV220" s="483">
        <f>BV11</f>
        <v>2315</v>
      </c>
      <c r="BW220" s="444"/>
      <c r="BX220" s="444"/>
      <c r="BY220" s="444"/>
      <c r="BZ220" s="483">
        <f>BZ11</f>
        <v>1861</v>
      </c>
      <c r="CA220" s="444"/>
      <c r="CB220" s="444"/>
      <c r="CC220" s="444"/>
      <c r="CD220" s="483">
        <f>CD11</f>
        <v>1732.69</v>
      </c>
      <c r="CE220" s="444"/>
      <c r="CF220" s="444"/>
      <c r="CG220" s="444"/>
      <c r="CH220" s="483">
        <f>CH11</f>
        <v>1782.7293</v>
      </c>
      <c r="CI220" s="444"/>
      <c r="CJ220" s="444"/>
      <c r="CK220" s="444"/>
      <c r="CL220" s="483">
        <f>CL11</f>
        <v>1834.230951</v>
      </c>
    </row>
    <row r="221" spans="1:179" ht="13.8">
      <c r="C221" s="465" t="s">
        <v>345</v>
      </c>
      <c r="AV221" s="483">
        <f t="shared" si="167"/>
        <v>88</v>
      </c>
      <c r="AW221" s="483">
        <f t="shared" si="167"/>
        <v>95</v>
      </c>
      <c r="AX221" s="483">
        <f t="shared" si="167"/>
        <v>183</v>
      </c>
      <c r="AY221" s="444"/>
      <c r="AZ221" s="483">
        <f t="shared" si="168"/>
        <v>131</v>
      </c>
      <c r="BA221" s="483">
        <f t="shared" si="168"/>
        <v>131</v>
      </c>
      <c r="BB221" s="483">
        <f t="shared" si="168"/>
        <v>262</v>
      </c>
      <c r="BC221" s="444"/>
      <c r="BD221" s="444"/>
      <c r="BE221" s="444"/>
      <c r="BF221" s="483">
        <f>BF12</f>
        <v>155</v>
      </c>
      <c r="BG221" s="444"/>
      <c r="BH221" s="444"/>
      <c r="BI221" s="444"/>
      <c r="BJ221" s="483">
        <f>BJ12</f>
        <v>-176</v>
      </c>
      <c r="BK221" s="444"/>
      <c r="BL221" s="444"/>
      <c r="BM221" s="444"/>
      <c r="BN221" s="483">
        <f>BN12</f>
        <v>177</v>
      </c>
      <c r="BO221" s="444"/>
      <c r="BP221" s="444"/>
      <c r="BQ221" s="444"/>
      <c r="BR221" s="483">
        <f>BR12</f>
        <v>221</v>
      </c>
      <c r="BS221" s="444"/>
      <c r="BT221" s="444"/>
      <c r="BU221" s="444"/>
      <c r="BV221" s="483">
        <f>BV12</f>
        <v>105</v>
      </c>
      <c r="BW221" s="444"/>
      <c r="BX221" s="444"/>
      <c r="BY221" s="444"/>
      <c r="BZ221" s="483">
        <f>BZ12</f>
        <v>76</v>
      </c>
      <c r="CA221" s="444"/>
      <c r="CB221" s="444"/>
      <c r="CC221" s="444"/>
      <c r="CD221" s="483">
        <f>CD12</f>
        <v>109.17944400000003</v>
      </c>
      <c r="CE221" s="444"/>
      <c r="CF221" s="444"/>
      <c r="CG221" s="444"/>
      <c r="CH221" s="483">
        <f>CH12</f>
        <v>136.01429353760005</v>
      </c>
      <c r="CI221" s="444"/>
      <c r="CJ221" s="444"/>
      <c r="CK221" s="444"/>
      <c r="CL221" s="483">
        <f>CL12</f>
        <v>143.12527099651908</v>
      </c>
    </row>
    <row r="222" spans="1:179" ht="13.8">
      <c r="C222" s="465" t="s">
        <v>346</v>
      </c>
      <c r="AV222" s="483">
        <f>AV13-AV175</f>
        <v>432</v>
      </c>
      <c r="AW222" s="483">
        <f>AW13-AW175</f>
        <v>355</v>
      </c>
      <c r="AX222" s="483">
        <f>AX13-AX175</f>
        <v>787</v>
      </c>
      <c r="AY222" s="444"/>
      <c r="AZ222" s="483">
        <f>AZ13-AZ175</f>
        <v>403</v>
      </c>
      <c r="BA222" s="483">
        <f>BA13-BA175</f>
        <v>198</v>
      </c>
      <c r="BB222" s="483">
        <f>BB13-BB175</f>
        <v>601</v>
      </c>
      <c r="BC222" s="444"/>
      <c r="BD222" s="444"/>
      <c r="BE222" s="444"/>
      <c r="BF222" s="483">
        <f>BF13-BF175</f>
        <v>-561</v>
      </c>
      <c r="BG222" s="444"/>
      <c r="BH222" s="444"/>
      <c r="BI222" s="444"/>
      <c r="BJ222" s="483">
        <f>BJ13-BJ175</f>
        <v>215</v>
      </c>
      <c r="BK222" s="444"/>
      <c r="BL222" s="444"/>
      <c r="BM222" s="444"/>
      <c r="BN222" s="483">
        <f>BN13-BN175</f>
        <v>623</v>
      </c>
      <c r="BO222" s="444"/>
      <c r="BP222" s="444"/>
      <c r="BQ222" s="444"/>
      <c r="BR222" s="483">
        <f>BR13-BR175</f>
        <v>247</v>
      </c>
      <c r="BS222" s="444"/>
      <c r="BT222" s="444"/>
      <c r="BU222" s="444"/>
      <c r="BV222" s="483">
        <f>BV13-BV175</f>
        <v>323</v>
      </c>
      <c r="BW222" s="444"/>
      <c r="BX222" s="444"/>
      <c r="BY222" s="444"/>
      <c r="BZ222" s="483">
        <f>BZ13-BZ175</f>
        <v>103</v>
      </c>
      <c r="CA222" s="444"/>
      <c r="CB222" s="444"/>
      <c r="CC222" s="444"/>
      <c r="CD222" s="483">
        <f>CD13-CD175</f>
        <v>395.59680000000003</v>
      </c>
      <c r="CE222" s="444"/>
      <c r="CF222" s="444"/>
      <c r="CG222" s="444"/>
      <c r="CH222" s="483">
        <f>CH13-CH175</f>
        <v>411.57891072000001</v>
      </c>
      <c r="CI222" s="444"/>
      <c r="CJ222" s="444"/>
      <c r="CK222" s="444"/>
      <c r="CL222" s="483">
        <f>CL13-CL175</f>
        <v>428.20669871308803</v>
      </c>
    </row>
    <row r="223" spans="1:179" ht="13.8">
      <c r="C223" s="465" t="s">
        <v>929</v>
      </c>
      <c r="AV223" s="483">
        <f>AV15</f>
        <v>126</v>
      </c>
      <c r="AW223" s="483">
        <f>AW15</f>
        <v>127</v>
      </c>
      <c r="AX223" s="483">
        <f>AX15</f>
        <v>253</v>
      </c>
      <c r="AY223" s="444"/>
      <c r="AZ223" s="483">
        <f>AZ15</f>
        <v>70</v>
      </c>
      <c r="BA223" s="483">
        <f>BA15</f>
        <v>49</v>
      </c>
      <c r="BB223" s="483">
        <f>BB15</f>
        <v>119</v>
      </c>
      <c r="BC223" s="444"/>
      <c r="BD223" s="444"/>
      <c r="BE223" s="444"/>
      <c r="BF223" s="483">
        <f>BF15</f>
        <v>78</v>
      </c>
      <c r="BG223" s="444"/>
      <c r="BH223" s="444"/>
      <c r="BI223" s="444"/>
      <c r="BJ223" s="483">
        <f>BJ15</f>
        <v>110</v>
      </c>
      <c r="BK223" s="444"/>
      <c r="BL223" s="444"/>
      <c r="BM223" s="444"/>
      <c r="BN223" s="483">
        <f>BN15</f>
        <v>140</v>
      </c>
      <c r="BO223" s="444"/>
      <c r="BP223" s="444"/>
      <c r="BQ223" s="444"/>
      <c r="BR223" s="483">
        <f>BR15</f>
        <v>108</v>
      </c>
      <c r="BS223" s="444"/>
      <c r="BT223" s="444"/>
      <c r="BU223" s="444"/>
      <c r="BV223" s="483">
        <f>BV15</f>
        <v>122</v>
      </c>
      <c r="BW223" s="444"/>
      <c r="BX223" s="444"/>
      <c r="BY223" s="444"/>
      <c r="BZ223" s="483">
        <f>BZ15</f>
        <v>95</v>
      </c>
      <c r="CA223" s="444"/>
      <c r="CB223" s="444"/>
      <c r="CC223" s="444"/>
      <c r="CD223" s="483">
        <f>CD15</f>
        <v>99.474900000000005</v>
      </c>
      <c r="CE223" s="444"/>
      <c r="CF223" s="444"/>
      <c r="CG223" s="444"/>
      <c r="CH223" s="483">
        <f>CH15</f>
        <v>101.47434549</v>
      </c>
      <c r="CI223" s="444"/>
      <c r="CJ223" s="444"/>
      <c r="CK223" s="444"/>
      <c r="CL223" s="483">
        <f>CL15</f>
        <v>103.51397983434902</v>
      </c>
    </row>
    <row r="224" spans="1:179" ht="13.8">
      <c r="C224" s="584" t="s">
        <v>256</v>
      </c>
      <c r="AV224" s="507">
        <f>SUM(AV218:AV223)</f>
        <v>9902</v>
      </c>
      <c r="AW224" s="507">
        <f>SUM(AW218:AW223)</f>
        <v>9693</v>
      </c>
      <c r="AX224" s="507">
        <f>SUM(AX218:AX223)</f>
        <v>19595</v>
      </c>
      <c r="AY224" s="584">
        <f t="shared" ref="AY224:BI224" si="169">SUM(AY218:AY223)</f>
        <v>0</v>
      </c>
      <c r="AZ224" s="507">
        <f>SUM(AZ218:AZ223)</f>
        <v>9810</v>
      </c>
      <c r="BA224" s="507">
        <f>SUM(BA218:BA223)</f>
        <v>9431</v>
      </c>
      <c r="BB224" s="507">
        <f>SUM(BB218:BB223)</f>
        <v>19241</v>
      </c>
      <c r="BC224" s="584"/>
      <c r="BD224" s="507">
        <f t="shared" si="169"/>
        <v>0</v>
      </c>
      <c r="BE224" s="507">
        <f t="shared" si="169"/>
        <v>0</v>
      </c>
      <c r="BF224" s="507">
        <f>SUM(BF218:BF223)</f>
        <v>17926</v>
      </c>
      <c r="BG224" s="584"/>
      <c r="BH224" s="507">
        <f t="shared" si="169"/>
        <v>0</v>
      </c>
      <c r="BI224" s="507">
        <f t="shared" si="169"/>
        <v>0</v>
      </c>
      <c r="BJ224" s="507">
        <f>SUM(BJ218:BJ223)</f>
        <v>17589</v>
      </c>
      <c r="BK224" s="584"/>
      <c r="BL224" s="507">
        <f>SUM(BL218:BL223)</f>
        <v>0</v>
      </c>
      <c r="BM224" s="507">
        <f>SUM(BM218:BM223)</f>
        <v>0</v>
      </c>
      <c r="BN224" s="507">
        <f>SUM(BN218:BN223)</f>
        <v>18581</v>
      </c>
      <c r="BO224" s="584"/>
      <c r="BP224" s="507">
        <f>SUM(BP218:BP223)</f>
        <v>0</v>
      </c>
      <c r="BQ224" s="507">
        <f>SUM(BQ218:BQ223)</f>
        <v>0</v>
      </c>
      <c r="BR224" s="507">
        <f>SUM(BR218:BR223)</f>
        <v>20953</v>
      </c>
      <c r="BS224" s="584"/>
      <c r="BT224" s="507">
        <f>SUM(BT218:BT223)</f>
        <v>0</v>
      </c>
      <c r="BU224" s="507">
        <f>SUM(BU218:BU223)</f>
        <v>0</v>
      </c>
      <c r="BV224" s="507">
        <f>SUM(BV218:BV223)</f>
        <v>20809</v>
      </c>
      <c r="BW224" s="584"/>
      <c r="BX224" s="507">
        <f>SUM(BX218:BX223)</f>
        <v>0</v>
      </c>
      <c r="BY224" s="507">
        <f>SUM(BY218:BY223)</f>
        <v>0</v>
      </c>
      <c r="BZ224" s="507">
        <f>SUM(BZ218:BZ223)</f>
        <v>21899</v>
      </c>
      <c r="CA224" s="584"/>
      <c r="CB224" s="507">
        <f>SUM(CB218:CB223)</f>
        <v>0</v>
      </c>
      <c r="CC224" s="507">
        <f>SUM(CC218:CC223)</f>
        <v>0</v>
      </c>
      <c r="CD224" s="507">
        <f ca="1">SUM(CD218:CD223)</f>
        <v>22663.49989888625</v>
      </c>
      <c r="CE224" s="584"/>
      <c r="CF224" s="507">
        <f>SUM(CF218:CF223)</f>
        <v>0</v>
      </c>
      <c r="CG224" s="507">
        <f>SUM(CG218:CG223)</f>
        <v>0</v>
      </c>
      <c r="CH224" s="507">
        <f ca="1">SUM(CH218:CH223)</f>
        <v>23424.830641311768</v>
      </c>
      <c r="CI224" s="584"/>
      <c r="CJ224" s="507">
        <f>SUM(CJ218:CJ223)</f>
        <v>0</v>
      </c>
      <c r="CK224" s="507">
        <f>SUM(CK218:CK223)</f>
        <v>0</v>
      </c>
      <c r="CL224" s="507">
        <f ca="1">SUM(CL218:CL223)</f>
        <v>24324.537401854886</v>
      </c>
    </row>
    <row r="225" spans="3:90" ht="13.8">
      <c r="C225" s="585" t="s">
        <v>293</v>
      </c>
      <c r="AV225" s="880">
        <f>AV17-SUM(AV174:AV175)</f>
        <v>9902</v>
      </c>
      <c r="AW225" s="880">
        <f>AW17-SUM(AW174:AW175)</f>
        <v>9693</v>
      </c>
      <c r="AX225" s="880">
        <f>AX17-SUM(AX174:AX175)</f>
        <v>19595</v>
      </c>
      <c r="AY225" s="444"/>
      <c r="AZ225" s="880">
        <f>AZ17-SUM(AZ174:AZ175)</f>
        <v>9810</v>
      </c>
      <c r="BA225" s="880">
        <f>BA17-SUM(BA174:BA175)</f>
        <v>9431</v>
      </c>
      <c r="BB225" s="880">
        <f>BB17-SUM(BB174:BB175)</f>
        <v>19241</v>
      </c>
      <c r="BC225" s="444"/>
      <c r="BD225" s="444"/>
      <c r="BE225" s="444"/>
      <c r="BF225" s="880">
        <f>BF17-SUM(BF174:BF175)</f>
        <v>17926</v>
      </c>
      <c r="BG225" s="444"/>
      <c r="BH225" s="444"/>
      <c r="BI225" s="444"/>
      <c r="BJ225" s="880">
        <f>BJ17-SUM(BJ174:BJ175)</f>
        <v>17589</v>
      </c>
      <c r="BK225" s="444"/>
      <c r="BL225" s="444"/>
      <c r="BM225" s="444"/>
      <c r="BN225" s="880">
        <f>BN17-SUM(BN174:BN175)</f>
        <v>18581</v>
      </c>
      <c r="BO225" s="444"/>
      <c r="BP225" s="444"/>
      <c r="BQ225" s="444"/>
      <c r="BR225" s="880">
        <f>BR17-SUM(BR174:BR175)</f>
        <v>20953</v>
      </c>
      <c r="BS225" s="444"/>
      <c r="BT225" s="444"/>
      <c r="BU225" s="444"/>
      <c r="BV225" s="880">
        <f>BV17-SUM(BV174:BV175)</f>
        <v>20809</v>
      </c>
      <c r="BW225" s="444"/>
      <c r="BX225" s="444"/>
      <c r="BY225" s="444"/>
      <c r="BZ225" s="880">
        <f>BZ17-SUM(BZ174:BZ175)</f>
        <v>21899</v>
      </c>
      <c r="CA225" s="444"/>
      <c r="CB225" s="444"/>
      <c r="CC225" s="444"/>
      <c r="CD225" s="880">
        <f ca="1">CD17-SUM(CD174:CD175)</f>
        <v>22663.49989888625</v>
      </c>
      <c r="CE225" s="444"/>
      <c r="CF225" s="444"/>
      <c r="CG225" s="444"/>
      <c r="CH225" s="880">
        <f ca="1">CH17-SUM(CH174:CH175)</f>
        <v>23424.830641311768</v>
      </c>
      <c r="CI225" s="444"/>
      <c r="CJ225" s="444"/>
      <c r="CK225" s="444"/>
      <c r="CL225" s="880">
        <f ca="1">CL17-SUM(CL174:CL175)</f>
        <v>24324.537401854886</v>
      </c>
    </row>
    <row r="226" spans="3:90" ht="13.8">
      <c r="C226" s="585" t="s">
        <v>779</v>
      </c>
      <c r="AV226" s="444"/>
      <c r="AW226" s="444"/>
      <c r="AX226" s="444"/>
      <c r="AY226" s="444"/>
      <c r="AZ226" s="444"/>
      <c r="BA226" s="444"/>
      <c r="BB226" s="444"/>
      <c r="BC226" s="444"/>
      <c r="BD226" s="444"/>
      <c r="BE226" s="444"/>
      <c r="BF226" s="444"/>
      <c r="BG226" s="444"/>
      <c r="BH226" s="444"/>
      <c r="BI226" s="444"/>
      <c r="BJ226" s="444"/>
      <c r="BK226" s="444"/>
      <c r="BL226" s="444"/>
      <c r="BM226" s="444"/>
      <c r="BN226" s="444"/>
      <c r="BO226" s="444"/>
      <c r="BP226" s="444"/>
      <c r="BQ226" s="444"/>
      <c r="BR226" s="444"/>
      <c r="BS226" s="444"/>
      <c r="BT226" s="444"/>
      <c r="BU226" s="444"/>
      <c r="BV226" s="444"/>
      <c r="BW226" s="444"/>
      <c r="BX226" s="444"/>
      <c r="BY226" s="444"/>
      <c r="BZ226" s="444"/>
      <c r="CA226" s="444"/>
      <c r="CB226" s="444"/>
      <c r="CC226" s="444"/>
      <c r="CD226" s="444"/>
      <c r="CE226" s="444"/>
      <c r="CF226" s="444"/>
      <c r="CG226" s="444"/>
      <c r="CH226" s="444"/>
      <c r="CI226" s="444"/>
      <c r="CJ226" s="444"/>
      <c r="CK226" s="444"/>
      <c r="CL226" s="444"/>
    </row>
    <row r="227" spans="3:90" ht="13.8">
      <c r="C227" s="470" t="s">
        <v>282</v>
      </c>
      <c r="AV227" s="444"/>
      <c r="AW227" s="444"/>
      <c r="AX227" s="444"/>
      <c r="AY227" s="444"/>
      <c r="AZ227" s="816">
        <f t="shared" ref="AZ227:BB233" si="170">AZ218/AV218-1</f>
        <v>-6.5137739177636433E-3</v>
      </c>
      <c r="BA227" s="816">
        <f>BA218/AW218-1</f>
        <v>-1.2551724137931042E-2</v>
      </c>
      <c r="BB227" s="816">
        <f>BB218/AX218-1</f>
        <v>-9.5081742937273006E-3</v>
      </c>
      <c r="BC227" s="444"/>
      <c r="BD227" s="444"/>
      <c r="BE227" s="444"/>
      <c r="BF227" s="816">
        <f t="shared" ref="BF227:BF233" si="171">BF218/BB218-1</f>
        <v>-2.2444751381215489E-2</v>
      </c>
      <c r="BG227" s="444"/>
      <c r="BH227" s="444"/>
      <c r="BI227" s="444"/>
      <c r="BJ227" s="816">
        <f t="shared" ref="BJ227:BJ233" si="172">BJ218/BF218-1</f>
        <v>6.4994701518898967E-3</v>
      </c>
      <c r="BK227" s="444"/>
      <c r="BL227" s="444"/>
      <c r="BM227" s="444"/>
      <c r="BN227" s="816">
        <f t="shared" ref="BN227:BN233" si="173">BN218/BJ218-1</f>
        <v>4.4009265108443829E-2</v>
      </c>
      <c r="BO227" s="444"/>
      <c r="BP227" s="444"/>
      <c r="BQ227" s="444"/>
      <c r="BR227" s="816">
        <f>BR218/BN218-1</f>
        <v>0.11550356326475719</v>
      </c>
      <c r="BS227" s="444"/>
      <c r="BT227" s="444"/>
      <c r="BU227" s="444"/>
      <c r="BV227" s="816">
        <f>BV218/BR218-1</f>
        <v>-3.1521215043394446E-2</v>
      </c>
      <c r="BW227" s="444"/>
      <c r="BX227" s="444"/>
      <c r="BY227" s="444"/>
      <c r="BZ227" s="816">
        <f>BZ218/BV218-1</f>
        <v>0.11774223660464256</v>
      </c>
      <c r="CA227" s="444"/>
      <c r="CB227" s="444"/>
      <c r="CC227" s="444"/>
      <c r="CD227" s="816">
        <f ca="1">CD218/BZ218-1</f>
        <v>2.9500114408231637E-2</v>
      </c>
      <c r="CE227" s="444"/>
      <c r="CF227" s="444"/>
      <c r="CG227" s="444"/>
      <c r="CH227" s="816">
        <f ca="1">CH218/CD218-1</f>
        <v>3.4296234982771345E-2</v>
      </c>
      <c r="CI227" s="444"/>
      <c r="CJ227" s="444"/>
      <c r="CK227" s="444"/>
      <c r="CL227" s="816">
        <f ca="1">CL218/CH218-1</f>
        <v>4.1283601844704032E-2</v>
      </c>
    </row>
    <row r="228" spans="3:90" ht="13.8">
      <c r="C228" s="470" t="s">
        <v>343</v>
      </c>
      <c r="AV228" s="444"/>
      <c r="AW228" s="444"/>
      <c r="AX228" s="444"/>
      <c r="AY228" s="444"/>
      <c r="AZ228" s="816">
        <f t="shared" si="170"/>
        <v>-8.7640449438202261E-2</v>
      </c>
      <c r="BA228" s="816">
        <f t="shared" si="170"/>
        <v>-1.0861132660977546E-2</v>
      </c>
      <c r="BB228" s="816">
        <f t="shared" si="170"/>
        <v>-4.9923780487804881E-2</v>
      </c>
      <c r="BC228" s="444"/>
      <c r="BD228" s="444"/>
      <c r="BE228" s="444"/>
      <c r="BF228" s="816">
        <f t="shared" si="171"/>
        <v>-0.11151223425591661</v>
      </c>
      <c r="BG228" s="444"/>
      <c r="BH228" s="444"/>
      <c r="BI228" s="444"/>
      <c r="BJ228" s="816">
        <f t="shared" si="172"/>
        <v>-6.8623024830699819E-2</v>
      </c>
      <c r="BK228" s="444"/>
      <c r="BL228" s="444"/>
      <c r="BM228" s="444"/>
      <c r="BN228" s="816">
        <f t="shared" si="173"/>
        <v>-7.5618031992244261E-2</v>
      </c>
      <c r="BO228" s="444"/>
      <c r="BP228" s="444"/>
      <c r="BQ228" s="444"/>
      <c r="BR228" s="816">
        <f t="shared" ref="BR228:BR232" si="174">BR219/BN219-1</f>
        <v>-2.3597273203985303E-2</v>
      </c>
      <c r="BS228" s="444"/>
      <c r="BT228" s="444"/>
      <c r="BU228" s="444"/>
      <c r="BV228" s="816">
        <f t="shared" ref="BV228:BV232" si="175">BV219/BR219-1</f>
        <v>6.9817400644467398E-3</v>
      </c>
      <c r="BW228" s="444"/>
      <c r="BX228" s="444"/>
      <c r="BY228" s="444"/>
      <c r="BZ228" s="816">
        <f t="shared" ref="BZ228:BZ232" si="176">BZ219/BV219-1</f>
        <v>-3.839999999999999E-2</v>
      </c>
      <c r="CA228" s="444"/>
      <c r="CB228" s="444"/>
      <c r="CC228" s="444"/>
      <c r="CD228" s="816">
        <f t="shared" ref="CD228:CD232" si="177">CD219/BZ219-1</f>
        <v>1.8140432612312907E-2</v>
      </c>
      <c r="CE228" s="444"/>
      <c r="CF228" s="444"/>
      <c r="CG228" s="444"/>
      <c r="CH228" s="816">
        <f t="shared" ref="CH228:CH232" si="178">CH219/CD219-1</f>
        <v>1.7599999999999838E-2</v>
      </c>
      <c r="CI228" s="444"/>
      <c r="CJ228" s="444"/>
      <c r="CK228" s="444"/>
      <c r="CL228" s="816">
        <f t="shared" ref="CL228:CL232" si="179">CL219/CH219-1</f>
        <v>1.760000000000006E-2</v>
      </c>
    </row>
    <row r="229" spans="3:90" ht="13.8">
      <c r="C229" s="470" t="s">
        <v>344</v>
      </c>
      <c r="AV229" s="444"/>
      <c r="AW229" s="444"/>
      <c r="AX229" s="444"/>
      <c r="AY229" s="444"/>
      <c r="AZ229" s="816">
        <f t="shared" si="170"/>
        <v>0.20833333333333326</v>
      </c>
      <c r="BA229" s="816">
        <f t="shared" si="170"/>
        <v>7.2790294627383068E-2</v>
      </c>
      <c r="BB229" s="816">
        <f t="shared" si="170"/>
        <v>0.13906111603188664</v>
      </c>
      <c r="BC229" s="444"/>
      <c r="BD229" s="444"/>
      <c r="BE229" s="444"/>
      <c r="BF229" s="816">
        <f t="shared" si="171"/>
        <v>0.46500777604976662</v>
      </c>
      <c r="BG229" s="444"/>
      <c r="BH229" s="444"/>
      <c r="BI229" s="444"/>
      <c r="BJ229" s="816">
        <f t="shared" si="172"/>
        <v>-0.4002123142250531</v>
      </c>
      <c r="BK229" s="444"/>
      <c r="BL229" s="444"/>
      <c r="BM229" s="444"/>
      <c r="BN229" s="816">
        <f t="shared" si="173"/>
        <v>-0.23893805309734517</v>
      </c>
      <c r="BO229" s="444"/>
      <c r="BP229" s="444"/>
      <c r="BQ229" s="444"/>
      <c r="BR229" s="816">
        <f t="shared" si="174"/>
        <v>1.2360465116279071</v>
      </c>
      <c r="BS229" s="444"/>
      <c r="BT229" s="444"/>
      <c r="BU229" s="444"/>
      <c r="BV229" s="816">
        <f t="shared" si="175"/>
        <v>0.20384815392615696</v>
      </c>
      <c r="BW229" s="444"/>
      <c r="BX229" s="444"/>
      <c r="BY229" s="444"/>
      <c r="BZ229" s="816">
        <f t="shared" si="176"/>
        <v>-0.19611231101511883</v>
      </c>
      <c r="CA229" s="444"/>
      <c r="CB229" s="444"/>
      <c r="CC229" s="444"/>
      <c r="CD229" s="816">
        <f t="shared" si="177"/>
        <v>-6.8946802794196627E-2</v>
      </c>
      <c r="CE229" s="444"/>
      <c r="CF229" s="444"/>
      <c r="CG229" s="444"/>
      <c r="CH229" s="816">
        <f t="shared" si="178"/>
        <v>2.8879545677530372E-2</v>
      </c>
      <c r="CI229" s="444"/>
      <c r="CJ229" s="444"/>
      <c r="CK229" s="444"/>
      <c r="CL229" s="816">
        <f t="shared" si="179"/>
        <v>2.8889215541585633E-2</v>
      </c>
    </row>
    <row r="230" spans="3:90" ht="13.8">
      <c r="C230" s="470" t="s">
        <v>345</v>
      </c>
      <c r="AV230" s="444"/>
      <c r="AW230" s="444"/>
      <c r="AX230" s="444"/>
      <c r="AY230" s="444"/>
      <c r="AZ230" s="816">
        <f t="shared" si="170"/>
        <v>0.48863636363636354</v>
      </c>
      <c r="BA230" s="816">
        <f t="shared" si="170"/>
        <v>0.3789473684210527</v>
      </c>
      <c r="BB230" s="816">
        <f t="shared" si="170"/>
        <v>0.43169398907103829</v>
      </c>
      <c r="BC230" s="444"/>
      <c r="BD230" s="444"/>
      <c r="BE230" s="444"/>
      <c r="BF230" s="816">
        <f t="shared" si="171"/>
        <v>-0.40839694656488545</v>
      </c>
      <c r="BG230" s="444"/>
      <c r="BH230" s="444"/>
      <c r="BI230" s="444"/>
      <c r="BJ230" s="816">
        <f t="shared" si="172"/>
        <v>-2.1354838709677422</v>
      </c>
      <c r="BK230" s="444"/>
      <c r="BL230" s="444"/>
      <c r="BM230" s="444"/>
      <c r="BN230" s="816">
        <f t="shared" si="173"/>
        <v>-2.0056818181818183</v>
      </c>
      <c r="BO230" s="444"/>
      <c r="BP230" s="444"/>
      <c r="BQ230" s="444"/>
      <c r="BR230" s="816">
        <f t="shared" si="174"/>
        <v>0.24858757062146886</v>
      </c>
      <c r="BS230" s="444"/>
      <c r="BT230" s="444"/>
      <c r="BU230" s="444"/>
      <c r="BV230" s="816">
        <f t="shared" si="175"/>
        <v>-0.52488687782805432</v>
      </c>
      <c r="BW230" s="444"/>
      <c r="BX230" s="444"/>
      <c r="BY230" s="444"/>
      <c r="BZ230" s="816">
        <f t="shared" si="176"/>
        <v>-0.27619047619047621</v>
      </c>
      <c r="CA230" s="444"/>
      <c r="CB230" s="444"/>
      <c r="CC230" s="444"/>
      <c r="CD230" s="816">
        <f t="shared" si="177"/>
        <v>0.43657163157894785</v>
      </c>
      <c r="CE230" s="444"/>
      <c r="CF230" s="444"/>
      <c r="CG230" s="444"/>
      <c r="CH230" s="816">
        <f t="shared" si="178"/>
        <v>0.24578664769166636</v>
      </c>
      <c r="CI230" s="444"/>
      <c r="CJ230" s="444"/>
      <c r="CK230" s="444"/>
      <c r="CL230" s="816">
        <f t="shared" si="179"/>
        <v>5.2281104242571708E-2</v>
      </c>
    </row>
    <row r="231" spans="3:90" ht="13.8">
      <c r="C231" s="470" t="s">
        <v>346</v>
      </c>
      <c r="AV231" s="444"/>
      <c r="AW231" s="444"/>
      <c r="AX231" s="444"/>
      <c r="AY231" s="444"/>
      <c r="AZ231" s="816">
        <f t="shared" si="170"/>
        <v>-6.712962962962965E-2</v>
      </c>
      <c r="BA231" s="816">
        <f t="shared" si="170"/>
        <v>-0.44225352112676053</v>
      </c>
      <c r="BB231" s="816">
        <f t="shared" si="170"/>
        <v>-0.23634053367217278</v>
      </c>
      <c r="BC231" s="444"/>
      <c r="BD231" s="444"/>
      <c r="BE231" s="444"/>
      <c r="BF231" s="816">
        <f t="shared" si="171"/>
        <v>-1.9334442595673877</v>
      </c>
      <c r="BG231" s="444"/>
      <c r="BH231" s="444"/>
      <c r="BI231" s="444"/>
      <c r="BJ231" s="816">
        <f t="shared" si="172"/>
        <v>-1.3832442067736186</v>
      </c>
      <c r="BK231" s="444"/>
      <c r="BL231" s="444"/>
      <c r="BM231" s="444"/>
      <c r="BN231" s="816">
        <f t="shared" si="173"/>
        <v>1.8976744186046512</v>
      </c>
      <c r="BO231" s="444"/>
      <c r="BP231" s="444"/>
      <c r="BQ231" s="444"/>
      <c r="BR231" s="816">
        <f t="shared" si="174"/>
        <v>-0.6035313001605136</v>
      </c>
      <c r="BS231" s="444"/>
      <c r="BT231" s="444"/>
      <c r="BU231" s="444"/>
      <c r="BV231" s="816">
        <f t="shared" si="175"/>
        <v>0.30769230769230771</v>
      </c>
      <c r="BW231" s="444"/>
      <c r="BX231" s="444"/>
      <c r="BY231" s="444"/>
      <c r="BZ231" s="816">
        <f t="shared" si="176"/>
        <v>-0.68111455108359131</v>
      </c>
      <c r="CA231" s="444"/>
      <c r="CB231" s="444"/>
      <c r="CC231" s="444"/>
      <c r="CD231" s="816">
        <f t="shared" si="177"/>
        <v>2.8407456310679615</v>
      </c>
      <c r="CE231" s="444"/>
      <c r="CF231" s="444"/>
      <c r="CG231" s="444"/>
      <c r="CH231" s="816">
        <f t="shared" si="178"/>
        <v>4.0399999999999991E-2</v>
      </c>
      <c r="CI231" s="444"/>
      <c r="CJ231" s="444"/>
      <c r="CK231" s="444"/>
      <c r="CL231" s="816">
        <f t="shared" si="179"/>
        <v>4.0399999999999991E-2</v>
      </c>
    </row>
    <row r="232" spans="3:90" ht="13.8">
      <c r="C232" s="470" t="s">
        <v>929</v>
      </c>
      <c r="AV232" s="444"/>
      <c r="AW232" s="444"/>
      <c r="AX232" s="444"/>
      <c r="AY232" s="444"/>
      <c r="AZ232" s="816">
        <f t="shared" si="170"/>
        <v>-0.44444444444444442</v>
      </c>
      <c r="BA232" s="816">
        <f t="shared" si="170"/>
        <v>-0.61417322834645671</v>
      </c>
      <c r="BB232" s="816">
        <f t="shared" si="170"/>
        <v>-0.52964426877470361</v>
      </c>
      <c r="BC232" s="444"/>
      <c r="BD232" s="444"/>
      <c r="BE232" s="444"/>
      <c r="BF232" s="816">
        <f t="shared" si="171"/>
        <v>-0.34453781512605042</v>
      </c>
      <c r="BG232" s="444"/>
      <c r="BH232" s="444"/>
      <c r="BI232" s="444"/>
      <c r="BJ232" s="816">
        <f t="shared" si="172"/>
        <v>0.41025641025641035</v>
      </c>
      <c r="BK232" s="444"/>
      <c r="BL232" s="444"/>
      <c r="BM232" s="444"/>
      <c r="BN232" s="816">
        <f t="shared" si="173"/>
        <v>0.27272727272727271</v>
      </c>
      <c r="BO232" s="444"/>
      <c r="BP232" s="444"/>
      <c r="BQ232" s="444"/>
      <c r="BR232" s="816">
        <f t="shared" si="174"/>
        <v>-0.22857142857142854</v>
      </c>
      <c r="BS232" s="444"/>
      <c r="BT232" s="444"/>
      <c r="BU232" s="444"/>
      <c r="BV232" s="816">
        <f t="shared" si="175"/>
        <v>0.12962962962962954</v>
      </c>
      <c r="BW232" s="444"/>
      <c r="BX232" s="444"/>
      <c r="BY232" s="444"/>
      <c r="BZ232" s="816">
        <f t="shared" si="176"/>
        <v>-0.22131147540983609</v>
      </c>
      <c r="CA232" s="444"/>
      <c r="CB232" s="444"/>
      <c r="CC232" s="444"/>
      <c r="CD232" s="816">
        <f t="shared" si="177"/>
        <v>4.7104210526315748E-2</v>
      </c>
      <c r="CE232" s="444"/>
      <c r="CF232" s="444"/>
      <c r="CG232" s="444"/>
      <c r="CH232" s="816">
        <f t="shared" si="178"/>
        <v>2.0100000000000007E-2</v>
      </c>
      <c r="CI232" s="444"/>
      <c r="CJ232" s="444"/>
      <c r="CK232" s="444"/>
      <c r="CL232" s="816">
        <f t="shared" si="179"/>
        <v>2.0100000000000007E-2</v>
      </c>
    </row>
    <row r="233" spans="3:90" ht="13.8">
      <c r="C233" s="809" t="s">
        <v>529</v>
      </c>
      <c r="D233" s="565"/>
      <c r="E233" s="565"/>
      <c r="F233" s="565"/>
      <c r="G233" s="565"/>
      <c r="H233" s="565"/>
      <c r="I233" s="565"/>
      <c r="J233" s="565"/>
      <c r="K233" s="565"/>
      <c r="L233" s="565"/>
      <c r="M233" s="565"/>
      <c r="N233" s="565"/>
      <c r="O233" s="565"/>
      <c r="P233" s="565"/>
      <c r="Q233" s="565"/>
      <c r="R233" s="565"/>
      <c r="S233" s="565"/>
      <c r="T233" s="565"/>
      <c r="U233" s="565"/>
      <c r="V233" s="565"/>
      <c r="W233" s="565"/>
      <c r="X233" s="565"/>
      <c r="Y233" s="565"/>
      <c r="Z233" s="565"/>
      <c r="AA233" s="565"/>
      <c r="AB233" s="565"/>
      <c r="AC233" s="565"/>
      <c r="AD233" s="565"/>
      <c r="AE233" s="565"/>
      <c r="AF233" s="565"/>
      <c r="AG233" s="565"/>
      <c r="AH233" s="565"/>
      <c r="AI233" s="565"/>
      <c r="AJ233" s="565"/>
      <c r="AK233" s="565"/>
      <c r="AL233" s="565"/>
      <c r="AM233" s="565"/>
      <c r="AN233" s="565"/>
      <c r="AO233" s="565"/>
      <c r="AP233" s="565"/>
      <c r="AQ233" s="565"/>
      <c r="AR233" s="565"/>
      <c r="AS233" s="565"/>
      <c r="AT233" s="565"/>
      <c r="AU233" s="565"/>
      <c r="AV233" s="584"/>
      <c r="AW233" s="584"/>
      <c r="AX233" s="584"/>
      <c r="AY233" s="584"/>
      <c r="AZ233" s="862">
        <f t="shared" si="170"/>
        <v>-9.2910523126641387E-3</v>
      </c>
      <c r="BA233" s="862">
        <f>BA224/AW224-1</f>
        <v>-2.7029815330650964E-2</v>
      </c>
      <c r="BB233" s="862">
        <f>BB224/AX224-1</f>
        <v>-1.8065833120694097E-2</v>
      </c>
      <c r="BC233" s="584"/>
      <c r="BD233" s="584"/>
      <c r="BE233" s="584"/>
      <c r="BF233" s="862">
        <f t="shared" si="171"/>
        <v>-6.8343641182890713E-2</v>
      </c>
      <c r="BG233" s="584"/>
      <c r="BH233" s="584"/>
      <c r="BI233" s="584"/>
      <c r="BJ233" s="862">
        <f t="shared" si="172"/>
        <v>-1.8799509092937594E-2</v>
      </c>
      <c r="BK233" s="584"/>
      <c r="BL233" s="584"/>
      <c r="BM233" s="584"/>
      <c r="BN233" s="862">
        <f t="shared" si="173"/>
        <v>5.6398885667178433E-2</v>
      </c>
      <c r="BO233" s="584"/>
      <c r="BP233" s="584"/>
      <c r="BQ233" s="584"/>
      <c r="BR233" s="862">
        <f>BR224/BN224-1</f>
        <v>0.1276572843226953</v>
      </c>
      <c r="BS233" s="584"/>
      <c r="BT233" s="584"/>
      <c r="BU233" s="584"/>
      <c r="BV233" s="862">
        <f>BV224/BR224-1</f>
        <v>-6.8725242208752535E-3</v>
      </c>
      <c r="BW233" s="584"/>
      <c r="BX233" s="584"/>
      <c r="BY233" s="584"/>
      <c r="BZ233" s="862">
        <f>BZ224/BV224-1</f>
        <v>5.2381181219664619E-2</v>
      </c>
      <c r="CA233" s="584"/>
      <c r="CB233" s="584"/>
      <c r="CC233" s="584"/>
      <c r="CD233" s="862">
        <f ca="1">CD224/BZ224-1</f>
        <v>3.4910265258059736E-2</v>
      </c>
      <c r="CE233" s="584"/>
      <c r="CF233" s="584"/>
      <c r="CG233" s="584"/>
      <c r="CH233" s="862">
        <f ca="1">CH224/CD224-1</f>
        <v>3.3592814252971337E-2</v>
      </c>
      <c r="CI233" s="584"/>
      <c r="CJ233" s="584"/>
      <c r="CK233" s="584"/>
      <c r="CL233" s="862">
        <f ca="1">CL224/CH224-1</f>
        <v>3.8408250386937848E-2</v>
      </c>
    </row>
    <row r="234" spans="3:90" ht="13.8">
      <c r="AV234" s="444"/>
      <c r="AW234" s="444"/>
      <c r="AX234" s="444"/>
      <c r="AY234" s="444"/>
      <c r="AZ234" s="444"/>
      <c r="BA234" s="444"/>
      <c r="BB234" s="444"/>
      <c r="BC234" s="444"/>
      <c r="BD234" s="444"/>
      <c r="BE234" s="444"/>
      <c r="BF234" s="444"/>
      <c r="BG234" s="444"/>
      <c r="BH234" s="444"/>
      <c r="BI234" s="444"/>
      <c r="BJ234" s="444"/>
      <c r="BK234" s="444"/>
      <c r="BL234" s="444"/>
      <c r="BM234" s="444"/>
      <c r="BN234" s="444"/>
      <c r="BO234" s="444"/>
      <c r="BP234" s="444"/>
      <c r="BQ234" s="444"/>
      <c r="BR234" s="444"/>
      <c r="BS234" s="444"/>
      <c r="BT234" s="444"/>
      <c r="BU234" s="444"/>
      <c r="BV234" s="444"/>
      <c r="BW234" s="444"/>
      <c r="BX234" s="444"/>
      <c r="BY234" s="444"/>
      <c r="BZ234" s="444"/>
      <c r="CA234" s="444"/>
      <c r="CB234" s="444"/>
      <c r="CC234" s="444"/>
      <c r="CD234" s="444"/>
      <c r="CE234" s="444"/>
      <c r="CF234" s="444"/>
      <c r="CG234" s="444"/>
      <c r="CH234" s="444"/>
      <c r="CI234" s="444"/>
      <c r="CJ234" s="444"/>
      <c r="CK234" s="444"/>
      <c r="CL234" s="444"/>
    </row>
    <row r="235" spans="3:90" ht="13.8">
      <c r="C235" s="460" t="s">
        <v>179</v>
      </c>
      <c r="AV235" s="507">
        <f t="shared" ref="AV235:BB235" si="180">AV18-AV176</f>
        <v>-4438</v>
      </c>
      <c r="AW235" s="507">
        <f t="shared" si="180"/>
        <v>-4772</v>
      </c>
      <c r="AX235" s="507">
        <f t="shared" si="180"/>
        <v>-9210</v>
      </c>
      <c r="AY235" s="507">
        <f t="shared" si="180"/>
        <v>0</v>
      </c>
      <c r="AZ235" s="507">
        <f t="shared" si="180"/>
        <v>-4327</v>
      </c>
      <c r="BA235" s="507">
        <f t="shared" si="180"/>
        <v>-4398</v>
      </c>
      <c r="BB235" s="507">
        <f t="shared" si="180"/>
        <v>-8725</v>
      </c>
      <c r="BC235" s="507"/>
      <c r="BD235" s="507">
        <f>BD18-BD176</f>
        <v>-4578</v>
      </c>
      <c r="BE235" s="507">
        <f>BE18-BE176</f>
        <v>-4694</v>
      </c>
      <c r="BF235" s="507">
        <f>BF18-BF176</f>
        <v>-9272</v>
      </c>
      <c r="BG235" s="507"/>
      <c r="BH235" s="507">
        <f>BH18-BH176</f>
        <v>-4423</v>
      </c>
      <c r="BI235" s="507">
        <f>BI18-BI176</f>
        <v>-4520</v>
      </c>
      <c r="BJ235" s="507">
        <f>BJ18-BJ176</f>
        <v>-8943</v>
      </c>
      <c r="BK235" s="507"/>
      <c r="BL235" s="507">
        <f>BL18-BL176</f>
        <v>-4681</v>
      </c>
      <c r="BM235" s="507">
        <f>BM18-BM176</f>
        <v>-4759</v>
      </c>
      <c r="BN235" s="507">
        <f>BN18-BN176</f>
        <v>-9440</v>
      </c>
      <c r="BO235" s="507"/>
      <c r="BP235" s="507">
        <f>BP18-BP176</f>
        <v>-4969</v>
      </c>
      <c r="BQ235" s="507">
        <f>BQ18-BQ176</f>
        <v>-5116</v>
      </c>
      <c r="BR235" s="507">
        <f>BR18-BR176</f>
        <v>-10085</v>
      </c>
      <c r="BS235" s="507"/>
      <c r="BT235" s="507">
        <f>BT18-BT176</f>
        <v>-5215</v>
      </c>
      <c r="BU235" s="507">
        <f>BU18-BU176</f>
        <v>-5526</v>
      </c>
      <c r="BV235" s="507">
        <f>BV18-BV176</f>
        <v>-10741</v>
      </c>
      <c r="BW235" s="507"/>
      <c r="BX235" s="507">
        <f>BX18-BX176</f>
        <v>-5742</v>
      </c>
      <c r="BY235" s="507">
        <f>BY18-BY176</f>
        <v>-7138</v>
      </c>
      <c r="BZ235" s="507">
        <f>BZ18-BZ176</f>
        <v>-12880</v>
      </c>
      <c r="CA235" s="507"/>
      <c r="CB235" s="507">
        <f>CB18-CB176</f>
        <v>-5800.8062475343522</v>
      </c>
      <c r="CC235" s="507">
        <f>CC18-CC176</f>
        <v>-5574.622973129075</v>
      </c>
      <c r="CD235" s="507">
        <f>CD18-CD176</f>
        <v>-11375.429220663427</v>
      </c>
      <c r="CE235" s="507"/>
      <c r="CF235" s="507">
        <f>CF18-CF176</f>
        <v>-5558.5700572482638</v>
      </c>
      <c r="CG235" s="507">
        <f>CG18-CG176</f>
        <v>-5699.0026403776892</v>
      </c>
      <c r="CH235" s="507">
        <f>CH18-CH176</f>
        <v>-11257.572697625954</v>
      </c>
      <c r="CI235" s="507"/>
      <c r="CJ235" s="507">
        <f>CJ18-CJ176</f>
        <v>-5690.9196519848028</v>
      </c>
      <c r="CK235" s="507">
        <f>CK18-CK176</f>
        <v>-5623.3690907090013</v>
      </c>
      <c r="CL235" s="507">
        <f>CL18-CL176</f>
        <v>-11314.288742693803</v>
      </c>
    </row>
    <row r="236" spans="3:90" ht="13.8">
      <c r="C236" s="465" t="s">
        <v>779</v>
      </c>
      <c r="D236" s="618"/>
      <c r="E236" s="618"/>
      <c r="F236" s="618"/>
      <c r="G236" s="618"/>
      <c r="H236" s="618"/>
      <c r="I236" s="618"/>
      <c r="J236" s="618"/>
      <c r="K236" s="618"/>
      <c r="L236" s="618"/>
      <c r="M236" s="618"/>
      <c r="N236" s="618"/>
      <c r="O236" s="618"/>
      <c r="P236" s="618"/>
      <c r="Q236" s="618"/>
      <c r="R236" s="618"/>
      <c r="S236" s="618"/>
      <c r="T236" s="618"/>
      <c r="U236" s="618"/>
      <c r="V236" s="618"/>
      <c r="W236" s="618"/>
      <c r="X236" s="618"/>
      <c r="Y236" s="618"/>
      <c r="Z236" s="618"/>
      <c r="AA236" s="618"/>
      <c r="AB236" s="618"/>
      <c r="AC236" s="618"/>
      <c r="AD236" s="618"/>
      <c r="AE236" s="618"/>
      <c r="AF236" s="618"/>
      <c r="AG236" s="618"/>
      <c r="AH236" s="618"/>
      <c r="AI236" s="618"/>
      <c r="AJ236" s="618"/>
      <c r="AK236" s="618"/>
      <c r="AL236" s="618"/>
      <c r="AM236" s="618"/>
      <c r="AN236" s="618"/>
      <c r="AO236" s="618"/>
      <c r="AP236" s="618"/>
      <c r="AQ236" s="618"/>
      <c r="AR236" s="618"/>
      <c r="AS236" s="618"/>
      <c r="AT236" s="618"/>
      <c r="AU236" s="618"/>
      <c r="AV236" s="816"/>
      <c r="AW236" s="816"/>
      <c r="AX236" s="816"/>
      <c r="AY236" s="444"/>
      <c r="AZ236" s="816">
        <f>AZ235/AV235-1</f>
        <v>-2.5011266336187443E-2</v>
      </c>
      <c r="BA236" s="816">
        <f t="shared" ref="BA236:BJ236" si="181">BA235/AW235-1</f>
        <v>-7.8373847443419908E-2</v>
      </c>
      <c r="BB236" s="816">
        <f t="shared" si="181"/>
        <v>-5.2660152008686234E-2</v>
      </c>
      <c r="BC236" s="816"/>
      <c r="BD236" s="816">
        <f t="shared" si="181"/>
        <v>5.8007857638086469E-2</v>
      </c>
      <c r="BE236" s="816">
        <f t="shared" si="181"/>
        <v>6.7303319690768637E-2</v>
      </c>
      <c r="BF236" s="816">
        <f t="shared" si="181"/>
        <v>6.2693409742120343E-2</v>
      </c>
      <c r="BG236" s="816"/>
      <c r="BH236" s="816">
        <f t="shared" si="181"/>
        <v>-3.3857579729139387E-2</v>
      </c>
      <c r="BI236" s="816">
        <f t="shared" si="181"/>
        <v>-3.7068598210481474E-2</v>
      </c>
      <c r="BJ236" s="816">
        <f t="shared" si="181"/>
        <v>-3.5483175150992197E-2</v>
      </c>
      <c r="BK236" s="816"/>
      <c r="BL236" s="816">
        <f>BL235/BH235-1</f>
        <v>5.8331449242595479E-2</v>
      </c>
      <c r="BM236" s="816">
        <f>BM235/BI235-1</f>
        <v>5.2876106194690298E-2</v>
      </c>
      <c r="BN236" s="816">
        <f>BN235/BJ235-1</f>
        <v>5.5574192105557474E-2</v>
      </c>
      <c r="BO236" s="816"/>
      <c r="BP236" s="816">
        <f>BP235/BL235-1</f>
        <v>6.1525315103610367E-2</v>
      </c>
      <c r="BQ236" s="816">
        <f>BQ235/BM235-1</f>
        <v>7.5015759613364041E-2</v>
      </c>
      <c r="BR236" s="816">
        <f>BR235/BN235-1</f>
        <v>6.8326271186440746E-2</v>
      </c>
      <c r="BS236" s="816"/>
      <c r="BT236" s="816">
        <f>BT235/BP235-1</f>
        <v>4.9506943046890628E-2</v>
      </c>
      <c r="BU236" s="816">
        <f>BU235/BQ235-1</f>
        <v>8.0140734949178949E-2</v>
      </c>
      <c r="BV236" s="816">
        <f>BV235/BR235-1</f>
        <v>6.5047099652949969E-2</v>
      </c>
      <c r="BW236" s="816"/>
      <c r="BX236" s="816">
        <f>BX235/BT235-1</f>
        <v>0.10105465004793857</v>
      </c>
      <c r="BY236" s="816">
        <f>BY235/BU235-1</f>
        <v>0.29171190734708641</v>
      </c>
      <c r="BZ236" s="816">
        <f>BZ235/BV235-1</f>
        <v>0.19914346895074941</v>
      </c>
      <c r="CA236" s="816"/>
      <c r="CB236" s="816">
        <f>CB235/BX235-1</f>
        <v>1.024142241977577E-2</v>
      </c>
      <c r="CC236" s="816">
        <f>CC235/BY235-1</f>
        <v>-0.21902171853053021</v>
      </c>
      <c r="CD236" s="816">
        <f>CD235/BZ235-1</f>
        <v>-0.11681450150128669</v>
      </c>
      <c r="CE236" s="816"/>
      <c r="CF236" s="816">
        <f>CF235/CB235-1</f>
        <v>-4.1759055543193035E-2</v>
      </c>
      <c r="CG236" s="816">
        <f>CG235/CC235-1</f>
        <v>2.2311763117999428E-2</v>
      </c>
      <c r="CH236" s="816">
        <f>CH235/CD235-1</f>
        <v>-1.03606220698369E-2</v>
      </c>
      <c r="CI236" s="816"/>
      <c r="CJ236" s="816">
        <f>CJ235/CF235-1</f>
        <v>2.381000749715434E-2</v>
      </c>
      <c r="CK236" s="816">
        <f>CK235/CG235-1</f>
        <v>-1.3271365963725135E-2</v>
      </c>
      <c r="CL236" s="816">
        <f>CL235/CH235-1</f>
        <v>5.0380349824266091E-3</v>
      </c>
    </row>
    <row r="237" spans="3:90" ht="13.8">
      <c r="C237" s="460" t="s">
        <v>10</v>
      </c>
      <c r="AV237" s="507">
        <f>AV224+AV235</f>
        <v>5464</v>
      </c>
      <c r="AW237" s="507">
        <f>AW224+AW235</f>
        <v>4921</v>
      </c>
      <c r="AX237" s="507">
        <f>AX224+AX235</f>
        <v>10385</v>
      </c>
      <c r="AY237" s="584"/>
      <c r="AZ237" s="507">
        <f>AZ224+AZ235</f>
        <v>5483</v>
      </c>
      <c r="BA237" s="507">
        <f>BA224+BA235</f>
        <v>5033</v>
      </c>
      <c r="BB237" s="507">
        <f>BB224+BB235</f>
        <v>10516</v>
      </c>
      <c r="BC237" s="507"/>
      <c r="BD237" s="507">
        <f t="shared" ref="BD237:BI237" si="182">BD224+BD235</f>
        <v>-4578</v>
      </c>
      <c r="BE237" s="507">
        <f t="shared" si="182"/>
        <v>-4694</v>
      </c>
      <c r="BF237" s="507">
        <f>BF224+BF235</f>
        <v>8654</v>
      </c>
      <c r="BG237" s="507"/>
      <c r="BH237" s="507">
        <f t="shared" si="182"/>
        <v>-4423</v>
      </c>
      <c r="BI237" s="507">
        <f t="shared" si="182"/>
        <v>-4520</v>
      </c>
      <c r="BJ237" s="507">
        <f>BJ224+BJ235</f>
        <v>8646</v>
      </c>
      <c r="BK237" s="507"/>
      <c r="BL237" s="507">
        <f>BL224+BL235</f>
        <v>-4681</v>
      </c>
      <c r="BM237" s="507">
        <f>BM224+BM235</f>
        <v>-4759</v>
      </c>
      <c r="BN237" s="507">
        <f>BN224+BN235</f>
        <v>9141</v>
      </c>
      <c r="BO237" s="507"/>
      <c r="BP237" s="507">
        <f>BP224+BP235</f>
        <v>-4969</v>
      </c>
      <c r="BQ237" s="507">
        <f>BQ224+BQ235</f>
        <v>-5116</v>
      </c>
      <c r="BR237" s="507">
        <f>BR224+BR235</f>
        <v>10868</v>
      </c>
      <c r="BS237" s="507"/>
      <c r="BT237" s="507">
        <f>BT224+BT235</f>
        <v>-5215</v>
      </c>
      <c r="BU237" s="507">
        <f>BU224+BU235</f>
        <v>-5526</v>
      </c>
      <c r="BV237" s="507">
        <f>BV224+BV235</f>
        <v>10068</v>
      </c>
      <c r="BW237" s="507"/>
      <c r="BX237" s="507">
        <f>BX224+BX235</f>
        <v>-5742</v>
      </c>
      <c r="BY237" s="507">
        <f>BY224+BY235</f>
        <v>-7138</v>
      </c>
      <c r="BZ237" s="507">
        <f>BZ224+BZ235</f>
        <v>9019</v>
      </c>
      <c r="CA237" s="507"/>
      <c r="CB237" s="507">
        <f>CB224+CB235</f>
        <v>-5800.8062475343522</v>
      </c>
      <c r="CC237" s="507">
        <f>CC224+CC235</f>
        <v>-5574.622973129075</v>
      </c>
      <c r="CD237" s="507">
        <f ca="1">CD224+CD235</f>
        <v>11288.070678222823</v>
      </c>
      <c r="CE237" s="507"/>
      <c r="CF237" s="507">
        <f>CF224+CF235</f>
        <v>-5558.5700572482638</v>
      </c>
      <c r="CG237" s="507">
        <f>CG224+CG235</f>
        <v>-5699.0026403776892</v>
      </c>
      <c r="CH237" s="507">
        <f ca="1">CH224+CH235</f>
        <v>12167.257943685814</v>
      </c>
      <c r="CI237" s="507"/>
      <c r="CJ237" s="507">
        <f>CJ224+CJ235</f>
        <v>-5690.9196519848028</v>
      </c>
      <c r="CK237" s="507">
        <f>CK224+CK235</f>
        <v>-5623.3690907090013</v>
      </c>
      <c r="CL237" s="507">
        <f ca="1">CL224+CL235</f>
        <v>13010.248659161083</v>
      </c>
    </row>
    <row r="238" spans="3:90" ht="13.8">
      <c r="C238" s="445" t="s">
        <v>726</v>
      </c>
      <c r="AV238" s="483">
        <f>AV20</f>
        <v>-408</v>
      </c>
      <c r="AW238" s="483">
        <f>AW20</f>
        <v>-280</v>
      </c>
      <c r="AX238" s="483">
        <f>AX20</f>
        <v>-688</v>
      </c>
      <c r="AY238" s="444"/>
      <c r="AZ238" s="483">
        <f>AZ20</f>
        <v>-393</v>
      </c>
      <c r="BA238" s="483">
        <f>BA20</f>
        <v>-402</v>
      </c>
      <c r="BB238" s="483">
        <f>BB20</f>
        <v>-795</v>
      </c>
      <c r="BC238" s="483"/>
      <c r="BD238" s="483">
        <f>BD20</f>
        <v>-1674</v>
      </c>
      <c r="BE238" s="483">
        <f>BE20</f>
        <v>-1064</v>
      </c>
      <c r="BF238" s="483">
        <f>BF20</f>
        <v>-2738</v>
      </c>
      <c r="BG238" s="483"/>
      <c r="BH238" s="483">
        <f>BH20</f>
        <v>491</v>
      </c>
      <c r="BI238" s="483">
        <f>BI20</f>
        <v>76</v>
      </c>
      <c r="BJ238" s="483">
        <f>BJ20</f>
        <v>567</v>
      </c>
      <c r="BK238" s="483"/>
      <c r="BL238" s="483">
        <f>BL20</f>
        <v>284</v>
      </c>
      <c r="BM238" s="483">
        <f>BM20</f>
        <v>-52</v>
      </c>
      <c r="BN238" s="483">
        <f>BN20</f>
        <v>232</v>
      </c>
      <c r="BO238" s="483"/>
      <c r="BP238" s="483">
        <f>BP20</f>
        <v>-133</v>
      </c>
      <c r="BQ238" s="483">
        <f>BQ20</f>
        <v>-112</v>
      </c>
      <c r="BR238" s="483">
        <f>BR20</f>
        <v>-245</v>
      </c>
      <c r="BS238" s="483"/>
      <c r="BT238" s="483">
        <f>BT20</f>
        <v>-70</v>
      </c>
      <c r="BU238" s="483">
        <f>BU20</f>
        <v>-336</v>
      </c>
      <c r="BV238" s="483">
        <f>BV20</f>
        <v>-406</v>
      </c>
      <c r="BW238" s="483"/>
      <c r="BX238" s="483">
        <f>BX20</f>
        <v>-145</v>
      </c>
      <c r="BY238" s="483">
        <f>BY20</f>
        <v>-296</v>
      </c>
      <c r="BZ238" s="483">
        <f>BZ20</f>
        <v>-441</v>
      </c>
      <c r="CA238" s="483"/>
      <c r="CB238" s="483">
        <f>CB20</f>
        <v>-209.3784177127927</v>
      </c>
      <c r="CC238" s="483">
        <f>CC20</f>
        <v>-344.16098380079086</v>
      </c>
      <c r="CD238" s="483">
        <f>CD20</f>
        <v>-553.53940151358358</v>
      </c>
      <c r="CE238" s="483"/>
      <c r="CF238" s="483">
        <f>CF20</f>
        <v>-393.64249455575055</v>
      </c>
      <c r="CG238" s="483">
        <f>CG20</f>
        <v>-405.40625259113426</v>
      </c>
      <c r="CH238" s="483">
        <f>CH20</f>
        <v>-799.04874714688481</v>
      </c>
      <c r="CI238" s="483"/>
      <c r="CJ238" s="483">
        <f>CJ20</f>
        <v>-458.2648637195523</v>
      </c>
      <c r="CK238" s="483">
        <f>CK20</f>
        <v>-468.19535307126404</v>
      </c>
      <c r="CL238" s="483">
        <f>CL20</f>
        <v>-926.46021679081628</v>
      </c>
    </row>
    <row r="239" spans="3:90" ht="13.8">
      <c r="C239" s="472" t="s">
        <v>143</v>
      </c>
      <c r="AV239" s="507">
        <f>SUM(AV237:AV238)</f>
        <v>5056</v>
      </c>
      <c r="AW239" s="507">
        <f>SUM(AW237:AW238)</f>
        <v>4641</v>
      </c>
      <c r="AX239" s="507">
        <f>SUM(AX237:AX238)</f>
        <v>9697</v>
      </c>
      <c r="AY239" s="584"/>
      <c r="AZ239" s="507">
        <f>SUM(AZ237:AZ238)</f>
        <v>5090</v>
      </c>
      <c r="BA239" s="507">
        <f>SUM(BA237:BA238)</f>
        <v>4631</v>
      </c>
      <c r="BB239" s="507">
        <f>SUM(BB237:BB238)</f>
        <v>9721</v>
      </c>
      <c r="BC239" s="507"/>
      <c r="BD239" s="507">
        <f t="shared" ref="BD239:BI239" si="183">SUM(BD237:BD238)</f>
        <v>-6252</v>
      </c>
      <c r="BE239" s="507">
        <f t="shared" si="183"/>
        <v>-5758</v>
      </c>
      <c r="BF239" s="507">
        <f>SUM(BF237:BF238)</f>
        <v>5916</v>
      </c>
      <c r="BG239" s="507"/>
      <c r="BH239" s="507">
        <f t="shared" si="183"/>
        <v>-3932</v>
      </c>
      <c r="BI239" s="507">
        <f t="shared" si="183"/>
        <v>-4444</v>
      </c>
      <c r="BJ239" s="507">
        <f>SUM(BJ237:BJ238)</f>
        <v>9213</v>
      </c>
      <c r="BK239" s="507"/>
      <c r="BL239" s="507">
        <f>SUM(BL237:BL238)</f>
        <v>-4397</v>
      </c>
      <c r="BM239" s="507">
        <f>SUM(BM237:BM238)</f>
        <v>-4811</v>
      </c>
      <c r="BN239" s="507">
        <f>SUM(BN237:BN238)</f>
        <v>9373</v>
      </c>
      <c r="BO239" s="507"/>
      <c r="BP239" s="507">
        <f>SUM(BP237:BP238)</f>
        <v>-5102</v>
      </c>
      <c r="BQ239" s="507">
        <f>SUM(BQ237:BQ238)</f>
        <v>-5228</v>
      </c>
      <c r="BR239" s="507">
        <f>SUM(BR237:BR238)</f>
        <v>10623</v>
      </c>
      <c r="BS239" s="507"/>
      <c r="BT239" s="507">
        <f>SUM(BT237:BT238)</f>
        <v>-5285</v>
      </c>
      <c r="BU239" s="507">
        <f>SUM(BU237:BU238)</f>
        <v>-5862</v>
      </c>
      <c r="BV239" s="507">
        <f>SUM(BV237:BV238)</f>
        <v>9662</v>
      </c>
      <c r="BW239" s="507"/>
      <c r="BX239" s="507">
        <f>SUM(BX237:BX238)</f>
        <v>-5887</v>
      </c>
      <c r="BY239" s="507">
        <f>SUM(BY237:BY238)</f>
        <v>-7434</v>
      </c>
      <c r="BZ239" s="507">
        <f>SUM(BZ237:BZ238)</f>
        <v>8578</v>
      </c>
      <c r="CA239" s="507"/>
      <c r="CB239" s="507">
        <f>SUM(CB237:CB238)</f>
        <v>-6010.1846652471449</v>
      </c>
      <c r="CC239" s="507">
        <f>SUM(CC237:CC238)</f>
        <v>-5918.7839569298658</v>
      </c>
      <c r="CD239" s="507">
        <f ca="1">SUM(CD237:CD238)</f>
        <v>10734.531276709238</v>
      </c>
      <c r="CE239" s="507"/>
      <c r="CF239" s="507">
        <f>SUM(CF237:CF238)</f>
        <v>-5952.2125518040139</v>
      </c>
      <c r="CG239" s="507">
        <f>SUM(CG237:CG238)</f>
        <v>-6104.4088929688232</v>
      </c>
      <c r="CH239" s="507">
        <f ca="1">SUM(CH237:CH238)</f>
        <v>11368.20919653893</v>
      </c>
      <c r="CI239" s="507"/>
      <c r="CJ239" s="507">
        <f>SUM(CJ237:CJ238)</f>
        <v>-6149.1845157043554</v>
      </c>
      <c r="CK239" s="507">
        <f>SUM(CK237:CK238)</f>
        <v>-6091.5644437802657</v>
      </c>
      <c r="CL239" s="507">
        <f ca="1">SUM(CL237:CL238)</f>
        <v>12083.788442370267</v>
      </c>
    </row>
    <row r="240" spans="3:90" ht="13.8">
      <c r="C240" s="811" t="s">
        <v>132</v>
      </c>
      <c r="AV240" s="881">
        <f>MODEL!CB992</f>
        <v>0.29845660452996592</v>
      </c>
      <c r="AW240" s="881">
        <f>MODEL!CC992</f>
        <v>0.29983679179295875</v>
      </c>
      <c r="AX240" s="881">
        <f>MODEL!CD992</f>
        <v>0.29909463246389306</v>
      </c>
      <c r="AY240" s="881">
        <f>MODEL!CE992</f>
        <v>0</v>
      </c>
      <c r="AZ240" s="881">
        <f>MODEL!CF992</f>
        <v>0.28368083400160388</v>
      </c>
      <c r="BA240" s="881">
        <f>MODEL!CG992</f>
        <v>0.30251497005988026</v>
      </c>
      <c r="BB240" s="881">
        <f>MODEL!CH992</f>
        <v>0.29226235948925022</v>
      </c>
      <c r="BC240" s="881"/>
      <c r="BD240" s="881">
        <f>MODEL!CJ992</f>
        <v>0.38521739130434784</v>
      </c>
      <c r="BE240" s="881">
        <f>MODEL!CK992</f>
        <v>0.29600720504353045</v>
      </c>
      <c r="BF240" s="881">
        <f>MODEL!CL992</f>
        <v>0.33244539158231218</v>
      </c>
      <c r="BG240" s="881"/>
      <c r="BH240" s="881">
        <f>MODEL!CN992</f>
        <v>0.32536101083032493</v>
      </c>
      <c r="BI240" s="881">
        <f>MODEL!CO992</f>
        <v>0.29176782167291987</v>
      </c>
      <c r="BJ240" s="881">
        <f>MODEL!CP992</f>
        <v>0.30837889099631821</v>
      </c>
      <c r="BK240" s="881"/>
      <c r="BL240" s="881">
        <f>MODEL!CR992</f>
        <v>0.29903174960594459</v>
      </c>
      <c r="BM240" s="881">
        <f>MODEL!CS992</f>
        <v>0.28514393780205927</v>
      </c>
      <c r="BN240" s="881">
        <f>MODEL!CT992</f>
        <v>0.29184782608695653</v>
      </c>
      <c r="BO240" s="881"/>
      <c r="BP240" s="881">
        <f>MODEL!CV992</f>
        <v>0.28964879852125691</v>
      </c>
      <c r="BQ240" s="881">
        <f>MODEL!CW992</f>
        <v>0.29602817452553315</v>
      </c>
      <c r="BR240" s="881">
        <f>MODEL!CX992</f>
        <v>0.29274783765801732</v>
      </c>
      <c r="BS240" s="881"/>
      <c r="BT240" s="881">
        <f>MODEL!CZ992</f>
        <v>0.2955353615171869</v>
      </c>
      <c r="BU240" s="881">
        <f>MODEL!DA992</f>
        <v>0.3056521739130435</v>
      </c>
      <c r="BV240" s="881">
        <f>MODEL!DB992</f>
        <v>0.30035189401780171</v>
      </c>
      <c r="BW240" s="881"/>
      <c r="BX240" s="881">
        <f>MODEL!DD992</f>
        <v>0.29737666405638213</v>
      </c>
      <c r="BY240" s="881">
        <f>MODEL!DE992</f>
        <v>0.35475504322766571</v>
      </c>
      <c r="BZ240" s="881">
        <f>MODEL!DF992</f>
        <v>0.32058754954534857</v>
      </c>
      <c r="CA240" s="881"/>
      <c r="CB240" s="881">
        <f ca="1">MODEL!DH992</f>
        <v>0.29499999999999998</v>
      </c>
      <c r="CC240" s="881">
        <f ca="1">MODEL!DI992</f>
        <v>0.29499999999999998</v>
      </c>
      <c r="CD240" s="881">
        <f ca="1">MODEL!DJ992</f>
        <v>0.29500000000000004</v>
      </c>
      <c r="CE240" s="881"/>
      <c r="CF240" s="881">
        <f ca="1">MODEL!DL992</f>
        <v>0.29499999999999998</v>
      </c>
      <c r="CG240" s="881">
        <f ca="1">MODEL!DM992</f>
        <v>0.29499999999999998</v>
      </c>
      <c r="CH240" s="881">
        <f ca="1">MODEL!DN992</f>
        <v>0.29499999999999993</v>
      </c>
      <c r="CI240" s="881"/>
      <c r="CJ240" s="881">
        <f ca="1">MODEL!DP992</f>
        <v>0.29499999999999998</v>
      </c>
      <c r="CK240" s="881">
        <f ca="1">MODEL!DQ992</f>
        <v>0.29499999999999998</v>
      </c>
      <c r="CL240" s="881">
        <f ca="1">MODEL!DR992</f>
        <v>0.29499999999999987</v>
      </c>
    </row>
    <row r="241" spans="3:90" ht="13.8">
      <c r="C241" s="474" t="s">
        <v>545</v>
      </c>
      <c r="AV241" s="483">
        <f t="shared" ref="AV241:BJ241" si="184">-AV239*AV240</f>
        <v>-1508.9965925035076</v>
      </c>
      <c r="AW241" s="483">
        <f t="shared" si="184"/>
        <v>-1391.5425507111215</v>
      </c>
      <c r="AX241" s="483">
        <f t="shared" si="184"/>
        <v>-2900.3206510023711</v>
      </c>
      <c r="AY241" s="483">
        <f t="shared" si="184"/>
        <v>0</v>
      </c>
      <c r="AZ241" s="483">
        <f t="shared" si="184"/>
        <v>-1443.9354450681637</v>
      </c>
      <c r="BA241" s="483">
        <f t="shared" si="184"/>
        <v>-1400.9468263473054</v>
      </c>
      <c r="BB241" s="483">
        <f t="shared" si="184"/>
        <v>-2841.0823965950012</v>
      </c>
      <c r="BC241" s="483"/>
      <c r="BD241" s="483">
        <f t="shared" si="184"/>
        <v>2408.3791304347828</v>
      </c>
      <c r="BE241" s="483">
        <f t="shared" si="184"/>
        <v>1704.4094866406483</v>
      </c>
      <c r="BF241" s="483">
        <f t="shared" si="184"/>
        <v>-1966.7469366009589</v>
      </c>
      <c r="BG241" s="483"/>
      <c r="BH241" s="483">
        <f t="shared" si="184"/>
        <v>1279.3194945848377</v>
      </c>
      <c r="BI241" s="483">
        <f t="shared" si="184"/>
        <v>1296.616199514456</v>
      </c>
      <c r="BJ241" s="483">
        <f t="shared" si="184"/>
        <v>-2841.0947227490797</v>
      </c>
      <c r="BK241" s="483"/>
      <c r="BL241" s="483">
        <f>-BL239*BL240</f>
        <v>1314.8426030173384</v>
      </c>
      <c r="BM241" s="483">
        <f>-BM239*BM240</f>
        <v>1371.8274847657071</v>
      </c>
      <c r="BN241" s="483">
        <f>-BN239*BN240</f>
        <v>-2735.4896739130436</v>
      </c>
      <c r="BO241" s="483"/>
      <c r="BP241" s="483">
        <f>-BP239*BP240</f>
        <v>1477.7881700554528</v>
      </c>
      <c r="BQ241" s="483">
        <f>-BQ239*BQ240</f>
        <v>1547.6352964194873</v>
      </c>
      <c r="BR241" s="483">
        <f>-BR239*BR240</f>
        <v>-3109.8602794411181</v>
      </c>
      <c r="BS241" s="483"/>
      <c r="BT241" s="483">
        <f>-BT239*BT240</f>
        <v>1561.9043856183328</v>
      </c>
      <c r="BU241" s="483">
        <f>-BU239*BU240</f>
        <v>1791.7330434782609</v>
      </c>
      <c r="BV241" s="483">
        <f>-BV239*BV240</f>
        <v>-2902</v>
      </c>
      <c r="BW241" s="483"/>
      <c r="BX241" s="483">
        <f>-BX239*BX240</f>
        <v>1750.6564212999217</v>
      </c>
      <c r="BY241" s="483">
        <f>-BY239*BY240</f>
        <v>2637.2489913544669</v>
      </c>
      <c r="BZ241" s="483">
        <f>-BZ239*BZ240</f>
        <v>-2750</v>
      </c>
      <c r="CA241" s="483"/>
      <c r="CB241" s="483">
        <f ca="1">-CB239*CB240</f>
        <v>1773.0044762479076</v>
      </c>
      <c r="CC241" s="483">
        <f ca="1">-CC239*CC240</f>
        <v>1746.0412672943103</v>
      </c>
      <c r="CD241" s="483">
        <f ca="1">-CD239*CD240</f>
        <v>-3166.6867266292256</v>
      </c>
      <c r="CE241" s="483"/>
      <c r="CF241" s="483">
        <f ca="1">-CF239*CF240</f>
        <v>1755.902702782184</v>
      </c>
      <c r="CG241" s="483">
        <f ca="1">-CG239*CG240</f>
        <v>1800.8006234258028</v>
      </c>
      <c r="CH241" s="483">
        <f ca="1">-CH239*CH240</f>
        <v>-3353.6217129789834</v>
      </c>
      <c r="CI241" s="483"/>
      <c r="CJ241" s="483">
        <f ca="1">-CJ239*CJ240</f>
        <v>1814.0094321327847</v>
      </c>
      <c r="CK241" s="483">
        <f ca="1">-CK239*CK240</f>
        <v>1797.0115109151784</v>
      </c>
      <c r="CL241" s="483">
        <f ca="1">-CL239*CL240</f>
        <v>-3564.7175904992273</v>
      </c>
    </row>
    <row r="242" spans="3:90" ht="13.8">
      <c r="C242" s="475" t="s">
        <v>712</v>
      </c>
      <c r="AV242" s="758">
        <f t="shared" ref="AV242:BB242" si="185">AV23</f>
        <v>-7</v>
      </c>
      <c r="AW242" s="758">
        <f t="shared" si="185"/>
        <v>-9</v>
      </c>
      <c r="AX242" s="758">
        <f t="shared" si="185"/>
        <v>-16</v>
      </c>
      <c r="AY242" s="758">
        <f t="shared" si="185"/>
        <v>0</v>
      </c>
      <c r="AZ242" s="758">
        <f t="shared" si="185"/>
        <v>-9</v>
      </c>
      <c r="BA242" s="758">
        <f t="shared" si="185"/>
        <v>-6</v>
      </c>
      <c r="BB242" s="758">
        <f t="shared" si="185"/>
        <v>-15</v>
      </c>
      <c r="BC242" s="758"/>
      <c r="BD242" s="758">
        <f>BD23</f>
        <v>-1</v>
      </c>
      <c r="BE242" s="758">
        <f>BE23</f>
        <v>0</v>
      </c>
      <c r="BF242" s="758">
        <f>BF23</f>
        <v>-1</v>
      </c>
      <c r="BG242" s="758"/>
      <c r="BH242" s="758">
        <f>BH23</f>
        <v>0</v>
      </c>
      <c r="BI242" s="758">
        <f>BI23</f>
        <v>-1</v>
      </c>
      <c r="BJ242" s="758">
        <f>BJ23</f>
        <v>-1</v>
      </c>
      <c r="BK242" s="758"/>
      <c r="BL242" s="758">
        <f>BL23</f>
        <v>0</v>
      </c>
      <c r="BM242" s="758">
        <f>BM23</f>
        <v>0</v>
      </c>
      <c r="BN242" s="758">
        <f>BN23</f>
        <v>0</v>
      </c>
      <c r="BO242" s="758"/>
      <c r="BP242" s="758">
        <f>BP23</f>
        <v>-14</v>
      </c>
      <c r="BQ242" s="758">
        <f>BQ23</f>
        <v>-14</v>
      </c>
      <c r="BR242" s="758">
        <f>BR23</f>
        <v>-28</v>
      </c>
      <c r="BS242" s="758"/>
      <c r="BT242" s="758">
        <f>BT23</f>
        <v>-14</v>
      </c>
      <c r="BU242" s="758">
        <f>BU23</f>
        <v>-21</v>
      </c>
      <c r="BV242" s="758">
        <f>BV23</f>
        <v>-35</v>
      </c>
      <c r="BW242" s="758"/>
      <c r="BX242" s="758">
        <f>BX23</f>
        <v>-21</v>
      </c>
      <c r="BY242" s="758">
        <f>BY23</f>
        <v>-20</v>
      </c>
      <c r="BZ242" s="758">
        <f>BZ23</f>
        <v>-41</v>
      </c>
      <c r="CA242" s="758"/>
      <c r="CB242" s="758">
        <f>CB23</f>
        <v>-20</v>
      </c>
      <c r="CC242" s="758">
        <f>CC23</f>
        <v>-20</v>
      </c>
      <c r="CD242" s="758">
        <f>CD23</f>
        <v>-40</v>
      </c>
      <c r="CE242" s="758"/>
      <c r="CF242" s="758">
        <f>CF23</f>
        <v>-20</v>
      </c>
      <c r="CG242" s="758">
        <f>CG23</f>
        <v>-20</v>
      </c>
      <c r="CH242" s="758">
        <f>CH23</f>
        <v>-40</v>
      </c>
      <c r="CI242" s="758"/>
      <c r="CJ242" s="758">
        <f>CJ23</f>
        <v>-20</v>
      </c>
      <c r="CK242" s="758">
        <f>CK23</f>
        <v>-20</v>
      </c>
      <c r="CL242" s="758">
        <f>CL23</f>
        <v>-40</v>
      </c>
    </row>
    <row r="243" spans="3:90" ht="13.8">
      <c r="C243" s="476" t="s">
        <v>888</v>
      </c>
      <c r="AV243" s="882">
        <f t="shared" ref="AV243:BJ243" si="186">AV239+AV241+AV242</f>
        <v>3540.0034074964924</v>
      </c>
      <c r="AW243" s="882">
        <f t="shared" si="186"/>
        <v>3240.4574492888787</v>
      </c>
      <c r="AX243" s="882">
        <f t="shared" si="186"/>
        <v>6780.6793489976289</v>
      </c>
      <c r="AY243" s="882">
        <f t="shared" si="186"/>
        <v>0</v>
      </c>
      <c r="AZ243" s="882">
        <f t="shared" si="186"/>
        <v>3637.064554931836</v>
      </c>
      <c r="BA243" s="882">
        <f t="shared" si="186"/>
        <v>3224.0531736526946</v>
      </c>
      <c r="BB243" s="882">
        <f t="shared" si="186"/>
        <v>6864.9176034049988</v>
      </c>
      <c r="BC243" s="882"/>
      <c r="BD243" s="882">
        <f t="shared" si="186"/>
        <v>-3844.6208695652172</v>
      </c>
      <c r="BE243" s="882">
        <f t="shared" si="186"/>
        <v>-4053.5905133593515</v>
      </c>
      <c r="BF243" s="882">
        <f t="shared" si="186"/>
        <v>3948.2530633990409</v>
      </c>
      <c r="BG243" s="882"/>
      <c r="BH243" s="882">
        <f t="shared" si="186"/>
        <v>-2652.6805054151623</v>
      </c>
      <c r="BI243" s="882">
        <f t="shared" si="186"/>
        <v>-3148.3838004855443</v>
      </c>
      <c r="BJ243" s="882">
        <f t="shared" si="186"/>
        <v>6370.9052772509203</v>
      </c>
      <c r="BK243" s="882"/>
      <c r="BL243" s="882">
        <f>BL239+BL241+BL242</f>
        <v>-3082.1573969826613</v>
      </c>
      <c r="BM243" s="882">
        <f>BM239+BM241+BM242</f>
        <v>-3439.1725152342929</v>
      </c>
      <c r="BN243" s="882">
        <f>BN239+BN241+BN242</f>
        <v>6637.5103260869564</v>
      </c>
      <c r="BO243" s="882"/>
      <c r="BP243" s="882">
        <f>BP239+BP241+BP242</f>
        <v>-3638.2118299445474</v>
      </c>
      <c r="BQ243" s="882">
        <f>BQ239+BQ241+BQ242</f>
        <v>-3694.3647035805125</v>
      </c>
      <c r="BR243" s="882">
        <f>BR239+BR241+BR242</f>
        <v>7485.1397205588819</v>
      </c>
      <c r="BS243" s="882"/>
      <c r="BT243" s="882">
        <f>BT239+BT241+BT242</f>
        <v>-3737.0956143816675</v>
      </c>
      <c r="BU243" s="882">
        <f>BU239+BU241+BU242</f>
        <v>-4091.2669565217393</v>
      </c>
      <c r="BV243" s="882">
        <f>BV239+BV241+BV242</f>
        <v>6725</v>
      </c>
      <c r="BW243" s="882"/>
      <c r="BX243" s="882">
        <f>BX239+BX241+BX242</f>
        <v>-4157.3435787000781</v>
      </c>
      <c r="BY243" s="882">
        <f>BY239+BY241+BY242</f>
        <v>-4816.7510086455331</v>
      </c>
      <c r="BZ243" s="882">
        <f>BZ239+BZ241+BZ242</f>
        <v>5787</v>
      </c>
      <c r="CA243" s="882"/>
      <c r="CB243" s="882">
        <f ca="1">CB239+CB241+CB242</f>
        <v>-4257.1801889992375</v>
      </c>
      <c r="CC243" s="882">
        <f ca="1">CC239+CC241+CC242</f>
        <v>-4192.7426896355555</v>
      </c>
      <c r="CD243" s="882">
        <f ca="1">CD239+CD241+CD242</f>
        <v>7527.8445500800126</v>
      </c>
      <c r="CE243" s="882"/>
      <c r="CF243" s="882">
        <f ca="1">CF239+CF241+CF242</f>
        <v>-4216.3098490218299</v>
      </c>
      <c r="CG243" s="882">
        <f ca="1">CG239+CG241+CG242</f>
        <v>-4323.6082695430205</v>
      </c>
      <c r="CH243" s="882">
        <f ca="1">CH239+CH241+CH242</f>
        <v>7974.5874835599461</v>
      </c>
      <c r="CI243" s="882"/>
      <c r="CJ243" s="882">
        <f ca="1">CJ239+CJ241+CJ242</f>
        <v>-4355.1750835715702</v>
      </c>
      <c r="CK243" s="882">
        <f ca="1">CK239+CK241+CK242</f>
        <v>-4314.5529328650873</v>
      </c>
      <c r="CL243" s="882">
        <f ca="1">CL239+CL241+CL242</f>
        <v>8479.0708518710398</v>
      </c>
    </row>
    <row r="244" spans="3:90" ht="13.8">
      <c r="C244" s="475" t="s">
        <v>892</v>
      </c>
      <c r="AV244" s="483">
        <f ca="1">AV25</f>
        <v>-617</v>
      </c>
      <c r="AW244" s="483">
        <f t="shared" ref="AW244:BB244" si="187">AW25</f>
        <v>-65</v>
      </c>
      <c r="AX244" s="483">
        <f ca="1">AX25</f>
        <v>-682</v>
      </c>
      <c r="AY244" s="483">
        <f t="shared" si="187"/>
        <v>0</v>
      </c>
      <c r="AZ244" s="483">
        <f t="shared" si="187"/>
        <v>-50</v>
      </c>
      <c r="BA244" s="483">
        <f t="shared" si="187"/>
        <v>-259</v>
      </c>
      <c r="BB244" s="483">
        <f t="shared" si="187"/>
        <v>-309</v>
      </c>
      <c r="BC244" s="483"/>
      <c r="BD244" s="483">
        <f>BD25</f>
        <v>-90</v>
      </c>
      <c r="BE244" s="483">
        <f>BE25</f>
        <v>-8</v>
      </c>
      <c r="BF244" s="483">
        <f>BF25</f>
        <v>-98</v>
      </c>
      <c r="BG244" s="483"/>
      <c r="BH244" s="483">
        <f>BH25</f>
        <v>-8</v>
      </c>
      <c r="BI244" s="483">
        <f>BI25</f>
        <v>-9</v>
      </c>
      <c r="BJ244" s="483">
        <f>BJ25</f>
        <v>-17</v>
      </c>
      <c r="BK244" s="483"/>
      <c r="BL244" s="483">
        <f>BL25</f>
        <v>-5</v>
      </c>
      <c r="BM244" s="483">
        <f>BM25</f>
        <v>-14</v>
      </c>
      <c r="BN244" s="483">
        <f>BN25</f>
        <v>-19</v>
      </c>
      <c r="BO244" s="483"/>
      <c r="BP244" s="483">
        <f>BP25</f>
        <v>0</v>
      </c>
      <c r="BQ244" s="483">
        <f>BQ25</f>
        <v>0</v>
      </c>
      <c r="BR244" s="483">
        <f>BR25</f>
        <v>0</v>
      </c>
      <c r="BS244" s="483"/>
      <c r="BT244" s="483">
        <f>BT25</f>
        <v>0</v>
      </c>
      <c r="BU244" s="483">
        <f>BU25</f>
        <v>0</v>
      </c>
      <c r="BV244" s="483">
        <f>BV25</f>
        <v>0</v>
      </c>
      <c r="BW244" s="483"/>
      <c r="BX244" s="483">
        <f>BX25</f>
        <v>0</v>
      </c>
      <c r="BY244" s="483">
        <f>BY25</f>
        <v>0</v>
      </c>
      <c r="BZ244" s="483">
        <f>BZ25</f>
        <v>0</v>
      </c>
      <c r="CA244" s="483"/>
      <c r="CB244" s="483">
        <f>CB25</f>
        <v>0</v>
      </c>
      <c r="CC244" s="483">
        <f>CC25</f>
        <v>0</v>
      </c>
      <c r="CD244" s="483">
        <f>CD25</f>
        <v>0</v>
      </c>
      <c r="CE244" s="483"/>
      <c r="CF244" s="483">
        <f>CF25</f>
        <v>0</v>
      </c>
      <c r="CG244" s="483">
        <f>CG25</f>
        <v>0</v>
      </c>
      <c r="CH244" s="483">
        <f>CH25</f>
        <v>0</v>
      </c>
      <c r="CI244" s="483"/>
      <c r="CJ244" s="483">
        <f>CJ25</f>
        <v>0</v>
      </c>
      <c r="CK244" s="483">
        <f>CK25</f>
        <v>0</v>
      </c>
      <c r="CL244" s="483">
        <f>CL25</f>
        <v>0</v>
      </c>
    </row>
    <row r="245" spans="3:90" ht="13.8">
      <c r="C245" s="814" t="s">
        <v>930</v>
      </c>
      <c r="D245" s="564"/>
      <c r="E245" s="564"/>
      <c r="F245" s="564"/>
      <c r="G245" s="564"/>
      <c r="H245" s="564"/>
      <c r="I245" s="564"/>
      <c r="J245" s="564"/>
      <c r="K245" s="564"/>
      <c r="L245" s="564"/>
      <c r="M245" s="564"/>
      <c r="N245" s="564"/>
      <c r="O245" s="564"/>
      <c r="P245" s="564"/>
      <c r="Q245" s="564"/>
      <c r="R245" s="564"/>
      <c r="S245" s="564"/>
      <c r="T245" s="564"/>
      <c r="U245" s="564"/>
      <c r="V245" s="564"/>
      <c r="W245" s="564"/>
      <c r="X245" s="564"/>
      <c r="Y245" s="564"/>
      <c r="Z245" s="564"/>
      <c r="AA245" s="564"/>
      <c r="AB245" s="564"/>
      <c r="AC245" s="564"/>
      <c r="AD245" s="564"/>
      <c r="AE245" s="564"/>
      <c r="AF245" s="564"/>
      <c r="AG245" s="564"/>
      <c r="AH245" s="564"/>
      <c r="AI245" s="564"/>
      <c r="AJ245" s="564"/>
      <c r="AK245" s="564"/>
      <c r="AL245" s="564"/>
      <c r="AM245" s="564"/>
      <c r="AN245" s="564"/>
      <c r="AO245" s="564"/>
      <c r="AP245" s="564"/>
      <c r="AQ245" s="564"/>
      <c r="AR245" s="564"/>
      <c r="AS245" s="564"/>
      <c r="AT245" s="564"/>
      <c r="AU245" s="564"/>
      <c r="AV245" s="815">
        <f ca="1">SUM(AV243:AV244)</f>
        <v>2923.0034074964924</v>
      </c>
      <c r="AW245" s="815">
        <f t="shared" ref="AW245:BJ245" si="188">SUM(AW243:AW244)</f>
        <v>3175.4574492888787</v>
      </c>
      <c r="AX245" s="815">
        <f ca="1">SUM(AX243:AX244)</f>
        <v>6098.6793489976289</v>
      </c>
      <c r="AY245" s="815">
        <f t="shared" si="188"/>
        <v>0</v>
      </c>
      <c r="AZ245" s="815">
        <f t="shared" si="188"/>
        <v>3587.064554931836</v>
      </c>
      <c r="BA245" s="815">
        <f t="shared" si="188"/>
        <v>2965.0531736526946</v>
      </c>
      <c r="BB245" s="815">
        <f t="shared" si="188"/>
        <v>6555.9176034049988</v>
      </c>
      <c r="BC245" s="815"/>
      <c r="BD245" s="815">
        <f t="shared" si="188"/>
        <v>-3934.6208695652172</v>
      </c>
      <c r="BE245" s="815">
        <f t="shared" si="188"/>
        <v>-4061.5905133593515</v>
      </c>
      <c r="BF245" s="815">
        <f t="shared" si="188"/>
        <v>3850.2530633990409</v>
      </c>
      <c r="BG245" s="815"/>
      <c r="BH245" s="815">
        <f t="shared" si="188"/>
        <v>-2660.6805054151623</v>
      </c>
      <c r="BI245" s="815">
        <f t="shared" si="188"/>
        <v>-3157.3838004855443</v>
      </c>
      <c r="BJ245" s="815">
        <f t="shared" si="188"/>
        <v>6353.9052772509203</v>
      </c>
      <c r="BK245" s="815"/>
      <c r="BL245" s="815">
        <f>SUM(BL243:BL244)</f>
        <v>-3087.1573969826613</v>
      </c>
      <c r="BM245" s="815">
        <f>SUM(BM243:BM244)</f>
        <v>-3453.1725152342929</v>
      </c>
      <c r="BN245" s="815">
        <f>SUM(BN243:BN244)</f>
        <v>6618.5103260869564</v>
      </c>
      <c r="BO245" s="815"/>
      <c r="BP245" s="815">
        <f>SUM(BP243:BP244)</f>
        <v>-3638.2118299445474</v>
      </c>
      <c r="BQ245" s="815">
        <f>SUM(BQ243:BQ244)</f>
        <v>-3694.3647035805125</v>
      </c>
      <c r="BR245" s="815">
        <f>SUM(BR243:BR244)</f>
        <v>7485.1397205588819</v>
      </c>
      <c r="BS245" s="815"/>
      <c r="BT245" s="815">
        <f>SUM(BT243:BT244)</f>
        <v>-3737.0956143816675</v>
      </c>
      <c r="BU245" s="815">
        <f>SUM(BU243:BU244)</f>
        <v>-4091.2669565217393</v>
      </c>
      <c r="BV245" s="815">
        <f>SUM(BV243:BV244)</f>
        <v>6725</v>
      </c>
      <c r="BW245" s="815"/>
      <c r="BX245" s="815">
        <f>SUM(BX243:BX244)</f>
        <v>-4157.3435787000781</v>
      </c>
      <c r="BY245" s="815">
        <f>SUM(BY243:BY244)</f>
        <v>-4816.7510086455331</v>
      </c>
      <c r="BZ245" s="815">
        <f>SUM(BZ243:BZ244)</f>
        <v>5787</v>
      </c>
      <c r="CA245" s="815"/>
      <c r="CB245" s="815">
        <f ca="1">SUM(CB243:CB244)</f>
        <v>-4257.1801889992375</v>
      </c>
      <c r="CC245" s="815">
        <f ca="1">SUM(CC243:CC244)</f>
        <v>-4192.7426896355555</v>
      </c>
      <c r="CD245" s="815">
        <f ca="1">SUM(CD243:CD244)</f>
        <v>7527.8445500800126</v>
      </c>
      <c r="CE245" s="815"/>
      <c r="CF245" s="815">
        <f ca="1">SUM(CF243:CF244)</f>
        <v>-4216.3098490218299</v>
      </c>
      <c r="CG245" s="815">
        <f ca="1">SUM(CG243:CG244)</f>
        <v>-4323.6082695430205</v>
      </c>
      <c r="CH245" s="815">
        <f ca="1">SUM(CH243:CH244)</f>
        <v>7974.5874835599461</v>
      </c>
      <c r="CI245" s="815"/>
      <c r="CJ245" s="815">
        <f ca="1">SUM(CJ243:CJ244)</f>
        <v>-4355.1750835715702</v>
      </c>
      <c r="CK245" s="815">
        <f ca="1">SUM(CK243:CK244)</f>
        <v>-4314.5529328650873</v>
      </c>
      <c r="CL245" s="815">
        <f ca="1">SUM(CL243:CL244)</f>
        <v>8479.0708518710398</v>
      </c>
    </row>
    <row r="246" spans="3:90" ht="13.8">
      <c r="C246" s="563" t="s">
        <v>136</v>
      </c>
      <c r="AV246" s="883">
        <f ca="1">AV26</f>
        <v>2876</v>
      </c>
      <c r="AW246" s="883">
        <f t="shared" ref="AW246:BB246" si="189">AW26</f>
        <v>2929</v>
      </c>
      <c r="AX246" s="883">
        <f ca="1">AX26</f>
        <v>5805</v>
      </c>
      <c r="AY246" s="883">
        <f t="shared" si="189"/>
        <v>0</v>
      </c>
      <c r="AZ246" s="883">
        <f t="shared" si="189"/>
        <v>3514</v>
      </c>
      <c r="BA246" s="883">
        <f t="shared" si="189"/>
        <v>2647</v>
      </c>
      <c r="BB246" s="883">
        <f t="shared" si="189"/>
        <v>6161</v>
      </c>
      <c r="BC246" s="883"/>
      <c r="BD246" s="883">
        <f>BD26</f>
        <v>1323</v>
      </c>
      <c r="BE246" s="883">
        <f>BE26</f>
        <v>2337</v>
      </c>
      <c r="BF246" s="883">
        <f>BF26</f>
        <v>3660</v>
      </c>
      <c r="BG246" s="883"/>
      <c r="BH246" s="883">
        <f>BH26</f>
        <v>2982</v>
      </c>
      <c r="BI246" s="883">
        <f>BI26</f>
        <v>3199</v>
      </c>
      <c r="BJ246" s="883">
        <f>BJ26</f>
        <v>6181</v>
      </c>
      <c r="BK246" s="883"/>
      <c r="BL246" s="883">
        <f>BL26</f>
        <v>3108</v>
      </c>
      <c r="BM246" s="883">
        <f>BM26</f>
        <v>3388</v>
      </c>
      <c r="BN246" s="883">
        <f>BN26</f>
        <v>6496</v>
      </c>
      <c r="BO246" s="883"/>
      <c r="BP246" s="883">
        <f>BP26</f>
        <v>3829</v>
      </c>
      <c r="BQ246" s="883">
        <f>BQ26</f>
        <v>3584</v>
      </c>
      <c r="BR246" s="883">
        <f>BR26</f>
        <v>7413</v>
      </c>
      <c r="BS246" s="883"/>
      <c r="BT246" s="883">
        <f>BT26</f>
        <v>3552</v>
      </c>
      <c r="BU246" s="883">
        <f>BU26</f>
        <v>3173</v>
      </c>
      <c r="BV246" s="883">
        <f>BV26</f>
        <v>6725</v>
      </c>
      <c r="BW246" s="883"/>
      <c r="BX246" s="883">
        <f>BX26</f>
        <v>3568</v>
      </c>
      <c r="BY246" s="883">
        <f>BY26</f>
        <v>2219</v>
      </c>
      <c r="BZ246" s="883">
        <f>BZ26</f>
        <v>5787</v>
      </c>
      <c r="CA246" s="883"/>
      <c r="CB246" s="883">
        <f ca="1">CB26</f>
        <v>3701.5536350305647</v>
      </c>
      <c r="CC246" s="883">
        <f ca="1">CC26</f>
        <v>3826.2909150494493</v>
      </c>
      <c r="CD246" s="883">
        <f ca="1">CD26</f>
        <v>7527.8445500800126</v>
      </c>
      <c r="CE246" s="883"/>
      <c r="CF246" s="883">
        <f ca="1">CF26</f>
        <v>3980.3177206167493</v>
      </c>
      <c r="CG246" s="883">
        <f ca="1">CG26</f>
        <v>3994.2697629431987</v>
      </c>
      <c r="CH246" s="883">
        <f ca="1">CH26</f>
        <v>7974.5874835599452</v>
      </c>
      <c r="CI246" s="883"/>
      <c r="CJ246" s="883">
        <f ca="1">CJ26</f>
        <v>4160.9669530092879</v>
      </c>
      <c r="CK246" s="883">
        <f ca="1">CK26</f>
        <v>4318.1038988617502</v>
      </c>
      <c r="CL246" s="883">
        <f ca="1">CL26</f>
        <v>8479.0708518710398</v>
      </c>
    </row>
    <row r="247" spans="3:90">
      <c r="AV247" s="884">
        <f ca="1">AV245/AV246-1</f>
        <v>1.6343326667765057E-2</v>
      </c>
      <c r="AW247" s="884">
        <f t="shared" ref="AW247:BJ247" si="190">AW245/AW246-1</f>
        <v>8.4143888456428284E-2</v>
      </c>
      <c r="AX247" s="884">
        <f ca="1">AX245/AX246-1</f>
        <v>5.0590757794595875E-2</v>
      </c>
      <c r="AY247" s="884" t="e">
        <f t="shared" si="190"/>
        <v>#DIV/0!</v>
      </c>
      <c r="AZ247" s="884">
        <f t="shared" si="190"/>
        <v>2.0792417453567413E-2</v>
      </c>
      <c r="BA247" s="884">
        <f t="shared" si="190"/>
        <v>0.12015609129304661</v>
      </c>
      <c r="BB247" s="884">
        <f t="shared" si="190"/>
        <v>6.4099594774386981E-2</v>
      </c>
      <c r="BC247" s="884"/>
      <c r="BD247" s="884">
        <f t="shared" si="190"/>
        <v>-3.9740142627099146</v>
      </c>
      <c r="BE247" s="884">
        <f t="shared" si="190"/>
        <v>-2.7379505833801248</v>
      </c>
      <c r="BF247" s="884">
        <f t="shared" si="190"/>
        <v>5.1981711311213319E-2</v>
      </c>
      <c r="BG247" s="884"/>
      <c r="BH247" s="884">
        <f t="shared" si="190"/>
        <v>-1.8922469837072979</v>
      </c>
      <c r="BI247" s="884">
        <f t="shared" si="190"/>
        <v>-1.9869908722993261</v>
      </c>
      <c r="BJ247" s="884">
        <f t="shared" si="190"/>
        <v>2.7973673717993863E-2</v>
      </c>
      <c r="BK247" s="884"/>
      <c r="BL247" s="884">
        <f>BL245/BL246-1</f>
        <v>-1.9932938857730571</v>
      </c>
      <c r="BM247" s="884">
        <f>BM245/BM246-1</f>
        <v>-2.0192362795850922</v>
      </c>
      <c r="BN247" s="884">
        <f>BN245/BN246-1</f>
        <v>1.8859348227671768E-2</v>
      </c>
      <c r="BO247" s="884"/>
      <c r="BP247" s="884">
        <f>BP245/BP246-1</f>
        <v>-1.9501728466817831</v>
      </c>
      <c r="BQ247" s="884">
        <f>BQ245/BQ246-1</f>
        <v>-2.0307937230972413</v>
      </c>
      <c r="BR247" s="884">
        <f>BR245/BR246-1</f>
        <v>9.7315149816379343E-3</v>
      </c>
      <c r="BS247" s="884"/>
      <c r="BT247" s="884">
        <f>BT245/BT246-1</f>
        <v>-2.0521102517966403</v>
      </c>
      <c r="BU247" s="884">
        <f>BU245/BU246-1</f>
        <v>-2.2894002384247525</v>
      </c>
      <c r="BV247" s="884">
        <f>BV245/BV246-1</f>
        <v>0</v>
      </c>
      <c r="BW247" s="884"/>
      <c r="BX247" s="884">
        <f>BX245/BX246-1</f>
        <v>-2.1651747698150441</v>
      </c>
      <c r="BY247" s="884">
        <f>BY245/BY246-1</f>
        <v>-3.170685447789785</v>
      </c>
      <c r="BZ247" s="884">
        <f>BZ245/BZ246-1</f>
        <v>0</v>
      </c>
      <c r="CA247" s="884"/>
      <c r="CB247" s="884">
        <f ca="1">CB245/CB246-1</f>
        <v>-2.1501063090671884</v>
      </c>
      <c r="CC247" s="884">
        <f ca="1">CC245/CC246-1</f>
        <v>-2.0957720630035706</v>
      </c>
      <c r="CD247" s="884">
        <f ca="1">CD245/CD246-1</f>
        <v>0</v>
      </c>
      <c r="CE247" s="884"/>
      <c r="CF247" s="884">
        <f ca="1">CF245/CF246-1</f>
        <v>-2.0592897715633898</v>
      </c>
      <c r="CG247" s="884">
        <f ca="1">CG245/CG246-1</f>
        <v>-2.0824527450937982</v>
      </c>
      <c r="CH247" s="884">
        <f ca="1">CH245/CH246-1</f>
        <v>0</v>
      </c>
      <c r="CI247" s="884"/>
      <c r="CJ247" s="884">
        <f ca="1">CJ245/CJ246-1</f>
        <v>-2.0466737978829244</v>
      </c>
      <c r="CK247" s="884">
        <f ca="1">CK245/CK246-1</f>
        <v>-1.9991776561935901</v>
      </c>
      <c r="CL247" s="884">
        <f ca="1">CL245/CL246-1</f>
        <v>0</v>
      </c>
    </row>
    <row r="248" spans="3:90">
      <c r="AZ248" s="885"/>
    </row>
    <row r="249" spans="3:90" ht="13.8">
      <c r="C249" s="444" t="s">
        <v>598</v>
      </c>
      <c r="AV249" s="886">
        <f t="shared" ref="AV249:BB249" si="191">AV57</f>
        <v>765.18600000000004</v>
      </c>
      <c r="AW249" s="886">
        <f t="shared" si="191"/>
        <v>784.50099999999998</v>
      </c>
      <c r="AX249" s="886">
        <f t="shared" si="191"/>
        <v>774.88400000000001</v>
      </c>
      <c r="AY249" s="886">
        <f t="shared" si="191"/>
        <v>0</v>
      </c>
      <c r="AZ249" s="886">
        <f t="shared" si="191"/>
        <v>811.52800000000002</v>
      </c>
      <c r="BA249" s="886">
        <f t="shared" si="191"/>
        <v>814.83100000000002</v>
      </c>
      <c r="BB249" s="886">
        <f t="shared" si="191"/>
        <v>813.21900000000005</v>
      </c>
      <c r="BC249" s="886"/>
      <c r="BD249" s="886">
        <f>BD57</f>
        <v>856.65099999999995</v>
      </c>
      <c r="BE249" s="886">
        <f>BE57</f>
        <v>869.11</v>
      </c>
      <c r="BF249" s="886">
        <f>BF57</f>
        <v>862.88199999999995</v>
      </c>
      <c r="BG249" s="886"/>
      <c r="BH249" s="886">
        <f>BH57</f>
        <v>857.524</v>
      </c>
      <c r="BI249" s="886">
        <f>BI57</f>
        <v>869.82500000000005</v>
      </c>
      <c r="BJ249" s="886">
        <f>BJ57</f>
        <v>863.69100000000003</v>
      </c>
      <c r="BK249" s="886"/>
      <c r="BL249" s="886">
        <f>BL57</f>
        <v>899.678</v>
      </c>
      <c r="BM249" s="886">
        <f>BM57</f>
        <v>920.34</v>
      </c>
      <c r="BN249" s="886">
        <f>BN57</f>
        <v>910.03700000000003</v>
      </c>
      <c r="BO249" s="886"/>
      <c r="BP249" s="886">
        <f>BP57</f>
        <v>972.97199999999998</v>
      </c>
      <c r="BQ249" s="886">
        <f>BQ57</f>
        <v>977.17499999999995</v>
      </c>
      <c r="BR249" s="886">
        <f>BR57</f>
        <v>975.07899999999995</v>
      </c>
      <c r="BS249" s="886"/>
      <c r="BT249" s="886">
        <f>BT57</f>
        <v>1015.621</v>
      </c>
      <c r="BU249" s="886">
        <f>BU57</f>
        <v>1031.6110000000001</v>
      </c>
      <c r="BV249" s="886">
        <f>BV57</f>
        <v>1023.616</v>
      </c>
      <c r="BW249" s="886"/>
      <c r="BX249" s="886">
        <f>BX57</f>
        <v>1142.1279999999999</v>
      </c>
      <c r="BY249" s="886">
        <f>BY57</f>
        <v>1177.153</v>
      </c>
      <c r="BZ249" s="886">
        <f>BZ57</f>
        <v>1159.6880000000001</v>
      </c>
      <c r="CA249" s="886"/>
      <c r="CB249" s="886">
        <f>CB57</f>
        <v>1187.9893139768039</v>
      </c>
      <c r="CC249" s="886">
        <f>CC57</f>
        <v>1205.0808315287463</v>
      </c>
      <c r="CD249" s="886">
        <f>CD57</f>
        <v>1196.5350727527752</v>
      </c>
      <c r="CE249" s="886"/>
      <c r="CF249" s="886">
        <f>CF57</f>
        <v>1231.5902680448708</v>
      </c>
      <c r="CG249" s="886">
        <f>CG57</f>
        <v>1260.2573178819334</v>
      </c>
      <c r="CH249" s="886">
        <f>CH57</f>
        <v>1245.9237929634021</v>
      </c>
      <c r="CI249" s="886"/>
      <c r="CJ249" s="886">
        <f>CJ57</f>
        <v>1288.197409057967</v>
      </c>
      <c r="CK249" s="886">
        <f>CK57</f>
        <v>1315.1324538846848</v>
      </c>
      <c r="CL249" s="886">
        <f>CL57</f>
        <v>1301.6649314713259</v>
      </c>
    </row>
    <row r="250" spans="3:90" ht="13.8">
      <c r="C250" s="444" t="s">
        <v>931</v>
      </c>
      <c r="AV250" s="887">
        <f>(AV218*(AV$97/AV$96))/(AV249*1000)</f>
        <v>1.9313590435513731E-2</v>
      </c>
      <c r="AW250" s="887">
        <f>(AW218*(AW$97/AW$96))/(AW249*1000)</f>
        <v>1.843258646408507E-2</v>
      </c>
      <c r="AX250" s="887">
        <f>(AX218*(AX$97/AX$96))/(AX249*1000)</f>
        <v>1.8866049628073363E-2</v>
      </c>
      <c r="AY250" s="888"/>
      <c r="AZ250" s="887">
        <f>(AZ218*(AZ$97/AZ$96))/(AZ249*1000)</f>
        <v>1.8092074795601969E-2</v>
      </c>
      <c r="BA250" s="887">
        <f>(BA218*(BA$97/BA$96))/(BA249*1000)</f>
        <v>1.7523731646710502E-2</v>
      </c>
      <c r="BB250" s="887">
        <f>(BB218*(BB$97/BB$96))/(BB249*1000)</f>
        <v>1.7805781714396736E-2</v>
      </c>
      <c r="BC250" s="888"/>
      <c r="BD250" s="888"/>
      <c r="BE250" s="888"/>
      <c r="BF250" s="887">
        <f>(BF218*(BF$97/BF$96))/(BF249*1000)</f>
        <v>1.6404328749469801E-2</v>
      </c>
      <c r="BG250" s="888"/>
      <c r="BH250" s="888"/>
      <c r="BI250" s="888"/>
      <c r="BJ250" s="887">
        <f>(BJ218*(BJ$97/BJ$96))/(BJ249*1000)</f>
        <v>1.6495482759459112E-2</v>
      </c>
      <c r="BK250" s="888"/>
      <c r="BL250" s="888"/>
      <c r="BM250" s="888"/>
      <c r="BN250" s="887">
        <f>(BN218*(BN$97/BN$96))/(BN249*1000)</f>
        <v>1.6344390392918091E-2</v>
      </c>
      <c r="BO250" s="888"/>
      <c r="BP250" s="888"/>
      <c r="BQ250" s="888"/>
      <c r="BR250" s="887">
        <f>(BR218*(BR$97/BR$96))/(BR249*1000)</f>
        <v>1.7016057160496739E-2</v>
      </c>
      <c r="BS250" s="888"/>
      <c r="BT250" s="888"/>
      <c r="BU250" s="888"/>
      <c r="BV250" s="887">
        <f>(BV218*(BV$97/BV$96))/(BV249*1000)</f>
        <v>1.5698269663623858E-2</v>
      </c>
      <c r="BW250" s="888"/>
      <c r="BX250" s="888"/>
      <c r="BY250" s="888"/>
      <c r="BZ250" s="887">
        <f>(BZ218*(BZ$97/BZ$96))/(BZ249*1000)</f>
        <v>1.5487786370127137E-2</v>
      </c>
      <c r="CA250" s="888"/>
      <c r="CB250" s="888"/>
      <c r="CC250" s="888"/>
      <c r="CD250" s="887">
        <f ca="1">(CD218*(CD$97/CD$96))/(CD249*1000)</f>
        <v>1.5453664481681915E-2</v>
      </c>
      <c r="CE250" s="888"/>
      <c r="CF250" s="888"/>
      <c r="CG250" s="888"/>
      <c r="CH250" s="887">
        <f ca="1">(CH218*(CH$97/CH$96))/(CH249*1000)</f>
        <v>1.5350070568405903E-2</v>
      </c>
      <c r="CI250" s="888"/>
      <c r="CJ250" s="888"/>
      <c r="CK250" s="888"/>
      <c r="CL250" s="887">
        <f ca="1">(CL218*(CL$97/CL$96))/(CL249*1000)</f>
        <v>1.5299304220094795E-2</v>
      </c>
    </row>
    <row r="251" spans="3:90" ht="13.8">
      <c r="C251" s="444" t="s">
        <v>932</v>
      </c>
      <c r="AV251" s="889">
        <f t="shared" ref="AV251:BB251" si="192">AV8</f>
        <v>1.9263792875699001E-2</v>
      </c>
      <c r="AW251" s="889">
        <f t="shared" si="192"/>
        <v>1.8213937852235237E-2</v>
      </c>
      <c r="AX251" s="889">
        <f t="shared" si="192"/>
        <v>1.8730545475193705E-2</v>
      </c>
      <c r="AY251" s="889">
        <f t="shared" si="192"/>
        <v>0</v>
      </c>
      <c r="AZ251" s="889">
        <f t="shared" si="192"/>
        <v>1.8037707134694547E-2</v>
      </c>
      <c r="BA251" s="889">
        <f t="shared" si="192"/>
        <v>1.7232444586232985E-2</v>
      </c>
      <c r="BB251" s="889">
        <f t="shared" si="192"/>
        <v>1.763239668527174E-2</v>
      </c>
      <c r="BC251" s="889"/>
      <c r="BD251" s="889">
        <f>BD8</f>
        <v>1.6861008742183221E-2</v>
      </c>
      <c r="BE251" s="889">
        <f>BE8</f>
        <v>1.5710324354799736E-2</v>
      </c>
      <c r="BF251" s="889">
        <f>BF8</f>
        <v>1.6281484606238166E-2</v>
      </c>
      <c r="BG251" s="889"/>
      <c r="BH251" s="889">
        <f>BH8</f>
        <v>1.6338183672275779E-2</v>
      </c>
      <c r="BI251" s="889">
        <f>BI8</f>
        <v>1.6452496019000118E-2</v>
      </c>
      <c r="BJ251" s="889">
        <f>BJ8</f>
        <v>1.639591011137085E-2</v>
      </c>
      <c r="BK251" s="889"/>
      <c r="BL251" s="889">
        <f>BL8</f>
        <v>1.5826785793373838E-2</v>
      </c>
      <c r="BM251" s="889">
        <f>BM8</f>
        <v>1.684759885008047E-2</v>
      </c>
      <c r="BN251" s="889">
        <f>BN8</f>
        <v>1.6344390392918091E-2</v>
      </c>
      <c r="BO251" s="889"/>
      <c r="BP251" s="889">
        <f>BP8</f>
        <v>1.7520240352963186E-2</v>
      </c>
      <c r="BQ251" s="889">
        <f>BQ8</f>
        <v>1.6480036617208548E-2</v>
      </c>
      <c r="BR251" s="889">
        <f>BR8</f>
        <v>1.6997597117771997E-2</v>
      </c>
      <c r="BS251" s="889"/>
      <c r="BT251" s="889">
        <f>BT8</f>
        <v>1.5555015108982584E-2</v>
      </c>
      <c r="BU251" s="889">
        <f>BU8</f>
        <v>1.5839303768571681E-2</v>
      </c>
      <c r="BV251" s="889">
        <f>BV8</f>
        <v>1.5698269663623858E-2</v>
      </c>
      <c r="BW251" s="889"/>
      <c r="BX251" s="889">
        <f>BX8</f>
        <v>1.5573325204557431E-2</v>
      </c>
      <c r="BY251" s="889">
        <f>BY8</f>
        <v>1.5405233593161392E-2</v>
      </c>
      <c r="BZ251" s="889">
        <f>BZ8</f>
        <v>1.5487786370127137E-2</v>
      </c>
      <c r="CA251" s="889"/>
      <c r="CB251" s="889">
        <f ca="1">CB8</f>
        <v>1.5505620153278325E-2</v>
      </c>
      <c r="CC251" s="889">
        <f ca="1">CC8</f>
        <v>1.5402126729704651E-2</v>
      </c>
      <c r="CD251" s="889">
        <f ca="1">CD8</f>
        <v>1.5453664481681915E-2</v>
      </c>
      <c r="CE251" s="889"/>
      <c r="CF251" s="889">
        <f ca="1">CF8</f>
        <v>1.5401257316406632E-2</v>
      </c>
      <c r="CG251" s="889">
        <f ca="1">CG8</f>
        <v>1.5299367500580533E-2</v>
      </c>
      <c r="CH251" s="889">
        <f ca="1">CH8</f>
        <v>1.5350070568405903E-2</v>
      </c>
      <c r="CI251" s="889"/>
      <c r="CJ251" s="889">
        <f ca="1">CJ8</f>
        <v>1.5300910920006683E-2</v>
      </c>
      <c r="CK251" s="889">
        <f ca="1">CK8</f>
        <v>1.5297730426780278E-2</v>
      </c>
      <c r="CL251" s="889">
        <f ca="1">CL8</f>
        <v>1.5299304220094795E-2</v>
      </c>
    </row>
  </sheetData>
  <phoneticPr fontId="0" type="noConversion"/>
  <pageMargins left="0" right="0" top="0" bottom="0" header="0" footer="0"/>
  <pageSetup paperSize="5" scale="54" orientation="landscape"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5">
    <tabColor indexed="10"/>
  </sheetPr>
  <dimension ref="A1:DX1631"/>
  <sheetViews>
    <sheetView workbookViewId="0">
      <pane xSplit="54" ySplit="11" topLeftCell="CZ12" activePane="bottomRight" state="frozen"/>
      <selection pane="topRight" activeCell="BC1" sqref="BC1"/>
      <selection pane="bottomLeft" activeCell="A12" sqref="A12"/>
      <selection pane="bottomRight" activeCell="DF14" sqref="DF14"/>
    </sheetView>
  </sheetViews>
  <sheetFormatPr defaultRowHeight="13.2"/>
  <cols>
    <col min="1" max="1" width="30.5546875" customWidth="1"/>
    <col min="4" max="50" width="0" hidden="1" customWidth="1"/>
    <col min="51" max="51" width="5.6640625" hidden="1" customWidth="1"/>
    <col min="52" max="52" width="5.5546875" hidden="1" customWidth="1"/>
    <col min="53" max="53" width="7.33203125" hidden="1" customWidth="1"/>
    <col min="54" max="54" width="4.109375" customWidth="1"/>
    <col min="55" max="55" width="3.88671875" customWidth="1"/>
    <col min="60" max="60" width="9.33203125" customWidth="1"/>
    <col min="62" max="62" width="9.44140625" customWidth="1"/>
    <col min="64" max="64" width="9.33203125" customWidth="1"/>
    <col min="66" max="66" width="9.44140625" customWidth="1"/>
    <col min="71" max="71" width="10" customWidth="1"/>
    <col min="72" max="72" width="9.5546875" customWidth="1"/>
    <col min="74" max="74" width="9.109375" customWidth="1"/>
    <col min="77" max="77" width="9.109375" customWidth="1"/>
    <col min="85" max="86" width="9.109375" customWidth="1"/>
    <col min="88" max="88" width="9.109375" customWidth="1"/>
    <col min="92" max="93" width="9.109375" customWidth="1"/>
    <col min="96" max="96" width="8.6640625" customWidth="1"/>
    <col min="100" max="102" width="11" customWidth="1"/>
    <col min="105" max="105" width="9.33203125" customWidth="1"/>
    <col min="108" max="109" width="10.33203125" customWidth="1"/>
    <col min="125" max="125" width="11.21875" customWidth="1"/>
    <col min="128" max="128" width="17.33203125" customWidth="1"/>
  </cols>
  <sheetData>
    <row r="1" spans="1:128" s="3" customFormat="1" ht="13.8">
      <c r="A1" s="20"/>
      <c r="B1" s="49"/>
      <c r="C1" s="20"/>
      <c r="D1" s="20"/>
      <c r="E1" s="20"/>
      <c r="F1" s="20"/>
      <c r="G1" s="20"/>
      <c r="H1" s="20"/>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c r="BC1" s="20"/>
      <c r="BD1" s="421">
        <v>40816</v>
      </c>
      <c r="BE1" s="20"/>
      <c r="BF1" s="20"/>
      <c r="BG1" s="20"/>
      <c r="BH1" s="311"/>
      <c r="BI1" s="311"/>
      <c r="BJ1" s="311"/>
      <c r="BK1" s="49"/>
      <c r="BL1" s="311"/>
      <c r="BM1" s="311"/>
      <c r="BN1" s="311"/>
      <c r="BO1" s="49"/>
      <c r="BP1" s="49"/>
      <c r="BQ1" s="20"/>
      <c r="BR1" s="20"/>
      <c r="BS1" s="20"/>
      <c r="BT1" s="20"/>
      <c r="BU1" s="20"/>
      <c r="BV1" s="20"/>
      <c r="BW1" s="20"/>
      <c r="BX1" s="20"/>
      <c r="BY1" s="20"/>
      <c r="BZ1" s="20"/>
      <c r="CA1" s="20"/>
      <c r="CB1" s="20"/>
      <c r="CC1" s="20"/>
      <c r="CD1" s="20"/>
      <c r="CE1" s="20"/>
      <c r="CF1" s="20"/>
      <c r="CG1" s="20"/>
      <c r="CH1" s="20"/>
      <c r="CI1" s="20"/>
      <c r="CJ1" s="20"/>
      <c r="CK1" s="20"/>
      <c r="CL1" s="20"/>
      <c r="CM1" s="20"/>
      <c r="CN1" s="20"/>
      <c r="CO1" s="20"/>
      <c r="CP1" s="20"/>
      <c r="CQ1" s="20"/>
      <c r="CR1" s="20"/>
      <c r="CS1" s="20"/>
      <c r="CT1" s="20"/>
      <c r="CU1" s="20"/>
      <c r="CV1" s="20"/>
      <c r="CW1" s="20"/>
      <c r="CX1" s="20"/>
      <c r="CY1" s="20"/>
      <c r="CZ1" s="20"/>
      <c r="DA1" s="20"/>
      <c r="DB1" s="20"/>
      <c r="DC1" s="20"/>
      <c r="DD1" s="20"/>
      <c r="DE1" s="20"/>
      <c r="DF1" s="20"/>
      <c r="DG1" s="20"/>
      <c r="DH1" s="20"/>
      <c r="DI1" s="20"/>
      <c r="DJ1" s="20"/>
      <c r="DK1" s="20"/>
      <c r="DL1" s="20"/>
      <c r="DM1" s="20"/>
      <c r="DN1" s="20"/>
      <c r="DO1" s="20"/>
      <c r="DP1" s="20"/>
      <c r="DQ1" s="20"/>
      <c r="DR1" s="20"/>
      <c r="DS1" s="20"/>
      <c r="DT1" s="20"/>
      <c r="DU1" s="20"/>
      <c r="DV1" s="20"/>
    </row>
    <row r="2" spans="1:128" s="3" customFormat="1" ht="13.8">
      <c r="A2" s="20"/>
      <c r="B2" s="49"/>
      <c r="C2" s="20"/>
      <c r="D2" s="20"/>
      <c r="E2" s="20"/>
      <c r="F2" s="20"/>
      <c r="G2" s="20"/>
      <c r="H2" s="20"/>
      <c r="I2" s="20"/>
      <c r="J2" s="20"/>
      <c r="K2" s="20"/>
      <c r="L2" s="20"/>
      <c r="M2" s="20"/>
      <c r="N2" s="20"/>
      <c r="O2" s="20"/>
      <c r="P2" s="20"/>
      <c r="Q2" s="20"/>
      <c r="R2" s="20"/>
      <c r="S2" s="20"/>
      <c r="T2" s="20"/>
      <c r="U2" s="20"/>
      <c r="V2" s="20"/>
      <c r="W2" s="20"/>
      <c r="X2" s="20"/>
      <c r="Y2" s="20"/>
      <c r="Z2" s="20"/>
      <c r="AA2" s="20"/>
      <c r="AB2" s="20"/>
      <c r="AC2" s="20"/>
      <c r="AD2" s="20"/>
      <c r="AE2" s="20"/>
      <c r="AF2" s="20"/>
      <c r="AG2" s="20"/>
      <c r="AH2" s="20"/>
      <c r="AI2" s="20"/>
      <c r="AJ2" s="20"/>
      <c r="AK2" s="20"/>
      <c r="AL2" s="20"/>
      <c r="AM2" s="20"/>
      <c r="AN2" s="20"/>
      <c r="AO2" s="20"/>
      <c r="AP2" s="20"/>
      <c r="AQ2" s="20"/>
      <c r="AR2" s="20"/>
      <c r="AS2" s="20"/>
      <c r="AT2" s="20"/>
      <c r="AU2" s="20"/>
      <c r="AV2" s="20"/>
      <c r="AW2" s="20"/>
      <c r="AX2" s="20"/>
      <c r="AY2" s="20"/>
      <c r="AZ2" s="20"/>
      <c r="BA2" s="20"/>
      <c r="BB2" s="311"/>
      <c r="BC2" s="311"/>
      <c r="BD2" s="421">
        <v>40999</v>
      </c>
      <c r="BE2" s="311">
        <f>EOMONTH(BD2,6)</f>
        <v>41182</v>
      </c>
      <c r="BF2" s="311">
        <f>BE2</f>
        <v>41182</v>
      </c>
      <c r="BG2" s="20"/>
      <c r="BH2" s="311">
        <f>EOMONTH(BF2,6)</f>
        <v>41364</v>
      </c>
      <c r="BI2" s="311">
        <f>EOMONTH(BH2,6)</f>
        <v>41547</v>
      </c>
      <c r="BJ2" s="311">
        <f>BI2</f>
        <v>41547</v>
      </c>
      <c r="BK2" s="49"/>
      <c r="BL2" s="311">
        <f>EOMONTH(BJ2,6)</f>
        <v>41729</v>
      </c>
      <c r="BM2" s="311">
        <f>EOMONTH(BL2,6)</f>
        <v>41912</v>
      </c>
      <c r="BN2" s="311">
        <f>BM2</f>
        <v>41912</v>
      </c>
      <c r="BO2" s="49"/>
      <c r="BP2" s="311">
        <f>EOMONTH(BN2,6)</f>
        <v>42094</v>
      </c>
      <c r="BQ2" s="311">
        <f>EOMONTH(BP2,6)</f>
        <v>42277</v>
      </c>
      <c r="BR2" s="311">
        <f>BQ2</f>
        <v>42277</v>
      </c>
      <c r="BS2" s="20"/>
      <c r="BT2" s="311">
        <f>EOMONTH(BR2,6)</f>
        <v>42460</v>
      </c>
      <c r="BU2" s="311">
        <f>EOMONTH(BT2,6)</f>
        <v>42643</v>
      </c>
      <c r="BV2" s="311">
        <f>BU2</f>
        <v>42643</v>
      </c>
      <c r="BW2" s="20"/>
      <c r="BX2" s="311">
        <f>EOMONTH(BV2,6)</f>
        <v>42825</v>
      </c>
      <c r="BY2" s="311">
        <f>EOMONTH(BX2,6)</f>
        <v>43008</v>
      </c>
      <c r="BZ2" s="311">
        <f>BY2</f>
        <v>43008</v>
      </c>
      <c r="CA2" s="20"/>
      <c r="CB2" s="311">
        <f>EOMONTH(BZ2,6)</f>
        <v>43190</v>
      </c>
      <c r="CC2" s="311">
        <f>EOMONTH(CB2,6)</f>
        <v>43373</v>
      </c>
      <c r="CD2" s="311">
        <f>CC2</f>
        <v>43373</v>
      </c>
      <c r="CE2" s="20"/>
      <c r="CF2" s="311">
        <f>EOMONTH(CD2,6)</f>
        <v>43555</v>
      </c>
      <c r="CG2" s="311">
        <f>EOMONTH(CF2,6)</f>
        <v>43738</v>
      </c>
      <c r="CH2" s="311">
        <f>CG2</f>
        <v>43738</v>
      </c>
      <c r="CI2" s="20"/>
      <c r="CJ2" s="311">
        <f>EOMONTH(CH2,6)</f>
        <v>43921</v>
      </c>
      <c r="CK2" s="311">
        <f>EOMONTH(CJ2,6)</f>
        <v>44104</v>
      </c>
      <c r="CL2" s="311">
        <f>CK2</f>
        <v>44104</v>
      </c>
      <c r="CM2" s="20"/>
      <c r="CN2" s="311">
        <f>EOMONTH(CL2,6)</f>
        <v>44286</v>
      </c>
      <c r="CO2" s="311">
        <f>EOMONTH(CN2,6)</f>
        <v>44469</v>
      </c>
      <c r="CP2" s="311">
        <f>CO2</f>
        <v>44469</v>
      </c>
      <c r="CQ2" s="20"/>
      <c r="CR2" s="311">
        <f>EOMONTH(CP2,6)</f>
        <v>44651</v>
      </c>
      <c r="CS2" s="311">
        <f>EOMONTH(CR2,6)</f>
        <v>44834</v>
      </c>
      <c r="CT2" s="311">
        <f>CS2</f>
        <v>44834</v>
      </c>
      <c r="CU2" s="20"/>
      <c r="CV2" s="311">
        <f>EOMONTH(CT2,6)</f>
        <v>45016</v>
      </c>
      <c r="CW2" s="311">
        <f>EOMONTH(CV2,6)</f>
        <v>45199</v>
      </c>
      <c r="CX2" s="311">
        <f>CW2</f>
        <v>45199</v>
      </c>
      <c r="CY2" s="20"/>
      <c r="CZ2" s="311">
        <f>EOMONTH(CX2,6)</f>
        <v>45382</v>
      </c>
      <c r="DA2" s="311">
        <f>EOMONTH(CZ2,6)</f>
        <v>45565</v>
      </c>
      <c r="DB2" s="311">
        <f>DA2</f>
        <v>45565</v>
      </c>
      <c r="DC2" s="20"/>
      <c r="DD2" s="311">
        <f>EOMONTH(DB2,6)</f>
        <v>45747</v>
      </c>
      <c r="DE2" s="311">
        <f>EOMONTH(DD2,6)</f>
        <v>45930</v>
      </c>
      <c r="DF2" s="311">
        <f>DE2</f>
        <v>45930</v>
      </c>
      <c r="DG2" s="20"/>
      <c r="DH2" s="311">
        <f>EOMONTH(DF2,6)</f>
        <v>46112</v>
      </c>
      <c r="DI2" s="311">
        <f>EOMONTH(DH2,6)</f>
        <v>46295</v>
      </c>
      <c r="DJ2" s="311">
        <f>DI2</f>
        <v>46295</v>
      </c>
      <c r="DK2" s="20"/>
      <c r="DL2" s="311">
        <f>EOMONTH(DJ2,6)</f>
        <v>46477</v>
      </c>
      <c r="DM2" s="311">
        <f>EOMONTH(DL2,6)</f>
        <v>46660</v>
      </c>
      <c r="DN2" s="311">
        <f>DM2</f>
        <v>46660</v>
      </c>
      <c r="DO2" s="20"/>
      <c r="DP2" s="311">
        <f>EOMONTH(DN2,6)</f>
        <v>46843</v>
      </c>
      <c r="DQ2" s="311">
        <f>EOMONTH(DP2,6)</f>
        <v>47026</v>
      </c>
      <c r="DR2" s="311">
        <f>DQ2</f>
        <v>47026</v>
      </c>
      <c r="DS2" s="20"/>
      <c r="DT2" s="20"/>
      <c r="DU2" s="20"/>
      <c r="DV2" s="20"/>
    </row>
    <row r="3" spans="1:128" s="3" customFormat="1" ht="13.8">
      <c r="A3" s="20"/>
      <c r="B3" s="49"/>
      <c r="C3" s="20"/>
      <c r="D3" s="20"/>
      <c r="E3" s="20"/>
      <c r="F3" s="20"/>
      <c r="G3" s="20"/>
      <c r="H3" s="20"/>
      <c r="I3" s="20"/>
      <c r="J3" s="20"/>
      <c r="K3" s="20"/>
      <c r="L3" s="20"/>
      <c r="M3" s="20"/>
      <c r="N3" s="20"/>
      <c r="O3" s="20"/>
      <c r="P3" s="20"/>
      <c r="Q3" s="20"/>
      <c r="R3" s="20"/>
      <c r="S3" s="20"/>
      <c r="T3" s="20"/>
      <c r="U3" s="20"/>
      <c r="V3" s="20"/>
      <c r="W3" s="20"/>
      <c r="X3" s="20"/>
      <c r="Y3" s="20"/>
      <c r="Z3" s="20"/>
      <c r="AA3" s="20"/>
      <c r="AB3" s="20"/>
      <c r="AC3" s="20"/>
      <c r="AD3" s="20"/>
      <c r="AE3" s="20"/>
      <c r="AF3" s="20"/>
      <c r="AG3" s="20"/>
      <c r="AH3" s="20"/>
      <c r="AI3" s="20"/>
      <c r="AJ3" s="20"/>
      <c r="AK3" s="20"/>
      <c r="AL3" s="20"/>
      <c r="AM3" s="20"/>
      <c r="AN3" s="20"/>
      <c r="AO3" s="20"/>
      <c r="AP3" s="20"/>
      <c r="AQ3" s="20"/>
      <c r="AR3" s="20"/>
      <c r="AS3" s="20"/>
      <c r="AT3" s="20"/>
      <c r="AU3" s="20"/>
      <c r="AV3" s="20"/>
      <c r="AW3" s="20"/>
      <c r="AX3" s="20"/>
      <c r="AY3" s="20"/>
      <c r="AZ3" s="20"/>
      <c r="BA3" s="20"/>
      <c r="BB3" s="20"/>
      <c r="BC3" s="20"/>
      <c r="BD3" s="65">
        <f>BD2-BD1</f>
        <v>183</v>
      </c>
      <c r="BE3" s="65">
        <f>BE2-BD2</f>
        <v>183</v>
      </c>
      <c r="BF3" s="65">
        <f>BF2-BD1</f>
        <v>366</v>
      </c>
      <c r="BG3" s="20"/>
      <c r="BH3" s="65">
        <f>BH2-BF2</f>
        <v>182</v>
      </c>
      <c r="BI3" s="65">
        <f>BI2-BH2</f>
        <v>183</v>
      </c>
      <c r="BJ3" s="65">
        <f>BJ2-BF2</f>
        <v>365</v>
      </c>
      <c r="BK3" s="49"/>
      <c r="BL3" s="65">
        <f>BL2-BJ2</f>
        <v>182</v>
      </c>
      <c r="BM3" s="65">
        <f>BM2-BL2</f>
        <v>183</v>
      </c>
      <c r="BN3" s="65">
        <f>BN2-BJ2</f>
        <v>365</v>
      </c>
      <c r="BO3" s="49"/>
      <c r="BP3" s="65">
        <f>BP2-BN2</f>
        <v>182</v>
      </c>
      <c r="BQ3" s="65">
        <f>BQ2-BP2</f>
        <v>183</v>
      </c>
      <c r="BR3" s="65">
        <f>BR2-BN2</f>
        <v>365</v>
      </c>
      <c r="BS3" s="20"/>
      <c r="BT3" s="65">
        <f>BT2-BR2</f>
        <v>183</v>
      </c>
      <c r="BU3" s="65">
        <f>BU2-BT2</f>
        <v>183</v>
      </c>
      <c r="BV3" s="65">
        <f>BV2-BR2</f>
        <v>366</v>
      </c>
      <c r="BW3" s="20"/>
      <c r="BX3" s="65">
        <f>BX2-BV2</f>
        <v>182</v>
      </c>
      <c r="BY3" s="65">
        <f>BY2-BX2</f>
        <v>183</v>
      </c>
      <c r="BZ3" s="65">
        <f>BZ2-BV2</f>
        <v>365</v>
      </c>
      <c r="CA3" s="20"/>
      <c r="CB3" s="65">
        <f>CB2-BZ2</f>
        <v>182</v>
      </c>
      <c r="CC3" s="65">
        <f>CC2-CB2</f>
        <v>183</v>
      </c>
      <c r="CD3" s="65">
        <f>CD2-BZ2</f>
        <v>365</v>
      </c>
      <c r="CE3" s="20"/>
      <c r="CF3" s="65">
        <f>CF2-CD2</f>
        <v>182</v>
      </c>
      <c r="CG3" s="65">
        <f>CG2-CF2</f>
        <v>183</v>
      </c>
      <c r="CH3" s="65">
        <f>CH2-CD2</f>
        <v>365</v>
      </c>
      <c r="CI3" s="20"/>
      <c r="CJ3" s="65">
        <f>CJ2-CH2</f>
        <v>183</v>
      </c>
      <c r="CK3" s="65">
        <f>CK2-CJ2</f>
        <v>183</v>
      </c>
      <c r="CL3" s="65">
        <f>CL2-CH2</f>
        <v>366</v>
      </c>
      <c r="CM3" s="20"/>
      <c r="CN3" s="65">
        <f>CN2-CL2</f>
        <v>182</v>
      </c>
      <c r="CO3" s="65">
        <f>CO2-CN2</f>
        <v>183</v>
      </c>
      <c r="CP3" s="65">
        <f>CP2-CL2</f>
        <v>365</v>
      </c>
      <c r="CQ3" s="20"/>
      <c r="CR3" s="65">
        <f>CR2-CP2</f>
        <v>182</v>
      </c>
      <c r="CS3" s="65">
        <f>CS2-CR2</f>
        <v>183</v>
      </c>
      <c r="CT3" s="65">
        <f>CT2-CP2</f>
        <v>365</v>
      </c>
      <c r="CU3" s="20"/>
      <c r="CV3" s="65">
        <f>CV2-CT2</f>
        <v>182</v>
      </c>
      <c r="CW3" s="65">
        <f>CW2-CV2</f>
        <v>183</v>
      </c>
      <c r="CX3" s="65">
        <f>CX2-CT2</f>
        <v>365</v>
      </c>
      <c r="CY3" s="20"/>
      <c r="CZ3" s="65">
        <f>CZ2-CX2</f>
        <v>183</v>
      </c>
      <c r="DA3" s="65">
        <f>DA2-CZ2</f>
        <v>183</v>
      </c>
      <c r="DB3" s="65">
        <f>DB2-CX2</f>
        <v>366</v>
      </c>
      <c r="DC3" s="20"/>
      <c r="DD3" s="65">
        <f>DD2-DB2</f>
        <v>182</v>
      </c>
      <c r="DE3" s="65">
        <f>DE2-DD2</f>
        <v>183</v>
      </c>
      <c r="DF3" s="65">
        <f>DF2-DB2</f>
        <v>365</v>
      </c>
      <c r="DG3" s="20"/>
      <c r="DH3" s="65">
        <f>DH2-DF2</f>
        <v>182</v>
      </c>
      <c r="DI3" s="65">
        <f>DI2-DH2</f>
        <v>183</v>
      </c>
      <c r="DJ3" s="65">
        <f>DJ2-DF2</f>
        <v>365</v>
      </c>
      <c r="DK3" s="20"/>
      <c r="DL3" s="65">
        <f>DL2-DJ2</f>
        <v>182</v>
      </c>
      <c r="DM3" s="65">
        <f>DM2-DL2</f>
        <v>183</v>
      </c>
      <c r="DN3" s="65">
        <f>DN2-DJ2</f>
        <v>365</v>
      </c>
      <c r="DO3" s="20"/>
      <c r="DP3" s="65">
        <f>DP2-DN2</f>
        <v>183</v>
      </c>
      <c r="DQ3" s="65">
        <f>DQ2-DP2</f>
        <v>183</v>
      </c>
      <c r="DR3" s="65">
        <f>DR2-DN2</f>
        <v>366</v>
      </c>
      <c r="DS3" s="20"/>
      <c r="DT3" s="20"/>
      <c r="DU3" s="20"/>
      <c r="DV3" s="20"/>
    </row>
    <row r="4" spans="1:128" s="3" customFormat="1" ht="13.8">
      <c r="A4" s="20"/>
      <c r="B4" s="49"/>
      <c r="C4" s="20"/>
      <c r="D4" s="20"/>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20"/>
      <c r="AT4" s="20"/>
      <c r="AU4" s="20"/>
      <c r="AV4" s="20"/>
      <c r="AW4" s="20"/>
      <c r="AX4" s="20"/>
      <c r="AY4" s="20"/>
      <c r="AZ4" s="20"/>
      <c r="BA4" s="20"/>
      <c r="BB4" s="20"/>
      <c r="BC4" s="20"/>
      <c r="BD4" s="65">
        <f>BF3</f>
        <v>366</v>
      </c>
      <c r="BE4" s="65">
        <f>BF3</f>
        <v>366</v>
      </c>
      <c r="BF4" s="65">
        <f>BF3</f>
        <v>366</v>
      </c>
      <c r="BG4" s="20"/>
      <c r="BH4" s="65">
        <f>BJ3</f>
        <v>365</v>
      </c>
      <c r="BI4" s="65">
        <f>BJ3</f>
        <v>365</v>
      </c>
      <c r="BJ4" s="65">
        <f>BJ3</f>
        <v>365</v>
      </c>
      <c r="BK4" s="49"/>
      <c r="BL4" s="65">
        <f>BN3</f>
        <v>365</v>
      </c>
      <c r="BM4" s="65">
        <f>BN3</f>
        <v>365</v>
      </c>
      <c r="BN4" s="65">
        <f>BN3</f>
        <v>365</v>
      </c>
      <c r="BO4" s="49"/>
      <c r="BP4" s="65">
        <f>BR3</f>
        <v>365</v>
      </c>
      <c r="BQ4" s="65">
        <f>BR3</f>
        <v>365</v>
      </c>
      <c r="BR4" s="65">
        <f>BR3</f>
        <v>365</v>
      </c>
      <c r="BS4" s="20"/>
      <c r="BT4" s="65">
        <f>BV3</f>
        <v>366</v>
      </c>
      <c r="BU4" s="65">
        <f>BV3</f>
        <v>366</v>
      </c>
      <c r="BV4" s="65">
        <f>BV3</f>
        <v>366</v>
      </c>
      <c r="BW4" s="20"/>
      <c r="BX4" s="65">
        <f>BZ3</f>
        <v>365</v>
      </c>
      <c r="BY4" s="65">
        <f>BZ3</f>
        <v>365</v>
      </c>
      <c r="BZ4" s="65">
        <f>BZ3</f>
        <v>365</v>
      </c>
      <c r="CA4" s="20"/>
      <c r="CB4" s="65">
        <f>CD3</f>
        <v>365</v>
      </c>
      <c r="CC4" s="65">
        <f>CD3</f>
        <v>365</v>
      </c>
      <c r="CD4" s="65">
        <f>CD3</f>
        <v>365</v>
      </c>
      <c r="CE4" s="20"/>
      <c r="CF4" s="65">
        <f>CH3</f>
        <v>365</v>
      </c>
      <c r="CG4" s="65">
        <f>CH3</f>
        <v>365</v>
      </c>
      <c r="CH4" s="65">
        <f>CH3</f>
        <v>365</v>
      </c>
      <c r="CI4" s="20"/>
      <c r="CJ4" s="65">
        <f>CL3</f>
        <v>366</v>
      </c>
      <c r="CK4" s="65">
        <f>CL3</f>
        <v>366</v>
      </c>
      <c r="CL4" s="65">
        <f>CL3</f>
        <v>366</v>
      </c>
      <c r="CM4" s="20"/>
      <c r="CN4" s="65">
        <f>CP3</f>
        <v>365</v>
      </c>
      <c r="CO4" s="65">
        <f>CP3</f>
        <v>365</v>
      </c>
      <c r="CP4" s="65">
        <f>CP3</f>
        <v>365</v>
      </c>
      <c r="CQ4" s="20"/>
      <c r="CR4" s="65">
        <f>CT3</f>
        <v>365</v>
      </c>
      <c r="CS4" s="65">
        <f>CT3</f>
        <v>365</v>
      </c>
      <c r="CT4" s="65">
        <f>CT3</f>
        <v>365</v>
      </c>
      <c r="CU4" s="20"/>
      <c r="CV4" s="65">
        <f>CX3</f>
        <v>365</v>
      </c>
      <c r="CW4" s="65">
        <f>CX3</f>
        <v>365</v>
      </c>
      <c r="CX4" s="65">
        <f>CX3</f>
        <v>365</v>
      </c>
      <c r="CY4" s="20"/>
      <c r="CZ4" s="65">
        <f>DB3</f>
        <v>366</v>
      </c>
      <c r="DA4" s="65">
        <f>DB3</f>
        <v>366</v>
      </c>
      <c r="DB4" s="65">
        <f>DB3</f>
        <v>366</v>
      </c>
      <c r="DC4" s="20"/>
      <c r="DD4" s="65">
        <f>DF3</f>
        <v>365</v>
      </c>
      <c r="DE4" s="65">
        <f>DF3</f>
        <v>365</v>
      </c>
      <c r="DF4" s="65">
        <f>DF3</f>
        <v>365</v>
      </c>
      <c r="DG4" s="20"/>
      <c r="DH4" s="65">
        <f>DJ3</f>
        <v>365</v>
      </c>
      <c r="DI4" s="65">
        <f>DJ3</f>
        <v>365</v>
      </c>
      <c r="DJ4" s="65">
        <f>DJ3</f>
        <v>365</v>
      </c>
      <c r="DK4" s="20"/>
      <c r="DL4" s="65">
        <f>DN3</f>
        <v>365</v>
      </c>
      <c r="DM4" s="65">
        <f>DN3</f>
        <v>365</v>
      </c>
      <c r="DN4" s="65">
        <f>DN3</f>
        <v>365</v>
      </c>
      <c r="DO4" s="20"/>
      <c r="DP4" s="65">
        <f>DR3</f>
        <v>366</v>
      </c>
      <c r="DQ4" s="65">
        <f>DR3</f>
        <v>366</v>
      </c>
      <c r="DR4" s="65">
        <f>DR3</f>
        <v>366</v>
      </c>
      <c r="DS4" s="20"/>
      <c r="DT4" s="20"/>
      <c r="DU4" s="20"/>
      <c r="DV4" s="20"/>
    </row>
    <row r="5" spans="1:128" s="20" customFormat="1" ht="13.8">
      <c r="B5" s="49"/>
      <c r="BH5" s="49"/>
      <c r="BI5" s="49"/>
      <c r="BJ5" s="49"/>
      <c r="BK5" s="49"/>
      <c r="BL5" s="49"/>
      <c r="BM5" s="49"/>
      <c r="BN5" s="49"/>
      <c r="BO5" s="49"/>
      <c r="BP5" s="49"/>
      <c r="BT5" s="21"/>
      <c r="BU5" s="21"/>
    </row>
    <row r="6" spans="1:128" s="20" customFormat="1" ht="13.5" customHeight="1">
      <c r="A6" s="50"/>
      <c r="B6" s="103"/>
      <c r="C6" s="29"/>
      <c r="D6" s="30"/>
      <c r="E6" s="30"/>
      <c r="F6" s="31"/>
      <c r="G6" s="30"/>
      <c r="H6" s="30"/>
      <c r="I6" s="30"/>
      <c r="J6" s="31"/>
      <c r="K6" s="30"/>
      <c r="L6" s="30"/>
      <c r="M6" s="30"/>
      <c r="N6" s="31"/>
      <c r="O6" s="30"/>
      <c r="P6" s="30"/>
      <c r="Q6" s="30"/>
      <c r="R6" s="31"/>
      <c r="S6" s="30"/>
      <c r="T6" s="30"/>
      <c r="U6" s="30"/>
      <c r="V6" s="31"/>
      <c r="W6" s="30"/>
      <c r="X6" s="30"/>
      <c r="Y6" s="30"/>
      <c r="Z6" s="31"/>
      <c r="AA6" s="30"/>
      <c r="AB6" s="30"/>
      <c r="AC6" s="30"/>
      <c r="AD6" s="31"/>
      <c r="AE6" s="30"/>
      <c r="AF6" s="312"/>
      <c r="AG6" s="30"/>
      <c r="AH6" s="31"/>
      <c r="AI6" s="30"/>
      <c r="AJ6" s="312"/>
      <c r="AK6" s="30"/>
      <c r="AL6" s="31"/>
      <c r="AM6" s="30"/>
      <c r="AN6" s="312"/>
      <c r="AO6" s="30"/>
      <c r="AP6" s="31"/>
      <c r="AQ6" s="313"/>
      <c r="AR6" s="312"/>
      <c r="AS6" s="30"/>
      <c r="AT6" s="31"/>
      <c r="AU6" s="313"/>
      <c r="AV6" s="312"/>
      <c r="AW6" s="312"/>
      <c r="AX6" s="31"/>
      <c r="AY6" s="313"/>
      <c r="AZ6" s="312"/>
      <c r="BA6" s="312"/>
      <c r="BB6" s="31"/>
      <c r="BC6" s="313"/>
      <c r="BD6" s="312"/>
      <c r="BE6" s="312"/>
      <c r="BF6" s="31">
        <v>2012</v>
      </c>
      <c r="BG6" s="313" t="s">
        <v>546</v>
      </c>
      <c r="BH6" s="312"/>
      <c r="BI6" s="312"/>
      <c r="BJ6" s="31">
        <v>2013</v>
      </c>
      <c r="BK6" s="30" t="s">
        <v>546</v>
      </c>
      <c r="BL6" s="312"/>
      <c r="BM6" s="312"/>
      <c r="BN6" s="31">
        <v>2014</v>
      </c>
      <c r="BO6" s="30" t="s">
        <v>546</v>
      </c>
      <c r="BP6" s="312"/>
      <c r="BQ6" s="312"/>
      <c r="BR6" s="31">
        <v>2015</v>
      </c>
      <c r="BS6" s="30" t="s">
        <v>546</v>
      </c>
      <c r="BT6" s="568"/>
      <c r="BU6" s="568"/>
      <c r="BV6" s="31">
        <v>2016</v>
      </c>
      <c r="BW6" s="568" t="s">
        <v>546</v>
      </c>
      <c r="BX6" s="568"/>
      <c r="BY6" s="568"/>
      <c r="BZ6" s="31">
        <v>2017</v>
      </c>
      <c r="CA6" s="568" t="s">
        <v>546</v>
      </c>
      <c r="CB6" s="568"/>
      <c r="CC6" s="568"/>
      <c r="CD6" s="31">
        <v>2018</v>
      </c>
      <c r="CE6" s="568" t="s">
        <v>546</v>
      </c>
      <c r="CF6" s="568"/>
      <c r="CG6" s="568"/>
      <c r="CH6" s="31">
        <v>2019</v>
      </c>
      <c r="CI6" s="905" t="s">
        <v>546</v>
      </c>
      <c r="CJ6" s="568"/>
      <c r="CK6" s="568"/>
      <c r="CL6" s="31">
        <v>2020</v>
      </c>
      <c r="CM6" s="905" t="s">
        <v>546</v>
      </c>
      <c r="CN6" s="568"/>
      <c r="CO6" s="568"/>
      <c r="CP6" s="954">
        <v>2021</v>
      </c>
      <c r="CQ6" s="905" t="s">
        <v>546</v>
      </c>
      <c r="CR6" s="954"/>
      <c r="CS6" s="568"/>
      <c r="CT6" s="954">
        <v>2022</v>
      </c>
      <c r="CU6" s="905" t="s">
        <v>546</v>
      </c>
      <c r="CV6" s="954"/>
      <c r="CW6" s="568"/>
      <c r="CX6" s="954">
        <f>CT6+1</f>
        <v>2023</v>
      </c>
      <c r="CY6" s="905" t="s">
        <v>546</v>
      </c>
      <c r="CZ6" s="954"/>
      <c r="DA6" s="954"/>
      <c r="DB6" s="954">
        <f>CX6+1</f>
        <v>2024</v>
      </c>
      <c r="DC6" s="954" t="s">
        <v>546</v>
      </c>
      <c r="DD6" s="568"/>
      <c r="DE6" s="568"/>
      <c r="DF6" s="954">
        <f>DB6+1</f>
        <v>2025</v>
      </c>
      <c r="DG6" s="905" t="s">
        <v>546</v>
      </c>
      <c r="DH6" s="33"/>
      <c r="DI6" s="33"/>
      <c r="DJ6" s="34">
        <f>DF6+1</f>
        <v>2026</v>
      </c>
      <c r="DK6" s="32" t="s">
        <v>546</v>
      </c>
      <c r="DL6" s="33"/>
      <c r="DM6" s="33"/>
      <c r="DN6" s="34">
        <f>DJ6+1</f>
        <v>2027</v>
      </c>
      <c r="DO6" s="32" t="s">
        <v>546</v>
      </c>
      <c r="DP6" s="33"/>
      <c r="DQ6" s="33"/>
      <c r="DR6" s="34">
        <f>DN6+1</f>
        <v>2028</v>
      </c>
      <c r="DS6" s="32" t="s">
        <v>546</v>
      </c>
      <c r="DT6" s="740"/>
      <c r="DU6" s="740"/>
      <c r="DV6" s="740"/>
      <c r="DW6" s="39"/>
      <c r="DX6" s="39"/>
    </row>
    <row r="7" spans="1:128" s="20" customFormat="1" ht="13.5" customHeight="1">
      <c r="A7" s="51"/>
      <c r="B7" s="37"/>
      <c r="C7" s="35"/>
      <c r="D7" s="36"/>
      <c r="E7" s="36"/>
      <c r="F7" s="37"/>
      <c r="G7" s="37"/>
      <c r="H7" s="36"/>
      <c r="I7" s="36"/>
      <c r="J7" s="37"/>
      <c r="K7" s="37"/>
      <c r="L7" s="36"/>
      <c r="M7" s="36"/>
      <c r="N7" s="37"/>
      <c r="O7" s="37"/>
      <c r="P7" s="36"/>
      <c r="Q7" s="36"/>
      <c r="R7" s="37"/>
      <c r="S7" s="37"/>
      <c r="T7" s="36"/>
      <c r="U7" s="36"/>
      <c r="V7" s="37"/>
      <c r="W7" s="37"/>
      <c r="X7" s="36"/>
      <c r="Y7" s="36"/>
      <c r="Z7" s="38"/>
      <c r="AA7" s="37"/>
      <c r="AB7" s="36"/>
      <c r="AC7" s="36"/>
      <c r="AD7" s="37"/>
      <c r="AE7" s="37"/>
      <c r="AF7" s="36"/>
      <c r="AG7" s="36"/>
      <c r="AH7" s="37"/>
      <c r="AI7" s="37"/>
      <c r="AJ7" s="36"/>
      <c r="AK7" s="36"/>
      <c r="AL7" s="37"/>
      <c r="AM7" s="37"/>
      <c r="AN7" s="36"/>
      <c r="AO7" s="36"/>
      <c r="AP7" s="37"/>
      <c r="AQ7" s="314"/>
      <c r="AR7" s="36"/>
      <c r="AS7" s="36"/>
      <c r="AT7" s="37"/>
      <c r="AU7" s="314"/>
      <c r="AV7" s="36"/>
      <c r="AW7" s="36"/>
      <c r="AX7" s="37"/>
      <c r="AY7" s="314"/>
      <c r="AZ7" s="36"/>
      <c r="BA7" s="36"/>
      <c r="BB7" s="37"/>
      <c r="BC7" s="314"/>
      <c r="BD7" s="36" t="s">
        <v>133</v>
      </c>
      <c r="BE7" s="36" t="s">
        <v>711</v>
      </c>
      <c r="BF7" s="37" t="s">
        <v>594</v>
      </c>
      <c r="BG7" s="314" t="s">
        <v>759</v>
      </c>
      <c r="BH7" s="36" t="s">
        <v>727</v>
      </c>
      <c r="BI7" s="36" t="s">
        <v>27</v>
      </c>
      <c r="BJ7" s="37" t="s">
        <v>595</v>
      </c>
      <c r="BK7" s="37" t="s">
        <v>759</v>
      </c>
      <c r="BL7" s="36" t="s">
        <v>742</v>
      </c>
      <c r="BM7" s="36" t="s">
        <v>215</v>
      </c>
      <c r="BN7" s="37" t="s">
        <v>547</v>
      </c>
      <c r="BO7" s="37" t="s">
        <v>759</v>
      </c>
      <c r="BP7" s="36" t="s">
        <v>138</v>
      </c>
      <c r="BQ7" s="36" t="s">
        <v>773</v>
      </c>
      <c r="BR7" s="37" t="s">
        <v>774</v>
      </c>
      <c r="BS7" s="37" t="s">
        <v>759</v>
      </c>
      <c r="BT7" s="569" t="s">
        <v>781</v>
      </c>
      <c r="BU7" s="569" t="s">
        <v>814</v>
      </c>
      <c r="BV7" s="569" t="s">
        <v>815</v>
      </c>
      <c r="BW7" s="569" t="s">
        <v>759</v>
      </c>
      <c r="BX7" s="569" t="s">
        <v>844</v>
      </c>
      <c r="BY7" s="569" t="s">
        <v>881</v>
      </c>
      <c r="BZ7" s="569" t="s">
        <v>882</v>
      </c>
      <c r="CA7" s="569" t="s">
        <v>759</v>
      </c>
      <c r="CB7" s="569" t="s">
        <v>902</v>
      </c>
      <c r="CC7" s="569" t="s">
        <v>910</v>
      </c>
      <c r="CD7" s="569" t="s">
        <v>917</v>
      </c>
      <c r="CE7" s="569" t="s">
        <v>759</v>
      </c>
      <c r="CF7" s="569" t="s">
        <v>911</v>
      </c>
      <c r="CG7" s="569" t="s">
        <v>962</v>
      </c>
      <c r="CH7" s="569" t="s">
        <v>963</v>
      </c>
      <c r="CI7" s="569" t="s">
        <v>759</v>
      </c>
      <c r="CJ7" s="569" t="s">
        <v>975</v>
      </c>
      <c r="CK7" s="569" t="s">
        <v>1015</v>
      </c>
      <c r="CL7" s="569" t="s">
        <v>1016</v>
      </c>
      <c r="CM7" s="569" t="s">
        <v>759</v>
      </c>
      <c r="CN7" s="569" t="s">
        <v>1031</v>
      </c>
      <c r="CO7" s="569" t="s">
        <v>1058</v>
      </c>
      <c r="CP7" s="569" t="s">
        <v>1064</v>
      </c>
      <c r="CQ7" s="569" t="s">
        <v>759</v>
      </c>
      <c r="CR7" s="569" t="s">
        <v>1086</v>
      </c>
      <c r="CS7" s="569" t="s">
        <v>1104</v>
      </c>
      <c r="CT7" s="569" t="s">
        <v>1004</v>
      </c>
      <c r="CU7" s="569" t="s">
        <v>759</v>
      </c>
      <c r="CV7" s="569" t="s">
        <v>1130</v>
      </c>
      <c r="CW7" s="569" t="s">
        <v>1168</v>
      </c>
      <c r="CX7" s="569" t="s">
        <v>1169</v>
      </c>
      <c r="CY7" s="569" t="s">
        <v>759</v>
      </c>
      <c r="CZ7" s="569" t="s">
        <v>1177</v>
      </c>
      <c r="DA7" s="569" t="s">
        <v>1218</v>
      </c>
      <c r="DB7" s="569" t="s">
        <v>1217</v>
      </c>
      <c r="DC7" s="569" t="s">
        <v>759</v>
      </c>
      <c r="DD7" s="569" t="s">
        <v>1236</v>
      </c>
      <c r="DE7" s="569" t="s">
        <v>1259</v>
      </c>
      <c r="DF7" s="569" t="s">
        <v>1260</v>
      </c>
      <c r="DG7" s="569" t="s">
        <v>759</v>
      </c>
      <c r="DH7" s="39" t="str">
        <f>"1H"&amp;RIGHT(DJ6,2)&amp;"E"</f>
        <v>1H26E</v>
      </c>
      <c r="DI7" s="39" t="str">
        <f>"2H"&amp;RIGHT(DJ6,2)&amp;"E"</f>
        <v>2H26E</v>
      </c>
      <c r="DJ7" s="39" t="str">
        <f>"FY"&amp;RIGHT(DJ6,2)&amp;"E"</f>
        <v>FY26E</v>
      </c>
      <c r="DK7" s="39" t="s">
        <v>759</v>
      </c>
      <c r="DL7" s="39" t="str">
        <f>"1H"&amp;RIGHT(DN6,2)&amp;"E"</f>
        <v>1H27E</v>
      </c>
      <c r="DM7" s="39" t="str">
        <f>"2H"&amp;RIGHT(DN6,2)&amp;"E"</f>
        <v>2H27E</v>
      </c>
      <c r="DN7" s="39" t="str">
        <f>"FY"&amp;RIGHT(DN6,2)&amp;"E"</f>
        <v>FY27E</v>
      </c>
      <c r="DO7" s="39" t="s">
        <v>759</v>
      </c>
      <c r="DP7" s="39" t="str">
        <f>"1H"&amp;RIGHT(DR6,2)&amp;"E"</f>
        <v>1H28E</v>
      </c>
      <c r="DQ7" s="39" t="str">
        <f>"2H"&amp;RIGHT(DR6,2)&amp;"E"</f>
        <v>2H28E</v>
      </c>
      <c r="DR7" s="39" t="str">
        <f>"FY"&amp;RIGHT(DR6,2)&amp;"E"</f>
        <v>FY28E</v>
      </c>
      <c r="DS7" s="39" t="s">
        <v>759</v>
      </c>
      <c r="DT7" s="39"/>
      <c r="DU7" s="39"/>
      <c r="DV7" s="39"/>
      <c r="DW7" s="39"/>
      <c r="DX7" s="39"/>
    </row>
    <row r="8" spans="1:128" s="20" customFormat="1" ht="13.5" customHeight="1">
      <c r="A8" s="52" t="s">
        <v>25</v>
      </c>
      <c r="B8" s="42"/>
      <c r="C8" s="40"/>
      <c r="D8" s="41"/>
      <c r="E8" s="41"/>
      <c r="F8" s="41"/>
      <c r="G8" s="42"/>
      <c r="H8" s="41"/>
      <c r="I8" s="41"/>
      <c r="J8" s="41"/>
      <c r="K8" s="42"/>
      <c r="L8" s="41"/>
      <c r="M8" s="41"/>
      <c r="N8" s="41"/>
      <c r="O8" s="42"/>
      <c r="P8" s="41"/>
      <c r="Q8" s="41"/>
      <c r="R8" s="41"/>
      <c r="S8" s="42"/>
      <c r="T8" s="41"/>
      <c r="U8" s="41"/>
      <c r="V8" s="41"/>
      <c r="W8" s="42"/>
      <c r="X8" s="41"/>
      <c r="Y8" s="41"/>
      <c r="Z8" s="41"/>
      <c r="AA8" s="42"/>
      <c r="AB8" s="41"/>
      <c r="AC8" s="41"/>
      <c r="AD8" s="41"/>
      <c r="AE8" s="42"/>
      <c r="AF8" s="41"/>
      <c r="AG8" s="41"/>
      <c r="AH8" s="41"/>
      <c r="AI8" s="42"/>
      <c r="AJ8" s="41"/>
      <c r="AK8" s="41"/>
      <c r="AL8" s="41"/>
      <c r="AM8" s="42"/>
      <c r="AN8" s="41"/>
      <c r="AO8" s="41"/>
      <c r="AP8" s="41"/>
      <c r="AQ8" s="315"/>
      <c r="AR8" s="41"/>
      <c r="AS8" s="41"/>
      <c r="AT8" s="41"/>
      <c r="AU8" s="315"/>
      <c r="AV8" s="41"/>
      <c r="AW8" s="41"/>
      <c r="AX8" s="41"/>
      <c r="AY8" s="315"/>
      <c r="AZ8" s="41"/>
      <c r="BA8" s="41"/>
      <c r="BB8" s="41"/>
      <c r="BC8" s="315"/>
      <c r="BD8" s="41" t="s">
        <v>183</v>
      </c>
      <c r="BE8" s="41" t="s">
        <v>183</v>
      </c>
      <c r="BF8" s="41" t="s">
        <v>183</v>
      </c>
      <c r="BG8" s="315"/>
      <c r="BH8" s="41" t="s">
        <v>183</v>
      </c>
      <c r="BI8" s="41" t="s">
        <v>183</v>
      </c>
      <c r="BJ8" s="41" t="s">
        <v>183</v>
      </c>
      <c r="BK8" s="42"/>
      <c r="BL8" s="41" t="s">
        <v>183</v>
      </c>
      <c r="BM8" s="41" t="s">
        <v>183</v>
      </c>
      <c r="BN8" s="41" t="s">
        <v>183</v>
      </c>
      <c r="BO8" s="42"/>
      <c r="BP8" s="41" t="s">
        <v>183</v>
      </c>
      <c r="BQ8" s="41" t="s">
        <v>183</v>
      </c>
      <c r="BR8" s="41" t="s">
        <v>183</v>
      </c>
      <c r="BS8" s="42"/>
      <c r="BT8" s="570" t="s">
        <v>183</v>
      </c>
      <c r="BU8" s="570" t="s">
        <v>183</v>
      </c>
      <c r="BV8" s="570" t="s">
        <v>183</v>
      </c>
      <c r="BW8" s="570"/>
      <c r="BX8" s="570" t="s">
        <v>183</v>
      </c>
      <c r="BY8" s="570" t="s">
        <v>183</v>
      </c>
      <c r="BZ8" s="570" t="s">
        <v>183</v>
      </c>
      <c r="CA8" s="570"/>
      <c r="CB8" s="570" t="s">
        <v>183</v>
      </c>
      <c r="CC8" s="570" t="s">
        <v>183</v>
      </c>
      <c r="CD8" s="570" t="s">
        <v>183</v>
      </c>
      <c r="CE8" s="570"/>
      <c r="CF8" s="570" t="s">
        <v>183</v>
      </c>
      <c r="CG8" s="570" t="s">
        <v>183</v>
      </c>
      <c r="CH8" s="570" t="s">
        <v>183</v>
      </c>
      <c r="CI8" s="906"/>
      <c r="CJ8" s="570" t="s">
        <v>183</v>
      </c>
      <c r="CK8" s="570" t="s">
        <v>183</v>
      </c>
      <c r="CL8" s="570" t="s">
        <v>183</v>
      </c>
      <c r="CM8" s="906"/>
      <c r="CN8" s="570" t="s">
        <v>183</v>
      </c>
      <c r="CO8" s="570" t="s">
        <v>183</v>
      </c>
      <c r="CP8" s="570" t="s">
        <v>183</v>
      </c>
      <c r="CQ8" s="906"/>
      <c r="CR8" s="570" t="s">
        <v>183</v>
      </c>
      <c r="CS8" s="570" t="s">
        <v>183</v>
      </c>
      <c r="CT8" s="570" t="s">
        <v>183</v>
      </c>
      <c r="CU8" s="906"/>
      <c r="CV8" s="570" t="s">
        <v>183</v>
      </c>
      <c r="CW8" s="570" t="s">
        <v>183</v>
      </c>
      <c r="CX8" s="570" t="s">
        <v>183</v>
      </c>
      <c r="CY8" s="906"/>
      <c r="CZ8" s="570" t="s">
        <v>183</v>
      </c>
      <c r="DA8" s="570" t="s">
        <v>183</v>
      </c>
      <c r="DB8" s="570" t="s">
        <v>183</v>
      </c>
      <c r="DC8" s="570"/>
      <c r="DD8" s="570" t="s">
        <v>183</v>
      </c>
      <c r="DE8" s="570" t="s">
        <v>183</v>
      </c>
      <c r="DF8" s="570" t="s">
        <v>183</v>
      </c>
      <c r="DG8" s="906"/>
      <c r="DH8" s="44" t="s">
        <v>183</v>
      </c>
      <c r="DI8" s="44" t="s">
        <v>183</v>
      </c>
      <c r="DJ8" s="44" t="s">
        <v>183</v>
      </c>
      <c r="DK8" s="43"/>
      <c r="DL8" s="44" t="s">
        <v>183</v>
      </c>
      <c r="DM8" s="44" t="s">
        <v>183</v>
      </c>
      <c r="DN8" s="44" t="s">
        <v>183</v>
      </c>
      <c r="DO8" s="43"/>
      <c r="DP8" s="44" t="s">
        <v>183</v>
      </c>
      <c r="DQ8" s="44" t="s">
        <v>183</v>
      </c>
      <c r="DR8" s="44" t="s">
        <v>183</v>
      </c>
      <c r="DS8" s="43"/>
      <c r="DT8" s="741"/>
      <c r="DU8" s="741"/>
      <c r="DV8" s="741"/>
      <c r="DW8" s="39"/>
      <c r="DX8" s="39"/>
    </row>
    <row r="9" spans="1:128" s="20" customFormat="1" ht="13.8">
      <c r="B9" s="49"/>
      <c r="BH9" s="49"/>
      <c r="BI9" s="49"/>
      <c r="BJ9" s="49"/>
      <c r="BK9" s="49"/>
      <c r="BL9" s="49"/>
      <c r="BM9" s="49"/>
      <c r="BN9" s="49"/>
      <c r="BO9" s="49"/>
      <c r="BP9" s="49"/>
      <c r="BX9" s="49"/>
      <c r="CF9" s="900"/>
      <c r="CG9" s="900"/>
    </row>
    <row r="10" spans="1:128" s="318" customFormat="1" ht="13.8">
      <c r="A10" s="316" t="s">
        <v>551</v>
      </c>
      <c r="B10" s="317"/>
      <c r="BH10" s="319"/>
      <c r="BI10" s="319"/>
      <c r="BJ10" s="317"/>
      <c r="BK10" s="317"/>
      <c r="BL10" s="319"/>
      <c r="BM10" s="319"/>
      <c r="BN10" s="317"/>
      <c r="BO10" s="317"/>
      <c r="BP10" s="317"/>
      <c r="BX10" s="317"/>
      <c r="DT10" s="742"/>
      <c r="DU10" s="742"/>
      <c r="DV10" s="742"/>
      <c r="DW10" s="20"/>
      <c r="DX10" s="20"/>
    </row>
    <row r="11" spans="1:128" s="20" customFormat="1" ht="13.8">
      <c r="B11" s="49"/>
      <c r="BH11" s="49"/>
      <c r="BI11" s="49"/>
      <c r="BJ11" s="49"/>
      <c r="BK11" s="49"/>
      <c r="BL11" s="49"/>
      <c r="BM11" s="49"/>
      <c r="BN11" s="49"/>
      <c r="BO11" s="49"/>
      <c r="BP11" s="49"/>
      <c r="BX11" s="49"/>
    </row>
    <row r="12" spans="1:128" s="540" customFormat="1" ht="13.8">
      <c r="A12" s="540" t="s">
        <v>870</v>
      </c>
      <c r="B12" s="715"/>
      <c r="BH12" s="716">
        <f>+BH14-BH13</f>
        <v>6236</v>
      </c>
      <c r="BI12" s="716">
        <f>+BI14-BI13</f>
        <v>6536</v>
      </c>
      <c r="BJ12" s="716">
        <f>+BJ14-BJ13</f>
        <v>12772</v>
      </c>
      <c r="BK12" s="715"/>
      <c r="BL12" s="716">
        <f>+BL14-BL13</f>
        <v>6764</v>
      </c>
      <c r="BM12" s="716">
        <f>+BM14-BM13</f>
        <v>7033</v>
      </c>
      <c r="BN12" s="716">
        <f>+BN14-BN13</f>
        <v>13797</v>
      </c>
      <c r="BO12" s="715"/>
      <c r="BP12" s="716">
        <f>+BP14-BP13</f>
        <v>7138</v>
      </c>
      <c r="BQ12" s="716">
        <f>+BQ14-BQ13</f>
        <v>7478</v>
      </c>
      <c r="BR12" s="716">
        <f>+BR14-BR13</f>
        <v>14616</v>
      </c>
      <c r="BT12" s="716">
        <f>+BT14-BT13</f>
        <v>7568</v>
      </c>
      <c r="BU12" s="716">
        <f>+BU14-BU13</f>
        <v>7527</v>
      </c>
      <c r="BV12" s="716">
        <f>+BV14-BV13</f>
        <v>15095</v>
      </c>
      <c r="BX12" s="716">
        <f>+BX14-BX13</f>
        <v>7419</v>
      </c>
      <c r="BY12" s="716">
        <f>+BY14-BY13</f>
        <v>7542</v>
      </c>
      <c r="BZ12" s="716">
        <f>+BZ14-BZ13</f>
        <v>14961</v>
      </c>
      <c r="CB12" s="716">
        <f>+CB14-CB13</f>
        <v>7527</v>
      </c>
      <c r="CC12" s="716">
        <f>+CC14-CC13</f>
        <v>7342</v>
      </c>
      <c r="CD12" s="716">
        <f>+CD14-CD13</f>
        <v>14869</v>
      </c>
      <c r="CF12" s="716">
        <f>+CF14-CF13</f>
        <v>7477</v>
      </c>
      <c r="CG12" s="716">
        <f>+CG14-CG13</f>
        <v>7225</v>
      </c>
      <c r="CH12" s="716">
        <f>+CH14-CH13</f>
        <v>14702</v>
      </c>
      <c r="CJ12" s="716">
        <f>+CJ14-CJ13</f>
        <v>7418</v>
      </c>
      <c r="CK12" s="716">
        <f>+CK14-CK13</f>
        <v>7037</v>
      </c>
      <c r="CL12" s="716">
        <f>+CL14-CL13</f>
        <v>14455</v>
      </c>
      <c r="CN12" s="716">
        <f>+CN14-CN13</f>
        <v>7175</v>
      </c>
      <c r="CO12" s="716">
        <f>+CO14-CO13</f>
        <v>7332</v>
      </c>
      <c r="CP12" s="716">
        <f>+CP14-CP13</f>
        <v>14507</v>
      </c>
      <c r="CR12" s="716">
        <f>+CR14-CR13</f>
        <v>7265</v>
      </c>
      <c r="CS12" s="716">
        <f>+CS14-CS13</f>
        <v>7949</v>
      </c>
      <c r="CT12" s="716">
        <f>+CT14-CT13</f>
        <v>15214</v>
      </c>
      <c r="CV12" s="716">
        <f>+CV14-CV13</f>
        <v>8675</v>
      </c>
      <c r="CW12" s="716">
        <f>+CW14-CW13</f>
        <v>8252</v>
      </c>
      <c r="CX12" s="716">
        <f>+CX14-CX13</f>
        <v>16927</v>
      </c>
      <c r="CZ12" s="716">
        <f>+CZ14-CZ13</f>
        <v>8091</v>
      </c>
      <c r="DA12" s="716">
        <f>+DA14-DA13</f>
        <v>8367</v>
      </c>
      <c r="DB12" s="716">
        <f>+DB14-DB13</f>
        <v>16458</v>
      </c>
      <c r="DD12" s="716">
        <f>+DD14-DD13</f>
        <v>9089</v>
      </c>
      <c r="DE12" s="716">
        <f>+DE14-DE13</f>
        <v>9323</v>
      </c>
      <c r="DF12" s="716">
        <f>+DF14-DF13</f>
        <v>18412</v>
      </c>
      <c r="DH12" s="716">
        <f ca="1">+DH14-DH13</f>
        <v>9416.6455236099446</v>
      </c>
      <c r="DI12" s="716">
        <f ca="1">+DI14-DI13</f>
        <v>9544.1871977070987</v>
      </c>
      <c r="DJ12" s="716">
        <f ca="1">+DJ14-DJ13</f>
        <v>18960.832721317041</v>
      </c>
      <c r="DL12" s="716">
        <f ca="1">+DL14-DL13</f>
        <v>9700.8394536026262</v>
      </c>
      <c r="DM12" s="716">
        <f ca="1">+DM14-DM13</f>
        <v>9917.9970396040808</v>
      </c>
      <c r="DN12" s="716">
        <f ca="1">+DN14-DN13</f>
        <v>19618.836493206705</v>
      </c>
      <c r="DP12" s="716">
        <f ca="1">+DP14-DP13</f>
        <v>10110.18137415759</v>
      </c>
      <c r="DQ12" s="716">
        <f ca="1">+DQ14-DQ13</f>
        <v>10321.576139124803</v>
      </c>
      <c r="DR12" s="716">
        <f ca="1">+DR14-DR13</f>
        <v>20431.757513282395</v>
      </c>
    </row>
    <row r="13" spans="1:128" s="540" customFormat="1" ht="13.8">
      <c r="A13" s="63" t="s">
        <v>865</v>
      </c>
      <c r="B13" s="715"/>
      <c r="BD13" s="721"/>
      <c r="BE13" s="721"/>
      <c r="BF13" s="716"/>
      <c r="BH13" s="721">
        <v>0</v>
      </c>
      <c r="BI13" s="721">
        <v>0</v>
      </c>
      <c r="BJ13" s="716">
        <f t="shared" ref="BJ13:BJ18" si="0">+BH13+BI13</f>
        <v>0</v>
      </c>
      <c r="BK13" s="715"/>
      <c r="BL13" s="721">
        <v>0</v>
      </c>
      <c r="BM13" s="721">
        <v>0</v>
      </c>
      <c r="BN13" s="716">
        <f t="shared" ref="BN13:BN18" si="1">+BL13+BM13</f>
        <v>0</v>
      </c>
      <c r="BO13" s="715"/>
      <c r="BP13" s="721">
        <v>0</v>
      </c>
      <c r="BQ13" s="721">
        <v>0</v>
      </c>
      <c r="BR13" s="716">
        <f t="shared" ref="BR13:BR18" si="2">+BP13+BQ13</f>
        <v>0</v>
      </c>
      <c r="BS13" s="722"/>
      <c r="BT13" s="721">
        <v>0</v>
      </c>
      <c r="BU13" s="721">
        <v>0</v>
      </c>
      <c r="BV13" s="716">
        <f t="shared" ref="BV13:BV18" si="3">+BT13+BU13</f>
        <v>0</v>
      </c>
      <c r="BW13" s="722"/>
      <c r="BX13" s="716">
        <f>BX1003</f>
        <v>0</v>
      </c>
      <c r="BY13" s="716">
        <f>BY1003</f>
        <v>-86</v>
      </c>
      <c r="BZ13" s="716">
        <f t="shared" ref="BZ13:BZ18" si="4">+BX13+BY13</f>
        <v>-86</v>
      </c>
      <c r="CA13" s="722"/>
      <c r="CB13" s="716">
        <f>CB1003</f>
        <v>-177</v>
      </c>
      <c r="CC13" s="716">
        <f>CC1003</f>
        <v>-178</v>
      </c>
      <c r="CD13" s="716">
        <f t="shared" ref="CD13:CD18" si="5">+CB13+CC13</f>
        <v>-355</v>
      </c>
      <c r="CE13" s="722"/>
      <c r="CF13" s="716">
        <f>CF1003</f>
        <v>-178</v>
      </c>
      <c r="CG13" s="716">
        <f>CG1003</f>
        <v>-185</v>
      </c>
      <c r="CH13" s="716">
        <f t="shared" ref="CH13:CH18" si="6">+CF13+CG13</f>
        <v>-363</v>
      </c>
      <c r="CI13" s="722"/>
      <c r="CJ13" s="716">
        <f>CJ1003</f>
        <v>-196</v>
      </c>
      <c r="CK13" s="716">
        <f>CK1003</f>
        <v>-210</v>
      </c>
      <c r="CL13" s="716">
        <f t="shared" ref="CL13:CL18" si="7">+CJ13+CK13</f>
        <v>-406</v>
      </c>
      <c r="CM13" s="722"/>
      <c r="CN13" s="716">
        <f>CN1003</f>
        <v>-189</v>
      </c>
      <c r="CO13" s="716">
        <f>CO1003</f>
        <v>-157</v>
      </c>
      <c r="CP13" s="716">
        <f t="shared" ref="CP13:CP18" si="8">+CN13+CO13</f>
        <v>-346</v>
      </c>
      <c r="CQ13" s="722"/>
      <c r="CR13" s="716">
        <f>CR1003</f>
        <v>-165</v>
      </c>
      <c r="CS13" s="716">
        <f>CS1003</f>
        <v>-175</v>
      </c>
      <c r="CT13" s="716">
        <f t="shared" ref="CT13:CT18" si="9">+CR13+CS13</f>
        <v>-340</v>
      </c>
      <c r="CU13" s="722"/>
      <c r="CV13" s="716">
        <f>CV1003</f>
        <v>-175</v>
      </c>
      <c r="CW13" s="716">
        <f>CW1003</f>
        <v>-178</v>
      </c>
      <c r="CX13" s="716">
        <f t="shared" ref="CX13:CX18" si="10">+CV13+CW13</f>
        <v>-353</v>
      </c>
      <c r="CY13" s="722"/>
      <c r="CZ13" s="716">
        <f>CZ1003</f>
        <v>-192</v>
      </c>
      <c r="DA13" s="716">
        <f>DA1003</f>
        <v>-197</v>
      </c>
      <c r="DB13" s="716">
        <f t="shared" ref="DB13:DB18" si="11">+CZ13+DA13</f>
        <v>-389</v>
      </c>
      <c r="DC13" s="722"/>
      <c r="DD13" s="716">
        <f>DD1003</f>
        <v>-220</v>
      </c>
      <c r="DE13" s="716">
        <f>DE1003</f>
        <v>-231</v>
      </c>
      <c r="DF13" s="716">
        <f t="shared" ref="DF13:DF18" si="12">+DD13+DE13</f>
        <v>-451</v>
      </c>
      <c r="DG13" s="722"/>
      <c r="DH13" s="716">
        <f ca="1">DH1003</f>
        <v>-231.6235760499427</v>
      </c>
      <c r="DI13" s="716">
        <f ca="1">DI1003</f>
        <v>-238.35759038085035</v>
      </c>
      <c r="DJ13" s="716">
        <f ca="1">+DI13+DH13</f>
        <v>-469.98116643079305</v>
      </c>
      <c r="DK13" s="722"/>
      <c r="DL13" s="716">
        <f ca="1">DL1003</f>
        <v>-242.80375488889686</v>
      </c>
      <c r="DM13" s="716">
        <f ca="1">DM1003</f>
        <v>-251.01459347364079</v>
      </c>
      <c r="DN13" s="716">
        <f ca="1">+DM13+DL13</f>
        <v>-493.81834836253768</v>
      </c>
      <c r="DO13" s="722"/>
      <c r="DP13" s="716">
        <f ca="1">DP1003</f>
        <v>-254.88447246790994</v>
      </c>
      <c r="DQ13" s="716">
        <f ca="1">DQ1003</f>
        <v>-262.30526160582644</v>
      </c>
      <c r="DR13" s="716">
        <f ca="1">+DQ13+DP13</f>
        <v>-517.18973407373642</v>
      </c>
      <c r="DS13" s="722"/>
      <c r="DT13" s="722"/>
      <c r="DU13" s="722"/>
      <c r="DV13" s="722"/>
    </row>
    <row r="14" spans="1:128" s="20" customFormat="1" ht="13.8">
      <c r="A14" s="58" t="s">
        <v>282</v>
      </c>
      <c r="B14" s="49"/>
      <c r="BD14" s="98">
        <v>5984</v>
      </c>
      <c r="BE14" s="98">
        <v>6126</v>
      </c>
      <c r="BF14" s="72">
        <f>+BD14+BE14</f>
        <v>12110</v>
      </c>
      <c r="BH14" s="98">
        <v>6236</v>
      </c>
      <c r="BI14" s="98">
        <v>6536</v>
      </c>
      <c r="BJ14" s="72">
        <f t="shared" si="0"/>
        <v>12772</v>
      </c>
      <c r="BK14" s="49"/>
      <c r="BL14" s="98">
        <v>6764</v>
      </c>
      <c r="BM14" s="98">
        <v>7033</v>
      </c>
      <c r="BN14" s="72">
        <f t="shared" si="1"/>
        <v>13797</v>
      </c>
      <c r="BO14" s="49"/>
      <c r="BP14" s="98">
        <v>7138</v>
      </c>
      <c r="BQ14" s="98">
        <v>7478</v>
      </c>
      <c r="BR14" s="72">
        <f t="shared" si="2"/>
        <v>14616</v>
      </c>
      <c r="BS14" s="75">
        <f>BR14/BN14-1</f>
        <v>5.9360730593607247E-2</v>
      </c>
      <c r="BT14" s="98">
        <v>7568</v>
      </c>
      <c r="BU14" s="98">
        <v>7527</v>
      </c>
      <c r="BV14" s="72">
        <f t="shared" si="3"/>
        <v>15095</v>
      </c>
      <c r="BW14" s="75">
        <f t="shared" ref="BW14:BW26" si="13">BV14/BR14-1</f>
        <v>3.2772304324028445E-2</v>
      </c>
      <c r="BX14" s="98">
        <v>7419</v>
      </c>
      <c r="BY14" s="98">
        <v>7456</v>
      </c>
      <c r="BZ14" s="72">
        <f t="shared" si="4"/>
        <v>14875</v>
      </c>
      <c r="CA14" s="75">
        <f t="shared" ref="CA14:CA26" si="14">BZ14/BV14-1</f>
        <v>-1.4574362371646221E-2</v>
      </c>
      <c r="CB14" s="98">
        <v>7350</v>
      </c>
      <c r="CC14" s="98">
        <v>7164</v>
      </c>
      <c r="CD14" s="72">
        <f t="shared" si="5"/>
        <v>14514</v>
      </c>
      <c r="CE14" s="75">
        <f>CD14/BZ14-1</f>
        <v>-2.4268907563025244E-2</v>
      </c>
      <c r="CF14" s="98">
        <v>7299</v>
      </c>
      <c r="CG14" s="98">
        <v>7040</v>
      </c>
      <c r="CH14" s="72">
        <f t="shared" si="6"/>
        <v>14339</v>
      </c>
      <c r="CI14" s="75">
        <f>CH14/CD14-1</f>
        <v>-1.2057323963070132E-2</v>
      </c>
      <c r="CJ14" s="98">
        <v>7222</v>
      </c>
      <c r="CK14" s="98">
        <v>6827</v>
      </c>
      <c r="CL14" s="72">
        <f t="shared" si="7"/>
        <v>14049</v>
      </c>
      <c r="CM14" s="75">
        <f>CL14/CH14-1</f>
        <v>-2.022456238231396E-2</v>
      </c>
      <c r="CN14" s="98">
        <v>6986</v>
      </c>
      <c r="CO14" s="98">
        <v>7175</v>
      </c>
      <c r="CP14" s="72">
        <f t="shared" si="8"/>
        <v>14161</v>
      </c>
      <c r="CQ14" s="75">
        <f>CP14/CL14-1</f>
        <v>7.9720976581962866E-3</v>
      </c>
      <c r="CR14" s="98">
        <v>7100</v>
      </c>
      <c r="CS14" s="98">
        <v>7774</v>
      </c>
      <c r="CT14" s="72">
        <f t="shared" si="9"/>
        <v>14874</v>
      </c>
      <c r="CU14" s="75">
        <f>CT14/CP14-1</f>
        <v>5.0349551585340047E-2</v>
      </c>
      <c r="CV14" s="98">
        <v>8500</v>
      </c>
      <c r="CW14" s="98">
        <v>8074</v>
      </c>
      <c r="CX14" s="72">
        <f t="shared" si="10"/>
        <v>16574</v>
      </c>
      <c r="CY14" s="75">
        <f>CX14/CT14-1</f>
        <v>0.11429339787548742</v>
      </c>
      <c r="CZ14" s="98">
        <v>7899</v>
      </c>
      <c r="DA14" s="98">
        <v>8170</v>
      </c>
      <c r="DB14" s="72">
        <f t="shared" si="11"/>
        <v>16069</v>
      </c>
      <c r="DC14" s="75">
        <f>DB14/CX14-1</f>
        <v>-3.0469409919150481E-2</v>
      </c>
      <c r="DD14" s="98">
        <v>8869</v>
      </c>
      <c r="DE14" s="98">
        <v>9092</v>
      </c>
      <c r="DF14" s="72">
        <f t="shared" si="12"/>
        <v>17961</v>
      </c>
      <c r="DG14" s="75">
        <f>DF14/DB14-1</f>
        <v>0.11774223660464256</v>
      </c>
      <c r="DH14" s="72">
        <f ca="1">DH598</f>
        <v>9185.0219475600024</v>
      </c>
      <c r="DI14" s="72">
        <f ca="1">DI598</f>
        <v>9305.8296073262482</v>
      </c>
      <c r="DJ14" s="72">
        <f ca="1">+DH14+DI14</f>
        <v>18490.851554886249</v>
      </c>
      <c r="DK14" s="75">
        <f ca="1">DJ14/DF14-1</f>
        <v>2.9500114408231637E-2</v>
      </c>
      <c r="DL14" s="72">
        <f ca="1">DL598</f>
        <v>9458.0356987137293</v>
      </c>
      <c r="DM14" s="72">
        <f ca="1">DM598</f>
        <v>9666.9824461304397</v>
      </c>
      <c r="DN14" s="72">
        <f ca="1">+DL14+DM14</f>
        <v>19125.018144844169</v>
      </c>
      <c r="DO14" s="75">
        <f ca="1">DN14/DJ14-1</f>
        <v>3.4296234982771345E-2</v>
      </c>
      <c r="DP14" s="72">
        <f ca="1">DP598</f>
        <v>9855.2969016896805</v>
      </c>
      <c r="DQ14" s="72">
        <f ca="1">DQ598</f>
        <v>10059.270877518977</v>
      </c>
      <c r="DR14" s="72">
        <f ca="1">+DP14+DQ14</f>
        <v>19914.567779208657</v>
      </c>
      <c r="DS14" s="75">
        <f ca="1">DR14/DN14-1</f>
        <v>4.1283601844704032E-2</v>
      </c>
      <c r="DT14" s="75"/>
      <c r="DU14" s="75"/>
      <c r="DV14" s="75"/>
    </row>
    <row r="15" spans="1:128" s="20" customFormat="1" ht="13.8">
      <c r="A15" s="59" t="s">
        <v>466</v>
      </c>
      <c r="B15" s="49" t="s">
        <v>468</v>
      </c>
      <c r="BD15" s="67">
        <v>1156</v>
      </c>
      <c r="BE15" s="67">
        <v>1137</v>
      </c>
      <c r="BF15" s="65">
        <f>+BD15+BE15</f>
        <v>2293</v>
      </c>
      <c r="BH15" s="67">
        <v>1145</v>
      </c>
      <c r="BI15" s="67">
        <v>1171</v>
      </c>
      <c r="BJ15" s="65">
        <f t="shared" si="0"/>
        <v>2316</v>
      </c>
      <c r="BK15" s="49"/>
      <c r="BL15" s="67">
        <v>1186</v>
      </c>
      <c r="BM15" s="67">
        <v>1178</v>
      </c>
      <c r="BN15" s="65">
        <f t="shared" si="1"/>
        <v>2364</v>
      </c>
      <c r="BO15" s="49"/>
      <c r="BP15" s="67">
        <f>1212+41</f>
        <v>1253</v>
      </c>
      <c r="BQ15" s="67">
        <f>1232+35</f>
        <v>1267</v>
      </c>
      <c r="BR15" s="65">
        <f t="shared" si="2"/>
        <v>2520</v>
      </c>
      <c r="BS15" s="75"/>
      <c r="BT15" s="67">
        <v>1236</v>
      </c>
      <c r="BU15" s="67">
        <v>1201</v>
      </c>
      <c r="BV15" s="65">
        <f t="shared" si="3"/>
        <v>2437</v>
      </c>
      <c r="BW15" s="75">
        <f t="shared" si="13"/>
        <v>-3.2936507936507931E-2</v>
      </c>
      <c r="BX15" s="67">
        <v>1177</v>
      </c>
      <c r="BY15" s="67">
        <v>1185</v>
      </c>
      <c r="BZ15" s="65">
        <f t="shared" si="4"/>
        <v>2362</v>
      </c>
      <c r="CA15" s="75">
        <f t="shared" si="14"/>
        <v>-3.0775543701272001E-2</v>
      </c>
      <c r="CB15" s="67">
        <v>1335</v>
      </c>
      <c r="CC15" s="67">
        <v>1289</v>
      </c>
      <c r="CD15" s="65">
        <f t="shared" si="5"/>
        <v>2624</v>
      </c>
      <c r="CE15" s="75"/>
      <c r="CF15" s="67">
        <v>1218</v>
      </c>
      <c r="CG15" s="67">
        <v>1275</v>
      </c>
      <c r="CH15" s="65">
        <f t="shared" si="6"/>
        <v>2493</v>
      </c>
      <c r="CI15" s="75"/>
      <c r="CJ15" s="67">
        <v>1135</v>
      </c>
      <c r="CK15" s="67">
        <v>1080</v>
      </c>
      <c r="CL15" s="65">
        <f t="shared" si="7"/>
        <v>2215</v>
      </c>
      <c r="CM15" s="75"/>
      <c r="CN15" s="67">
        <v>1011</v>
      </c>
      <c r="CO15" s="67">
        <v>1052</v>
      </c>
      <c r="CP15" s="65">
        <f t="shared" si="8"/>
        <v>2063</v>
      </c>
      <c r="CQ15" s="75"/>
      <c r="CR15" s="67">
        <v>953</v>
      </c>
      <c r="CS15" s="67">
        <v>954</v>
      </c>
      <c r="CT15" s="65">
        <f t="shared" si="9"/>
        <v>1907</v>
      </c>
      <c r="CU15" s="75"/>
      <c r="CV15" s="67">
        <v>890</v>
      </c>
      <c r="CW15" s="67">
        <v>972</v>
      </c>
      <c r="CX15" s="65">
        <f t="shared" si="10"/>
        <v>1862</v>
      </c>
      <c r="CY15" s="75"/>
      <c r="CZ15" s="67">
        <v>919</v>
      </c>
      <c r="DA15" s="67">
        <v>956</v>
      </c>
      <c r="DB15" s="65">
        <f t="shared" si="11"/>
        <v>1875</v>
      </c>
      <c r="DC15" s="75"/>
      <c r="DD15" s="67">
        <v>855</v>
      </c>
      <c r="DE15" s="67">
        <v>948</v>
      </c>
      <c r="DF15" s="65">
        <f t="shared" si="12"/>
        <v>1803</v>
      </c>
      <c r="DG15" s="75"/>
      <c r="DH15" s="65">
        <f t="shared" ref="DH15:DI15" si="15">DH662</f>
        <v>891.12</v>
      </c>
      <c r="DI15" s="65">
        <f t="shared" si="15"/>
        <v>944.58720000000005</v>
      </c>
      <c r="DJ15" s="65">
        <f>+DH15+DI15</f>
        <v>1835.7072000000001</v>
      </c>
      <c r="DK15" s="75"/>
      <c r="DL15" s="65">
        <f t="shared" ref="DL15:DM15" si="16">DL662</f>
        <v>906.80371200000002</v>
      </c>
      <c r="DM15" s="65">
        <f t="shared" si="16"/>
        <v>961.21193472000004</v>
      </c>
      <c r="DN15" s="65">
        <f>+DL15+DM15</f>
        <v>1868.0156467199999</v>
      </c>
      <c r="DO15" s="75"/>
      <c r="DP15" s="65">
        <f t="shared" ref="DP15:DQ15" si="17">DP662</f>
        <v>922.76345733120002</v>
      </c>
      <c r="DQ15" s="65">
        <f t="shared" si="17"/>
        <v>978.12926477107203</v>
      </c>
      <c r="DR15" s="65">
        <f>+DP15+DQ15</f>
        <v>1900.892722102272</v>
      </c>
      <c r="DS15" s="75"/>
      <c r="DT15" s="75"/>
      <c r="DU15" s="75"/>
      <c r="DV15" s="75"/>
    </row>
    <row r="16" spans="1:128" s="20" customFormat="1" ht="13.8">
      <c r="A16" s="57" t="s">
        <v>467</v>
      </c>
      <c r="B16" s="49" t="s">
        <v>775</v>
      </c>
      <c r="BD16" s="67">
        <f>670+132</f>
        <v>802</v>
      </c>
      <c r="BE16" s="67">
        <f>156+543</f>
        <v>699</v>
      </c>
      <c r="BF16" s="65">
        <f>+BD16+BE16</f>
        <v>1501</v>
      </c>
      <c r="BH16" s="67">
        <v>743</v>
      </c>
      <c r="BI16" s="67">
        <v>567</v>
      </c>
      <c r="BJ16" s="65">
        <f t="shared" si="0"/>
        <v>1310</v>
      </c>
      <c r="BK16" s="49"/>
      <c r="BL16" s="67">
        <v>720</v>
      </c>
      <c r="BM16" s="67">
        <v>565</v>
      </c>
      <c r="BN16" s="65">
        <f t="shared" si="1"/>
        <v>1285</v>
      </c>
      <c r="BO16" s="49"/>
      <c r="BP16" s="65">
        <f>BP692</f>
        <v>675</v>
      </c>
      <c r="BQ16" s="65">
        <f>BQ692</f>
        <v>388</v>
      </c>
      <c r="BR16" s="65">
        <f t="shared" si="2"/>
        <v>1063</v>
      </c>
      <c r="BS16" s="75"/>
      <c r="BT16" s="67">
        <v>401</v>
      </c>
      <c r="BU16" s="67">
        <v>365</v>
      </c>
      <c r="BV16" s="65">
        <f t="shared" si="3"/>
        <v>766</v>
      </c>
      <c r="BW16" s="75">
        <f t="shared" si="13"/>
        <v>-0.27939793038570082</v>
      </c>
      <c r="BX16" s="67">
        <v>886</v>
      </c>
      <c r="BY16" s="67">
        <v>550</v>
      </c>
      <c r="BZ16" s="65">
        <f t="shared" si="4"/>
        <v>1436</v>
      </c>
      <c r="CA16" s="75">
        <f t="shared" si="14"/>
        <v>0.87467362924281988</v>
      </c>
      <c r="CB16" s="67">
        <v>552</v>
      </c>
      <c r="CC16" s="67">
        <v>577</v>
      </c>
      <c r="CD16" s="65">
        <f t="shared" si="5"/>
        <v>1129</v>
      </c>
      <c r="CE16" s="75"/>
      <c r="CF16" s="67">
        <v>667</v>
      </c>
      <c r="CG16" s="67">
        <v>619</v>
      </c>
      <c r="CH16" s="65">
        <f t="shared" si="6"/>
        <v>1286</v>
      </c>
      <c r="CI16" s="75"/>
      <c r="CJ16" s="67">
        <v>764</v>
      </c>
      <c r="CK16" s="67">
        <v>1120</v>
      </c>
      <c r="CL16" s="65">
        <f t="shared" si="7"/>
        <v>1884</v>
      </c>
      <c r="CM16" s="75"/>
      <c r="CN16" s="67">
        <v>638</v>
      </c>
      <c r="CO16" s="67">
        <v>492</v>
      </c>
      <c r="CP16" s="65">
        <f t="shared" si="8"/>
        <v>1130</v>
      </c>
      <c r="CQ16" s="75"/>
      <c r="CR16" s="67">
        <v>396</v>
      </c>
      <c r="CS16" s="67">
        <v>464</v>
      </c>
      <c r="CT16" s="65">
        <f t="shared" si="9"/>
        <v>860</v>
      </c>
      <c r="CU16" s="75"/>
      <c r="CV16" s="67">
        <v>985</v>
      </c>
      <c r="CW16" s="67">
        <v>938</v>
      </c>
      <c r="CX16" s="65">
        <f t="shared" si="10"/>
        <v>1923</v>
      </c>
      <c r="CY16" s="75"/>
      <c r="CZ16" s="67">
        <v>1276</v>
      </c>
      <c r="DA16" s="67">
        <v>1039</v>
      </c>
      <c r="DB16" s="65">
        <f t="shared" si="11"/>
        <v>2315</v>
      </c>
      <c r="DC16" s="75"/>
      <c r="DD16" s="67">
        <v>991</v>
      </c>
      <c r="DE16" s="67">
        <v>870</v>
      </c>
      <c r="DF16" s="65">
        <f t="shared" si="12"/>
        <v>1861</v>
      </c>
      <c r="DG16" s="75"/>
      <c r="DH16" s="65">
        <f t="shared" ref="DH16:DI16" si="18">DH663</f>
        <v>913.76</v>
      </c>
      <c r="DI16" s="65">
        <f t="shared" si="18"/>
        <v>818.93</v>
      </c>
      <c r="DJ16" s="65">
        <f>+DH16+DI16</f>
        <v>1732.69</v>
      </c>
      <c r="DK16" s="75"/>
      <c r="DL16" s="65">
        <f t="shared" ref="DL16:DM16" si="19">DL663</f>
        <v>940.21019999999999</v>
      </c>
      <c r="DM16" s="65">
        <f t="shared" si="19"/>
        <v>842.51909999999998</v>
      </c>
      <c r="DN16" s="65">
        <f>+DL16+DM16</f>
        <v>1782.7293</v>
      </c>
      <c r="DO16" s="75"/>
      <c r="DP16" s="65">
        <f t="shared" ref="DP16:DQ16" si="20">DP663</f>
        <v>967.43465400000002</v>
      </c>
      <c r="DQ16" s="65">
        <f t="shared" si="20"/>
        <v>866.7962970000001</v>
      </c>
      <c r="DR16" s="65">
        <f>+DP16+DQ16</f>
        <v>1834.230951</v>
      </c>
      <c r="DS16" s="75"/>
      <c r="DT16" s="75"/>
      <c r="DU16" s="75"/>
      <c r="DV16" s="75"/>
    </row>
    <row r="17" spans="1:126" s="20" customFormat="1" ht="13.8">
      <c r="A17" s="57" t="s">
        <v>28</v>
      </c>
      <c r="B17" s="49" t="s">
        <v>775</v>
      </c>
      <c r="BD17" s="67">
        <v>166</v>
      </c>
      <c r="BE17" s="67">
        <v>230</v>
      </c>
      <c r="BF17" s="65">
        <f>+BD17+BE17</f>
        <v>396</v>
      </c>
      <c r="BH17" s="67">
        <v>209</v>
      </c>
      <c r="BI17" s="67">
        <v>269</v>
      </c>
      <c r="BJ17" s="65">
        <f t="shared" si="0"/>
        <v>478</v>
      </c>
      <c r="BK17" s="49"/>
      <c r="BL17" s="67">
        <v>243</v>
      </c>
      <c r="BM17" s="67">
        <v>267</v>
      </c>
      <c r="BN17" s="65">
        <f t="shared" si="1"/>
        <v>510</v>
      </c>
      <c r="BO17" s="49"/>
      <c r="BP17" s="67">
        <v>314</v>
      </c>
      <c r="BQ17" s="67">
        <v>311</v>
      </c>
      <c r="BR17" s="65">
        <f t="shared" si="2"/>
        <v>625</v>
      </c>
      <c r="BS17" s="65"/>
      <c r="BT17" s="67">
        <v>301</v>
      </c>
      <c r="BU17" s="67">
        <v>243</v>
      </c>
      <c r="BV17" s="65">
        <f t="shared" si="3"/>
        <v>544</v>
      </c>
      <c r="BW17" s="75">
        <f t="shared" si="13"/>
        <v>-0.12960000000000005</v>
      </c>
      <c r="BX17" s="67">
        <v>173</v>
      </c>
      <c r="BY17" s="67">
        <v>127</v>
      </c>
      <c r="BZ17" s="65">
        <f t="shared" si="4"/>
        <v>300</v>
      </c>
      <c r="CA17" s="75">
        <f t="shared" si="14"/>
        <v>-0.44852941176470584</v>
      </c>
      <c r="CB17" s="67">
        <v>88</v>
      </c>
      <c r="CC17" s="67">
        <v>95</v>
      </c>
      <c r="CD17" s="65">
        <f t="shared" si="5"/>
        <v>183</v>
      </c>
      <c r="CE17" s="65"/>
      <c r="CF17" s="67">
        <v>131</v>
      </c>
      <c r="CG17" s="67">
        <v>131</v>
      </c>
      <c r="CH17" s="65">
        <f t="shared" si="6"/>
        <v>262</v>
      </c>
      <c r="CI17" s="65"/>
      <c r="CJ17" s="67">
        <v>135</v>
      </c>
      <c r="CK17" s="67">
        <v>20</v>
      </c>
      <c r="CL17" s="65">
        <f t="shared" si="7"/>
        <v>155</v>
      </c>
      <c r="CM17" s="65"/>
      <c r="CN17" s="67">
        <v>-242</v>
      </c>
      <c r="CO17" s="67">
        <v>66</v>
      </c>
      <c r="CP17" s="65">
        <f t="shared" si="8"/>
        <v>-176</v>
      </c>
      <c r="CQ17" s="65"/>
      <c r="CR17" s="67">
        <v>74</v>
      </c>
      <c r="CS17" s="67">
        <v>103</v>
      </c>
      <c r="CT17" s="65">
        <f t="shared" si="9"/>
        <v>177</v>
      </c>
      <c r="CU17" s="65"/>
      <c r="CV17" s="67">
        <v>101</v>
      </c>
      <c r="CW17" s="67">
        <v>120</v>
      </c>
      <c r="CX17" s="65">
        <f t="shared" si="10"/>
        <v>221</v>
      </c>
      <c r="CY17" s="65"/>
      <c r="CZ17" s="67">
        <v>84</v>
      </c>
      <c r="DA17" s="67">
        <v>21</v>
      </c>
      <c r="DB17" s="65">
        <f t="shared" si="11"/>
        <v>105</v>
      </c>
      <c r="DC17" s="65"/>
      <c r="DD17" s="67">
        <v>38</v>
      </c>
      <c r="DE17" s="67">
        <v>38</v>
      </c>
      <c r="DF17" s="65">
        <f t="shared" si="12"/>
        <v>76</v>
      </c>
      <c r="DG17" s="65"/>
      <c r="DH17" s="65">
        <f t="shared" ref="DH17:DI17" si="21">DH664</f>
        <v>53.752200000000016</v>
      </c>
      <c r="DI17" s="65">
        <f t="shared" si="21"/>
        <v>55.427244000000016</v>
      </c>
      <c r="DJ17" s="65">
        <f>+DH17+DI17</f>
        <v>109.17944400000003</v>
      </c>
      <c r="DK17" s="65"/>
      <c r="DL17" s="65">
        <f t="shared" ref="DL17:DM17" si="22">DL664</f>
        <v>67.135788880000021</v>
      </c>
      <c r="DM17" s="65">
        <f t="shared" si="22"/>
        <v>68.878504657600018</v>
      </c>
      <c r="DN17" s="65">
        <f>+DL17+DM17</f>
        <v>136.01429353760005</v>
      </c>
      <c r="DO17" s="65"/>
      <c r="DP17" s="65">
        <f t="shared" ref="DP17:DQ17" si="23">DP664</f>
        <v>70.656074750752026</v>
      </c>
      <c r="DQ17" s="65">
        <f t="shared" si="23"/>
        <v>72.469196245767066</v>
      </c>
      <c r="DR17" s="65">
        <f>+DP17+DQ17</f>
        <v>143.12527099651908</v>
      </c>
      <c r="DS17" s="65"/>
      <c r="DT17" s="65"/>
      <c r="DU17" s="65"/>
      <c r="DV17" s="65"/>
    </row>
    <row r="18" spans="1:126" s="20" customFormat="1" ht="13.8">
      <c r="A18" s="59" t="s">
        <v>469</v>
      </c>
      <c r="B18" s="49" t="s">
        <v>775</v>
      </c>
      <c r="BD18" s="67">
        <v>55</v>
      </c>
      <c r="BE18" s="67">
        <v>394</v>
      </c>
      <c r="BF18" s="65">
        <f>+BD18+BE18</f>
        <v>449</v>
      </c>
      <c r="BH18" s="67">
        <f>31+134</f>
        <v>165</v>
      </c>
      <c r="BI18" s="67">
        <f>59+75</f>
        <v>134</v>
      </c>
      <c r="BJ18" s="65">
        <f t="shared" si="0"/>
        <v>299</v>
      </c>
      <c r="BK18" s="49"/>
      <c r="BL18" s="67">
        <f>43+95</f>
        <v>138</v>
      </c>
      <c r="BM18" s="67">
        <f>53+148</f>
        <v>201</v>
      </c>
      <c r="BN18" s="65">
        <f t="shared" si="1"/>
        <v>339</v>
      </c>
      <c r="BO18" s="49"/>
      <c r="BP18" s="67">
        <f>59+24</f>
        <v>83</v>
      </c>
      <c r="BQ18" s="67">
        <f>64+62</f>
        <v>126</v>
      </c>
      <c r="BR18" s="65">
        <f t="shared" si="2"/>
        <v>209</v>
      </c>
      <c r="BS18" s="75"/>
      <c r="BT18" s="67">
        <f>-93+141</f>
        <v>48</v>
      </c>
      <c r="BU18" s="67">
        <f>149+37</f>
        <v>186</v>
      </c>
      <c r="BV18" s="65">
        <f t="shared" si="3"/>
        <v>234</v>
      </c>
      <c r="BW18" s="75">
        <f t="shared" si="13"/>
        <v>0.11961722488038284</v>
      </c>
      <c r="BX18" s="67">
        <v>-24</v>
      </c>
      <c r="BY18" s="67">
        <v>199</v>
      </c>
      <c r="BZ18" s="65">
        <f t="shared" si="4"/>
        <v>175</v>
      </c>
      <c r="CA18" s="75">
        <f t="shared" si="14"/>
        <v>-0.25213675213675213</v>
      </c>
      <c r="CB18" s="67">
        <v>419</v>
      </c>
      <c r="CC18" s="67">
        <v>245</v>
      </c>
      <c r="CD18" s="65">
        <f t="shared" si="5"/>
        <v>664</v>
      </c>
      <c r="CE18" s="75"/>
      <c r="CF18" s="67">
        <v>361</v>
      </c>
      <c r="CG18" s="916">
        <f>218-CG24</f>
        <v>169</v>
      </c>
      <c r="CH18" s="65">
        <f t="shared" si="6"/>
        <v>530</v>
      </c>
      <c r="CI18" s="96"/>
      <c r="CJ18" s="67">
        <f>-677-CJ24</f>
        <v>-724</v>
      </c>
      <c r="CK18" s="956">
        <f>126-CK24</f>
        <v>95</v>
      </c>
      <c r="CL18" s="65">
        <f t="shared" si="7"/>
        <v>-629</v>
      </c>
      <c r="CM18" s="75"/>
      <c r="CN18" s="67">
        <f>30-CN24</f>
        <v>-22</v>
      </c>
      <c r="CO18" s="956">
        <f>239-CO24</f>
        <v>181</v>
      </c>
      <c r="CP18" s="65">
        <f t="shared" si="8"/>
        <v>159</v>
      </c>
      <c r="CQ18" s="75"/>
      <c r="CR18" s="67">
        <f>425-CR24</f>
        <v>370</v>
      </c>
      <c r="CS18" s="956">
        <f>304-CS24</f>
        <v>219</v>
      </c>
      <c r="CT18" s="65">
        <f t="shared" si="9"/>
        <v>589</v>
      </c>
      <c r="CU18" s="75"/>
      <c r="CV18" s="67">
        <f>64-CV24</f>
        <v>9</v>
      </c>
      <c r="CW18" s="67">
        <f>261-CW24</f>
        <v>208</v>
      </c>
      <c r="CX18" s="65">
        <f t="shared" si="10"/>
        <v>217</v>
      </c>
      <c r="CY18" s="75"/>
      <c r="CZ18" s="67">
        <f>169-CZ24</f>
        <v>121</v>
      </c>
      <c r="DA18" s="67">
        <f>276-DA24</f>
        <v>202</v>
      </c>
      <c r="DB18" s="65">
        <f t="shared" si="11"/>
        <v>323</v>
      </c>
      <c r="DC18" s="75"/>
      <c r="DD18" s="67">
        <f>280-DD24-DD17</f>
        <v>196</v>
      </c>
      <c r="DE18" s="67">
        <f>279-285-DE24-DE17</f>
        <v>-93</v>
      </c>
      <c r="DF18" s="65">
        <f t="shared" si="12"/>
        <v>103</v>
      </c>
      <c r="DG18" s="75"/>
      <c r="DH18" s="65">
        <f t="shared" ref="DH18:DI18" si="24">DH665</f>
        <v>195.84</v>
      </c>
      <c r="DI18" s="65">
        <f t="shared" si="24"/>
        <v>199.7568</v>
      </c>
      <c r="DJ18" s="65">
        <f>+DH18+DI18</f>
        <v>395.59680000000003</v>
      </c>
      <c r="DK18" s="75"/>
      <c r="DL18" s="65">
        <f t="shared" ref="DL18:DM18" si="25">DL665</f>
        <v>203.751936</v>
      </c>
      <c r="DM18" s="65">
        <f t="shared" si="25"/>
        <v>207.82697472000001</v>
      </c>
      <c r="DN18" s="65">
        <f>+DL18+DM18</f>
        <v>411.57891072000001</v>
      </c>
      <c r="DO18" s="75"/>
      <c r="DP18" s="65">
        <f t="shared" ref="DP18:DQ18" si="26">DP665</f>
        <v>211.9835142144</v>
      </c>
      <c r="DQ18" s="65">
        <f t="shared" si="26"/>
        <v>216.223184498688</v>
      </c>
      <c r="DR18" s="65">
        <f>+DP18+DQ18</f>
        <v>428.20669871308803</v>
      </c>
      <c r="DS18" s="75"/>
      <c r="DT18" s="75"/>
      <c r="DU18" s="75"/>
      <c r="DV18" s="75"/>
    </row>
    <row r="19" spans="1:126" s="20" customFormat="1" ht="13.8">
      <c r="A19" s="60" t="s">
        <v>487</v>
      </c>
      <c r="B19" s="49"/>
      <c r="BD19" s="72">
        <f>SUM(BD15:BD18)</f>
        <v>2179</v>
      </c>
      <c r="BE19" s="72">
        <f>SUM(BE15:BE18)</f>
        <v>2460</v>
      </c>
      <c r="BF19" s="72">
        <f>SUM(BF15:BF18)</f>
        <v>4639</v>
      </c>
      <c r="BH19" s="72">
        <f>SUM(BH15:BH18)</f>
        <v>2262</v>
      </c>
      <c r="BI19" s="72">
        <f>SUM(BI15:BI18)</f>
        <v>2141</v>
      </c>
      <c r="BJ19" s="72">
        <f>SUM(BJ15:BJ18)</f>
        <v>4403</v>
      </c>
      <c r="BK19" s="49"/>
      <c r="BL19" s="72">
        <f>SUM(BL15:BL18)</f>
        <v>2287</v>
      </c>
      <c r="BM19" s="72">
        <f>SUM(BM15:BM18)</f>
        <v>2211</v>
      </c>
      <c r="BN19" s="72">
        <f>SUM(BN15:BN18)</f>
        <v>4498</v>
      </c>
      <c r="BO19" s="49"/>
      <c r="BP19" s="72">
        <f>SUM(BP15:BP18)</f>
        <v>2325</v>
      </c>
      <c r="BQ19" s="72">
        <f>SUM(BQ15:BQ18)</f>
        <v>2092</v>
      </c>
      <c r="BR19" s="72">
        <f>SUM(BR15:BR18)</f>
        <v>4417</v>
      </c>
      <c r="BS19" s="75">
        <f>BR19/BN19-1</f>
        <v>-1.8008003557136498E-2</v>
      </c>
      <c r="BT19" s="72">
        <f>SUM(BT15:BT18)</f>
        <v>1986</v>
      </c>
      <c r="BU19" s="72">
        <f>SUM(BU15:BU18)</f>
        <v>1995</v>
      </c>
      <c r="BV19" s="72">
        <f>SUM(BV15:BV18)</f>
        <v>3981</v>
      </c>
      <c r="BW19" s="75">
        <f t="shared" si="13"/>
        <v>-9.8709531356124036E-2</v>
      </c>
      <c r="BX19" s="72">
        <f>SUM(BX15:BX18)</f>
        <v>2212</v>
      </c>
      <c r="BY19" s="72">
        <f>SUM(BY15:BY18)</f>
        <v>2061</v>
      </c>
      <c r="BZ19" s="72">
        <f>SUM(BZ15:BZ18)</f>
        <v>4273</v>
      </c>
      <c r="CA19" s="75">
        <f t="shared" si="14"/>
        <v>7.3348404923386123E-2</v>
      </c>
      <c r="CB19" s="72">
        <f>SUM(CB15:CB18)</f>
        <v>2394</v>
      </c>
      <c r="CC19" s="72">
        <f>SUM(CC15:CC18)</f>
        <v>2206</v>
      </c>
      <c r="CD19" s="72">
        <f>SUM(CD15:CD18)</f>
        <v>4600</v>
      </c>
      <c r="CE19" s="75">
        <f>CD19/BZ19-1</f>
        <v>7.6527030189562417E-2</v>
      </c>
      <c r="CF19" s="72">
        <f>SUM(CF15:CF18)</f>
        <v>2377</v>
      </c>
      <c r="CG19" s="72">
        <f>SUM(CG15:CG18)</f>
        <v>2194</v>
      </c>
      <c r="CH19" s="72">
        <f>SUM(CH15:CH18)</f>
        <v>4571</v>
      </c>
      <c r="CI19" s="75">
        <f>CH19/CD19-1</f>
        <v>-6.304347826086909E-3</v>
      </c>
      <c r="CJ19" s="72">
        <f>SUM(CJ15:CJ18)</f>
        <v>1310</v>
      </c>
      <c r="CK19" s="72">
        <f>SUM(CK15:CK18)</f>
        <v>2315</v>
      </c>
      <c r="CL19" s="72">
        <f>SUM(CL15:CL18)</f>
        <v>3625</v>
      </c>
      <c r="CM19" s="75">
        <f>CL19/CH19-1</f>
        <v>-0.20695690220958218</v>
      </c>
      <c r="CN19" s="72">
        <f>SUM(CN15:CN18)</f>
        <v>1385</v>
      </c>
      <c r="CO19" s="72">
        <f>SUM(CO15:CO18)</f>
        <v>1791</v>
      </c>
      <c r="CP19" s="72">
        <f>SUM(CP15:CP18)</f>
        <v>3176</v>
      </c>
      <c r="CQ19" s="75">
        <f>CP19/CL19-1</f>
        <v>-0.12386206896551721</v>
      </c>
      <c r="CR19" s="72">
        <f>SUM(CR15:CR18)</f>
        <v>1793</v>
      </c>
      <c r="CS19" s="72">
        <f>SUM(CS15:CS18)</f>
        <v>1740</v>
      </c>
      <c r="CT19" s="72">
        <f>SUM(CT15:CT18)</f>
        <v>3533</v>
      </c>
      <c r="CU19" s="75">
        <f>CT19/CP19-1</f>
        <v>0.1124055415617129</v>
      </c>
      <c r="CV19" s="72">
        <f>SUM(CV15:CV18)</f>
        <v>1985</v>
      </c>
      <c r="CW19" s="72">
        <f>SUM(CW15:CW18)</f>
        <v>2238</v>
      </c>
      <c r="CX19" s="72">
        <f>SUM(CX15:CX18)</f>
        <v>4223</v>
      </c>
      <c r="CY19" s="75">
        <f>CX19/CT19-1</f>
        <v>0.19530144353240875</v>
      </c>
      <c r="CZ19" s="72">
        <f>SUM(CZ15:CZ18)</f>
        <v>2400</v>
      </c>
      <c r="DA19" s="72">
        <f>SUM(DA15:DA18)</f>
        <v>2218</v>
      </c>
      <c r="DB19" s="72">
        <f>SUM(DB15:DB18)</f>
        <v>4618</v>
      </c>
      <c r="DC19" s="75">
        <f>DB19/CX19-1</f>
        <v>9.3535401373431304E-2</v>
      </c>
      <c r="DD19" s="72">
        <f>SUM(DD15:DD18)</f>
        <v>2080</v>
      </c>
      <c r="DE19" s="72">
        <f>SUM(DE15:DE18)</f>
        <v>1763</v>
      </c>
      <c r="DF19" s="72">
        <f>SUM(DF15:DF18)</f>
        <v>3843</v>
      </c>
      <c r="DG19" s="75">
        <f>DF19/DB19-1</f>
        <v>-0.16782156777825896</v>
      </c>
      <c r="DH19" s="72">
        <f>SUM(DH15:DH18)</f>
        <v>2054.4722000000002</v>
      </c>
      <c r="DI19" s="72">
        <f>SUM(DI15:DI18)</f>
        <v>2018.7012439999999</v>
      </c>
      <c r="DJ19" s="72">
        <f>SUM(DJ15:DJ18)</f>
        <v>4073.173444</v>
      </c>
      <c r="DK19" s="75">
        <f>DJ19/DF19-1</f>
        <v>5.9894208691126716E-2</v>
      </c>
      <c r="DL19" s="72">
        <f>SUM(DL15:DL18)</f>
        <v>2117.9016368799998</v>
      </c>
      <c r="DM19" s="72">
        <f>SUM(DM15:DM18)</f>
        <v>2080.4365140976001</v>
      </c>
      <c r="DN19" s="72">
        <f>SUM(DN15:DN18)</f>
        <v>4198.3381509776</v>
      </c>
      <c r="DO19" s="75">
        <f>DN19/DJ19-1</f>
        <v>3.0729039334667752E-2</v>
      </c>
      <c r="DP19" s="72">
        <f>SUM(DP15:DP18)</f>
        <v>2172.8377002963521</v>
      </c>
      <c r="DQ19" s="72">
        <f>SUM(DQ15:DQ18)</f>
        <v>2133.6179425155274</v>
      </c>
      <c r="DR19" s="72">
        <f>SUM(DR15:DR18)</f>
        <v>4306.4556428118794</v>
      </c>
      <c r="DS19" s="75">
        <f>DR19/DN19-1</f>
        <v>2.5752449647035602E-2</v>
      </c>
      <c r="DT19" s="75"/>
      <c r="DU19" s="75"/>
      <c r="DV19" s="75"/>
    </row>
    <row r="20" spans="1:126" s="20" customFormat="1" ht="13.8">
      <c r="A20" s="60" t="s">
        <v>161</v>
      </c>
      <c r="B20" s="49"/>
      <c r="BD20" s="72">
        <f>+BD19+BD14</f>
        <v>8163</v>
      </c>
      <c r="BE20" s="72">
        <f>+BE19+BE14</f>
        <v>8586</v>
      </c>
      <c r="BF20" s="72">
        <f>+BF19+BF14</f>
        <v>16749</v>
      </c>
      <c r="BH20" s="72">
        <f>+BH19+BH14</f>
        <v>8498</v>
      </c>
      <c r="BI20" s="72">
        <f>+BI19+BI14</f>
        <v>8677</v>
      </c>
      <c r="BJ20" s="72">
        <f>+BJ19+BJ14</f>
        <v>17175</v>
      </c>
      <c r="BK20" s="49"/>
      <c r="BL20" s="72">
        <f>+BL19+BL14</f>
        <v>9051</v>
      </c>
      <c r="BM20" s="72">
        <f>+BM19+BM14</f>
        <v>9244</v>
      </c>
      <c r="BN20" s="72">
        <f>+BN19+BN14</f>
        <v>18295</v>
      </c>
      <c r="BO20" s="49"/>
      <c r="BP20" s="72">
        <f>+BP19+BP14</f>
        <v>9463</v>
      </c>
      <c r="BQ20" s="72">
        <f>+BQ19+BQ14</f>
        <v>9570</v>
      </c>
      <c r="BR20" s="72">
        <f>+BR19+BR14</f>
        <v>19033</v>
      </c>
      <c r="BS20" s="75">
        <f>BR20/BN20-1</f>
        <v>4.0338890407215056E-2</v>
      </c>
      <c r="BT20" s="72">
        <f>+BT19+BT14</f>
        <v>9554</v>
      </c>
      <c r="BU20" s="72">
        <f>+BU19+BU14</f>
        <v>9522</v>
      </c>
      <c r="BV20" s="72">
        <f>+BV19+BV14</f>
        <v>19076</v>
      </c>
      <c r="BW20" s="75">
        <f t="shared" si="13"/>
        <v>2.2592339620659541E-3</v>
      </c>
      <c r="BX20" s="72">
        <f>+BX19+BX14</f>
        <v>9631</v>
      </c>
      <c r="BY20" s="72">
        <f>+BY19+BY14</f>
        <v>9517</v>
      </c>
      <c r="BZ20" s="72">
        <f>+BZ19+BZ14</f>
        <v>19148</v>
      </c>
      <c r="CA20" s="75">
        <f t="shared" si="14"/>
        <v>3.7743761794926112E-3</v>
      </c>
      <c r="CB20" s="72">
        <f>+CB19+CB14</f>
        <v>9744</v>
      </c>
      <c r="CC20" s="72">
        <f>+CC19+CC14</f>
        <v>9370</v>
      </c>
      <c r="CD20" s="72">
        <f>+CD19+CD14</f>
        <v>19114</v>
      </c>
      <c r="CE20" s="75">
        <f>CD20/BZ20-1</f>
        <v>-1.7756423647378172E-3</v>
      </c>
      <c r="CF20" s="72">
        <f>+CF19+CF14</f>
        <v>9676</v>
      </c>
      <c r="CG20" s="72">
        <f>+CG19+CG14</f>
        <v>9234</v>
      </c>
      <c r="CH20" s="72">
        <f>+CH19+CH14</f>
        <v>18910</v>
      </c>
      <c r="CI20" s="75">
        <f>CH20/CD20-1</f>
        <v>-1.0672805273621466E-2</v>
      </c>
      <c r="CJ20" s="72">
        <f>+CJ19+CJ14</f>
        <v>8532</v>
      </c>
      <c r="CK20" s="72">
        <f>+CK19+CK14</f>
        <v>9142</v>
      </c>
      <c r="CL20" s="72">
        <f>+CL19+CL14</f>
        <v>17674</v>
      </c>
      <c r="CM20" s="75">
        <f>CL20/CH20-1</f>
        <v>-6.5362242199894283E-2</v>
      </c>
      <c r="CN20" s="72">
        <f>+CN19+CN14</f>
        <v>8371</v>
      </c>
      <c r="CO20" s="72">
        <f>+CO19+CO14</f>
        <v>8966</v>
      </c>
      <c r="CP20" s="72">
        <f>+CP19+CP14</f>
        <v>17337</v>
      </c>
      <c r="CQ20" s="75">
        <f>CP20/CL20-1</f>
        <v>-1.9067556863188839E-2</v>
      </c>
      <c r="CR20" s="72">
        <f>+CR19+CR14</f>
        <v>8893</v>
      </c>
      <c r="CS20" s="72">
        <f>+CS19+CS14</f>
        <v>9514</v>
      </c>
      <c r="CT20" s="72">
        <f>+CT19+CT14</f>
        <v>18407</v>
      </c>
      <c r="CU20" s="75">
        <f>CT20/CP20-1</f>
        <v>6.1717713560592857E-2</v>
      </c>
      <c r="CV20" s="72">
        <f>+CV19+CV14</f>
        <v>10485</v>
      </c>
      <c r="CW20" s="72">
        <f>+CW19+CW14</f>
        <v>10312</v>
      </c>
      <c r="CX20" s="72">
        <f>+CX19+CX14</f>
        <v>20797</v>
      </c>
      <c r="CY20" s="75">
        <f>CX20/CT20-1</f>
        <v>0.12984190796979411</v>
      </c>
      <c r="CZ20" s="72">
        <f>+CZ19+CZ14</f>
        <v>10299</v>
      </c>
      <c r="DA20" s="72">
        <f>+DA19+DA14</f>
        <v>10388</v>
      </c>
      <c r="DB20" s="72">
        <f>+DB19+DB14</f>
        <v>20687</v>
      </c>
      <c r="DC20" s="75">
        <f>DB20/CX20-1</f>
        <v>-5.2892244073664552E-3</v>
      </c>
      <c r="DD20" s="72">
        <f>+DD19+DD14</f>
        <v>10949</v>
      </c>
      <c r="DE20" s="72">
        <f>+DE19+DE14</f>
        <v>10855</v>
      </c>
      <c r="DF20" s="72">
        <f>+DF19+DF14</f>
        <v>21804</v>
      </c>
      <c r="DG20" s="75">
        <f>DF20/DB20-1</f>
        <v>5.399526272538302E-2</v>
      </c>
      <c r="DH20" s="72">
        <f ca="1">+DH19+DH14</f>
        <v>11239.494147560003</v>
      </c>
      <c r="DI20" s="72">
        <f ca="1">+DI19+DI14</f>
        <v>11324.530851326248</v>
      </c>
      <c r="DJ20" s="72">
        <f ca="1">+DJ19+DJ14</f>
        <v>22564.024998886249</v>
      </c>
      <c r="DK20" s="75">
        <f ca="1">DJ20/DF20-1</f>
        <v>3.4857136254184962E-2</v>
      </c>
      <c r="DL20" s="72">
        <f ca="1">+DL19+DL14</f>
        <v>11575.93733559373</v>
      </c>
      <c r="DM20" s="72">
        <f ca="1">+DM19+DM14</f>
        <v>11747.41896022804</v>
      </c>
      <c r="DN20" s="72">
        <f ca="1">+DN19+DN14</f>
        <v>23323.35629582177</v>
      </c>
      <c r="DO20" s="75">
        <f ca="1">DN20/DJ20-1</f>
        <v>3.3652298159260186E-2</v>
      </c>
      <c r="DP20" s="72">
        <f ca="1">+DP19+DP14</f>
        <v>12028.134601986032</v>
      </c>
      <c r="DQ20" s="72">
        <f ca="1">+DQ19+DQ14</f>
        <v>12192.888820034505</v>
      </c>
      <c r="DR20" s="72">
        <f ca="1">+DR19+DR14</f>
        <v>24221.023422020538</v>
      </c>
      <c r="DS20" s="75">
        <f ca="1">DR20/DN20-1</f>
        <v>3.8487905205975004E-2</v>
      </c>
      <c r="DT20" s="75"/>
      <c r="DU20" s="75"/>
      <c r="DV20" s="75"/>
    </row>
    <row r="21" spans="1:126" s="20" customFormat="1" ht="13.8">
      <c r="A21" s="61" t="s">
        <v>596</v>
      </c>
      <c r="B21" s="49" t="s">
        <v>471</v>
      </c>
      <c r="BD21" s="67">
        <v>254</v>
      </c>
      <c r="BE21" s="67">
        <v>249</v>
      </c>
      <c r="BF21" s="65">
        <f>+BD21+BE21</f>
        <v>503</v>
      </c>
      <c r="BH21" s="67">
        <v>257</v>
      </c>
      <c r="BI21" s="67">
        <v>268</v>
      </c>
      <c r="BJ21" s="65">
        <f>+BH21+BI21</f>
        <v>525</v>
      </c>
      <c r="BK21" s="49"/>
      <c r="BL21" s="67">
        <v>272</v>
      </c>
      <c r="BM21" s="67">
        <v>267</v>
      </c>
      <c r="BN21" s="65">
        <f>+BL21+BM21</f>
        <v>539</v>
      </c>
      <c r="BO21" s="49"/>
      <c r="BP21" s="67">
        <v>284</v>
      </c>
      <c r="BQ21" s="67">
        <v>290</v>
      </c>
      <c r="BR21" s="65">
        <f>+BP21+BQ21</f>
        <v>574</v>
      </c>
      <c r="BS21" s="67"/>
      <c r="BT21" s="67">
        <v>235</v>
      </c>
      <c r="BU21" s="67">
        <v>221</v>
      </c>
      <c r="BV21" s="65">
        <f>+BT21+BU21</f>
        <v>456</v>
      </c>
      <c r="BW21" s="75">
        <f t="shared" si="13"/>
        <v>-0.20557491289198604</v>
      </c>
      <c r="BX21" s="67">
        <v>0</v>
      </c>
      <c r="BY21" s="67">
        <v>0</v>
      </c>
      <c r="BZ21" s="65">
        <f>+BX21+BY21</f>
        <v>0</v>
      </c>
      <c r="CA21" s="75">
        <f t="shared" si="14"/>
        <v>-1</v>
      </c>
      <c r="CB21" s="67">
        <v>0</v>
      </c>
      <c r="CC21" s="67">
        <v>0</v>
      </c>
      <c r="CD21" s="65">
        <f>+CB21+CC21</f>
        <v>0</v>
      </c>
      <c r="CE21" s="75"/>
      <c r="CF21" s="67">
        <v>0</v>
      </c>
      <c r="CG21" s="67">
        <v>0</v>
      </c>
      <c r="CH21" s="65">
        <f>+CF21+CG21</f>
        <v>0</v>
      </c>
      <c r="CI21" s="75"/>
      <c r="CJ21" s="956">
        <v>0</v>
      </c>
      <c r="CK21" s="956">
        <v>0</v>
      </c>
      <c r="CL21" s="65">
        <f>+CJ21+CK21</f>
        <v>0</v>
      </c>
      <c r="CM21" s="75"/>
      <c r="CN21" s="956">
        <v>0</v>
      </c>
      <c r="CO21" s="956">
        <v>0</v>
      </c>
      <c r="CP21" s="65">
        <f>+CN21+CO21</f>
        <v>0</v>
      </c>
      <c r="CQ21" s="75"/>
      <c r="CR21" s="956">
        <v>0</v>
      </c>
      <c r="CS21" s="956">
        <v>0</v>
      </c>
      <c r="CT21" s="65">
        <f>+CR21+CS21</f>
        <v>0</v>
      </c>
      <c r="CU21" s="75"/>
      <c r="CV21" s="956">
        <v>0</v>
      </c>
      <c r="CW21" s="956">
        <v>0</v>
      </c>
      <c r="CX21" s="65">
        <f>+CV21+CW21</f>
        <v>0</v>
      </c>
      <c r="CY21" s="75"/>
      <c r="CZ21" s="956">
        <v>0</v>
      </c>
      <c r="DA21" s="956">
        <v>0</v>
      </c>
      <c r="DB21" s="65">
        <f>+CZ21+DA21</f>
        <v>0</v>
      </c>
      <c r="DC21" s="75"/>
      <c r="DD21" s="956">
        <v>0</v>
      </c>
      <c r="DE21" s="956">
        <v>0</v>
      </c>
      <c r="DF21" s="65">
        <f>+DD21+DE21</f>
        <v>0</v>
      </c>
      <c r="DG21" s="75"/>
      <c r="DH21" s="65">
        <f t="shared" ref="DH21:DI21" si="27">DH788</f>
        <v>0</v>
      </c>
      <c r="DI21" s="65">
        <f t="shared" si="27"/>
        <v>0</v>
      </c>
      <c r="DJ21" s="65">
        <f>+DH21+DI21</f>
        <v>0</v>
      </c>
      <c r="DK21" s="75"/>
      <c r="DL21" s="65">
        <f t="shared" ref="DL21:DM21" si="28">DL788</f>
        <v>0</v>
      </c>
      <c r="DM21" s="65">
        <f t="shared" si="28"/>
        <v>0</v>
      </c>
      <c r="DN21" s="65">
        <f>+DL21+DM21</f>
        <v>0</v>
      </c>
      <c r="DO21" s="75"/>
      <c r="DP21" s="65">
        <f t="shared" ref="DP21:DQ21" si="29">DP788</f>
        <v>0</v>
      </c>
      <c r="DQ21" s="65">
        <f t="shared" si="29"/>
        <v>0</v>
      </c>
      <c r="DR21" s="65">
        <f>+DP21+DQ21</f>
        <v>0</v>
      </c>
      <c r="DS21" s="75"/>
      <c r="DT21" s="75"/>
      <c r="DU21" s="75"/>
      <c r="DV21" s="75"/>
    </row>
    <row r="22" spans="1:126" s="20" customFormat="1" ht="13.8">
      <c r="A22" s="61" t="s">
        <v>239</v>
      </c>
      <c r="B22" s="49" t="s">
        <v>471</v>
      </c>
      <c r="BD22" s="67">
        <v>257</v>
      </c>
      <c r="BE22" s="67">
        <v>268</v>
      </c>
      <c r="BF22" s="65">
        <f>+BD22+BE22</f>
        <v>525</v>
      </c>
      <c r="BH22" s="67">
        <v>272</v>
      </c>
      <c r="BI22" s="67">
        <v>284</v>
      </c>
      <c r="BJ22" s="65">
        <f>+BH22+BI22</f>
        <v>556</v>
      </c>
      <c r="BK22" s="49"/>
      <c r="BL22" s="67">
        <v>270</v>
      </c>
      <c r="BM22" s="67">
        <v>307</v>
      </c>
      <c r="BN22" s="65">
        <f>+BL22+BM22</f>
        <v>577</v>
      </c>
      <c r="BO22" s="49"/>
      <c r="BP22" s="67">
        <v>332</v>
      </c>
      <c r="BQ22" s="67">
        <v>348</v>
      </c>
      <c r="BR22" s="65">
        <f>+BP22+BQ22</f>
        <v>680</v>
      </c>
      <c r="BS22" s="96"/>
      <c r="BT22" s="67">
        <v>295</v>
      </c>
      <c r="BU22" s="67">
        <v>286</v>
      </c>
      <c r="BV22" s="65">
        <f>+BT22+BU22</f>
        <v>581</v>
      </c>
      <c r="BW22" s="75">
        <f t="shared" si="13"/>
        <v>-0.14558823529411768</v>
      </c>
      <c r="BX22" s="67">
        <f>255-255</f>
        <v>0</v>
      </c>
      <c r="BY22" s="67">
        <f>256-256</f>
        <v>0</v>
      </c>
      <c r="BZ22" s="65">
        <f>+BX22+BY22</f>
        <v>0</v>
      </c>
      <c r="CA22" s="75">
        <f t="shared" si="14"/>
        <v>-1</v>
      </c>
      <c r="CB22" s="67">
        <f>255-255</f>
        <v>0</v>
      </c>
      <c r="CC22" s="67">
        <f>256-256</f>
        <v>0</v>
      </c>
      <c r="CD22" s="65">
        <f>+CB22+CC22</f>
        <v>0</v>
      </c>
      <c r="CE22" s="75"/>
      <c r="CF22" s="67">
        <f>255-255</f>
        <v>0</v>
      </c>
      <c r="CG22" s="67">
        <f>256-256</f>
        <v>0</v>
      </c>
      <c r="CH22" s="65">
        <f>+CF22+CG22</f>
        <v>0</v>
      </c>
      <c r="CI22" s="75"/>
      <c r="CJ22" s="956">
        <f>255-255</f>
        <v>0</v>
      </c>
      <c r="CK22" s="956">
        <f>256-256</f>
        <v>0</v>
      </c>
      <c r="CL22" s="65">
        <f>+CJ22+CK22</f>
        <v>0</v>
      </c>
      <c r="CM22" s="75"/>
      <c r="CN22" s="956">
        <f>255-255</f>
        <v>0</v>
      </c>
      <c r="CO22" s="956">
        <f>256-256</f>
        <v>0</v>
      </c>
      <c r="CP22" s="65">
        <f>+CN22+CO22</f>
        <v>0</v>
      </c>
      <c r="CQ22" s="75"/>
      <c r="CR22" s="956">
        <f>255-255</f>
        <v>0</v>
      </c>
      <c r="CS22" s="956">
        <v>0</v>
      </c>
      <c r="CT22" s="65">
        <f>+CR22+CS22</f>
        <v>0</v>
      </c>
      <c r="CU22" s="75"/>
      <c r="CV22" s="956">
        <f>255-255</f>
        <v>0</v>
      </c>
      <c r="CW22" s="956">
        <v>0</v>
      </c>
      <c r="CX22" s="65">
        <f>+CV22+CW22</f>
        <v>0</v>
      </c>
      <c r="CY22" s="75"/>
      <c r="CZ22" s="956">
        <f>255-255</f>
        <v>0</v>
      </c>
      <c r="DA22" s="956">
        <v>0</v>
      </c>
      <c r="DB22" s="65">
        <f>+CZ22+DA22</f>
        <v>0</v>
      </c>
      <c r="DC22" s="75"/>
      <c r="DD22" s="956">
        <f>255-255</f>
        <v>0</v>
      </c>
      <c r="DE22" s="956">
        <v>0</v>
      </c>
      <c r="DF22" s="65">
        <f>+DD22+DE22</f>
        <v>0</v>
      </c>
      <c r="DG22" s="75"/>
      <c r="DH22" s="65">
        <f t="shared" ref="DH22:DI22" si="30">DH789</f>
        <v>0</v>
      </c>
      <c r="DI22" s="65">
        <f t="shared" si="30"/>
        <v>0</v>
      </c>
      <c r="DJ22" s="65">
        <f>+DH22+DI22</f>
        <v>0</v>
      </c>
      <c r="DK22" s="75"/>
      <c r="DL22" s="65">
        <f t="shared" ref="DL22:DM22" si="31">DL789</f>
        <v>0</v>
      </c>
      <c r="DM22" s="65">
        <f t="shared" si="31"/>
        <v>0</v>
      </c>
      <c r="DN22" s="65">
        <f>+DL22+DM22</f>
        <v>0</v>
      </c>
      <c r="DO22" s="75"/>
      <c r="DP22" s="65">
        <f t="shared" ref="DP22:DQ22" si="32">DP789</f>
        <v>0</v>
      </c>
      <c r="DQ22" s="65">
        <f t="shared" si="32"/>
        <v>0</v>
      </c>
      <c r="DR22" s="65">
        <f>+DP22+DQ22</f>
        <v>0</v>
      </c>
      <c r="DS22" s="75"/>
      <c r="DT22" s="75"/>
      <c r="DU22" s="75"/>
      <c r="DV22" s="75"/>
    </row>
    <row r="23" spans="1:126" s="20" customFormat="1" ht="13.8">
      <c r="A23" s="63" t="s">
        <v>470</v>
      </c>
      <c r="B23" s="49" t="s">
        <v>468</v>
      </c>
      <c r="BD23" s="67">
        <f>557-BD22-BD21</f>
        <v>46</v>
      </c>
      <c r="BE23" s="67">
        <f>542-BE22-BE21</f>
        <v>25</v>
      </c>
      <c r="BF23" s="65">
        <f>+BD23+BE23</f>
        <v>71</v>
      </c>
      <c r="BH23" s="67">
        <f>594-BH22-BH21</f>
        <v>65</v>
      </c>
      <c r="BI23" s="67">
        <f>622-BI22-BI21</f>
        <v>70</v>
      </c>
      <c r="BJ23" s="65">
        <f>+BH23+BI23</f>
        <v>135</v>
      </c>
      <c r="BK23" s="49"/>
      <c r="BL23" s="67">
        <f>617-BL22-BL21</f>
        <v>75</v>
      </c>
      <c r="BM23" s="67">
        <f>666-BM22-BM21</f>
        <v>92</v>
      </c>
      <c r="BN23" s="65">
        <f>+BL23+BM23</f>
        <v>167</v>
      </c>
      <c r="BO23" s="49"/>
      <c r="BP23" s="67">
        <f>732-BP21-BP22</f>
        <v>116</v>
      </c>
      <c r="BQ23" s="67">
        <f>772-BQ22-BQ21</f>
        <v>134</v>
      </c>
      <c r="BR23" s="65">
        <f>+BP23+BQ23</f>
        <v>250</v>
      </c>
      <c r="BS23" s="75"/>
      <c r="BT23" s="67">
        <f>771-BT21-BT22</f>
        <v>241</v>
      </c>
      <c r="BU23" s="67">
        <f>747-BU22-BU21</f>
        <v>240</v>
      </c>
      <c r="BV23" s="65">
        <f>+BT23+BU23</f>
        <v>481</v>
      </c>
      <c r="BW23" s="75">
        <f t="shared" si="13"/>
        <v>0.92399999999999993</v>
      </c>
      <c r="BX23" s="67">
        <v>0</v>
      </c>
      <c r="BY23" s="67">
        <v>0</v>
      </c>
      <c r="BZ23" s="65">
        <f>+BX23+BY23</f>
        <v>0</v>
      </c>
      <c r="CA23" s="75">
        <f t="shared" si="14"/>
        <v>-1</v>
      </c>
      <c r="CB23" s="67">
        <v>0</v>
      </c>
      <c r="CC23" s="67">
        <v>0</v>
      </c>
      <c r="CD23" s="65">
        <f>+CB23+CC23</f>
        <v>0</v>
      </c>
      <c r="CE23" s="67"/>
      <c r="CF23" s="67">
        <v>0</v>
      </c>
      <c r="CG23" s="67">
        <v>0</v>
      </c>
      <c r="CH23" s="65">
        <f>+CF23+CG23</f>
        <v>0</v>
      </c>
      <c r="CI23" s="75"/>
      <c r="CJ23" s="956">
        <v>0</v>
      </c>
      <c r="CK23" s="956">
        <v>0</v>
      </c>
      <c r="CL23" s="65">
        <f>+CJ23+CK23</f>
        <v>0</v>
      </c>
      <c r="CM23" s="75"/>
      <c r="CN23" s="956">
        <v>0</v>
      </c>
      <c r="CO23" s="956">
        <v>0</v>
      </c>
      <c r="CP23" s="65">
        <f>+CN23+CO23</f>
        <v>0</v>
      </c>
      <c r="CQ23" s="75"/>
      <c r="CR23" s="956">
        <v>0</v>
      </c>
      <c r="CS23" s="956">
        <v>0</v>
      </c>
      <c r="CT23" s="65">
        <f>+CR23+CS23</f>
        <v>0</v>
      </c>
      <c r="CU23" s="75"/>
      <c r="CV23" s="956">
        <v>0</v>
      </c>
      <c r="CW23" s="956">
        <v>0</v>
      </c>
      <c r="CX23" s="65">
        <f>+CV23+CW23</f>
        <v>0</v>
      </c>
      <c r="CY23" s="75"/>
      <c r="CZ23" s="956">
        <v>0</v>
      </c>
      <c r="DA23" s="956">
        <v>0</v>
      </c>
      <c r="DB23" s="65">
        <f>+CZ23+DA23</f>
        <v>0</v>
      </c>
      <c r="DC23" s="75"/>
      <c r="DD23" s="956">
        <v>0</v>
      </c>
      <c r="DE23" s="956">
        <v>0</v>
      </c>
      <c r="DF23" s="65">
        <f>+DD23+DE23</f>
        <v>0</v>
      </c>
      <c r="DG23" s="75"/>
      <c r="DH23" s="65">
        <f t="shared" ref="DH23:DI23" si="33">DH790</f>
        <v>0</v>
      </c>
      <c r="DI23" s="65">
        <f t="shared" si="33"/>
        <v>0</v>
      </c>
      <c r="DJ23" s="65">
        <f>+DH23+DI23</f>
        <v>0</v>
      </c>
      <c r="DK23" s="75"/>
      <c r="DL23" s="65">
        <f t="shared" ref="DL23:DM23" si="34">DL790</f>
        <v>0</v>
      </c>
      <c r="DM23" s="65">
        <f t="shared" si="34"/>
        <v>0</v>
      </c>
      <c r="DN23" s="65">
        <f>+DL23+DM23</f>
        <v>0</v>
      </c>
      <c r="DO23" s="75"/>
      <c r="DP23" s="65">
        <f t="shared" ref="DP23:DQ23" si="35">DP790</f>
        <v>0</v>
      </c>
      <c r="DQ23" s="65">
        <f t="shared" si="35"/>
        <v>0</v>
      </c>
      <c r="DR23" s="65">
        <f>+DP23+DQ23</f>
        <v>0</v>
      </c>
      <c r="DS23" s="75"/>
      <c r="DT23" s="75"/>
      <c r="DU23" s="75"/>
      <c r="DV23" s="75"/>
    </row>
    <row r="24" spans="1:126" s="20" customFormat="1" ht="13.8">
      <c r="A24" s="63" t="s">
        <v>891</v>
      </c>
      <c r="B24" s="49"/>
      <c r="BD24" s="67"/>
      <c r="BE24" s="67"/>
      <c r="BF24" s="65"/>
      <c r="BH24" s="67"/>
      <c r="BI24" s="67"/>
      <c r="BJ24" s="65"/>
      <c r="BK24" s="49"/>
      <c r="BL24" s="67"/>
      <c r="BM24" s="67"/>
      <c r="BN24" s="65"/>
      <c r="BO24" s="49"/>
      <c r="BP24" s="67"/>
      <c r="BQ24" s="67"/>
      <c r="BR24" s="65"/>
      <c r="BS24" s="75"/>
      <c r="BT24" s="67"/>
      <c r="BU24" s="67"/>
      <c r="BV24" s="65"/>
      <c r="BW24" s="75"/>
      <c r="BX24" s="67">
        <v>345</v>
      </c>
      <c r="BY24" s="67">
        <v>323</v>
      </c>
      <c r="BZ24" s="65">
        <f>SUM(BX24:BY24)</f>
        <v>668</v>
      </c>
      <c r="CA24" s="75"/>
      <c r="CB24" s="772">
        <f>2520-CB19</f>
        <v>126</v>
      </c>
      <c r="CC24" s="772">
        <f>2333-CC19</f>
        <v>127</v>
      </c>
      <c r="CD24" s="65">
        <f>SUM(CB24:CC24)</f>
        <v>253</v>
      </c>
      <c r="CE24" s="96"/>
      <c r="CF24" s="772">
        <f>2447-CF19</f>
        <v>70</v>
      </c>
      <c r="CG24" s="67">
        <v>49</v>
      </c>
      <c r="CH24" s="65">
        <f>SUM(CF24:CG24)</f>
        <v>119</v>
      </c>
      <c r="CI24" s="96"/>
      <c r="CJ24" s="956">
        <v>47</v>
      </c>
      <c r="CK24" s="956">
        <v>31</v>
      </c>
      <c r="CL24" s="65">
        <f>SUM(CJ24:CK24)</f>
        <v>78</v>
      </c>
      <c r="CM24" s="96"/>
      <c r="CN24" s="956">
        <v>52</v>
      </c>
      <c r="CO24" s="956">
        <v>58</v>
      </c>
      <c r="CP24" s="65">
        <f>SUM(CN24:CO24)</f>
        <v>110</v>
      </c>
      <c r="CQ24" s="96"/>
      <c r="CR24" s="956">
        <v>55</v>
      </c>
      <c r="CS24" s="956">
        <v>85</v>
      </c>
      <c r="CT24" s="65">
        <f>SUM(CR24:CS24)</f>
        <v>140</v>
      </c>
      <c r="CU24" s="75"/>
      <c r="CV24" s="956">
        <v>55</v>
      </c>
      <c r="CW24" s="956">
        <v>53</v>
      </c>
      <c r="CX24" s="65">
        <f>SUM(CV24:CW24)</f>
        <v>108</v>
      </c>
      <c r="CY24" s="75"/>
      <c r="CZ24" s="956">
        <v>48</v>
      </c>
      <c r="DA24" s="956">
        <v>74</v>
      </c>
      <c r="DB24" s="65">
        <f>SUM(CZ24:DA24)</f>
        <v>122</v>
      </c>
      <c r="DC24" s="75"/>
      <c r="DD24" s="956">
        <v>46</v>
      </c>
      <c r="DE24" s="956">
        <v>49</v>
      </c>
      <c r="DF24" s="65">
        <f>SUM(DD24:DE24)</f>
        <v>95</v>
      </c>
      <c r="DG24" s="75"/>
      <c r="DH24" s="65">
        <f>DH792+DH791</f>
        <v>49.49</v>
      </c>
      <c r="DI24" s="65">
        <f>DI792+DI791</f>
        <v>49.984900000000003</v>
      </c>
      <c r="DJ24" s="65">
        <f>DJ792+DJ791</f>
        <v>99.474900000000005</v>
      </c>
      <c r="DK24" s="75"/>
      <c r="DL24" s="65">
        <f>DL792+DL791</f>
        <v>50.484749000000001</v>
      </c>
      <c r="DM24" s="65">
        <f>DM792+DM791</f>
        <v>50.989596490000004</v>
      </c>
      <c r="DN24" s="65">
        <f>DN792+DN791</f>
        <v>101.47434549</v>
      </c>
      <c r="DO24" s="75"/>
      <c r="DP24" s="65">
        <f>DP792+DP791</f>
        <v>51.499492454900007</v>
      </c>
      <c r="DQ24" s="65">
        <f>DQ792+DQ791</f>
        <v>52.014487379449008</v>
      </c>
      <c r="DR24" s="65">
        <f>DR792+DR791</f>
        <v>103.51397983434902</v>
      </c>
      <c r="DS24" s="75"/>
      <c r="DT24" s="75"/>
      <c r="DU24" s="75"/>
      <c r="DV24" s="75"/>
    </row>
    <row r="25" spans="1:126" s="20" customFormat="1" ht="13.8">
      <c r="A25" s="60" t="s">
        <v>354</v>
      </c>
      <c r="B25" s="49"/>
      <c r="BD25" s="72">
        <f>SUM(BD21:BD23)</f>
        <v>557</v>
      </c>
      <c r="BE25" s="72">
        <f>SUM(BE21:BE23)</f>
        <v>542</v>
      </c>
      <c r="BF25" s="72">
        <f>SUM(BF21:BF23)</f>
        <v>1099</v>
      </c>
      <c r="BH25" s="72">
        <f>SUM(BH21:BH23)</f>
        <v>594</v>
      </c>
      <c r="BI25" s="72">
        <f>SUM(BI21:BI23)</f>
        <v>622</v>
      </c>
      <c r="BJ25" s="72">
        <f>SUM(BJ21:BJ23)</f>
        <v>1216</v>
      </c>
      <c r="BK25" s="49"/>
      <c r="BL25" s="72">
        <f>SUM(BL21:BL23)</f>
        <v>617</v>
      </c>
      <c r="BM25" s="72">
        <f>SUM(BM21:BM23)</f>
        <v>666</v>
      </c>
      <c r="BN25" s="72">
        <f>SUM(BN21:BN23)</f>
        <v>1283</v>
      </c>
      <c r="BO25" s="49"/>
      <c r="BP25" s="72">
        <f>SUM(BP21:BP23)</f>
        <v>732</v>
      </c>
      <c r="BQ25" s="72">
        <f>SUM(BQ21:BQ23)</f>
        <v>772</v>
      </c>
      <c r="BR25" s="72">
        <f>SUM(BR21:BR23)</f>
        <v>1504</v>
      </c>
      <c r="BS25" s="75">
        <f>BR25/BN25-1</f>
        <v>0.17225253312548716</v>
      </c>
      <c r="BT25" s="72">
        <f>SUM(BT21:BT23)</f>
        <v>771</v>
      </c>
      <c r="BU25" s="72">
        <f>SUM(BU21:BU23)</f>
        <v>747</v>
      </c>
      <c r="BV25" s="72">
        <f>SUM(BV21:BV23)</f>
        <v>1518</v>
      </c>
      <c r="BW25" s="75">
        <f t="shared" si="13"/>
        <v>9.3085106382979621E-3</v>
      </c>
      <c r="BX25" s="72">
        <f>SUM(BX21:BX24)</f>
        <v>345</v>
      </c>
      <c r="BY25" s="72">
        <f>SUM(BY21:BY24)</f>
        <v>323</v>
      </c>
      <c r="BZ25" s="72">
        <f>SUM(BZ21:BZ24)</f>
        <v>668</v>
      </c>
      <c r="CA25" s="75">
        <f t="shared" si="14"/>
        <v>-0.55994729907773388</v>
      </c>
      <c r="CB25" s="72">
        <f>SUM(CB21:CB24)</f>
        <v>126</v>
      </c>
      <c r="CC25" s="72">
        <f>SUM(CC21:CC24)</f>
        <v>127</v>
      </c>
      <c r="CD25" s="72">
        <f>SUM(CD21:CD24)</f>
        <v>253</v>
      </c>
      <c r="CE25" s="75">
        <f>CD25/BZ25-1</f>
        <v>-0.62125748502994016</v>
      </c>
      <c r="CF25" s="72">
        <f>SUM(CF21:CF24)</f>
        <v>70</v>
      </c>
      <c r="CG25" s="72">
        <f>SUM(CG21:CG24)</f>
        <v>49</v>
      </c>
      <c r="CH25" s="72">
        <f>SUM(CH21:CH24)</f>
        <v>119</v>
      </c>
      <c r="CI25" s="75">
        <f>CH25/CD25-1</f>
        <v>-0.52964426877470361</v>
      </c>
      <c r="CJ25" s="72">
        <f>SUM(CJ21:CJ24)</f>
        <v>47</v>
      </c>
      <c r="CK25" s="72">
        <f>SUM(CK21:CK24)</f>
        <v>31</v>
      </c>
      <c r="CL25" s="72">
        <f>SUM(CL21:CL24)</f>
        <v>78</v>
      </c>
      <c r="CM25" s="75">
        <f>CL25/CH25-1</f>
        <v>-0.34453781512605042</v>
      </c>
      <c r="CN25" s="72">
        <f>SUM(CN21:CN24)</f>
        <v>52</v>
      </c>
      <c r="CO25" s="72">
        <f>SUM(CO21:CO24)</f>
        <v>58</v>
      </c>
      <c r="CP25" s="72">
        <f>SUM(CP21:CP24)</f>
        <v>110</v>
      </c>
      <c r="CQ25" s="75">
        <f>CP25/CL25-1</f>
        <v>0.41025641025641035</v>
      </c>
      <c r="CR25" s="72">
        <f>SUM(CR21:CR24)</f>
        <v>55</v>
      </c>
      <c r="CS25" s="72">
        <f>SUM(CS21:CS24)</f>
        <v>85</v>
      </c>
      <c r="CT25" s="72">
        <f>SUM(CT21:CT24)</f>
        <v>140</v>
      </c>
      <c r="CU25" s="75">
        <f>CT25/CP25-1</f>
        <v>0.27272727272727271</v>
      </c>
      <c r="CV25" s="72">
        <f>SUM(CV21:CV24)</f>
        <v>55</v>
      </c>
      <c r="CW25" s="72">
        <f>SUM(CW21:CW24)</f>
        <v>53</v>
      </c>
      <c r="CX25" s="72">
        <f>SUM(CX21:CX24)</f>
        <v>108</v>
      </c>
      <c r="CY25" s="75">
        <f>CX25/CT25-1</f>
        <v>-0.22857142857142854</v>
      </c>
      <c r="CZ25" s="72">
        <f>SUM(CZ21:CZ24)</f>
        <v>48</v>
      </c>
      <c r="DA25" s="72">
        <f>SUM(DA21:DA24)</f>
        <v>74</v>
      </c>
      <c r="DB25" s="72">
        <f>SUM(DB21:DB24)</f>
        <v>122</v>
      </c>
      <c r="DC25" s="75">
        <f>DB25/CX25-1</f>
        <v>0.12962962962962954</v>
      </c>
      <c r="DD25" s="72">
        <f>SUM(DD21:DD24)</f>
        <v>46</v>
      </c>
      <c r="DE25" s="72">
        <f>SUM(DE21:DE24)</f>
        <v>49</v>
      </c>
      <c r="DF25" s="72">
        <f>SUM(DF21:DF24)</f>
        <v>95</v>
      </c>
      <c r="DG25" s="75">
        <f>DF25/DB25-1</f>
        <v>-0.22131147540983609</v>
      </c>
      <c r="DH25" s="72">
        <f>SUM(DH21:DH24)</f>
        <v>49.49</v>
      </c>
      <c r="DI25" s="72">
        <f>SUM(DI21:DI24)</f>
        <v>49.984900000000003</v>
      </c>
      <c r="DJ25" s="72">
        <f>SUM(DJ21:DJ24)</f>
        <v>99.474900000000005</v>
      </c>
      <c r="DK25" s="75">
        <f>DJ25/DF25-1</f>
        <v>4.7104210526315748E-2</v>
      </c>
      <c r="DL25" s="72">
        <f>SUM(DL21:DL24)</f>
        <v>50.484749000000001</v>
      </c>
      <c r="DM25" s="72">
        <f>SUM(DM21:DM24)</f>
        <v>50.989596490000004</v>
      </c>
      <c r="DN25" s="72">
        <f>SUM(DN21:DN24)</f>
        <v>101.47434549</v>
      </c>
      <c r="DO25" s="75">
        <f>DN25/DJ25-1</f>
        <v>2.0100000000000007E-2</v>
      </c>
      <c r="DP25" s="72">
        <f>SUM(DP21:DP24)</f>
        <v>51.499492454900007</v>
      </c>
      <c r="DQ25" s="72">
        <f>SUM(DQ21:DQ24)</f>
        <v>52.014487379449008</v>
      </c>
      <c r="DR25" s="72">
        <f>SUM(DR21:DR24)</f>
        <v>103.51397983434902</v>
      </c>
      <c r="DS25" s="75">
        <f>DR25/DN25-1</f>
        <v>2.0100000000000007E-2</v>
      </c>
      <c r="DT25" s="75"/>
      <c r="DU25" s="75"/>
      <c r="DV25" s="75"/>
    </row>
    <row r="26" spans="1:126" s="20" customFormat="1" ht="13.8">
      <c r="A26" s="21" t="s">
        <v>256</v>
      </c>
      <c r="B26" s="49"/>
      <c r="BD26" s="72">
        <f>+BD25+BD20</f>
        <v>8720</v>
      </c>
      <c r="BE26" s="72">
        <f>+BE25+BE20</f>
        <v>9128</v>
      </c>
      <c r="BF26" s="72">
        <f>+BF25+BF20</f>
        <v>17848</v>
      </c>
      <c r="BH26" s="72">
        <f>+BH25+BH20</f>
        <v>9092</v>
      </c>
      <c r="BI26" s="72">
        <f>+BI25+BI20</f>
        <v>9299</v>
      </c>
      <c r="BJ26" s="72">
        <f>+BJ25+BJ20</f>
        <v>18391</v>
      </c>
      <c r="BK26" s="75">
        <f>BJ26/BF26-1</f>
        <v>3.0423576871358105E-2</v>
      </c>
      <c r="BL26" s="72">
        <f>+BL25+BL20</f>
        <v>9668</v>
      </c>
      <c r="BM26" s="72">
        <f>+BM25+BM20</f>
        <v>9910</v>
      </c>
      <c r="BN26" s="72">
        <f>+BN25+BN20</f>
        <v>19578</v>
      </c>
      <c r="BO26" s="75">
        <f>BN26/BJ26-1</f>
        <v>6.4542439236583204E-2</v>
      </c>
      <c r="BP26" s="72">
        <f>+BP25+BP20</f>
        <v>10195</v>
      </c>
      <c r="BQ26" s="72">
        <f>+BQ25+BQ20</f>
        <v>10342</v>
      </c>
      <c r="BR26" s="72">
        <f>+BR25+BR20</f>
        <v>20537</v>
      </c>
      <c r="BS26" s="75">
        <f>BR26/BN26-1</f>
        <v>4.8983552967616806E-2</v>
      </c>
      <c r="BT26" s="72">
        <f>+BT25+BT20</f>
        <v>10325</v>
      </c>
      <c r="BU26" s="72">
        <f>+BU25+BU20</f>
        <v>10269</v>
      </c>
      <c r="BV26" s="72">
        <f>+BV25+BV20</f>
        <v>20594</v>
      </c>
      <c r="BW26" s="75">
        <f t="shared" si="13"/>
        <v>2.7754784048303893E-3</v>
      </c>
      <c r="BX26" s="72">
        <f>+BX25+BX20</f>
        <v>9976</v>
      </c>
      <c r="BY26" s="72">
        <f>+BY25+BY20</f>
        <v>9840</v>
      </c>
      <c r="BZ26" s="72">
        <f>+BZ25+BZ20</f>
        <v>19816</v>
      </c>
      <c r="CA26" s="75">
        <f t="shared" si="14"/>
        <v>-3.7777993590366155E-2</v>
      </c>
      <c r="CB26" s="72">
        <f>+CB25+CB20</f>
        <v>9870</v>
      </c>
      <c r="CC26" s="72">
        <f>+CC25+CC20</f>
        <v>9497</v>
      </c>
      <c r="CD26" s="72">
        <f>+CD25+CD20</f>
        <v>19367</v>
      </c>
      <c r="CE26" s="75">
        <f>CD26/BZ26-1</f>
        <v>-2.2658457811869148E-2</v>
      </c>
      <c r="CF26" s="72">
        <f>+CF25+CF20</f>
        <v>9746</v>
      </c>
      <c r="CG26" s="72">
        <f>+CG25+CG20</f>
        <v>9283</v>
      </c>
      <c r="CH26" s="72">
        <f>+CH25+CH20</f>
        <v>19029</v>
      </c>
      <c r="CI26" s="75">
        <f>CH26/CD26-1</f>
        <v>-1.7452367429132032E-2</v>
      </c>
      <c r="CJ26" s="72">
        <f>+CJ25+CJ20</f>
        <v>8579</v>
      </c>
      <c r="CK26" s="72">
        <f>+CK25+CK20</f>
        <v>9173</v>
      </c>
      <c r="CL26" s="72">
        <f>+CL25+CL20</f>
        <v>17752</v>
      </c>
      <c r="CM26" s="75">
        <f>CL26/CH26-1</f>
        <v>-6.7108098165957197E-2</v>
      </c>
      <c r="CN26" s="72">
        <f>+CN25+CN20</f>
        <v>8423</v>
      </c>
      <c r="CO26" s="72">
        <f>+CO25+CO20</f>
        <v>9024</v>
      </c>
      <c r="CP26" s="72">
        <f>+CP25+CP20</f>
        <v>17447</v>
      </c>
      <c r="CQ26" s="75">
        <f>CP26/CL26-1</f>
        <v>-1.7181162685894535E-2</v>
      </c>
      <c r="CR26" s="72">
        <f>+CR25+CR20</f>
        <v>8948</v>
      </c>
      <c r="CS26" s="72">
        <f>+CS25+CS20</f>
        <v>9599</v>
      </c>
      <c r="CT26" s="72">
        <f>+CT25+CT20</f>
        <v>18547</v>
      </c>
      <c r="CU26" s="75">
        <f>CT26/CP26-1</f>
        <v>6.3048088496589605E-2</v>
      </c>
      <c r="CV26" s="72">
        <f>+CV25+CV20</f>
        <v>10540</v>
      </c>
      <c r="CW26" s="72">
        <f>+CW25+CW20</f>
        <v>10365</v>
      </c>
      <c r="CX26" s="72">
        <f>+CX25+CX20</f>
        <v>20905</v>
      </c>
      <c r="CY26" s="75">
        <f>CX26/CT26-1</f>
        <v>0.12713646411818624</v>
      </c>
      <c r="CZ26" s="72">
        <f>+CZ25+CZ20</f>
        <v>10347</v>
      </c>
      <c r="DA26" s="72">
        <f>+DA25+DA20</f>
        <v>10462</v>
      </c>
      <c r="DB26" s="72">
        <f>+DB25+DB20</f>
        <v>20809</v>
      </c>
      <c r="DC26" s="75">
        <f>DB26/CX26-1</f>
        <v>-4.5922028222913358E-3</v>
      </c>
      <c r="DD26" s="72">
        <f>+DD25+DD20</f>
        <v>10995</v>
      </c>
      <c r="DE26" s="72">
        <f>+DE25+DE20</f>
        <v>10904</v>
      </c>
      <c r="DF26" s="72">
        <f>+DF25+DF20</f>
        <v>21899</v>
      </c>
      <c r="DG26" s="75">
        <f>DF26/DB26-1</f>
        <v>5.2381181219664619E-2</v>
      </c>
      <c r="DH26" s="72">
        <f ca="1">+DH25+DH20</f>
        <v>11288.984147560002</v>
      </c>
      <c r="DI26" s="72">
        <f ca="1">+DI25+DI20</f>
        <v>11374.515751326247</v>
      </c>
      <c r="DJ26" s="72">
        <f ca="1">+DJ25+DJ20</f>
        <v>22663.49989888625</v>
      </c>
      <c r="DK26" s="75">
        <f ca="1">DJ26/DF26-1</f>
        <v>3.4910265258059736E-2</v>
      </c>
      <c r="DL26" s="72">
        <f ca="1">+DL25+DL20</f>
        <v>11626.422084593729</v>
      </c>
      <c r="DM26" s="72">
        <f ca="1">+DM25+DM20</f>
        <v>11798.408556718041</v>
      </c>
      <c r="DN26" s="72">
        <f ca="1">+DN25+DN20</f>
        <v>23424.830641311772</v>
      </c>
      <c r="DO26" s="75">
        <f ca="1">DN26/DJ26-1</f>
        <v>3.3592814252971337E-2</v>
      </c>
      <c r="DP26" s="72">
        <f ca="1">+DP25+DP20</f>
        <v>12079.634094440931</v>
      </c>
      <c r="DQ26" s="72">
        <f ca="1">+DQ25+DQ20</f>
        <v>12244.903307413953</v>
      </c>
      <c r="DR26" s="72">
        <f ca="1">+DR25+DR20</f>
        <v>24324.537401854886</v>
      </c>
      <c r="DS26" s="75">
        <f ca="1">DR26/DN26-1</f>
        <v>3.8408250386937848E-2</v>
      </c>
      <c r="DT26" s="75"/>
      <c r="DU26" s="75"/>
      <c r="DV26" s="75"/>
    </row>
    <row r="27" spans="1:126" s="20" customFormat="1" ht="13.8">
      <c r="A27" s="61" t="s">
        <v>587</v>
      </c>
      <c r="B27" s="49"/>
      <c r="BD27" s="67">
        <v>-2427</v>
      </c>
      <c r="BE27" s="67">
        <v>-2338</v>
      </c>
      <c r="BF27" s="65">
        <f>+BD27+BE27</f>
        <v>-4765</v>
      </c>
      <c r="BH27" s="67">
        <v>-2347</v>
      </c>
      <c r="BI27" s="67">
        <v>-2417</v>
      </c>
      <c r="BJ27" s="65">
        <f>+BH27+BI27</f>
        <v>-4764</v>
      </c>
      <c r="BK27" s="49"/>
      <c r="BL27" s="67">
        <v>-2530</v>
      </c>
      <c r="BM27" s="67">
        <v>-2558</v>
      </c>
      <c r="BN27" s="65">
        <f>+BL27+BM27</f>
        <v>-5088</v>
      </c>
      <c r="BO27" s="49"/>
      <c r="BP27" s="67">
        <v>-2715</v>
      </c>
      <c r="BQ27" s="67">
        <v>-2764</v>
      </c>
      <c r="BR27" s="65">
        <f>+BP27+BQ27</f>
        <v>-5479</v>
      </c>
      <c r="BS27" s="75"/>
      <c r="BT27" s="67">
        <v>-2801</v>
      </c>
      <c r="BU27" s="67">
        <v>-2740</v>
      </c>
      <c r="BV27" s="65">
        <f>+BT27+BU27</f>
        <v>-5541</v>
      </c>
      <c r="BW27" s="65"/>
      <c r="BX27" s="67">
        <v>-2519</v>
      </c>
      <c r="BY27" s="67">
        <v>-2405</v>
      </c>
      <c r="BZ27" s="65">
        <f>+BX27+BY27</f>
        <v>-4924</v>
      </c>
      <c r="CA27" s="75"/>
      <c r="CB27" s="67">
        <v>-2402</v>
      </c>
      <c r="CC27" s="67">
        <v>-2356</v>
      </c>
      <c r="CD27" s="65">
        <f>+CB27+CC27</f>
        <v>-4758</v>
      </c>
      <c r="CE27" s="75"/>
      <c r="CF27" s="67">
        <v>-2370</v>
      </c>
      <c r="CG27" s="67">
        <v>-2395</v>
      </c>
      <c r="CH27" s="65">
        <f>+CF27+CG27</f>
        <v>-4765</v>
      </c>
      <c r="CI27" s="75"/>
      <c r="CJ27" s="67">
        <v>-2465</v>
      </c>
      <c r="CK27" s="67">
        <v>-2413</v>
      </c>
      <c r="CL27" s="65">
        <f>+CJ27+CK27</f>
        <v>-4878</v>
      </c>
      <c r="CM27" s="75"/>
      <c r="CN27" s="67">
        <v>-2449</v>
      </c>
      <c r="CO27" s="67">
        <v>-2497</v>
      </c>
      <c r="CP27" s="65">
        <f>+CN27+CO27</f>
        <v>-4946</v>
      </c>
      <c r="CQ27" s="75"/>
      <c r="CR27" s="67">
        <v>-2654</v>
      </c>
      <c r="CS27" s="67">
        <v>-2642</v>
      </c>
      <c r="CT27" s="65">
        <f>+CR27+CS27</f>
        <v>-5296</v>
      </c>
      <c r="CU27" s="75"/>
      <c r="CV27" s="67">
        <v>-2893</v>
      </c>
      <c r="CW27" s="67">
        <v>-2869</v>
      </c>
      <c r="CX27" s="65">
        <f>+CV27+CW27</f>
        <v>-5762</v>
      </c>
      <c r="CY27" s="75"/>
      <c r="CZ27" s="67">
        <v>-3062</v>
      </c>
      <c r="DA27" s="67">
        <v>-3116</v>
      </c>
      <c r="DB27" s="65">
        <f>+CZ27+DA27</f>
        <v>-6178</v>
      </c>
      <c r="DC27" s="75"/>
      <c r="DD27" s="67">
        <v>-3312</v>
      </c>
      <c r="DE27" s="67">
        <v>-3443</v>
      </c>
      <c r="DF27" s="65">
        <f>+DD27+DE27</f>
        <v>-6755</v>
      </c>
      <c r="DG27" s="75"/>
      <c r="DH27" s="65">
        <f t="shared" ref="DH27:DI27" si="36">DH840</f>
        <v>-2726.1065605000754</v>
      </c>
      <c r="DI27" s="65">
        <f t="shared" si="36"/>
        <v>-2605.4699792897695</v>
      </c>
      <c r="DJ27" s="65">
        <f>+DH27+DI27</f>
        <v>-5331.5765397898449</v>
      </c>
      <c r="DK27" s="75"/>
      <c r="DL27" s="65">
        <f t="shared" ref="DL27:DM27" si="37">DL840</f>
        <v>-2519.627389357669</v>
      </c>
      <c r="DM27" s="65">
        <f t="shared" si="37"/>
        <v>-2571.2202211814015</v>
      </c>
      <c r="DN27" s="65">
        <f>+DL27+DM27</f>
        <v>-5090.847610539071</v>
      </c>
      <c r="DO27" s="75"/>
      <c r="DP27" s="65">
        <f t="shared" ref="DP27:DQ27" si="38">DP840</f>
        <v>-2499.9645209162086</v>
      </c>
      <c r="DQ27" s="65">
        <f t="shared" si="38"/>
        <v>-2411.5042378684047</v>
      </c>
      <c r="DR27" s="65">
        <f>+DP27+DQ27</f>
        <v>-4911.4687587846129</v>
      </c>
      <c r="DS27" s="75"/>
      <c r="DT27" s="75"/>
      <c r="DU27" s="75"/>
      <c r="DV27" s="75"/>
    </row>
    <row r="28" spans="1:126" s="20" customFormat="1" ht="13.8">
      <c r="A28" s="62" t="s">
        <v>458</v>
      </c>
      <c r="B28" s="49"/>
      <c r="BD28" s="67">
        <v>-353</v>
      </c>
      <c r="BE28" s="67">
        <v>-363</v>
      </c>
      <c r="BF28" s="65">
        <f>+BD28+BE28</f>
        <v>-716</v>
      </c>
      <c r="BH28" s="67">
        <f>-356</f>
        <v>-356</v>
      </c>
      <c r="BI28" s="67">
        <f>-377</f>
        <v>-377</v>
      </c>
      <c r="BJ28" s="65">
        <f>+BH28+BI28</f>
        <v>-733</v>
      </c>
      <c r="BK28" s="49"/>
      <c r="BL28" s="67">
        <v>-442</v>
      </c>
      <c r="BM28" s="67">
        <v>-446</v>
      </c>
      <c r="BN28" s="65">
        <f>+BL28+BM28</f>
        <v>-888</v>
      </c>
      <c r="BO28" s="49"/>
      <c r="BP28" s="67">
        <v>-455</v>
      </c>
      <c r="BQ28" s="67">
        <v>-467</v>
      </c>
      <c r="BR28" s="65">
        <f>+BP28+BQ28</f>
        <v>-922</v>
      </c>
      <c r="BS28" s="75"/>
      <c r="BT28" s="67">
        <v>-458</v>
      </c>
      <c r="BU28" s="67">
        <v>-470</v>
      </c>
      <c r="BV28" s="65">
        <f>+BT28+BU28</f>
        <v>-928</v>
      </c>
      <c r="BW28" s="65"/>
      <c r="BX28" s="67">
        <v>-432</v>
      </c>
      <c r="BY28" s="67">
        <v>-430</v>
      </c>
      <c r="BZ28" s="65">
        <f>+BX28+BY28</f>
        <v>-862</v>
      </c>
      <c r="CA28" s="65"/>
      <c r="CB28" s="67">
        <v>-395</v>
      </c>
      <c r="CC28" s="67">
        <v>-416</v>
      </c>
      <c r="CD28" s="65">
        <f>+CB28+CC28</f>
        <v>-811</v>
      </c>
      <c r="CE28" s="75"/>
      <c r="CF28" s="67">
        <v>-406</v>
      </c>
      <c r="CG28" s="67">
        <v>-389</v>
      </c>
      <c r="CH28" s="65">
        <f>+CF28+CG28</f>
        <v>-795</v>
      </c>
      <c r="CI28" s="75"/>
      <c r="CJ28" s="67">
        <v>-405</v>
      </c>
      <c r="CK28" s="67">
        <v>-384</v>
      </c>
      <c r="CL28" s="65">
        <f>+CJ28+CK28</f>
        <v>-789</v>
      </c>
      <c r="CM28" s="75"/>
      <c r="CN28" s="67">
        <v>-350</v>
      </c>
      <c r="CO28" s="67">
        <v>-355</v>
      </c>
      <c r="CP28" s="65">
        <f>+CN28+CO28</f>
        <v>-705</v>
      </c>
      <c r="CQ28" s="75"/>
      <c r="CR28" s="67">
        <v>-341</v>
      </c>
      <c r="CS28" s="67">
        <v>-380</v>
      </c>
      <c r="CT28" s="65">
        <f>+CR28+CS28</f>
        <v>-721</v>
      </c>
      <c r="CU28" s="75"/>
      <c r="CV28" s="67">
        <v>-334</v>
      </c>
      <c r="CW28" s="67">
        <v>-324</v>
      </c>
      <c r="CX28" s="65">
        <f>+CV28+CW28</f>
        <v>-658</v>
      </c>
      <c r="CY28" s="75"/>
      <c r="CZ28" s="67">
        <v>-321</v>
      </c>
      <c r="DA28" s="67">
        <v>-338</v>
      </c>
      <c r="DB28" s="65">
        <f>+CZ28+DA28</f>
        <v>-659</v>
      </c>
      <c r="DC28" s="75"/>
      <c r="DD28" s="67">
        <v>-348</v>
      </c>
      <c r="DE28" s="67">
        <v>-362</v>
      </c>
      <c r="DF28" s="65">
        <f>+DD28+DE28</f>
        <v>-710</v>
      </c>
      <c r="DG28" s="75"/>
      <c r="DH28" s="65">
        <f t="shared" ref="DH28:DI28" si="39">DH841</f>
        <v>-362</v>
      </c>
      <c r="DI28" s="65">
        <f t="shared" si="39"/>
        <v>-362</v>
      </c>
      <c r="DJ28" s="65">
        <f>+DH28+DI28</f>
        <v>-724</v>
      </c>
      <c r="DK28" s="75"/>
      <c r="DL28" s="65">
        <f t="shared" ref="DL28:DM28" si="40">DL841</f>
        <v>-362</v>
      </c>
      <c r="DM28" s="65">
        <f t="shared" si="40"/>
        <v>-362</v>
      </c>
      <c r="DN28" s="65">
        <f>+DL28+DM28</f>
        <v>-724</v>
      </c>
      <c r="DO28" s="75"/>
      <c r="DP28" s="65">
        <f t="shared" ref="DP28:DQ28" si="41">DP841</f>
        <v>-362</v>
      </c>
      <c r="DQ28" s="65">
        <f t="shared" si="41"/>
        <v>-362</v>
      </c>
      <c r="DR28" s="65">
        <f>+DP28+DQ28</f>
        <v>-724</v>
      </c>
      <c r="DS28" s="75"/>
      <c r="DT28" s="75"/>
      <c r="DU28" s="75"/>
      <c r="DV28" s="75"/>
    </row>
    <row r="29" spans="1:126" s="20" customFormat="1" ht="13.8">
      <c r="A29" s="62" t="s">
        <v>459</v>
      </c>
      <c r="B29" s="49"/>
      <c r="BD29" s="67">
        <v>-558</v>
      </c>
      <c r="BE29" s="67">
        <v>-825</v>
      </c>
      <c r="BF29" s="65">
        <f>+BD29+BE29</f>
        <v>-1383</v>
      </c>
      <c r="BH29" s="67">
        <v>-618</v>
      </c>
      <c r="BI29" s="67">
        <v>-625</v>
      </c>
      <c r="BJ29" s="65">
        <f>+BH29+BI29</f>
        <v>-1243</v>
      </c>
      <c r="BK29" s="49"/>
      <c r="BL29" s="67">
        <v>-606</v>
      </c>
      <c r="BM29" s="67">
        <v>-660</v>
      </c>
      <c r="BN29" s="65">
        <f>+BL29+BM29</f>
        <v>-1266</v>
      </c>
      <c r="BO29" s="49"/>
      <c r="BP29" s="67">
        <v>-701</v>
      </c>
      <c r="BQ29" s="67">
        <v>-761</v>
      </c>
      <c r="BR29" s="65">
        <f>+BP29+BQ29</f>
        <v>-1462</v>
      </c>
      <c r="BS29" s="96"/>
      <c r="BT29" s="67">
        <v>-1333</v>
      </c>
      <c r="BU29" s="67">
        <v>-834</v>
      </c>
      <c r="BV29" s="65">
        <f>+BT29+BU29</f>
        <v>-2167</v>
      </c>
      <c r="BW29" s="65"/>
      <c r="BX29" s="67">
        <v>-799</v>
      </c>
      <c r="BY29" s="67">
        <v>-803</v>
      </c>
      <c r="BZ29" s="65">
        <f>+BX29+BY29</f>
        <v>-1602</v>
      </c>
      <c r="CA29" s="96"/>
      <c r="CB29" s="67">
        <v>-815</v>
      </c>
      <c r="CC29" s="67">
        <v>-1084</v>
      </c>
      <c r="CD29" s="65">
        <f>+CB29+CC29</f>
        <v>-1899</v>
      </c>
      <c r="CE29" s="96"/>
      <c r="CF29" s="67">
        <v>-764</v>
      </c>
      <c r="CG29" s="67">
        <v>-770</v>
      </c>
      <c r="CH29" s="65">
        <f>+CF29+CG29</f>
        <v>-1534</v>
      </c>
      <c r="CI29" s="96"/>
      <c r="CJ29" s="67">
        <v>-839</v>
      </c>
      <c r="CK29" s="67">
        <v>-985</v>
      </c>
      <c r="CL29" s="65">
        <f>+CJ29+CK29</f>
        <v>-1824</v>
      </c>
      <c r="CM29" s="96"/>
      <c r="CN29" s="67">
        <v>-785</v>
      </c>
      <c r="CO29" s="67">
        <v>-803</v>
      </c>
      <c r="CP29" s="65">
        <f>+CN29+CO29</f>
        <v>-1588</v>
      </c>
      <c r="CQ29" s="96"/>
      <c r="CR29" s="67">
        <v>-815</v>
      </c>
      <c r="CS29" s="67">
        <v>-806</v>
      </c>
      <c r="CT29" s="65">
        <f>+CR29+CS29</f>
        <v>-1621</v>
      </c>
      <c r="CU29" s="96"/>
      <c r="CV29" s="67">
        <v>-836</v>
      </c>
      <c r="CW29" s="67">
        <v>-864</v>
      </c>
      <c r="CX29" s="65">
        <f>+CV29+CW29</f>
        <v>-1700</v>
      </c>
      <c r="CY29" s="96"/>
      <c r="CZ29" s="67">
        <v>-898</v>
      </c>
      <c r="DA29" s="67">
        <v>-1017</v>
      </c>
      <c r="DB29" s="65">
        <f>+CZ29+DA29</f>
        <v>-1915</v>
      </c>
      <c r="DC29" s="96"/>
      <c r="DD29" s="67">
        <v>-1057</v>
      </c>
      <c r="DE29" s="67">
        <v>-1186</v>
      </c>
      <c r="DF29" s="65">
        <f>+DD29+DE29</f>
        <v>-2243</v>
      </c>
      <c r="DG29" s="96"/>
      <c r="DH29" s="65">
        <f t="shared" ref="DH29:DI29" si="42">DH842</f>
        <v>-1164.7896870342772</v>
      </c>
      <c r="DI29" s="65">
        <f t="shared" si="42"/>
        <v>-1145.9259538393053</v>
      </c>
      <c r="DJ29" s="65">
        <f>+DH29+DI29</f>
        <v>-2310.7156408735827</v>
      </c>
      <c r="DK29" s="96"/>
      <c r="DL29" s="65">
        <f t="shared" ref="DL29:DM29" si="43">DL842</f>
        <v>-1164.5726814905945</v>
      </c>
      <c r="DM29" s="65">
        <f t="shared" si="43"/>
        <v>-1177.7939334762882</v>
      </c>
      <c r="DN29" s="65">
        <f>+DL29+DM29</f>
        <v>-2342.3666149668825</v>
      </c>
      <c r="DO29" s="96"/>
      <c r="DP29" s="65">
        <f t="shared" ref="DP29:DQ29" si="44">DP842</f>
        <v>-1185.3870483483945</v>
      </c>
      <c r="DQ29" s="65">
        <f t="shared" si="44"/>
        <v>-1189.8610892931949</v>
      </c>
      <c r="DR29" s="65">
        <f>+DP29+DQ29</f>
        <v>-2375.2481376415894</v>
      </c>
      <c r="DS29" s="96"/>
      <c r="DT29" s="96"/>
      <c r="DU29" s="96"/>
      <c r="DV29" s="96"/>
    </row>
    <row r="30" spans="1:126" s="20" customFormat="1" ht="13.8">
      <c r="A30" s="61" t="s">
        <v>552</v>
      </c>
      <c r="B30" s="49"/>
      <c r="BD30" s="67">
        <f>-138-657</f>
        <v>-795</v>
      </c>
      <c r="BE30" s="67">
        <f>-136-724</f>
        <v>-860</v>
      </c>
      <c r="BF30" s="65">
        <f>+BD30+BE30</f>
        <v>-1655</v>
      </c>
      <c r="BH30" s="67">
        <f>-57-666</f>
        <v>-723</v>
      </c>
      <c r="BI30" s="67">
        <f>-28-766</f>
        <v>-794</v>
      </c>
      <c r="BJ30" s="65">
        <f>+BH30+BI30</f>
        <v>-1517</v>
      </c>
      <c r="BK30" s="49"/>
      <c r="BL30" s="67">
        <f>-35-673</f>
        <v>-708</v>
      </c>
      <c r="BM30" s="67">
        <f>-78-732</f>
        <v>-810</v>
      </c>
      <c r="BN30" s="65">
        <f>+BL30+BM30</f>
        <v>-1518</v>
      </c>
      <c r="BO30" s="49"/>
      <c r="BP30" s="67">
        <f>-10-722</f>
        <v>-732</v>
      </c>
      <c r="BQ30" s="67">
        <f>-21-762</f>
        <v>-783</v>
      </c>
      <c r="BR30" s="65">
        <f>+BP30+BQ30</f>
        <v>-1515</v>
      </c>
      <c r="BS30" s="75"/>
      <c r="BT30" s="67">
        <f>-138-758</f>
        <v>-896</v>
      </c>
      <c r="BU30" s="67">
        <f>-140-767</f>
        <v>-907</v>
      </c>
      <c r="BV30" s="65">
        <f>+BT30+BU30</f>
        <v>-1803</v>
      </c>
      <c r="BW30" s="65"/>
      <c r="BX30" s="67">
        <f>-701+-36</f>
        <v>-737</v>
      </c>
      <c r="BY30" s="67">
        <f>-816-26</f>
        <v>-842</v>
      </c>
      <c r="BZ30" s="65">
        <f>+BX30+BY30</f>
        <v>-1579</v>
      </c>
      <c r="CA30" s="75"/>
      <c r="CB30" s="67">
        <f>-783-78</f>
        <v>-861</v>
      </c>
      <c r="CC30" s="67">
        <f>-149-923</f>
        <v>-1072</v>
      </c>
      <c r="CD30" s="65">
        <f>+CB30+CC30</f>
        <v>-1933</v>
      </c>
      <c r="CE30" s="75"/>
      <c r="CF30" s="67">
        <f>-774-51</f>
        <v>-825</v>
      </c>
      <c r="CG30" s="67">
        <f>-26-1126</f>
        <v>-1152</v>
      </c>
      <c r="CH30" s="65">
        <f>+CF30+CG30</f>
        <v>-1977</v>
      </c>
      <c r="CI30" s="75"/>
      <c r="CJ30" s="67">
        <f>-105-791</f>
        <v>-896</v>
      </c>
      <c r="CK30" s="67">
        <f>-56-940</f>
        <v>-996</v>
      </c>
      <c r="CL30" s="65">
        <f>+CJ30+CK30</f>
        <v>-1892</v>
      </c>
      <c r="CM30" s="75"/>
      <c r="CN30" s="67">
        <f>-105-793</f>
        <v>-898</v>
      </c>
      <c r="CO30" s="67">
        <f>-22-892</f>
        <v>-914</v>
      </c>
      <c r="CP30" s="65">
        <f>+CN30+CO30</f>
        <v>-1812</v>
      </c>
      <c r="CQ30" s="75"/>
      <c r="CR30" s="67">
        <f>-932-49</f>
        <v>-981</v>
      </c>
      <c r="CS30" s="67">
        <f>-52-908</f>
        <v>-960</v>
      </c>
      <c r="CT30" s="65">
        <f>+CR30+CS30</f>
        <v>-1941</v>
      </c>
      <c r="CU30" s="75"/>
      <c r="CV30" s="67">
        <f>-54-880</f>
        <v>-934</v>
      </c>
      <c r="CW30" s="67">
        <f>-115-970</f>
        <v>-1085</v>
      </c>
      <c r="CX30" s="65">
        <f>+CV30+CW30</f>
        <v>-2019</v>
      </c>
      <c r="CY30" s="75"/>
      <c r="CZ30" s="67">
        <f>-141-793</f>
        <v>-934</v>
      </c>
      <c r="DA30" s="67">
        <f>-94-961</f>
        <v>-1055</v>
      </c>
      <c r="DB30" s="65">
        <f>+CZ30+DA30</f>
        <v>-1989</v>
      </c>
      <c r="DC30" s="75"/>
      <c r="DD30" s="67">
        <f>-85-940</f>
        <v>-1025</v>
      </c>
      <c r="DE30" s="67">
        <f>-687-1460</f>
        <v>-2147</v>
      </c>
      <c r="DF30" s="65">
        <f>+DD30+DE30</f>
        <v>-3172</v>
      </c>
      <c r="DG30" s="75"/>
      <c r="DH30" s="65">
        <f t="shared" ref="DH30:DI30" si="45">DH843</f>
        <v>-1547.91</v>
      </c>
      <c r="DI30" s="65">
        <f t="shared" si="45"/>
        <v>-1461.22704</v>
      </c>
      <c r="DJ30" s="65">
        <f>+DH30+DI30</f>
        <v>-3009.1370400000001</v>
      </c>
      <c r="DK30" s="75"/>
      <c r="DL30" s="65">
        <f t="shared" ref="DL30:DM30" si="46">DL843</f>
        <v>-1512.3699863999998</v>
      </c>
      <c r="DM30" s="65">
        <f t="shared" si="46"/>
        <v>-1587.9884857199997</v>
      </c>
      <c r="DN30" s="65">
        <f>+DL30+DM30</f>
        <v>-3100.3584721199995</v>
      </c>
      <c r="DO30" s="75"/>
      <c r="DP30" s="65">
        <f t="shared" ref="DP30:DQ30" si="47">DP843</f>
        <v>-1643.5680827201995</v>
      </c>
      <c r="DQ30" s="65">
        <f t="shared" si="47"/>
        <v>-1660.0037635474016</v>
      </c>
      <c r="DR30" s="65">
        <f>+DP30+DQ30</f>
        <v>-3303.5718462676014</v>
      </c>
      <c r="DS30" s="75"/>
      <c r="DT30" s="75"/>
      <c r="DU30" s="75"/>
      <c r="DV30" s="75"/>
    </row>
    <row r="31" spans="1:126" s="20" customFormat="1" ht="13.8">
      <c r="A31" s="60" t="s">
        <v>517</v>
      </c>
      <c r="B31" s="49"/>
      <c r="BD31" s="72">
        <f>SUM(BD27:BD30)</f>
        <v>-4133</v>
      </c>
      <c r="BE31" s="72">
        <f>SUM(BE27:BE30)</f>
        <v>-4386</v>
      </c>
      <c r="BF31" s="72">
        <f>SUM(BF27:BF30)</f>
        <v>-8519</v>
      </c>
      <c r="BH31" s="72">
        <f>SUM(BH27:BH30)</f>
        <v>-4044</v>
      </c>
      <c r="BI31" s="72">
        <f>SUM(BI27:BI30)</f>
        <v>-4213</v>
      </c>
      <c r="BJ31" s="72">
        <f>SUM(BJ27:BJ30)</f>
        <v>-8257</v>
      </c>
      <c r="BK31" s="49"/>
      <c r="BL31" s="72">
        <f>SUM(BL27:BL30)</f>
        <v>-4286</v>
      </c>
      <c r="BM31" s="72">
        <f>SUM(BM27:BM30)</f>
        <v>-4474</v>
      </c>
      <c r="BN31" s="72">
        <f>SUM(BN27:BN30)</f>
        <v>-8760</v>
      </c>
      <c r="BO31" s="49"/>
      <c r="BP31" s="72">
        <f>SUM(BP27:BP30)</f>
        <v>-4603</v>
      </c>
      <c r="BQ31" s="72">
        <f>SUM(BQ27:BQ30)</f>
        <v>-4775</v>
      </c>
      <c r="BR31" s="72">
        <f>SUM(BR27:BR30)</f>
        <v>-9378</v>
      </c>
      <c r="BS31" s="75">
        <f>BR31/BN31-1</f>
        <v>7.0547945205479357E-2</v>
      </c>
      <c r="BT31" s="72">
        <f>SUM(BT27:BT30)</f>
        <v>-5488</v>
      </c>
      <c r="BU31" s="72">
        <f>SUM(BU27:BU30)</f>
        <v>-4951</v>
      </c>
      <c r="BV31" s="72">
        <f>SUM(BV27:BV30)</f>
        <v>-10439</v>
      </c>
      <c r="BW31" s="75">
        <f>BV31/BR31-1</f>
        <v>0.11313712945190879</v>
      </c>
      <c r="BX31" s="72">
        <f>SUM(BX27:BX30)</f>
        <v>-4487</v>
      </c>
      <c r="BY31" s="72">
        <f>SUM(BY27:BY30)</f>
        <v>-4480</v>
      </c>
      <c r="BZ31" s="72">
        <f>SUM(BZ27:BZ30)</f>
        <v>-8967</v>
      </c>
      <c r="CA31" s="75">
        <f>BZ31/BV31-1</f>
        <v>-0.14100967525625063</v>
      </c>
      <c r="CB31" s="72">
        <f>SUM(CB27:CB30)</f>
        <v>-4473</v>
      </c>
      <c r="CC31" s="72">
        <f>SUM(CC27:CC30)</f>
        <v>-4928</v>
      </c>
      <c r="CD31" s="72">
        <f>SUM(CD27:CD30)</f>
        <v>-9401</v>
      </c>
      <c r="CE31" s="75">
        <f>CD31/BZ31-1</f>
        <v>4.8399687743950093E-2</v>
      </c>
      <c r="CF31" s="72">
        <f>SUM(CF27:CF30)</f>
        <v>-4365</v>
      </c>
      <c r="CG31" s="72">
        <f>SUM(CG27:CG30)</f>
        <v>-4706</v>
      </c>
      <c r="CH31" s="72">
        <f>SUM(CH27:CH30)</f>
        <v>-9071</v>
      </c>
      <c r="CI31" s="75">
        <f>CH31/CD31-1</f>
        <v>-3.5102648654398494E-2</v>
      </c>
      <c r="CJ31" s="72">
        <f>SUM(CJ27:CJ30)</f>
        <v>-4605</v>
      </c>
      <c r="CK31" s="72">
        <f>SUM(CK27:CK30)</f>
        <v>-4778</v>
      </c>
      <c r="CL31" s="72">
        <f>SUM(CL27:CL30)</f>
        <v>-9383</v>
      </c>
      <c r="CM31" s="75">
        <f>CL31/CH31-1</f>
        <v>3.4395325763421969E-2</v>
      </c>
      <c r="CN31" s="72">
        <f>SUM(CN27:CN30)</f>
        <v>-4482</v>
      </c>
      <c r="CO31" s="72">
        <f>SUM(CO27:CO30)</f>
        <v>-4569</v>
      </c>
      <c r="CP31" s="72">
        <f>SUM(CP27:CP30)</f>
        <v>-9051</v>
      </c>
      <c r="CQ31" s="75">
        <f>CP31/CL31-1</f>
        <v>-3.5383139720771561E-2</v>
      </c>
      <c r="CR31" s="72">
        <f>SUM(CR27:CR30)</f>
        <v>-4791</v>
      </c>
      <c r="CS31" s="72">
        <f>SUM(CS27:CS30)</f>
        <v>-4788</v>
      </c>
      <c r="CT31" s="72">
        <f>SUM(CT27:CT30)</f>
        <v>-9579</v>
      </c>
      <c r="CU31" s="75">
        <f>CT31/CP31-1</f>
        <v>5.8336095459065263E-2</v>
      </c>
      <c r="CV31" s="72">
        <f>SUM(CV27:CV30)</f>
        <v>-4997</v>
      </c>
      <c r="CW31" s="72">
        <f>SUM(CW27:CW30)</f>
        <v>-5142</v>
      </c>
      <c r="CX31" s="72">
        <f>SUM(CX27:CX30)</f>
        <v>-10139</v>
      </c>
      <c r="CY31" s="75">
        <f>CX31/CT31-1</f>
        <v>5.8461217246059016E-2</v>
      </c>
      <c r="CZ31" s="72">
        <f>SUM(CZ27:CZ30)</f>
        <v>-5215</v>
      </c>
      <c r="DA31" s="72">
        <f>SUM(DA27:DA30)</f>
        <v>-5526</v>
      </c>
      <c r="DB31" s="72">
        <f>SUM(DB27:DB30)</f>
        <v>-10741</v>
      </c>
      <c r="DC31" s="75">
        <f>DB31/CX31-1</f>
        <v>5.9374691784199518E-2</v>
      </c>
      <c r="DD31" s="72">
        <f>SUM(DD27:DD30)</f>
        <v>-5742</v>
      </c>
      <c r="DE31" s="72">
        <f>SUM(DE27:DE30)</f>
        <v>-7138</v>
      </c>
      <c r="DF31" s="72">
        <f>SUM(DF27:DF30)</f>
        <v>-12880</v>
      </c>
      <c r="DG31" s="75">
        <f>DF31/DB31-1</f>
        <v>0.19914346895074941</v>
      </c>
      <c r="DH31" s="72">
        <f>SUM(DH27:DH30)</f>
        <v>-5800.8062475343522</v>
      </c>
      <c r="DI31" s="72">
        <f>SUM(DI27:DI30)</f>
        <v>-5574.622973129075</v>
      </c>
      <c r="DJ31" s="72">
        <f>SUM(DJ27:DJ30)</f>
        <v>-11375.429220663427</v>
      </c>
      <c r="DK31" s="75">
        <f>DJ31/DF31-1</f>
        <v>-0.11681450150128669</v>
      </c>
      <c r="DL31" s="72">
        <f>SUM(DL27:DL30)</f>
        <v>-5558.5700572482638</v>
      </c>
      <c r="DM31" s="72">
        <f>SUM(DM27:DM30)</f>
        <v>-5699.0026403776892</v>
      </c>
      <c r="DN31" s="72">
        <f>SUM(DN27:DN30)</f>
        <v>-11257.572697625954</v>
      </c>
      <c r="DO31" s="75">
        <f>DN31/DJ31-1</f>
        <v>-1.03606220698369E-2</v>
      </c>
      <c r="DP31" s="72">
        <f>SUM(DP27:DP30)</f>
        <v>-5690.9196519848028</v>
      </c>
      <c r="DQ31" s="72">
        <f>SUM(DQ27:DQ30)</f>
        <v>-5623.3690907090013</v>
      </c>
      <c r="DR31" s="72">
        <f>SUM(DR27:DR30)</f>
        <v>-11314.288742693803</v>
      </c>
      <c r="DS31" s="75">
        <f>DR31/DN31-1</f>
        <v>5.0380349824266091E-3</v>
      </c>
      <c r="DT31" s="75"/>
      <c r="DU31" s="75"/>
      <c r="DV31" s="75"/>
    </row>
    <row r="32" spans="1:126" s="20" customFormat="1" ht="13.8">
      <c r="A32" s="21" t="s">
        <v>10</v>
      </c>
      <c r="B32" s="49"/>
      <c r="BD32" s="72">
        <f>+BD26+BD31</f>
        <v>4587</v>
      </c>
      <c r="BE32" s="72">
        <f>+BE26+BE31</f>
        <v>4742</v>
      </c>
      <c r="BF32" s="72">
        <f>+BF26+BF31</f>
        <v>9329</v>
      </c>
      <c r="BH32" s="72">
        <f>+BH26+BH31</f>
        <v>5048</v>
      </c>
      <c r="BI32" s="72">
        <f>+BI26+BI31</f>
        <v>5086</v>
      </c>
      <c r="BJ32" s="72">
        <f>+BJ26+BJ31</f>
        <v>10134</v>
      </c>
      <c r="BK32" s="49"/>
      <c r="BL32" s="72">
        <f>+BL26+BL31</f>
        <v>5382</v>
      </c>
      <c r="BM32" s="72">
        <f>+BM26+BM31</f>
        <v>5436</v>
      </c>
      <c r="BN32" s="72">
        <f>+BN26+BN31</f>
        <v>10818</v>
      </c>
      <c r="BO32" s="49"/>
      <c r="BP32" s="72">
        <f>+BP26+BP31</f>
        <v>5592</v>
      </c>
      <c r="BQ32" s="72">
        <f>+BQ26+BQ31</f>
        <v>5567</v>
      </c>
      <c r="BR32" s="72">
        <f>+BR26+BR31</f>
        <v>11159</v>
      </c>
      <c r="BS32" s="79">
        <f>BR32/BN32-1</f>
        <v>3.1521538177112118E-2</v>
      </c>
      <c r="BT32" s="72">
        <f>+BT26+BT31</f>
        <v>4837</v>
      </c>
      <c r="BU32" s="72">
        <f>+BU26+BU31</f>
        <v>5318</v>
      </c>
      <c r="BV32" s="72">
        <f>+BV26+BV31</f>
        <v>10155</v>
      </c>
      <c r="BW32" s="79">
        <f>BV32/BR32-1</f>
        <v>-8.9972219732950998E-2</v>
      </c>
      <c r="BX32" s="72">
        <f>+BX26+BX31</f>
        <v>5489</v>
      </c>
      <c r="BY32" s="72">
        <f>+BY26+BY31</f>
        <v>5360</v>
      </c>
      <c r="BZ32" s="72">
        <f>+BZ26+BZ31</f>
        <v>10849</v>
      </c>
      <c r="CA32" s="79">
        <f>BZ32/BV32-1</f>
        <v>6.8340718857705651E-2</v>
      </c>
      <c r="CB32" s="72">
        <f>+CB26+CB31</f>
        <v>5397</v>
      </c>
      <c r="CC32" s="72">
        <f>+CC26+CC31</f>
        <v>4569</v>
      </c>
      <c r="CD32" s="72">
        <f>+CD26+CD31</f>
        <v>9966</v>
      </c>
      <c r="CE32" s="79">
        <f>CD32/BZ32-1</f>
        <v>-8.1389989860816692E-2</v>
      </c>
      <c r="CF32" s="72">
        <f>+CF26+CF31</f>
        <v>5381</v>
      </c>
      <c r="CG32" s="72">
        <f>+CG26+CG31</f>
        <v>4577</v>
      </c>
      <c r="CH32" s="72">
        <f>+CH26+CH31</f>
        <v>9958</v>
      </c>
      <c r="CI32" s="79">
        <f>CH32/CD32-1</f>
        <v>-8.0272927955049589E-4</v>
      </c>
      <c r="CJ32" s="72">
        <f>+CJ26+CJ31</f>
        <v>3974</v>
      </c>
      <c r="CK32" s="72">
        <f>+CK26+CK31</f>
        <v>4395</v>
      </c>
      <c r="CL32" s="72">
        <f>+CL26+CL31</f>
        <v>8369</v>
      </c>
      <c r="CM32" s="79">
        <f>CL32/CH32-1</f>
        <v>-0.15957019481823664</v>
      </c>
      <c r="CN32" s="72">
        <f>+CN26+CN31</f>
        <v>3941</v>
      </c>
      <c r="CO32" s="72">
        <f>+CO26+CO31</f>
        <v>4455</v>
      </c>
      <c r="CP32" s="72">
        <f>+CP26+CP31</f>
        <v>8396</v>
      </c>
      <c r="CQ32" s="79">
        <f>CP32/CL32-1</f>
        <v>3.2261918986735694E-3</v>
      </c>
      <c r="CR32" s="72">
        <f>+CR26+CR31</f>
        <v>4157</v>
      </c>
      <c r="CS32" s="72">
        <f>+CS26+CS31</f>
        <v>4811</v>
      </c>
      <c r="CT32" s="72">
        <f>+CT26+CT31</f>
        <v>8968</v>
      </c>
      <c r="CU32" s="79">
        <f>CT32/CP32-1</f>
        <v>6.812767984754653E-2</v>
      </c>
      <c r="CV32" s="72">
        <f>+CV26+CV31</f>
        <v>5543</v>
      </c>
      <c r="CW32" s="72">
        <f>+CW26+CW31</f>
        <v>5223</v>
      </c>
      <c r="CX32" s="72">
        <f>+CX26+CX31</f>
        <v>10766</v>
      </c>
      <c r="CY32" s="79">
        <f>CX32/CT32-1</f>
        <v>0.20049063336306872</v>
      </c>
      <c r="CZ32" s="72">
        <f>+CZ26+CZ31</f>
        <v>5132</v>
      </c>
      <c r="DA32" s="72">
        <f>+DA26+DA31</f>
        <v>4936</v>
      </c>
      <c r="DB32" s="72">
        <f>+DB26+DB31</f>
        <v>10068</v>
      </c>
      <c r="DC32" s="79">
        <f>DB32/CX32-1</f>
        <v>-6.4833735835036266E-2</v>
      </c>
      <c r="DD32" s="72">
        <f>+DD26+DD31</f>
        <v>5253</v>
      </c>
      <c r="DE32" s="72">
        <f>+DE26+DE31</f>
        <v>3766</v>
      </c>
      <c r="DF32" s="72">
        <f>+DF26+DF31</f>
        <v>9019</v>
      </c>
      <c r="DG32" s="79">
        <f>DF32/DB32-1</f>
        <v>-0.10419149781485892</v>
      </c>
      <c r="DH32" s="72">
        <f ca="1">+DH26+DH31</f>
        <v>5488.1779000256502</v>
      </c>
      <c r="DI32" s="72">
        <f ca="1">+DI26+DI31</f>
        <v>5799.8927781971724</v>
      </c>
      <c r="DJ32" s="72">
        <f ca="1">+DJ26+DJ31</f>
        <v>11288.070678222823</v>
      </c>
      <c r="DK32" s="79">
        <f ca="1">DJ32/DF32-1</f>
        <v>0.25158783437441201</v>
      </c>
      <c r="DL32" s="72">
        <f ca="1">+DL26+DL31</f>
        <v>6067.8520273454651</v>
      </c>
      <c r="DM32" s="72">
        <f ca="1">+DM26+DM31</f>
        <v>6099.4059163403517</v>
      </c>
      <c r="DN32" s="72">
        <f ca="1">+DN26+DN31</f>
        <v>12167.257943685818</v>
      </c>
      <c r="DO32" s="79">
        <f ca="1">DN32/DJ32-1</f>
        <v>7.7886406855968815E-2</v>
      </c>
      <c r="DP32" s="72">
        <f ca="1">+DP26+DP31</f>
        <v>6388.7144424561284</v>
      </c>
      <c r="DQ32" s="72">
        <f ca="1">+DQ26+DQ31</f>
        <v>6621.5342167049521</v>
      </c>
      <c r="DR32" s="72">
        <f ca="1">+DR26+DR31</f>
        <v>13010.248659161083</v>
      </c>
      <c r="DS32" s="79">
        <f ca="1">DR32/DN32-1</f>
        <v>6.9283541072023835E-2</v>
      </c>
      <c r="DT32" s="79"/>
      <c r="DU32" s="79"/>
      <c r="DV32" s="79"/>
    </row>
    <row r="33" spans="1:128" s="20" customFormat="1" ht="13.8">
      <c r="A33" s="20" t="s">
        <v>726</v>
      </c>
      <c r="B33" s="49"/>
      <c r="BD33" s="67">
        <v>-570</v>
      </c>
      <c r="BE33" s="67">
        <v>-688</v>
      </c>
      <c r="BF33" s="65">
        <f>+BD33+BE33</f>
        <v>-1258</v>
      </c>
      <c r="BH33" s="67">
        <v>-599</v>
      </c>
      <c r="BI33" s="67">
        <v>-598</v>
      </c>
      <c r="BJ33" s="65">
        <f>+BH33+BI33</f>
        <v>-1197</v>
      </c>
      <c r="BK33" s="49"/>
      <c r="BL33" s="67">
        <v>-528</v>
      </c>
      <c r="BM33" s="67">
        <v>-461</v>
      </c>
      <c r="BN33" s="65">
        <f>+BL33+BM33</f>
        <v>-989</v>
      </c>
      <c r="BO33" s="49"/>
      <c r="BP33" s="67">
        <v>-510</v>
      </c>
      <c r="BQ33" s="67">
        <v>-695</v>
      </c>
      <c r="BR33" s="65">
        <f>+BP33+BQ33</f>
        <v>-1205</v>
      </c>
      <c r="BS33" s="75">
        <f>BR33/BN33-1</f>
        <v>0.21840242669362997</v>
      </c>
      <c r="BT33" s="67">
        <v>-918</v>
      </c>
      <c r="BU33" s="67">
        <v>-1038</v>
      </c>
      <c r="BV33" s="65">
        <f>+BT33+BU33</f>
        <v>-1956</v>
      </c>
      <c r="BW33" s="75">
        <f>BV33/BR33-1</f>
        <v>0.62323651452282158</v>
      </c>
      <c r="BX33" s="67">
        <v>-720</v>
      </c>
      <c r="BY33" s="67">
        <v>-479</v>
      </c>
      <c r="BZ33" s="65">
        <f>+BX33+BY33</f>
        <v>-1199</v>
      </c>
      <c r="CA33" s="75">
        <f>BZ33/BV33-1</f>
        <v>-0.38701431492842531</v>
      </c>
      <c r="CB33" s="67">
        <v>-408</v>
      </c>
      <c r="CC33" s="67">
        <v>-280</v>
      </c>
      <c r="CD33" s="65">
        <f>+CB33+CC33</f>
        <v>-688</v>
      </c>
      <c r="CE33" s="75">
        <f>CD33/BZ33-1</f>
        <v>-0.4261884904086739</v>
      </c>
      <c r="CF33" s="67">
        <v>-393</v>
      </c>
      <c r="CG33" s="67">
        <v>-402</v>
      </c>
      <c r="CH33" s="65">
        <f>+CF33+CG33</f>
        <v>-795</v>
      </c>
      <c r="CI33" s="75">
        <f>CH33/CD33-1</f>
        <v>0.15552325581395343</v>
      </c>
      <c r="CJ33" s="67">
        <v>-1674</v>
      </c>
      <c r="CK33" s="67">
        <v>-1064</v>
      </c>
      <c r="CL33" s="65">
        <f>+CJ33+CK33</f>
        <v>-2738</v>
      </c>
      <c r="CM33" s="75">
        <f>CL33/CH33-1</f>
        <v>2.4440251572327045</v>
      </c>
      <c r="CN33" s="67">
        <v>491</v>
      </c>
      <c r="CO33" s="67">
        <v>76</v>
      </c>
      <c r="CP33" s="65">
        <f>+CN33+CO33</f>
        <v>567</v>
      </c>
      <c r="CQ33" s="75">
        <f>CP33/CL33-1</f>
        <v>-1.2070854638422206</v>
      </c>
      <c r="CR33" s="67">
        <v>284</v>
      </c>
      <c r="CS33" s="67">
        <v>-52</v>
      </c>
      <c r="CT33" s="65">
        <f>+CR33+CS33</f>
        <v>232</v>
      </c>
      <c r="CU33" s="75">
        <f>CT33/CP33-1</f>
        <v>-0.59082892416225752</v>
      </c>
      <c r="CV33" s="67">
        <v>-133</v>
      </c>
      <c r="CW33" s="67">
        <v>-112</v>
      </c>
      <c r="CX33" s="65">
        <f>+CV33+CW33</f>
        <v>-245</v>
      </c>
      <c r="CY33" s="75">
        <f>CX33/CT33-1</f>
        <v>-2.056034482758621</v>
      </c>
      <c r="CZ33" s="67">
        <v>-70</v>
      </c>
      <c r="DA33" s="67">
        <v>-336</v>
      </c>
      <c r="DB33" s="65">
        <f>+CZ33+DA33</f>
        <v>-406</v>
      </c>
      <c r="DC33" s="75">
        <f>DB33/CX33-1</f>
        <v>0.65714285714285725</v>
      </c>
      <c r="DD33" s="67">
        <v>-145</v>
      </c>
      <c r="DE33" s="67">
        <v>-296</v>
      </c>
      <c r="DF33" s="65">
        <f>+DD33+DE33</f>
        <v>-441</v>
      </c>
      <c r="DG33" s="75">
        <f>DF33/DB33-1</f>
        <v>8.6206896551724199E-2</v>
      </c>
      <c r="DH33" s="65">
        <f>-DH961</f>
        <v>-209.3784177127927</v>
      </c>
      <c r="DI33" s="65">
        <f>-DI961</f>
        <v>-344.16098380079086</v>
      </c>
      <c r="DJ33" s="65">
        <f>+DH33+DI33</f>
        <v>-553.53940151358358</v>
      </c>
      <c r="DK33" s="75">
        <f>DJ33/DF33-1</f>
        <v>0.25519138665211694</v>
      </c>
      <c r="DL33" s="65">
        <f>-DL961</f>
        <v>-393.64249455575055</v>
      </c>
      <c r="DM33" s="65">
        <f>-DM961</f>
        <v>-405.40625259113426</v>
      </c>
      <c r="DN33" s="65">
        <f>+DL33+DM33</f>
        <v>-799.04874714688481</v>
      </c>
      <c r="DO33" s="75">
        <f>DN33/DJ33-1</f>
        <v>0.44352641376925828</v>
      </c>
      <c r="DP33" s="65">
        <f>-DP961</f>
        <v>-458.2648637195523</v>
      </c>
      <c r="DQ33" s="65">
        <f>-DQ961</f>
        <v>-468.19535307126404</v>
      </c>
      <c r="DR33" s="65">
        <f>+DP33+DQ33</f>
        <v>-926.46021679081628</v>
      </c>
      <c r="DS33" s="75">
        <f>DR33/DN33-1</f>
        <v>0.15945393832212607</v>
      </c>
      <c r="DT33" s="75"/>
      <c r="DU33" s="75"/>
      <c r="DV33" s="75"/>
    </row>
    <row r="34" spans="1:128" s="20" customFormat="1" ht="13.8">
      <c r="A34" s="60" t="s">
        <v>11</v>
      </c>
      <c r="B34" s="49"/>
      <c r="BD34" s="72">
        <f>SUM(BD32:BD33)</f>
        <v>4017</v>
      </c>
      <c r="BE34" s="72">
        <f>SUM(BE32:BE33)</f>
        <v>4054</v>
      </c>
      <c r="BF34" s="72">
        <f>SUM(BF32:BF33)</f>
        <v>8071</v>
      </c>
      <c r="BH34" s="72">
        <f>SUM(BH32:BH33)</f>
        <v>4449</v>
      </c>
      <c r="BI34" s="72">
        <f>SUM(BI32:BI33)</f>
        <v>4488</v>
      </c>
      <c r="BJ34" s="72">
        <f>SUM(BJ32:BJ33)</f>
        <v>8937</v>
      </c>
      <c r="BK34" s="49"/>
      <c r="BL34" s="72">
        <f>SUM(BL32:BL33)</f>
        <v>4854</v>
      </c>
      <c r="BM34" s="72">
        <f>SUM(BM32:BM33)</f>
        <v>4975</v>
      </c>
      <c r="BN34" s="72">
        <f>SUM(BN32:BN33)</f>
        <v>9829</v>
      </c>
      <c r="BO34" s="49"/>
      <c r="BP34" s="72">
        <f>SUM(BP32:BP33)</f>
        <v>5082</v>
      </c>
      <c r="BQ34" s="72">
        <f>SUM(BQ32:BQ33)</f>
        <v>4872</v>
      </c>
      <c r="BR34" s="72">
        <f>SUM(BR32:BR33)</f>
        <v>9954</v>
      </c>
      <c r="BS34" s="75">
        <f>BR34/BN34-1</f>
        <v>1.2717468715026881E-2</v>
      </c>
      <c r="BT34" s="72">
        <f>SUM(BT32:BT33)</f>
        <v>3919</v>
      </c>
      <c r="BU34" s="72">
        <f>SUM(BU32:BU33)</f>
        <v>4280</v>
      </c>
      <c r="BV34" s="72">
        <f>SUM(BV32:BV33)</f>
        <v>8199</v>
      </c>
      <c r="BW34" s="75">
        <f>BV34/BR34-1</f>
        <v>-0.17631103074141052</v>
      </c>
      <c r="BX34" s="72">
        <f>SUM(BX32:BX33)</f>
        <v>4769</v>
      </c>
      <c r="BY34" s="72">
        <f>SUM(BY32:BY33)</f>
        <v>4881</v>
      </c>
      <c r="BZ34" s="72">
        <f>SUM(BZ32:BZ33)</f>
        <v>9650</v>
      </c>
      <c r="CA34" s="75">
        <f>BZ34/BV34-1</f>
        <v>0.17697280156116602</v>
      </c>
      <c r="CB34" s="72">
        <f>SUM(CB32:CB33)</f>
        <v>4989</v>
      </c>
      <c r="CC34" s="72">
        <f>SUM(CC32:CC33)</f>
        <v>4289</v>
      </c>
      <c r="CD34" s="72">
        <f>SUM(CD32:CD33)</f>
        <v>9278</v>
      </c>
      <c r="CE34" s="75">
        <f>CD34/BZ34-1</f>
        <v>-3.8549222797927496E-2</v>
      </c>
      <c r="CF34" s="72">
        <f>SUM(CF32:CF33)</f>
        <v>4988</v>
      </c>
      <c r="CG34" s="72">
        <f>SUM(CG32:CG33)</f>
        <v>4175</v>
      </c>
      <c r="CH34" s="72">
        <f>SUM(CH32:CH33)</f>
        <v>9163</v>
      </c>
      <c r="CI34" s="75">
        <f>CH34/CD34-1</f>
        <v>-1.2394912696701899E-2</v>
      </c>
      <c r="CJ34" s="72">
        <f>SUM(CJ32:CJ33)</f>
        <v>2300</v>
      </c>
      <c r="CK34" s="72">
        <f>SUM(CK32:CK33)</f>
        <v>3331</v>
      </c>
      <c r="CL34" s="72">
        <f>SUM(CL32:CL33)</f>
        <v>5631</v>
      </c>
      <c r="CM34" s="75">
        <f>CL34/CH34-1</f>
        <v>-0.38546327621957877</v>
      </c>
      <c r="CN34" s="72">
        <f>SUM(CN32:CN33)</f>
        <v>4432</v>
      </c>
      <c r="CO34" s="72">
        <f>SUM(CO32:CO33)</f>
        <v>4531</v>
      </c>
      <c r="CP34" s="72">
        <f>SUM(CP32:CP33)</f>
        <v>8963</v>
      </c>
      <c r="CQ34" s="75">
        <f>CP34/CL34-1</f>
        <v>0.59172438288048301</v>
      </c>
      <c r="CR34" s="72">
        <f>SUM(CR32:CR33)</f>
        <v>4441</v>
      </c>
      <c r="CS34" s="72">
        <f>SUM(CS32:CS33)</f>
        <v>4759</v>
      </c>
      <c r="CT34" s="72">
        <f>SUM(CT32:CT33)</f>
        <v>9200</v>
      </c>
      <c r="CU34" s="75">
        <f>CT34/CP34-1</f>
        <v>2.6442039495704561E-2</v>
      </c>
      <c r="CV34" s="72">
        <f>SUM(CV32:CV33)</f>
        <v>5410</v>
      </c>
      <c r="CW34" s="72">
        <f>SUM(CW32:CW33)</f>
        <v>5111</v>
      </c>
      <c r="CX34" s="72">
        <f>SUM(CX32:CX33)</f>
        <v>10521</v>
      </c>
      <c r="CY34" s="75">
        <f>CX34/CT34-1</f>
        <v>0.14358695652173914</v>
      </c>
      <c r="CZ34" s="72">
        <f>SUM(CZ32:CZ33)</f>
        <v>5062</v>
      </c>
      <c r="DA34" s="72">
        <f>SUM(DA32:DA33)</f>
        <v>4600</v>
      </c>
      <c r="DB34" s="72">
        <f>SUM(DB32:DB33)</f>
        <v>9662</v>
      </c>
      <c r="DC34" s="75">
        <f>DB34/CX34-1</f>
        <v>-8.1646231346830134E-2</v>
      </c>
      <c r="DD34" s="72">
        <f>SUM(DD32:DD33)</f>
        <v>5108</v>
      </c>
      <c r="DE34" s="72">
        <f>SUM(DE32:DE33)</f>
        <v>3470</v>
      </c>
      <c r="DF34" s="72">
        <f>SUM(DF32:DF33)</f>
        <v>8578</v>
      </c>
      <c r="DG34" s="75">
        <f>DF34/DB34-1</f>
        <v>-0.11219209273442354</v>
      </c>
      <c r="DH34" s="72">
        <f ca="1">SUM(DH32:DH33)</f>
        <v>5278.7994823128574</v>
      </c>
      <c r="DI34" s="72">
        <f ca="1">SUM(DI32:DI33)</f>
        <v>5455.7317943963817</v>
      </c>
      <c r="DJ34" s="72">
        <f ca="1">SUM(DJ32:DJ33)</f>
        <v>10734.531276709238</v>
      </c>
      <c r="DK34" s="75">
        <f ca="1">DJ34/DF34-1</f>
        <v>0.25140257364295149</v>
      </c>
      <c r="DL34" s="72">
        <f ca="1">SUM(DL32:DL33)</f>
        <v>5674.209532789715</v>
      </c>
      <c r="DM34" s="72">
        <f ca="1">SUM(DM32:DM33)</f>
        <v>5693.9996637492177</v>
      </c>
      <c r="DN34" s="72">
        <f ca="1">SUM(DN32:DN33)</f>
        <v>11368.209196538934</v>
      </c>
      <c r="DO34" s="75">
        <f ca="1">DN34/DJ34-1</f>
        <v>5.9031727002797796E-2</v>
      </c>
      <c r="DP34" s="72">
        <f ca="1">SUM(DP32:DP33)</f>
        <v>5930.4495787365759</v>
      </c>
      <c r="DQ34" s="72">
        <f ca="1">SUM(DQ32:DQ33)</f>
        <v>6153.3388636336877</v>
      </c>
      <c r="DR34" s="72">
        <f ca="1">SUM(DR32:DR33)</f>
        <v>12083.788442370267</v>
      </c>
      <c r="DS34" s="75">
        <f ca="1">DR34/DN34-1</f>
        <v>6.2945643721017408E-2</v>
      </c>
      <c r="DT34" s="75"/>
      <c r="DU34" s="75"/>
      <c r="DV34" s="75"/>
    </row>
    <row r="35" spans="1:128" s="20" customFormat="1" ht="13.8">
      <c r="A35" s="63" t="s">
        <v>545</v>
      </c>
      <c r="B35" s="49"/>
      <c r="BD35" s="67">
        <v>-1117</v>
      </c>
      <c r="BE35" s="67">
        <v>-1118</v>
      </c>
      <c r="BF35" s="65">
        <f>+BD35+BE35</f>
        <v>-2235</v>
      </c>
      <c r="BH35" s="67">
        <v>-1265</v>
      </c>
      <c r="BI35" s="67">
        <v>-1170</v>
      </c>
      <c r="BJ35" s="65">
        <f>+BH35+BI35</f>
        <v>-2435</v>
      </c>
      <c r="BK35" s="49"/>
      <c r="BL35" s="67">
        <v>-1333</v>
      </c>
      <c r="BM35" s="67">
        <v>-1367</v>
      </c>
      <c r="BN35" s="65">
        <f>+BL35+BM35</f>
        <v>-2700</v>
      </c>
      <c r="BO35" s="49"/>
      <c r="BP35" s="67">
        <v>-1398</v>
      </c>
      <c r="BQ35" s="67">
        <v>-1326</v>
      </c>
      <c r="BR35" s="65">
        <f>+BP35+BQ35</f>
        <v>-2724</v>
      </c>
      <c r="BS35" s="75"/>
      <c r="BT35" s="67">
        <v>-1133</v>
      </c>
      <c r="BU35" s="67">
        <v>-1166</v>
      </c>
      <c r="BV35" s="65">
        <f>+BT35+BU35</f>
        <v>-2299</v>
      </c>
      <c r="BW35" s="75"/>
      <c r="BX35" s="67">
        <f>-1433+27</f>
        <v>-1406</v>
      </c>
      <c r="BY35" s="67">
        <f>-1456+36</f>
        <v>-1420</v>
      </c>
      <c r="BZ35" s="65">
        <f>+BX35+BY35</f>
        <v>-2826</v>
      </c>
      <c r="CA35" s="75"/>
      <c r="CB35" s="67">
        <v>-1489</v>
      </c>
      <c r="CC35" s="67">
        <v>-1286</v>
      </c>
      <c r="CD35" s="65">
        <f>+CB35+CC35</f>
        <v>-2775</v>
      </c>
      <c r="CE35" s="75"/>
      <c r="CF35" s="67">
        <v>-1415</v>
      </c>
      <c r="CG35" s="67">
        <v>-1263</v>
      </c>
      <c r="CH35" s="65">
        <f>+CF35+CG35</f>
        <v>-2678</v>
      </c>
      <c r="CI35" s="75"/>
      <c r="CJ35" s="67">
        <v>-886</v>
      </c>
      <c r="CK35" s="67">
        <v>-986</v>
      </c>
      <c r="CL35" s="65">
        <f>+CJ35+CK35</f>
        <v>-1872</v>
      </c>
      <c r="CM35" s="75"/>
      <c r="CN35" s="67">
        <v>-1442</v>
      </c>
      <c r="CO35" s="67">
        <v>-1322</v>
      </c>
      <c r="CP35" s="65">
        <f>+CN35+CO35</f>
        <v>-2764</v>
      </c>
      <c r="CQ35" s="75"/>
      <c r="CR35" s="67">
        <v>-1328</v>
      </c>
      <c r="CS35" s="67">
        <v>-1357</v>
      </c>
      <c r="CT35" s="65">
        <f>+CR35+CS35</f>
        <v>-2685</v>
      </c>
      <c r="CU35" s="75"/>
      <c r="CV35" s="67">
        <v>-1567</v>
      </c>
      <c r="CW35" s="67">
        <v>-1513</v>
      </c>
      <c r="CX35" s="65">
        <f>+CV35+CW35</f>
        <v>-3080</v>
      </c>
      <c r="CY35" s="75"/>
      <c r="CZ35" s="67">
        <v>-1496</v>
      </c>
      <c r="DA35" s="67">
        <v>-1406</v>
      </c>
      <c r="DB35" s="65">
        <f>+CZ35+DA35</f>
        <v>-2902</v>
      </c>
      <c r="DC35" s="75"/>
      <c r="DD35" s="67">
        <v>-1519</v>
      </c>
      <c r="DE35" s="67">
        <v>-1231</v>
      </c>
      <c r="DF35" s="65">
        <f>+DD35+DE35</f>
        <v>-2750</v>
      </c>
      <c r="DG35" s="75"/>
      <c r="DH35" s="65">
        <f ca="1">DH990</f>
        <v>-1557.245847282293</v>
      </c>
      <c r="DI35" s="65">
        <f ca="1">DI990</f>
        <v>-1609.4408793469324</v>
      </c>
      <c r="DJ35" s="65">
        <f ca="1">+DH35+DI35</f>
        <v>-3166.6867266292256</v>
      </c>
      <c r="DK35" s="75"/>
      <c r="DL35" s="65">
        <f ca="1">DL990</f>
        <v>-1673.8918121729657</v>
      </c>
      <c r="DM35" s="65">
        <f ca="1">DM990</f>
        <v>-1679.729900806019</v>
      </c>
      <c r="DN35" s="65">
        <f ca="1">+DL35+DM35</f>
        <v>-3353.6217129789848</v>
      </c>
      <c r="DO35" s="75"/>
      <c r="DP35" s="65">
        <f ca="1">DP990</f>
        <v>-1749.4826257272898</v>
      </c>
      <c r="DQ35" s="65">
        <f ca="1">DQ990</f>
        <v>-1815.2349647719377</v>
      </c>
      <c r="DR35" s="65">
        <f ca="1">+DP35+DQ35</f>
        <v>-3564.7175904992273</v>
      </c>
      <c r="DS35" s="75"/>
      <c r="DT35" s="75"/>
      <c r="DU35" s="75"/>
      <c r="DV35" s="75"/>
    </row>
    <row r="36" spans="1:128" s="20" customFormat="1" ht="13.8">
      <c r="A36" s="63" t="s">
        <v>703</v>
      </c>
      <c r="B36" s="49"/>
      <c r="BD36" s="67">
        <v>-4</v>
      </c>
      <c r="BE36" s="67">
        <v>-2</v>
      </c>
      <c r="BF36" s="65">
        <f>+BD36+BE36</f>
        <v>-6</v>
      </c>
      <c r="BH36" s="67">
        <v>-5</v>
      </c>
      <c r="BI36" s="67">
        <v>-5</v>
      </c>
      <c r="BJ36" s="65">
        <f>+BH36+BI36</f>
        <v>-10</v>
      </c>
      <c r="BK36" s="49"/>
      <c r="BL36" s="67">
        <v>-6</v>
      </c>
      <c r="BM36" s="67">
        <v>-6</v>
      </c>
      <c r="BN36" s="65">
        <f>+BL36+BM36</f>
        <v>-12</v>
      </c>
      <c r="BO36" s="49"/>
      <c r="BP36" s="67">
        <v>-8</v>
      </c>
      <c r="BQ36" s="67">
        <v>-6</v>
      </c>
      <c r="BR36" s="65">
        <f>+BP36+BQ36</f>
        <v>-14</v>
      </c>
      <c r="BS36" s="96"/>
      <c r="BT36" s="67">
        <v>-4</v>
      </c>
      <c r="BU36" s="67">
        <v>-7</v>
      </c>
      <c r="BV36" s="65">
        <f>+BT36+BU36</f>
        <v>-11</v>
      </c>
      <c r="BW36" s="96"/>
      <c r="BX36" s="67">
        <v>-8</v>
      </c>
      <c r="BY36" s="67">
        <v>-7</v>
      </c>
      <c r="BZ36" s="65">
        <f>+BX36+BY36</f>
        <v>-15</v>
      </c>
      <c r="CA36" s="96"/>
      <c r="CB36" s="67">
        <v>-7</v>
      </c>
      <c r="CC36" s="67">
        <v>-9</v>
      </c>
      <c r="CD36" s="65">
        <f>+CB36+CC36</f>
        <v>-16</v>
      </c>
      <c r="CE36" s="96"/>
      <c r="CF36" s="67">
        <v>-9</v>
      </c>
      <c r="CG36" s="67">
        <v>-6</v>
      </c>
      <c r="CH36" s="65">
        <f>+CF36+CG36</f>
        <v>-15</v>
      </c>
      <c r="CI36" s="96"/>
      <c r="CJ36" s="67">
        <v>-1</v>
      </c>
      <c r="CK36" s="67">
        <v>0</v>
      </c>
      <c r="CL36" s="65">
        <f>+CJ36+CK36</f>
        <v>-1</v>
      </c>
      <c r="CM36" s="96"/>
      <c r="CN36" s="67">
        <v>0</v>
      </c>
      <c r="CO36" s="67">
        <v>-1</v>
      </c>
      <c r="CP36" s="65">
        <f>+CN36+CO36</f>
        <v>-1</v>
      </c>
      <c r="CQ36" s="96"/>
      <c r="CR36" s="67">
        <v>0</v>
      </c>
      <c r="CS36" s="67">
        <v>0</v>
      </c>
      <c r="CT36" s="65">
        <f>+CR36+CS36</f>
        <v>0</v>
      </c>
      <c r="CU36" s="96"/>
      <c r="CV36" s="65">
        <f>CV1027</f>
        <v>-14</v>
      </c>
      <c r="CW36" s="65">
        <f>CW1027</f>
        <v>-14</v>
      </c>
      <c r="CX36" s="65">
        <f>CV36+CW36</f>
        <v>-28</v>
      </c>
      <c r="CY36" s="96"/>
      <c r="CZ36" s="65">
        <f>CZ1027</f>
        <v>-14</v>
      </c>
      <c r="DA36" s="65">
        <f>DA1027</f>
        <v>-21</v>
      </c>
      <c r="DB36" s="65">
        <f>CZ36+DA36</f>
        <v>-35</v>
      </c>
      <c r="DC36" s="96"/>
      <c r="DD36" s="65">
        <f>DD1027</f>
        <v>-21</v>
      </c>
      <c r="DE36" s="65">
        <f>DE1027</f>
        <v>-20</v>
      </c>
      <c r="DF36" s="65">
        <f>DD36+DE36</f>
        <v>-41</v>
      </c>
      <c r="DG36" s="96"/>
      <c r="DH36" s="65">
        <f>DH1027</f>
        <v>-20</v>
      </c>
      <c r="DI36" s="65">
        <f>DI1027</f>
        <v>-20</v>
      </c>
      <c r="DJ36" s="65">
        <f>DH36+DI36</f>
        <v>-40</v>
      </c>
      <c r="DK36" s="96"/>
      <c r="DL36" s="65">
        <f>DL1027</f>
        <v>-20</v>
      </c>
      <c r="DM36" s="65">
        <f>DM1027</f>
        <v>-20</v>
      </c>
      <c r="DN36" s="65">
        <f>DL36+DM36</f>
        <v>-40</v>
      </c>
      <c r="DO36" s="96"/>
      <c r="DP36" s="65">
        <f>DP1027</f>
        <v>-20</v>
      </c>
      <c r="DQ36" s="65">
        <f>DQ1027</f>
        <v>-20</v>
      </c>
      <c r="DR36" s="65">
        <f>DP36+DQ36</f>
        <v>-40</v>
      </c>
      <c r="DS36" s="96"/>
      <c r="DT36" s="96"/>
      <c r="DU36" s="96"/>
      <c r="DV36" s="96"/>
    </row>
    <row r="37" spans="1:128" s="55" customFormat="1" ht="13.8">
      <c r="A37" s="782" t="s">
        <v>888</v>
      </c>
      <c r="B37" s="80"/>
      <c r="BD37" s="321">
        <f>SUM(BD34:BD36)</f>
        <v>2896</v>
      </c>
      <c r="BE37" s="321">
        <f>SUM(BE34:BE36)</f>
        <v>2934</v>
      </c>
      <c r="BF37" s="321">
        <f>SUM(BF34:BF36)</f>
        <v>5830</v>
      </c>
      <c r="BH37" s="321">
        <f>SUM(BH34:BH36)</f>
        <v>3179</v>
      </c>
      <c r="BI37" s="321">
        <f>SUM(BI34:BI36)</f>
        <v>3313</v>
      </c>
      <c r="BJ37" s="321">
        <f>SUM(BJ34:BJ36)</f>
        <v>6492</v>
      </c>
      <c r="BK37" s="80"/>
      <c r="BL37" s="321">
        <f>SUM(BL34:BL36)</f>
        <v>3515</v>
      </c>
      <c r="BM37" s="321">
        <f>SUM(BM34:BM36)</f>
        <v>3602</v>
      </c>
      <c r="BN37" s="321">
        <f>SUM(BN34:BN36)</f>
        <v>7117</v>
      </c>
      <c r="BO37" s="80"/>
      <c r="BP37" s="321">
        <f>SUM(BP34:BP36)</f>
        <v>3676</v>
      </c>
      <c r="BQ37" s="321">
        <f>SUM(BQ34:BQ36)</f>
        <v>3540</v>
      </c>
      <c r="BR37" s="321">
        <f>SUM(BR34:BR36)</f>
        <v>7216</v>
      </c>
      <c r="BS37" s="322">
        <f>BR37/BN37-1</f>
        <v>1.391035548686248E-2</v>
      </c>
      <c r="BT37" s="321">
        <f>SUM(BT34:BT36)</f>
        <v>2782</v>
      </c>
      <c r="BU37" s="321">
        <f>SUM(BU34:BU36)</f>
        <v>3107</v>
      </c>
      <c r="BV37" s="321">
        <f>SUM(BV34:BV36)</f>
        <v>5889</v>
      </c>
      <c r="BW37" s="322">
        <f>BV37/BR37-1</f>
        <v>-0.18389689578713964</v>
      </c>
      <c r="BX37" s="321">
        <f>SUM(BX34:BX36)</f>
        <v>3355</v>
      </c>
      <c r="BY37" s="321">
        <f>SUM(BY34:BY36)</f>
        <v>3454</v>
      </c>
      <c r="BZ37" s="321">
        <f>SUM(BZ34:BZ36)</f>
        <v>6809</v>
      </c>
      <c r="CA37" s="322">
        <f>BZ37/BV37-1</f>
        <v>0.15622346748174554</v>
      </c>
      <c r="CB37" s="321">
        <f>SUM(CB34:CB36)</f>
        <v>3493</v>
      </c>
      <c r="CC37" s="321">
        <f>SUM(CC34:CC36)</f>
        <v>2994</v>
      </c>
      <c r="CD37" s="321">
        <f>SUM(CD34:CD36)</f>
        <v>6487</v>
      </c>
      <c r="CE37" s="322">
        <f>CD37/BZ37-1</f>
        <v>-4.7290351006021414E-2</v>
      </c>
      <c r="CF37" s="321">
        <f>SUM(CF34:CF36)</f>
        <v>3564</v>
      </c>
      <c r="CG37" s="321">
        <f>SUM(CG34:CG36)</f>
        <v>2906</v>
      </c>
      <c r="CH37" s="321">
        <f>SUM(CH34:CH36)</f>
        <v>6470</v>
      </c>
      <c r="CI37" s="322">
        <f>CH37/CD37-1</f>
        <v>-2.6206258671188642E-3</v>
      </c>
      <c r="CJ37" s="321">
        <f>SUM(CJ34:CJ36)</f>
        <v>1413</v>
      </c>
      <c r="CK37" s="321">
        <f>SUM(CK34:CK36)</f>
        <v>2345</v>
      </c>
      <c r="CL37" s="321">
        <f>SUM(CL34:CL36)</f>
        <v>3758</v>
      </c>
      <c r="CM37" s="322">
        <f>CL37/CH37-1</f>
        <v>-0.41916537867078829</v>
      </c>
      <c r="CN37" s="321">
        <f>SUM(CN34:CN36)</f>
        <v>2990</v>
      </c>
      <c r="CO37" s="321">
        <f>SUM(CO34:CO36)</f>
        <v>3208</v>
      </c>
      <c r="CP37" s="321">
        <f>SUM(CP34:CP36)</f>
        <v>6198</v>
      </c>
      <c r="CQ37" s="322">
        <f>CP37/CL37-1</f>
        <v>0.64928153273017553</v>
      </c>
      <c r="CR37" s="321">
        <f>SUM(CR34:CR36)</f>
        <v>3113</v>
      </c>
      <c r="CS37" s="321">
        <f>SUM(CS34:CS36)</f>
        <v>3402</v>
      </c>
      <c r="CT37" s="321">
        <f>SUM(CT34:CT36)</f>
        <v>6515</v>
      </c>
      <c r="CU37" s="322">
        <f>CT37/CP37-1</f>
        <v>5.1145530816392393E-2</v>
      </c>
      <c r="CV37" s="321">
        <f>SUM(CV34:CV36)</f>
        <v>3829</v>
      </c>
      <c r="CW37" s="321">
        <f>SUM(CW34:CW36)</f>
        <v>3584</v>
      </c>
      <c r="CX37" s="321">
        <f>SUM(CX34:CX36)</f>
        <v>7413</v>
      </c>
      <c r="CY37" s="322">
        <f>CX37/CT37-1</f>
        <v>0.1378357636224099</v>
      </c>
      <c r="CZ37" s="321">
        <f>SUM(CZ34:CZ36)</f>
        <v>3552</v>
      </c>
      <c r="DA37" s="321">
        <f>SUM(DA34:DA36)</f>
        <v>3173</v>
      </c>
      <c r="DB37" s="321">
        <f>SUM(DB34:DB36)</f>
        <v>6725</v>
      </c>
      <c r="DC37" s="322">
        <f>DB37/CX37-1</f>
        <v>-9.2809928503979511E-2</v>
      </c>
      <c r="DD37" s="321">
        <f>SUM(DD34:DD36)</f>
        <v>3568</v>
      </c>
      <c r="DE37" s="321">
        <f>SUM(DE34:DE36)</f>
        <v>2219</v>
      </c>
      <c r="DF37" s="321">
        <f>SUM(DF34:DF36)</f>
        <v>5787</v>
      </c>
      <c r="DG37" s="322">
        <f>DF37/DB37-1</f>
        <v>-0.13947955390334577</v>
      </c>
      <c r="DH37" s="321">
        <f ca="1">SUM(DH34:DH36)</f>
        <v>3701.5536350305647</v>
      </c>
      <c r="DI37" s="321">
        <f ca="1">SUM(DI34:DI36)</f>
        <v>3826.2909150494493</v>
      </c>
      <c r="DJ37" s="321">
        <f ca="1">SUM(DJ34:DJ36)</f>
        <v>7527.8445500800126</v>
      </c>
      <c r="DK37" s="322">
        <f ca="1">DJ37/DF37-1</f>
        <v>0.30081986350095269</v>
      </c>
      <c r="DL37" s="321">
        <f ca="1">SUM(DL34:DL36)</f>
        <v>3980.3177206167493</v>
      </c>
      <c r="DM37" s="321">
        <f ca="1">SUM(DM34:DM36)</f>
        <v>3994.2697629431987</v>
      </c>
      <c r="DN37" s="321">
        <f ca="1">SUM(DN34:DN36)</f>
        <v>7974.5874835599489</v>
      </c>
      <c r="DO37" s="322">
        <f ca="1">DN37/DJ37-1</f>
        <v>5.9345398341838385E-2</v>
      </c>
      <c r="DP37" s="321">
        <f ca="1">SUM(DP34:DP36)</f>
        <v>4160.966953009286</v>
      </c>
      <c r="DQ37" s="321">
        <f ca="1">SUM(DQ34:DQ36)</f>
        <v>4318.1038988617502</v>
      </c>
      <c r="DR37" s="321">
        <f ca="1">SUM(DR34:DR36)</f>
        <v>8479.0708518710398</v>
      </c>
      <c r="DS37" s="322">
        <f ca="1">DR37/DN37-1</f>
        <v>6.3261374880031251E-2</v>
      </c>
      <c r="DT37" s="322"/>
      <c r="DU37" s="322"/>
      <c r="DV37" s="322"/>
      <c r="DW37" s="20"/>
      <c r="DX37" s="20"/>
    </row>
    <row r="38" spans="1:128" s="20" customFormat="1" ht="13.8">
      <c r="A38" s="63" t="s">
        <v>889</v>
      </c>
      <c r="B38" s="49"/>
      <c r="BD38" s="65"/>
      <c r="BE38" s="65"/>
      <c r="BF38" s="65"/>
      <c r="BH38" s="65"/>
      <c r="BI38" s="65"/>
      <c r="BJ38" s="65"/>
      <c r="BK38" s="49"/>
      <c r="BL38" s="65"/>
      <c r="BM38" s="65"/>
      <c r="BN38" s="65"/>
      <c r="BO38" s="49"/>
      <c r="BP38" s="65"/>
      <c r="BQ38" s="65"/>
      <c r="BR38" s="65"/>
      <c r="BS38" s="96"/>
      <c r="BT38" s="65"/>
      <c r="BU38" s="65"/>
      <c r="BV38" s="65"/>
      <c r="BW38" s="96"/>
      <c r="BX38" s="65">
        <f>BX1036</f>
        <v>56</v>
      </c>
      <c r="BY38" s="65">
        <f>BY1036</f>
        <v>73</v>
      </c>
      <c r="BZ38" s="65">
        <f>BZ1036</f>
        <v>129</v>
      </c>
      <c r="CA38" s="96"/>
      <c r="CB38" s="65">
        <f ca="1">CB1036</f>
        <v>-617</v>
      </c>
      <c r="CC38" s="65">
        <f>CC1036</f>
        <v>-65</v>
      </c>
      <c r="CD38" s="65">
        <f ca="1">CD1036</f>
        <v>-682</v>
      </c>
      <c r="CE38" s="96"/>
      <c r="CF38" s="65">
        <f>CF1036</f>
        <v>-50</v>
      </c>
      <c r="CG38" s="65">
        <f>CG1036</f>
        <v>-259</v>
      </c>
      <c r="CH38" s="65">
        <f>CH1036</f>
        <v>-309</v>
      </c>
      <c r="CI38" s="96"/>
      <c r="CJ38" s="65">
        <f>CJ1036</f>
        <v>-90</v>
      </c>
      <c r="CK38" s="65">
        <f>CK1036</f>
        <v>-8</v>
      </c>
      <c r="CL38" s="65">
        <f>CL1036</f>
        <v>-98</v>
      </c>
      <c r="CM38" s="96"/>
      <c r="CN38" s="65">
        <f>CN1036</f>
        <v>-8</v>
      </c>
      <c r="CO38" s="65">
        <f>CO1036</f>
        <v>-9</v>
      </c>
      <c r="CP38" s="65">
        <f>CP1036</f>
        <v>-17</v>
      </c>
      <c r="CQ38" s="96"/>
      <c r="CR38" s="65">
        <f>CR1036</f>
        <v>-5</v>
      </c>
      <c r="CS38" s="65">
        <f>CS1036</f>
        <v>-14</v>
      </c>
      <c r="CT38" s="65">
        <f>CT1036</f>
        <v>-19</v>
      </c>
      <c r="CU38" s="96"/>
      <c r="CV38" s="65">
        <f>CV1036</f>
        <v>0</v>
      </c>
      <c r="CW38" s="65">
        <f>CW1036</f>
        <v>0</v>
      </c>
      <c r="CX38" s="65">
        <f>CX1036</f>
        <v>0</v>
      </c>
      <c r="CY38" s="96"/>
      <c r="CZ38" s="65">
        <f>CZ1036</f>
        <v>0</v>
      </c>
      <c r="DA38" s="65">
        <f>DA1036</f>
        <v>0</v>
      </c>
      <c r="DB38" s="65">
        <f>DB1036</f>
        <v>0</v>
      </c>
      <c r="DC38" s="96"/>
      <c r="DD38" s="65">
        <f>DD1036</f>
        <v>0</v>
      </c>
      <c r="DE38" s="65">
        <f>DE1036</f>
        <v>0</v>
      </c>
      <c r="DF38" s="65">
        <f>DF1036</f>
        <v>0</v>
      </c>
      <c r="DG38" s="96"/>
      <c r="DH38" s="65">
        <f>DH1036</f>
        <v>0</v>
      </c>
      <c r="DI38" s="65">
        <f>DI1036</f>
        <v>0</v>
      </c>
      <c r="DJ38" s="65">
        <f>DJ1036</f>
        <v>0</v>
      </c>
      <c r="DK38" s="96"/>
      <c r="DL38" s="65">
        <f>DL1036</f>
        <v>0</v>
      </c>
      <c r="DM38" s="65">
        <f>DM1036</f>
        <v>0</v>
      </c>
      <c r="DN38" s="65">
        <f>DN1036</f>
        <v>0</v>
      </c>
      <c r="DO38" s="96"/>
      <c r="DP38" s="65">
        <f>DP1036</f>
        <v>0</v>
      </c>
      <c r="DQ38" s="65">
        <f>DQ1036</f>
        <v>0</v>
      </c>
      <c r="DR38" s="65">
        <f>DR1036</f>
        <v>0</v>
      </c>
      <c r="DS38" s="96"/>
      <c r="DT38" s="96"/>
      <c r="DU38" s="96"/>
      <c r="DV38" s="96"/>
    </row>
    <row r="39" spans="1:128" s="55" customFormat="1" ht="13.8">
      <c r="A39" s="320" t="s">
        <v>136</v>
      </c>
      <c r="B39" s="80"/>
      <c r="BD39" s="321">
        <f>SUM(BD37:BD38)</f>
        <v>2896</v>
      </c>
      <c r="BE39" s="321">
        <f>SUM(BE37:BE38)</f>
        <v>2934</v>
      </c>
      <c r="BF39" s="321">
        <f>SUM(BF37:BF38)</f>
        <v>5830</v>
      </c>
      <c r="BH39" s="321">
        <f>SUM(BH37:BH38)</f>
        <v>3179</v>
      </c>
      <c r="BI39" s="321">
        <f>SUM(BI37:BI38)</f>
        <v>3313</v>
      </c>
      <c r="BJ39" s="321">
        <f>SUM(BJ37:BJ38)</f>
        <v>6492</v>
      </c>
      <c r="BK39" s="80"/>
      <c r="BL39" s="321">
        <f>SUM(BL37:BL38)</f>
        <v>3515</v>
      </c>
      <c r="BM39" s="321">
        <f>SUM(BM37:BM38)</f>
        <v>3602</v>
      </c>
      <c r="BN39" s="321">
        <f>SUM(BN37:BN38)</f>
        <v>7117</v>
      </c>
      <c r="BO39" s="80"/>
      <c r="BP39" s="321">
        <f>SUM(BP37:BP38)</f>
        <v>3676</v>
      </c>
      <c r="BQ39" s="321">
        <f>SUM(BQ37:BQ38)</f>
        <v>3540</v>
      </c>
      <c r="BR39" s="321">
        <f>SUM(BR37:BR38)</f>
        <v>7216</v>
      </c>
      <c r="BS39" s="322"/>
      <c r="BT39" s="321">
        <f>SUM(BT37:BT38)</f>
        <v>2782</v>
      </c>
      <c r="BU39" s="321">
        <f>SUM(BU37:BU38)</f>
        <v>3107</v>
      </c>
      <c r="BV39" s="321">
        <f>SUM(BV37:BV38)</f>
        <v>5889</v>
      </c>
      <c r="BW39" s="322"/>
      <c r="BX39" s="321">
        <f>SUM(BX37:BX38)</f>
        <v>3411</v>
      </c>
      <c r="BY39" s="321">
        <f>SUM(BY37:BY38)</f>
        <v>3527</v>
      </c>
      <c r="BZ39" s="321">
        <f>SUM(BZ37:BZ38)</f>
        <v>6938</v>
      </c>
      <c r="CA39" s="322"/>
      <c r="CB39" s="321">
        <f ca="1">SUM(CB37:CB38)</f>
        <v>2876</v>
      </c>
      <c r="CC39" s="321">
        <f>SUM(CC37:CC38)</f>
        <v>2929</v>
      </c>
      <c r="CD39" s="321">
        <f ca="1">SUM(CD37:CD38)</f>
        <v>5805</v>
      </c>
      <c r="CE39" s="322"/>
      <c r="CF39" s="321">
        <f>SUM(CF37:CF38)</f>
        <v>3514</v>
      </c>
      <c r="CG39" s="321">
        <f>SUM(CG37:CG38)</f>
        <v>2647</v>
      </c>
      <c r="CH39" s="321">
        <f>SUM(CH37:CH38)</f>
        <v>6161</v>
      </c>
      <c r="CI39" s="322"/>
      <c r="CJ39" s="321">
        <f>SUM(CJ37:CJ38)</f>
        <v>1323</v>
      </c>
      <c r="CK39" s="321">
        <f>SUM(CK37:CK38)</f>
        <v>2337</v>
      </c>
      <c r="CL39" s="321">
        <f>SUM(CL37:CL38)</f>
        <v>3660</v>
      </c>
      <c r="CM39" s="322"/>
      <c r="CN39" s="321">
        <f>SUM(CN37:CN38)</f>
        <v>2982</v>
      </c>
      <c r="CO39" s="321">
        <f>SUM(CO37:CO38)</f>
        <v>3199</v>
      </c>
      <c r="CP39" s="321">
        <f>SUM(CP37:CP38)</f>
        <v>6181</v>
      </c>
      <c r="CQ39" s="322"/>
      <c r="CR39" s="321">
        <f>SUM(CR37:CR38)</f>
        <v>3108</v>
      </c>
      <c r="CS39" s="321">
        <f>SUM(CS37:CS38)</f>
        <v>3388</v>
      </c>
      <c r="CT39" s="321">
        <f>SUM(CT37:CT38)</f>
        <v>6496</v>
      </c>
      <c r="CU39" s="322"/>
      <c r="CV39" s="321">
        <f>SUM(CV37:CV38)</f>
        <v>3829</v>
      </c>
      <c r="CW39" s="321">
        <f>SUM(CW37:CW38)</f>
        <v>3584</v>
      </c>
      <c r="CX39" s="321">
        <f>SUM(CX37:CX38)</f>
        <v>7413</v>
      </c>
      <c r="CY39" s="322"/>
      <c r="CZ39" s="321">
        <f>SUM(CZ37:CZ38)</f>
        <v>3552</v>
      </c>
      <c r="DA39" s="321">
        <f>SUM(DA37:DA38)</f>
        <v>3173</v>
      </c>
      <c r="DB39" s="321">
        <f>SUM(DB37:DB38)</f>
        <v>6725</v>
      </c>
      <c r="DC39" s="322"/>
      <c r="DD39" s="321">
        <f>SUM(DD37:DD38)</f>
        <v>3568</v>
      </c>
      <c r="DE39" s="321">
        <f>SUM(DE37:DE38)</f>
        <v>2219</v>
      </c>
      <c r="DF39" s="321">
        <f>SUM(DF37:DF38)</f>
        <v>5787</v>
      </c>
      <c r="DG39" s="322"/>
      <c r="DH39" s="321">
        <f ca="1">SUM(DH37:DH38)</f>
        <v>3701.5536350305647</v>
      </c>
      <c r="DI39" s="321">
        <f ca="1">SUM(DI37:DI38)</f>
        <v>3826.2909150494493</v>
      </c>
      <c r="DJ39" s="321">
        <f ca="1">SUM(DJ37:DJ38)</f>
        <v>7527.8445500800126</v>
      </c>
      <c r="DK39" s="322"/>
      <c r="DL39" s="321">
        <f ca="1">SUM(DL37:DL38)</f>
        <v>3980.3177206167493</v>
      </c>
      <c r="DM39" s="321">
        <f ca="1">SUM(DM37:DM38)</f>
        <v>3994.2697629431987</v>
      </c>
      <c r="DN39" s="321">
        <f ca="1">SUM(DN37:DN38)</f>
        <v>7974.5874835599489</v>
      </c>
      <c r="DO39" s="322"/>
      <c r="DP39" s="321">
        <f ca="1">SUM(DP37:DP38)</f>
        <v>4160.966953009286</v>
      </c>
      <c r="DQ39" s="321">
        <f ca="1">SUM(DQ37:DQ38)</f>
        <v>4318.1038988617502</v>
      </c>
      <c r="DR39" s="321">
        <f ca="1">SUM(DR37:DR38)</f>
        <v>8479.0708518710398</v>
      </c>
      <c r="DS39" s="322"/>
      <c r="DT39" s="322"/>
      <c r="DU39" s="322"/>
      <c r="DV39" s="322"/>
      <c r="DW39" s="20"/>
      <c r="DX39" s="20"/>
    </row>
    <row r="40" spans="1:128" s="20" customFormat="1" ht="13.8">
      <c r="A40" s="64" t="s">
        <v>347</v>
      </c>
      <c r="B40" s="49"/>
      <c r="BD40" s="67"/>
      <c r="BE40" s="67"/>
      <c r="BF40" s="65">
        <f>+BD40+BE40</f>
        <v>0</v>
      </c>
      <c r="BH40" s="65">
        <f>BH1024</f>
        <v>-242</v>
      </c>
      <c r="BI40" s="65">
        <f>BI1024</f>
        <v>60</v>
      </c>
      <c r="BJ40" s="65">
        <f>+BH40+BI40</f>
        <v>-182</v>
      </c>
      <c r="BK40" s="49"/>
      <c r="BL40" s="65">
        <f>BL1024</f>
        <v>-123</v>
      </c>
      <c r="BM40" s="65">
        <f>BM1024</f>
        <v>277</v>
      </c>
      <c r="BN40" s="65">
        <f>+BL40+BM40</f>
        <v>154</v>
      </c>
      <c r="BO40" s="49"/>
      <c r="BP40" s="65">
        <f>BP1024</f>
        <v>-170</v>
      </c>
      <c r="BQ40" s="65">
        <f>BQ1024</f>
        <v>447</v>
      </c>
      <c r="BR40" s="65">
        <f>+BP40+BQ40</f>
        <v>277</v>
      </c>
      <c r="BT40" s="65">
        <f>BT1024</f>
        <v>-44</v>
      </c>
      <c r="BU40" s="65">
        <f>BU1024</f>
        <v>-136</v>
      </c>
      <c r="BV40" s="65">
        <f>+BT40+BU40</f>
        <v>-180</v>
      </c>
      <c r="BX40" s="65">
        <f>BX1024</f>
        <v>-500</v>
      </c>
      <c r="BY40" s="65">
        <f>BY1024</f>
        <v>-32</v>
      </c>
      <c r="BZ40" s="65">
        <f>+BX40+BY40</f>
        <v>-532</v>
      </c>
      <c r="CB40" s="65">
        <f>CB1024</f>
        <v>447</v>
      </c>
      <c r="CC40" s="65">
        <f>CC1024</f>
        <v>148</v>
      </c>
      <c r="CD40" s="65">
        <f>+CB40+CC40</f>
        <v>595</v>
      </c>
      <c r="CF40" s="65">
        <f>CF1024</f>
        <v>-341</v>
      </c>
      <c r="CG40" s="65">
        <f>CG1024</f>
        <v>133</v>
      </c>
      <c r="CH40" s="65">
        <f>+CF40+CG40</f>
        <v>-208</v>
      </c>
      <c r="CJ40" s="65">
        <f>CJ1024</f>
        <v>222</v>
      </c>
      <c r="CK40" s="65">
        <f>CK1024</f>
        <v>-305</v>
      </c>
      <c r="CL40" s="65">
        <f>+CJ40+CK40</f>
        <v>-83</v>
      </c>
      <c r="CN40" s="65">
        <f>CN1024</f>
        <v>-39</v>
      </c>
      <c r="CO40" s="65">
        <f>CO1024</f>
        <v>20</v>
      </c>
      <c r="CP40" s="65">
        <f>+CN40+CO40</f>
        <v>-19</v>
      </c>
      <c r="CR40" s="65">
        <f>CR1024</f>
        <v>422</v>
      </c>
      <c r="CS40" s="65">
        <f>CS1024</f>
        <v>201</v>
      </c>
      <c r="CT40" s="65">
        <f>+CR40+CS40</f>
        <v>623</v>
      </c>
      <c r="CV40" s="65">
        <f>CV1024</f>
        <v>-274</v>
      </c>
      <c r="CW40" s="65">
        <f>CW1024</f>
        <v>-33</v>
      </c>
      <c r="CX40" s="65">
        <f>+CV40+CW40</f>
        <v>-307</v>
      </c>
      <c r="CZ40" s="65">
        <f>CZ1024</f>
        <v>-145</v>
      </c>
      <c r="DA40" s="65">
        <f>DA1024</f>
        <v>-45</v>
      </c>
      <c r="DB40" s="65">
        <f>+CZ40+DA40</f>
        <v>-190</v>
      </c>
      <c r="DD40" s="65">
        <f>DD1024</f>
        <v>74</v>
      </c>
      <c r="DE40" s="65">
        <f>DE1024</f>
        <v>30</v>
      </c>
      <c r="DF40" s="65">
        <f>+DD40+DE40</f>
        <v>104</v>
      </c>
      <c r="DH40" s="65">
        <f>DH1024</f>
        <v>0</v>
      </c>
      <c r="DI40" s="65">
        <f>DI1024</f>
        <v>0</v>
      </c>
      <c r="DJ40" s="65">
        <f>+DH40+DI40</f>
        <v>0</v>
      </c>
      <c r="DL40" s="65">
        <f>DL1024</f>
        <v>0</v>
      </c>
      <c r="DM40" s="65">
        <f>DM1024</f>
        <v>0</v>
      </c>
      <c r="DN40" s="65">
        <f>+DL40+DM40</f>
        <v>0</v>
      </c>
      <c r="DP40" s="65">
        <f>DP1024</f>
        <v>0</v>
      </c>
      <c r="DQ40" s="65">
        <f>DQ1024</f>
        <v>0</v>
      </c>
      <c r="DR40" s="65">
        <f>+DP40+DQ40</f>
        <v>0</v>
      </c>
    </row>
    <row r="41" spans="1:128" s="21" customFormat="1" ht="13.8">
      <c r="A41" s="21" t="s">
        <v>710</v>
      </c>
      <c r="B41" s="27"/>
      <c r="BD41" s="72">
        <f>SUM(BD39:BD40)</f>
        <v>2896</v>
      </c>
      <c r="BE41" s="72">
        <f>SUM(BE39:BE40)</f>
        <v>2934</v>
      </c>
      <c r="BF41" s="72">
        <f>SUM(BF39:BF40)</f>
        <v>5830</v>
      </c>
      <c r="BH41" s="72">
        <f>SUM(BH39:BH40)</f>
        <v>2937</v>
      </c>
      <c r="BI41" s="72">
        <f>SUM(BI39:BI40)</f>
        <v>3373</v>
      </c>
      <c r="BJ41" s="72">
        <f>SUM(BJ39:BJ40)</f>
        <v>6310</v>
      </c>
      <c r="BK41" s="49"/>
      <c r="BL41" s="72">
        <f>SUM(BL39:BL40)</f>
        <v>3392</v>
      </c>
      <c r="BM41" s="72">
        <f>SUM(BM39:BM40)</f>
        <v>3879</v>
      </c>
      <c r="BN41" s="72">
        <f>SUM(BN39:BN40)</f>
        <v>7271</v>
      </c>
      <c r="BO41" s="49"/>
      <c r="BP41" s="72">
        <f>SUM(BP39:BP40)</f>
        <v>3506</v>
      </c>
      <c r="BQ41" s="72">
        <f>SUM(BQ39:BQ40)</f>
        <v>3987</v>
      </c>
      <c r="BR41" s="72">
        <f>SUM(BR39:BR40)</f>
        <v>7493</v>
      </c>
      <c r="BT41" s="72">
        <f>SUM(BT39:BT40)</f>
        <v>2738</v>
      </c>
      <c r="BU41" s="72">
        <f>SUM(BU39:BU40)</f>
        <v>2971</v>
      </c>
      <c r="BV41" s="72">
        <f>SUM(BV39:BV40)</f>
        <v>5709</v>
      </c>
      <c r="BX41" s="72">
        <f>SUM(BX39:BX40)</f>
        <v>2911</v>
      </c>
      <c r="BY41" s="72">
        <f>SUM(BY39:BY40)</f>
        <v>3495</v>
      </c>
      <c r="BZ41" s="72">
        <f>SUM(BZ39:BZ40)</f>
        <v>6406</v>
      </c>
      <c r="CB41" s="72">
        <f ca="1">SUM(CB39:CB40)</f>
        <v>3323</v>
      </c>
      <c r="CC41" s="72">
        <f>SUM(CC39:CC40)</f>
        <v>3077</v>
      </c>
      <c r="CD41" s="72">
        <f ca="1">SUM(CD39:CD40)</f>
        <v>6400</v>
      </c>
      <c r="CF41" s="72">
        <f>SUM(CF39:CF40)</f>
        <v>3173</v>
      </c>
      <c r="CG41" s="72">
        <f>SUM(CG39:CG40)</f>
        <v>2780</v>
      </c>
      <c r="CH41" s="72">
        <f>SUM(CH39:CH40)</f>
        <v>5953</v>
      </c>
      <c r="CJ41" s="72">
        <f>SUM(CJ39:CJ40)</f>
        <v>1545</v>
      </c>
      <c r="CK41" s="72">
        <f>SUM(CK39:CK40)</f>
        <v>2032</v>
      </c>
      <c r="CL41" s="72">
        <f>SUM(CL39:CL40)</f>
        <v>3577</v>
      </c>
      <c r="CN41" s="72">
        <f>SUM(CN39:CN40)</f>
        <v>2943</v>
      </c>
      <c r="CO41" s="72">
        <f>SUM(CO39:CO40)</f>
        <v>3219</v>
      </c>
      <c r="CP41" s="72">
        <f>SUM(CP39:CP40)</f>
        <v>6162</v>
      </c>
      <c r="CR41" s="72">
        <f>SUM(CR39:CR40)</f>
        <v>3530</v>
      </c>
      <c r="CS41" s="72">
        <f>SUM(CS39:CS40)</f>
        <v>3589</v>
      </c>
      <c r="CT41" s="72">
        <f>SUM(CT39:CT40)</f>
        <v>7119</v>
      </c>
      <c r="CV41" s="72">
        <f>SUM(CV39:CV40)</f>
        <v>3555</v>
      </c>
      <c r="CW41" s="72">
        <f>SUM(CW39:CW40)</f>
        <v>3551</v>
      </c>
      <c r="CX41" s="72">
        <f>SUM(CX39:CX40)</f>
        <v>7106</v>
      </c>
      <c r="CZ41" s="72">
        <f>SUM(CZ39:CZ40)</f>
        <v>3407</v>
      </c>
      <c r="DA41" s="72">
        <f>SUM(DA39:DA40)</f>
        <v>3128</v>
      </c>
      <c r="DB41" s="72">
        <f>SUM(DB39:DB40)</f>
        <v>6535</v>
      </c>
      <c r="DD41" s="72">
        <f>SUM(DD39:DD40)</f>
        <v>3642</v>
      </c>
      <c r="DE41" s="72">
        <f>SUM(DE39:DE40)</f>
        <v>2249</v>
      </c>
      <c r="DF41" s="72">
        <f>SUM(DF39:DF40)</f>
        <v>5891</v>
      </c>
      <c r="DH41" s="72">
        <f ca="1">SUM(DH39:DH40)</f>
        <v>3701.5536350305647</v>
      </c>
      <c r="DI41" s="72">
        <f ca="1">SUM(DI39:DI40)</f>
        <v>3826.2909150494493</v>
      </c>
      <c r="DJ41" s="72">
        <f ca="1">SUM(DJ39:DJ40)</f>
        <v>7527.8445500800126</v>
      </c>
      <c r="DL41" s="72">
        <f ca="1">SUM(DL39:DL40)</f>
        <v>3980.3177206167493</v>
      </c>
      <c r="DM41" s="72">
        <f ca="1">SUM(DM39:DM40)</f>
        <v>3994.2697629431987</v>
      </c>
      <c r="DN41" s="72">
        <f ca="1">SUM(DN39:DN40)</f>
        <v>7974.5874835599489</v>
      </c>
      <c r="DP41" s="72">
        <f ca="1">SUM(DP39:DP40)</f>
        <v>4160.966953009286</v>
      </c>
      <c r="DQ41" s="72">
        <f ca="1">SUM(DQ39:DQ40)</f>
        <v>4318.1038988617502</v>
      </c>
      <c r="DR41" s="72">
        <f ca="1">SUM(DR39:DR40)</f>
        <v>8479.0708518710398</v>
      </c>
    </row>
    <row r="42" spans="1:128" s="21" customFormat="1" ht="13.8">
      <c r="B42" s="27"/>
      <c r="BD42" s="72"/>
      <c r="BE42" s="72"/>
      <c r="BF42" s="72"/>
      <c r="BH42" s="72"/>
      <c r="BI42" s="72"/>
      <c r="BJ42" s="72"/>
      <c r="BK42" s="49"/>
      <c r="BL42" s="72"/>
      <c r="BM42" s="72"/>
      <c r="BN42" s="72"/>
      <c r="BO42" s="49"/>
      <c r="BP42" s="72"/>
      <c r="BQ42" s="72"/>
      <c r="BR42" s="72"/>
      <c r="BT42" s="72"/>
      <c r="BU42" s="72"/>
      <c r="BV42" s="72"/>
      <c r="BX42" s="72"/>
      <c r="BY42" s="72"/>
      <c r="BZ42" s="72"/>
      <c r="CB42" s="72"/>
      <c r="CC42" s="72"/>
      <c r="CD42" s="72"/>
      <c r="CF42" s="72"/>
      <c r="CG42" s="72"/>
      <c r="CH42" s="908">
        <v>5953</v>
      </c>
      <c r="CI42" s="960"/>
      <c r="CJ42" s="908">
        <v>1545</v>
      </c>
      <c r="CK42" s="908">
        <v>2032</v>
      </c>
      <c r="CL42" s="908">
        <v>3577</v>
      </c>
      <c r="CN42" s="908">
        <v>2943</v>
      </c>
      <c r="CO42" s="908">
        <v>3219</v>
      </c>
      <c r="CP42" s="908">
        <v>6162</v>
      </c>
      <c r="CR42" s="908">
        <v>3530</v>
      </c>
      <c r="CS42" s="908">
        <v>3589</v>
      </c>
      <c r="CT42" s="908">
        <v>7119</v>
      </c>
      <c r="CV42" s="908">
        <v>3555</v>
      </c>
      <c r="CW42" s="908">
        <v>3551</v>
      </c>
      <c r="CX42" s="908">
        <f>CV42+CW42</f>
        <v>7106</v>
      </c>
      <c r="CZ42" s="908">
        <v>3407</v>
      </c>
      <c r="DA42" s="908">
        <v>3128</v>
      </c>
      <c r="DB42" s="908">
        <v>6535</v>
      </c>
      <c r="DD42" s="908">
        <v>3642</v>
      </c>
      <c r="DE42" s="908">
        <v>2249</v>
      </c>
      <c r="DF42" s="908">
        <v>5891</v>
      </c>
      <c r="DH42" s="72"/>
      <c r="DI42" s="72"/>
      <c r="DJ42" s="72"/>
      <c r="DL42" s="72"/>
      <c r="DM42" s="72"/>
      <c r="DN42" s="72"/>
      <c r="DP42" s="72"/>
      <c r="DQ42" s="72"/>
      <c r="DR42" s="72"/>
    </row>
    <row r="43" spans="1:128" s="20" customFormat="1" ht="13.8">
      <c r="A43" s="20" t="s">
        <v>890</v>
      </c>
      <c r="B43" s="49"/>
      <c r="BD43" s="65">
        <f>BD37</f>
        <v>2896</v>
      </c>
      <c r="BE43" s="65">
        <f>BE37</f>
        <v>2934</v>
      </c>
      <c r="BF43" s="65">
        <f>BF37</f>
        <v>5830</v>
      </c>
      <c r="BH43" s="65">
        <f>BH37</f>
        <v>3179</v>
      </c>
      <c r="BI43" s="65">
        <f>BI37</f>
        <v>3313</v>
      </c>
      <c r="BJ43" s="65">
        <f>BJ37</f>
        <v>6492</v>
      </c>
      <c r="BK43" s="49"/>
      <c r="BL43" s="65">
        <f>BL37</f>
        <v>3515</v>
      </c>
      <c r="BM43" s="65">
        <f>BM37</f>
        <v>3602</v>
      </c>
      <c r="BN43" s="65">
        <f>BN37</f>
        <v>7117</v>
      </c>
      <c r="BO43" s="49"/>
      <c r="BP43" s="65">
        <f>BP37</f>
        <v>3676</v>
      </c>
      <c r="BQ43" s="65">
        <f>BQ37</f>
        <v>3540</v>
      </c>
      <c r="BR43" s="65">
        <f>BR37</f>
        <v>7216</v>
      </c>
      <c r="BT43" s="65">
        <f>BT37</f>
        <v>2782</v>
      </c>
      <c r="BU43" s="65">
        <f>BU37</f>
        <v>3107</v>
      </c>
      <c r="BV43" s="65">
        <f>BV37</f>
        <v>5889</v>
      </c>
      <c r="BX43" s="65">
        <f>BX37</f>
        <v>3355</v>
      </c>
      <c r="BY43" s="65">
        <f>BY37</f>
        <v>3454</v>
      </c>
      <c r="BZ43" s="65">
        <f>BZ37</f>
        <v>6809</v>
      </c>
      <c r="CB43" s="65">
        <f>CB37</f>
        <v>3493</v>
      </c>
      <c r="CC43" s="65">
        <f>CC37</f>
        <v>2994</v>
      </c>
      <c r="CD43" s="65">
        <f>CD37</f>
        <v>6487</v>
      </c>
      <c r="CF43" s="65">
        <f>CF37</f>
        <v>3564</v>
      </c>
      <c r="CG43" s="65">
        <f>CG37</f>
        <v>2906</v>
      </c>
      <c r="CH43" s="65">
        <f>CH37</f>
        <v>6470</v>
      </c>
      <c r="CJ43" s="65">
        <f>CJ37</f>
        <v>1413</v>
      </c>
      <c r="CK43" s="65">
        <f>CK37</f>
        <v>2345</v>
      </c>
      <c r="CL43" s="65">
        <f>CL37</f>
        <v>3758</v>
      </c>
      <c r="CN43" s="65">
        <f>CN37</f>
        <v>2990</v>
      </c>
      <c r="CO43" s="65">
        <f>CO37</f>
        <v>3208</v>
      </c>
      <c r="CP43" s="65">
        <f>CP37</f>
        <v>6198</v>
      </c>
      <c r="CR43" s="65">
        <f>CR37</f>
        <v>3113</v>
      </c>
      <c r="CS43" s="65">
        <f>CS37</f>
        <v>3402</v>
      </c>
      <c r="CT43" s="65">
        <f>CT37</f>
        <v>6515</v>
      </c>
      <c r="CV43" s="65">
        <f>CV37</f>
        <v>3829</v>
      </c>
      <c r="CW43" s="65">
        <f>CW37</f>
        <v>3584</v>
      </c>
      <c r="CX43" s="65">
        <f>CX37</f>
        <v>7413</v>
      </c>
      <c r="CZ43" s="65">
        <f>CZ37</f>
        <v>3552</v>
      </c>
      <c r="DA43" s="65">
        <f>DA37</f>
        <v>3173</v>
      </c>
      <c r="DB43" s="65">
        <f>DB37</f>
        <v>6725</v>
      </c>
      <c r="DD43" s="65">
        <f>DD37</f>
        <v>3568</v>
      </c>
      <c r="DE43" s="65">
        <f>DE37</f>
        <v>2219</v>
      </c>
      <c r="DF43" s="65">
        <f>DF37</f>
        <v>5787</v>
      </c>
      <c r="DH43" s="65">
        <f ca="1">DH37</f>
        <v>3701.5536350305647</v>
      </c>
      <c r="DI43" s="65">
        <f ca="1">DI37</f>
        <v>3826.2909150494493</v>
      </c>
      <c r="DJ43" s="65">
        <f ca="1">DJ37</f>
        <v>7527.8445500800126</v>
      </c>
      <c r="DL43" s="65">
        <f ca="1">DL37</f>
        <v>3980.3177206167493</v>
      </c>
      <c r="DM43" s="65">
        <f ca="1">DM37</f>
        <v>3994.2697629431987</v>
      </c>
      <c r="DN43" s="65">
        <f ca="1">DN37</f>
        <v>7974.5874835599489</v>
      </c>
      <c r="DP43" s="65">
        <f ca="1">DP37</f>
        <v>4160.966953009286</v>
      </c>
      <c r="DQ43" s="65">
        <f ca="1">DQ37</f>
        <v>4318.1038988617502</v>
      </c>
      <c r="DR43" s="65">
        <f ca="1">DR37</f>
        <v>8479.0708518710398</v>
      </c>
    </row>
    <row r="44" spans="1:128" s="20" customFormat="1" ht="13.8">
      <c r="A44" s="323" t="s">
        <v>526</v>
      </c>
      <c r="B44" s="324"/>
      <c r="C44" s="325"/>
      <c r="D44" s="325"/>
      <c r="E44" s="325"/>
      <c r="F44" s="325"/>
      <c r="G44" s="325"/>
      <c r="H44" s="325"/>
      <c r="I44" s="325"/>
      <c r="J44" s="325"/>
      <c r="K44" s="325"/>
      <c r="L44" s="325"/>
      <c r="M44" s="325"/>
      <c r="N44" s="325"/>
      <c r="O44" s="325"/>
      <c r="P44" s="325"/>
      <c r="Q44" s="325"/>
      <c r="R44" s="325"/>
      <c r="S44" s="325"/>
      <c r="T44" s="325"/>
      <c r="U44" s="325"/>
      <c r="V44" s="325"/>
      <c r="W44" s="325"/>
      <c r="X44" s="325"/>
      <c r="Y44" s="325"/>
      <c r="Z44" s="325"/>
      <c r="AA44" s="325"/>
      <c r="AB44" s="325"/>
      <c r="AC44" s="325"/>
      <c r="AD44" s="325"/>
      <c r="AE44" s="325"/>
      <c r="AF44" s="325"/>
      <c r="AG44" s="325"/>
      <c r="AH44" s="325"/>
      <c r="AI44" s="325"/>
      <c r="AJ44" s="325"/>
      <c r="AK44" s="325"/>
      <c r="AL44" s="325"/>
      <c r="AM44" s="325"/>
      <c r="AN44" s="325"/>
      <c r="AO44" s="325"/>
      <c r="AP44" s="325"/>
      <c r="AQ44" s="325"/>
      <c r="AR44" s="325"/>
      <c r="AS44" s="325"/>
      <c r="AT44" s="325"/>
      <c r="AU44" s="325"/>
      <c r="AV44" s="325"/>
      <c r="AW44" s="325"/>
      <c r="AX44" s="325"/>
      <c r="AY44" s="325"/>
      <c r="AZ44" s="325"/>
      <c r="BA44" s="325"/>
      <c r="BB44" s="325"/>
      <c r="BC44" s="325"/>
      <c r="BD44" s="326"/>
      <c r="BE44" s="326"/>
      <c r="BF44" s="326"/>
      <c r="BG44" s="325"/>
      <c r="BH44" s="327">
        <v>-3</v>
      </c>
      <c r="BI44" s="327">
        <v>-3</v>
      </c>
      <c r="BJ44" s="326">
        <f>+BH44+BI44</f>
        <v>-6</v>
      </c>
      <c r="BK44" s="324"/>
      <c r="BL44" s="327">
        <v>-3</v>
      </c>
      <c r="BM44" s="327">
        <v>-3</v>
      </c>
      <c r="BN44" s="326">
        <f>+BL44+BM44</f>
        <v>-6</v>
      </c>
      <c r="BO44" s="324"/>
      <c r="BP44" s="327">
        <v>-1</v>
      </c>
      <c r="BQ44" s="327">
        <v>0</v>
      </c>
      <c r="BR44" s="326">
        <f>+BP44+BQ44</f>
        <v>-1</v>
      </c>
      <c r="BS44" s="325"/>
      <c r="BT44" s="327">
        <v>0</v>
      </c>
      <c r="BU44" s="327">
        <v>0</v>
      </c>
      <c r="BV44" s="326">
        <f>+BT44+BU44</f>
        <v>0</v>
      </c>
      <c r="BW44" s="325"/>
      <c r="BX44" s="327">
        <v>0</v>
      </c>
      <c r="BY44" s="327">
        <v>0</v>
      </c>
      <c r="BZ44" s="326">
        <f>+BX44+BY44</f>
        <v>0</v>
      </c>
      <c r="CA44" s="325"/>
      <c r="CB44" s="327">
        <v>0</v>
      </c>
      <c r="CC44" s="327">
        <v>0</v>
      </c>
      <c r="CD44" s="326">
        <f>+CB44+CC44</f>
        <v>0</v>
      </c>
      <c r="CE44" s="325"/>
      <c r="CF44" s="327">
        <v>0</v>
      </c>
      <c r="CG44" s="327">
        <v>0</v>
      </c>
      <c r="CH44" s="326">
        <f>+CF44+CG44</f>
        <v>0</v>
      </c>
      <c r="CI44" s="325"/>
      <c r="CJ44" s="327">
        <v>0</v>
      </c>
      <c r="CK44" s="327">
        <v>0</v>
      </c>
      <c r="CL44" s="326">
        <f>+CJ44+CK44</f>
        <v>0</v>
      </c>
      <c r="CM44" s="325"/>
      <c r="CN44" s="327">
        <v>0</v>
      </c>
      <c r="CO44" s="327">
        <v>0</v>
      </c>
      <c r="CP44" s="326">
        <f>+CN44+CO44</f>
        <v>0</v>
      </c>
      <c r="CQ44" s="325"/>
      <c r="CR44" s="327">
        <v>0</v>
      </c>
      <c r="CS44" s="327">
        <v>0</v>
      </c>
      <c r="CT44" s="326">
        <f>+CR44+CS44</f>
        <v>0</v>
      </c>
      <c r="CU44" s="325"/>
      <c r="CV44" s="327">
        <v>0</v>
      </c>
      <c r="CW44" s="327">
        <v>0</v>
      </c>
      <c r="CX44" s="326">
        <f>+CV44+CW44</f>
        <v>0</v>
      </c>
      <c r="CY44" s="325"/>
      <c r="CZ44" s="327">
        <v>0</v>
      </c>
      <c r="DA44" s="327">
        <v>0</v>
      </c>
      <c r="DB44" s="326">
        <f>+CZ44+DA44</f>
        <v>0</v>
      </c>
      <c r="DC44" s="325"/>
      <c r="DD44" s="327">
        <v>0</v>
      </c>
      <c r="DE44" s="327">
        <v>0</v>
      </c>
      <c r="DF44" s="326">
        <f>+DD44+DE44</f>
        <v>0</v>
      </c>
      <c r="DG44" s="325"/>
      <c r="DH44" s="328">
        <f>DD44</f>
        <v>0</v>
      </c>
      <c r="DI44" s="328">
        <f>DE44</f>
        <v>0</v>
      </c>
      <c r="DJ44" s="326">
        <f>DH44+DI44</f>
        <v>0</v>
      </c>
      <c r="DK44" s="325"/>
      <c r="DL44" s="328">
        <f>DH44</f>
        <v>0</v>
      </c>
      <c r="DM44" s="328">
        <f>DI44</f>
        <v>0</v>
      </c>
      <c r="DN44" s="326">
        <f>DL44+DM44</f>
        <v>0</v>
      </c>
      <c r="DO44" s="325"/>
      <c r="DP44" s="328">
        <f>DL44</f>
        <v>0</v>
      </c>
      <c r="DQ44" s="328">
        <f>DM44</f>
        <v>0</v>
      </c>
      <c r="DR44" s="326">
        <f>DP44+DQ44</f>
        <v>0</v>
      </c>
      <c r="DS44" s="325"/>
      <c r="DT44" s="325"/>
      <c r="DU44" s="325"/>
      <c r="DV44" s="325"/>
    </row>
    <row r="45" spans="1:128" s="20" customFormat="1" ht="13.8">
      <c r="A45" s="21" t="s">
        <v>553</v>
      </c>
      <c r="B45" s="49"/>
      <c r="BD45" s="72">
        <f>SUM(BD43:BD44)</f>
        <v>2896</v>
      </c>
      <c r="BE45" s="72">
        <f>SUM(BE43:BE44)</f>
        <v>2934</v>
      </c>
      <c r="BF45" s="72">
        <f>SUM(BF43:BF44)</f>
        <v>5830</v>
      </c>
      <c r="BH45" s="72">
        <f>SUM(BH43:BH44)</f>
        <v>3176</v>
      </c>
      <c r="BI45" s="72">
        <f>SUM(BI43:BI44)</f>
        <v>3310</v>
      </c>
      <c r="BJ45" s="72">
        <f>SUM(BJ43:BJ44)</f>
        <v>6486</v>
      </c>
      <c r="BK45" s="49"/>
      <c r="BL45" s="72">
        <f>SUM(BL43:BL44)</f>
        <v>3512</v>
      </c>
      <c r="BM45" s="72">
        <f>SUM(BM43:BM44)</f>
        <v>3599</v>
      </c>
      <c r="BN45" s="72">
        <f>SUM(BN43:BN44)</f>
        <v>7111</v>
      </c>
      <c r="BO45" s="49"/>
      <c r="BP45" s="72">
        <f>SUM(BP43:BP44)</f>
        <v>3675</v>
      </c>
      <c r="BQ45" s="72">
        <f>SUM(BQ43:BQ44)</f>
        <v>3540</v>
      </c>
      <c r="BR45" s="72">
        <f>SUM(BR43:BR44)</f>
        <v>7215</v>
      </c>
      <c r="BT45" s="72">
        <f>SUM(BT43:BT44)</f>
        <v>2782</v>
      </c>
      <c r="BU45" s="72">
        <f>SUM(BU43:BU44)</f>
        <v>3107</v>
      </c>
      <c r="BV45" s="72">
        <f>SUM(BV43:BV44)</f>
        <v>5889</v>
      </c>
      <c r="BX45" s="72">
        <f>SUM(BX43:BX44)</f>
        <v>3355</v>
      </c>
      <c r="BY45" s="72">
        <f>SUM(BY43:BY44)</f>
        <v>3454</v>
      </c>
      <c r="BZ45" s="72">
        <f>SUM(BZ43:BZ44)</f>
        <v>6809</v>
      </c>
      <c r="CB45" s="72">
        <f>SUM(CB43:CB44)</f>
        <v>3493</v>
      </c>
      <c r="CC45" s="72">
        <f>SUM(CC43:CC44)</f>
        <v>2994</v>
      </c>
      <c r="CD45" s="72">
        <f>SUM(CD43:CD44)</f>
        <v>6487</v>
      </c>
      <c r="CF45" s="72">
        <f>SUM(CF43:CF44)</f>
        <v>3564</v>
      </c>
      <c r="CG45" s="72">
        <f>SUM(CG43:CG44)</f>
        <v>2906</v>
      </c>
      <c r="CH45" s="72">
        <f>SUM(CH43:CH44)</f>
        <v>6470</v>
      </c>
      <c r="CJ45" s="72">
        <f>SUM(CJ43:CJ44)</f>
        <v>1413</v>
      </c>
      <c r="CK45" s="72">
        <f>SUM(CK43:CK44)</f>
        <v>2345</v>
      </c>
      <c r="CL45" s="72">
        <f>SUM(CL43:CL44)</f>
        <v>3758</v>
      </c>
      <c r="CN45" s="72">
        <f>SUM(CN43:CN44)</f>
        <v>2990</v>
      </c>
      <c r="CO45" s="72">
        <f>SUM(CO43:CO44)</f>
        <v>3208</v>
      </c>
      <c r="CP45" s="72">
        <f>SUM(CP43:CP44)</f>
        <v>6198</v>
      </c>
      <c r="CR45" s="72">
        <f>SUM(CR43:CR44)</f>
        <v>3113</v>
      </c>
      <c r="CS45" s="72">
        <f>SUM(CS43:CS44)</f>
        <v>3402</v>
      </c>
      <c r="CT45" s="72">
        <f>SUM(CT43:CT44)</f>
        <v>6515</v>
      </c>
      <c r="CV45" s="72">
        <f>SUM(CV43:CV44)</f>
        <v>3829</v>
      </c>
      <c r="CW45" s="72">
        <f>SUM(CW43:CW44)</f>
        <v>3584</v>
      </c>
      <c r="CX45" s="72">
        <f>SUM(CX43:CX44)</f>
        <v>7413</v>
      </c>
      <c r="CZ45" s="72">
        <f>SUM(CZ43:CZ44)</f>
        <v>3552</v>
      </c>
      <c r="DA45" s="72">
        <f>SUM(DA43:DA44)</f>
        <v>3173</v>
      </c>
      <c r="DB45" s="72">
        <f>SUM(DB43:DB44)</f>
        <v>6725</v>
      </c>
      <c r="DD45" s="72">
        <f>SUM(DD43:DD44)</f>
        <v>3568</v>
      </c>
      <c r="DE45" s="72">
        <f>SUM(DE43:DE44)</f>
        <v>2219</v>
      </c>
      <c r="DF45" s="72">
        <f>SUM(DF43:DF44)</f>
        <v>5787</v>
      </c>
      <c r="DH45" s="72">
        <f ca="1">SUM(DH43:DH44)</f>
        <v>3701.5536350305647</v>
      </c>
      <c r="DI45" s="72">
        <f ca="1">SUM(DI43:DI44)</f>
        <v>3826.2909150494493</v>
      </c>
      <c r="DJ45" s="72">
        <f ca="1">SUM(DJ43:DJ44)</f>
        <v>7527.8445500800126</v>
      </c>
      <c r="DL45" s="72">
        <f ca="1">SUM(DL43:DL44)</f>
        <v>3980.3177206167493</v>
      </c>
      <c r="DM45" s="72">
        <f ca="1">SUM(DM43:DM44)</f>
        <v>3994.2697629431987</v>
      </c>
      <c r="DN45" s="72">
        <f ca="1">SUM(DN43:DN44)</f>
        <v>7974.5874835599489</v>
      </c>
      <c r="DP45" s="72">
        <f ca="1">SUM(DP43:DP44)</f>
        <v>4160.966953009286</v>
      </c>
      <c r="DQ45" s="72">
        <f ca="1">SUM(DQ43:DQ44)</f>
        <v>4318.1038988617502</v>
      </c>
      <c r="DR45" s="72">
        <f ca="1">SUM(DR43:DR44)</f>
        <v>8479.0708518710398</v>
      </c>
    </row>
    <row r="46" spans="1:128" s="20" customFormat="1" ht="13.8">
      <c r="B46" s="49"/>
      <c r="BH46" s="49"/>
      <c r="BI46" s="49"/>
      <c r="BJ46" s="49"/>
      <c r="BK46" s="49"/>
      <c r="BL46" s="49"/>
      <c r="BM46" s="49"/>
      <c r="BN46" s="49"/>
      <c r="BO46" s="49"/>
      <c r="BP46" s="49"/>
      <c r="BT46" s="49"/>
      <c r="BV46" s="28"/>
      <c r="BX46" s="49"/>
      <c r="BZ46" s="28"/>
      <c r="CB46" s="49"/>
      <c r="CD46" s="28"/>
      <c r="CF46" s="49"/>
      <c r="CH46" s="28"/>
      <c r="CJ46" s="49"/>
      <c r="CL46" s="28"/>
      <c r="CN46" s="49"/>
      <c r="CP46" s="28"/>
      <c r="CR46" s="49"/>
      <c r="CT46" s="28"/>
      <c r="CV46" s="49"/>
      <c r="CX46" s="28"/>
      <c r="CZ46" s="49"/>
      <c r="DB46" s="28"/>
      <c r="DD46" s="49"/>
      <c r="DF46" s="28"/>
      <c r="DH46" s="49"/>
      <c r="DL46" s="49"/>
      <c r="DP46" s="49"/>
    </row>
    <row r="47" spans="1:128" s="20" customFormat="1" ht="13.8">
      <c r="A47" s="78" t="s">
        <v>554</v>
      </c>
      <c r="B47" s="49"/>
      <c r="BH47" s="49"/>
      <c r="BI47" s="49"/>
      <c r="BJ47" s="49"/>
      <c r="BK47" s="49"/>
      <c r="BL47" s="49"/>
      <c r="BM47" s="49"/>
      <c r="BN47" s="49"/>
      <c r="BO47" s="49"/>
      <c r="BP47" s="49"/>
      <c r="BT47" s="49"/>
      <c r="BX47" s="49"/>
      <c r="CB47" s="49"/>
      <c r="CF47" s="49"/>
      <c r="CJ47" s="49"/>
      <c r="CN47" s="49"/>
      <c r="CR47" s="49"/>
      <c r="CV47" s="49"/>
      <c r="CZ47" s="49"/>
      <c r="DD47" s="49"/>
      <c r="DH47" s="49"/>
      <c r="DL47" s="49"/>
      <c r="DP47" s="49"/>
    </row>
    <row r="48" spans="1:128" s="20" customFormat="1" ht="13.8">
      <c r="A48" s="329" t="str">
        <f>A14</f>
        <v>Net Interest Income</v>
      </c>
      <c r="B48" s="49"/>
      <c r="BH48" s="75">
        <f>BH14/BD14-1</f>
        <v>4.2112299465240532E-2</v>
      </c>
      <c r="BI48" s="75">
        <f>BI14/BE14-1</f>
        <v>6.6927848514528154E-2</v>
      </c>
      <c r="BJ48" s="75">
        <f>BJ14/BF14-1</f>
        <v>5.4665565648224668E-2</v>
      </c>
      <c r="BK48" s="49"/>
      <c r="BL48" s="75">
        <f>BL14/BH14-1</f>
        <v>8.4669660038486194E-2</v>
      </c>
      <c r="BM48" s="75">
        <f>BM14/BI14-1</f>
        <v>7.6040391676866603E-2</v>
      </c>
      <c r="BN48" s="75">
        <f>BN14/BJ14-1</f>
        <v>8.0253679924835675E-2</v>
      </c>
      <c r="BO48" s="49"/>
      <c r="BP48" s="75">
        <f>BP14/BL14-1</f>
        <v>5.529272619751624E-2</v>
      </c>
      <c r="BQ48" s="75">
        <f>BQ14/BM14-1</f>
        <v>6.3273140907152081E-2</v>
      </c>
      <c r="BR48" s="75">
        <f>BR14/BN14-1</f>
        <v>5.9360730593607247E-2</v>
      </c>
      <c r="BT48" s="75">
        <f>BT14/BP14-1</f>
        <v>6.024096385542177E-2</v>
      </c>
      <c r="BU48" s="75">
        <f>BU14/BQ14-1</f>
        <v>6.5525541588660197E-3</v>
      </c>
      <c r="BV48" s="75">
        <f>BV14/BR14-1</f>
        <v>3.2772304324028445E-2</v>
      </c>
      <c r="BX48" s="75">
        <f>BX14/BT14-1</f>
        <v>-1.9688160676532784E-2</v>
      </c>
      <c r="BY48" s="75">
        <f>BY14/BU14-1</f>
        <v>-9.4327089145741505E-3</v>
      </c>
      <c r="BZ48" s="75">
        <f>BZ14/BV14-1</f>
        <v>-1.4574362371646221E-2</v>
      </c>
      <c r="CB48" s="75">
        <f>CB14/BX14-1</f>
        <v>-9.3004448038819243E-3</v>
      </c>
      <c r="CC48" s="75">
        <f>CC14/BY14-1</f>
        <v>-3.9163090128755407E-2</v>
      </c>
      <c r="CD48" s="75">
        <f>CD14/BZ14-1</f>
        <v>-2.4268907563025244E-2</v>
      </c>
      <c r="CF48" s="75">
        <f>CF14/CB14-1</f>
        <v>-6.9387755102040538E-3</v>
      </c>
      <c r="CG48" s="75">
        <f>CG14/CC14-1</f>
        <v>-1.7308766052484659E-2</v>
      </c>
      <c r="CH48" s="75">
        <f>CH14/CD14-1</f>
        <v>-1.2057323963070132E-2</v>
      </c>
      <c r="CJ48" s="75">
        <f>CJ14/CF14-1</f>
        <v>-1.0549390327442065E-2</v>
      </c>
      <c r="CK48" s="75">
        <f>CK14/CG14-1</f>
        <v>-3.0255681818181834E-2</v>
      </c>
      <c r="CL48" s="75">
        <f>CL14/CH14-1</f>
        <v>-2.022456238231396E-2</v>
      </c>
      <c r="CN48" s="75">
        <f>CN14/CJ14-1</f>
        <v>-3.267792855164775E-2</v>
      </c>
      <c r="CO48" s="75">
        <f>CO14/CK14-1</f>
        <v>5.09740735315658E-2</v>
      </c>
      <c r="CP48" s="75">
        <f>CP14/CL14-1</f>
        <v>7.9720976581962866E-3</v>
      </c>
      <c r="CR48" s="75">
        <f>CR14/CN14-1</f>
        <v>1.6318350987689634E-2</v>
      </c>
      <c r="CS48" s="75">
        <f>CS14/CO14-1</f>
        <v>8.3484320557491332E-2</v>
      </c>
      <c r="CT48" s="75">
        <f>CT14/CP14-1</f>
        <v>5.0349551585340047E-2</v>
      </c>
      <c r="CV48" s="75">
        <f>CV14/CR14-1</f>
        <v>0.19718309859154926</v>
      </c>
      <c r="CW48" s="75">
        <f>CW14/CS14-1</f>
        <v>3.8590172369436626E-2</v>
      </c>
      <c r="CX48" s="75">
        <f>CX14/CT14-1</f>
        <v>0.11429339787548742</v>
      </c>
      <c r="CZ48" s="75">
        <f>CZ14/CV14-1</f>
        <v>-7.0705882352941174E-2</v>
      </c>
      <c r="DA48" s="75">
        <f>DA14/CW14-1</f>
        <v>1.1890017339608594E-2</v>
      </c>
      <c r="DB48" s="75">
        <f>DB14/CX14-1</f>
        <v>-3.0469409919150481E-2</v>
      </c>
      <c r="DD48" s="75">
        <f>DD14/CZ14-1</f>
        <v>0.12280035447525006</v>
      </c>
      <c r="DE48" s="75">
        <f>DE14/DA14-1</f>
        <v>0.11285189718482247</v>
      </c>
      <c r="DF48" s="75">
        <f>DF14/DB14-1</f>
        <v>0.11774223660464256</v>
      </c>
      <c r="DH48" s="75">
        <f ca="1">DH14/DD14-1</f>
        <v>3.5632196139362193E-2</v>
      </c>
      <c r="DI48" s="75">
        <f ca="1">DI14/DE14-1</f>
        <v>2.3518434593736037E-2</v>
      </c>
      <c r="DJ48" s="75">
        <f ca="1">DJ14/DF14-1</f>
        <v>2.9500114408231637E-2</v>
      </c>
      <c r="DL48" s="75">
        <f ca="1">DL14/DH14-1</f>
        <v>2.9723799541519158E-2</v>
      </c>
      <c r="DM48" s="75">
        <f ca="1">DM14/DI14-1</f>
        <v>3.8809311371859279E-2</v>
      </c>
      <c r="DN48" s="75">
        <f ca="1">DN14/DJ14-1</f>
        <v>3.4296234982771345E-2</v>
      </c>
      <c r="DP48" s="75">
        <f ca="1">DP14/DL14-1</f>
        <v>4.2002506189522837E-2</v>
      </c>
      <c r="DQ48" s="75">
        <f ca="1">DQ14/DM14-1</f>
        <v>4.0580236239651457E-2</v>
      </c>
      <c r="DR48" s="75">
        <f ca="1">DR14/DN14-1</f>
        <v>4.1283601844704032E-2</v>
      </c>
    </row>
    <row r="49" spans="1:128" s="20" customFormat="1" ht="13.8">
      <c r="A49" s="330" t="str">
        <f>A19</f>
        <v>Banking Non Interest Income</v>
      </c>
      <c r="B49" s="49"/>
      <c r="BH49" s="75">
        <f t="shared" ref="BH49:BJ52" si="48">BH19/BD19-1</f>
        <v>3.8090867370353276E-2</v>
      </c>
      <c r="BI49" s="75">
        <f t="shared" si="48"/>
        <v>-0.12967479674796745</v>
      </c>
      <c r="BJ49" s="75">
        <f t="shared" si="48"/>
        <v>-5.0873032981246014E-2</v>
      </c>
      <c r="BK49" s="49"/>
      <c r="BL49" s="75">
        <f t="shared" ref="BL49:BN52" si="49">BL19/BH19-1</f>
        <v>1.105216622457994E-2</v>
      </c>
      <c r="BM49" s="75">
        <f t="shared" si="49"/>
        <v>3.2695002335357382E-2</v>
      </c>
      <c r="BN49" s="75">
        <f t="shared" si="49"/>
        <v>2.1576198046786343E-2</v>
      </c>
      <c r="BO49" s="49"/>
      <c r="BP49" s="75">
        <f t="shared" ref="BP49:BR52" si="50">BP19/BL19-1</f>
        <v>1.6615653694796784E-2</v>
      </c>
      <c r="BQ49" s="75">
        <f t="shared" si="50"/>
        <v>-5.3821800090456784E-2</v>
      </c>
      <c r="BR49" s="75">
        <f t="shared" si="50"/>
        <v>-1.8008003557136498E-2</v>
      </c>
      <c r="BT49" s="75">
        <f t="shared" ref="BT49:BV52" si="51">BT19/BP19-1</f>
        <v>-0.14580645161290318</v>
      </c>
      <c r="BU49" s="75">
        <f t="shared" si="51"/>
        <v>-4.6367112810707489E-2</v>
      </c>
      <c r="BV49" s="75">
        <f t="shared" si="51"/>
        <v>-9.8709531356124036E-2</v>
      </c>
      <c r="BX49" s="75">
        <f t="shared" ref="BX49:BZ50" si="52">BX19/BT19-1</f>
        <v>0.11379657603222548</v>
      </c>
      <c r="BY49" s="75">
        <f t="shared" si="52"/>
        <v>3.3082706766917269E-2</v>
      </c>
      <c r="BZ49" s="75">
        <f t="shared" si="52"/>
        <v>7.3348404923386123E-2</v>
      </c>
      <c r="CB49" s="75">
        <f t="shared" ref="CB49:CD50" si="53">CB19/BX19-1</f>
        <v>8.2278481012658222E-2</v>
      </c>
      <c r="CC49" s="75">
        <f t="shared" si="53"/>
        <v>7.0354196991751605E-2</v>
      </c>
      <c r="CD49" s="75">
        <f t="shared" si="53"/>
        <v>7.6527030189562417E-2</v>
      </c>
      <c r="CF49" s="75">
        <f t="shared" ref="CF49:CJ50" si="54">CF19/CB19-1</f>
        <v>-7.1010860484544969E-3</v>
      </c>
      <c r="CG49" s="75">
        <f t="shared" si="54"/>
        <v>-5.4397098821395984E-3</v>
      </c>
      <c r="CH49" s="75">
        <f t="shared" si="54"/>
        <v>-6.304347826086909E-3</v>
      </c>
      <c r="CJ49" s="75">
        <f t="shared" si="54"/>
        <v>-0.44888514934791757</v>
      </c>
      <c r="CK49" s="75">
        <f>CK19/CG19-1</f>
        <v>5.5150410209662715E-2</v>
      </c>
      <c r="CL49" s="75">
        <f>CL19/CH19-1</f>
        <v>-0.20695690220958218</v>
      </c>
      <c r="CN49" s="75">
        <f t="shared" ref="CN49:CN50" si="55">CN19/CJ19-1</f>
        <v>5.7251908396946494E-2</v>
      </c>
      <c r="CO49" s="75">
        <f>CO19/CK19-1</f>
        <v>-0.22634989200863931</v>
      </c>
      <c r="CP49" s="75">
        <f>CP19/CL19-1</f>
        <v>-0.12386206896551721</v>
      </c>
      <c r="CR49" s="75">
        <f t="shared" ref="CR49:CR50" si="56">CR19/CN19-1</f>
        <v>0.29458483754512632</v>
      </c>
      <c r="CS49" s="75">
        <f>CS19/CO19-1</f>
        <v>-2.8475711892797295E-2</v>
      </c>
      <c r="CT49" s="75">
        <f>CT19/CP19-1</f>
        <v>0.1124055415617129</v>
      </c>
      <c r="CV49" s="75">
        <f t="shared" ref="CV49:CV50" si="57">CV19/CR19-1</f>
        <v>0.10708310094813167</v>
      </c>
      <c r="CW49" s="75">
        <f>CW19/CS19-1</f>
        <v>0.28620689655172415</v>
      </c>
      <c r="CX49" s="75">
        <f>CX19/CT19-1</f>
        <v>0.19530144353240875</v>
      </c>
      <c r="CZ49" s="75">
        <f t="shared" ref="CZ49:CZ50" si="58">CZ19/CV19-1</f>
        <v>0.20906801007556686</v>
      </c>
      <c r="DA49" s="75">
        <f>DA19/CW19-1</f>
        <v>-8.93655049151032E-3</v>
      </c>
      <c r="DB49" s="75">
        <f>DB19/CX19-1</f>
        <v>9.3535401373431304E-2</v>
      </c>
      <c r="DD49" s="75">
        <f t="shared" ref="DD49:DD50" si="59">DD19/CZ19-1</f>
        <v>-0.1333333333333333</v>
      </c>
      <c r="DE49" s="75">
        <f>DE19/DA19-1</f>
        <v>-0.2051397655545536</v>
      </c>
      <c r="DF49" s="75">
        <f>DF19/DB19-1</f>
        <v>-0.16782156777825896</v>
      </c>
      <c r="DH49" s="75">
        <f t="shared" ref="DH49:DH50" si="60">DH19/DD19-1</f>
        <v>-1.2272980769230668E-2</v>
      </c>
      <c r="DI49" s="75">
        <f t="shared" ref="DI49:DI50" si="61">DI19/DE19-1</f>
        <v>0.14503757458876909</v>
      </c>
      <c r="DJ49" s="75">
        <f t="shared" ref="DJ49:DJ50" si="62">DJ19/DF19-1</f>
        <v>5.9894208691126716E-2</v>
      </c>
      <c r="DL49" s="75">
        <f t="shared" ref="DL49:DL50" si="63">DL19/DH19-1</f>
        <v>3.0873835567110541E-2</v>
      </c>
      <c r="DM49" s="75">
        <f t="shared" ref="DM49:DM50" si="64">DM19/DI19-1</f>
        <v>3.0581677343832103E-2</v>
      </c>
      <c r="DN49" s="75">
        <f t="shared" ref="DN49:DN50" si="65">DN19/DJ19-1</f>
        <v>3.0729039334667752E-2</v>
      </c>
      <c r="DP49" s="75">
        <f t="shared" ref="DP49:DP50" si="66">DP19/DL19-1</f>
        <v>2.5938911637691353E-2</v>
      </c>
      <c r="DQ49" s="75">
        <f t="shared" ref="DQ49:DQ50" si="67">DQ19/DM19-1</f>
        <v>2.556262979310131E-2</v>
      </c>
      <c r="DR49" s="75">
        <f t="shared" ref="DR49:DR50" si="68">DR19/DN19-1</f>
        <v>2.5752449647035602E-2</v>
      </c>
    </row>
    <row r="50" spans="1:128" s="21" customFormat="1" ht="13.8">
      <c r="A50" s="331" t="str">
        <f>A20</f>
        <v>Banking Income</v>
      </c>
      <c r="B50" s="27"/>
      <c r="BH50" s="79">
        <f t="shared" si="48"/>
        <v>4.1038833762097271E-2</v>
      </c>
      <c r="BI50" s="79">
        <f t="shared" si="48"/>
        <v>1.0598648963428881E-2</v>
      </c>
      <c r="BJ50" s="79">
        <f t="shared" si="48"/>
        <v>2.5434354289808336E-2</v>
      </c>
      <c r="BK50" s="27"/>
      <c r="BL50" s="79">
        <f t="shared" si="49"/>
        <v>6.5074135090609664E-2</v>
      </c>
      <c r="BM50" s="79">
        <f t="shared" si="49"/>
        <v>6.5345165379739445E-2</v>
      </c>
      <c r="BN50" s="79">
        <f t="shared" si="49"/>
        <v>6.52110625909752E-2</v>
      </c>
      <c r="BO50" s="27"/>
      <c r="BP50" s="79">
        <f t="shared" si="50"/>
        <v>4.551983206275545E-2</v>
      </c>
      <c r="BQ50" s="79">
        <f t="shared" si="50"/>
        <v>3.5266118563392457E-2</v>
      </c>
      <c r="BR50" s="79">
        <f t="shared" si="50"/>
        <v>4.0338890407215056E-2</v>
      </c>
      <c r="BT50" s="79">
        <f t="shared" si="51"/>
        <v>9.6164007185881584E-3</v>
      </c>
      <c r="BU50" s="79">
        <f t="shared" si="51"/>
        <v>-5.0156739811911821E-3</v>
      </c>
      <c r="BV50" s="79">
        <f t="shared" si="51"/>
        <v>2.2592339620659541E-3</v>
      </c>
      <c r="BX50" s="79">
        <f t="shared" si="52"/>
        <v>8.0594515386225307E-3</v>
      </c>
      <c r="BY50" s="79">
        <f t="shared" si="52"/>
        <v>-5.2509976895609434E-4</v>
      </c>
      <c r="BZ50" s="79">
        <f t="shared" si="52"/>
        <v>3.7743761794926112E-3</v>
      </c>
      <c r="CB50" s="79">
        <f t="shared" si="53"/>
        <v>1.1732945696189434E-2</v>
      </c>
      <c r="CC50" s="79">
        <f t="shared" si="53"/>
        <v>-1.5446043921403807E-2</v>
      </c>
      <c r="CD50" s="79">
        <f t="shared" si="53"/>
        <v>-1.7756423647378172E-3</v>
      </c>
      <c r="CF50" s="79">
        <f t="shared" si="54"/>
        <v>-6.978653530377632E-3</v>
      </c>
      <c r="CG50" s="79">
        <f t="shared" si="54"/>
        <v>-1.4514407684098174E-2</v>
      </c>
      <c r="CH50" s="79">
        <f t="shared" si="54"/>
        <v>-1.0672805273621466E-2</v>
      </c>
      <c r="CJ50" s="79">
        <f t="shared" si="54"/>
        <v>-0.11823067383216201</v>
      </c>
      <c r="CK50" s="79">
        <f>CK20/CG20-1</f>
        <v>-9.9631795538228651E-3</v>
      </c>
      <c r="CL50" s="79">
        <f>CL20/CH20-1</f>
        <v>-6.5362242199894283E-2</v>
      </c>
      <c r="CN50" s="79">
        <f t="shared" si="55"/>
        <v>-1.8870135958743539E-2</v>
      </c>
      <c r="CO50" s="79">
        <f>CO20/CK20-1</f>
        <v>-1.9251804856705301E-2</v>
      </c>
      <c r="CP50" s="79">
        <f>CP20/CL20-1</f>
        <v>-1.9067556863188839E-2</v>
      </c>
      <c r="CR50" s="79">
        <f t="shared" si="56"/>
        <v>6.2358141201767969E-2</v>
      </c>
      <c r="CS50" s="79">
        <f>CS20/CO20-1</f>
        <v>6.1119785857684628E-2</v>
      </c>
      <c r="CT50" s="79">
        <f>CT20/CP20-1</f>
        <v>6.1717713560592857E-2</v>
      </c>
      <c r="CV50" s="79">
        <f t="shared" si="57"/>
        <v>0.17901720454289882</v>
      </c>
      <c r="CW50" s="79">
        <f>CW20/CS20-1</f>
        <v>8.3876392684465007E-2</v>
      </c>
      <c r="CX50" s="79">
        <f>CX20/CT20-1</f>
        <v>0.12984190796979411</v>
      </c>
      <c r="CZ50" s="79">
        <f t="shared" si="58"/>
        <v>-1.7739628040057243E-2</v>
      </c>
      <c r="DA50" s="79">
        <f>DA20/CW20-1</f>
        <v>7.3700543056633983E-3</v>
      </c>
      <c r="DB50" s="79">
        <f>DB20/CX20-1</f>
        <v>-5.2892244073664552E-3</v>
      </c>
      <c r="DD50" s="79">
        <f t="shared" si="59"/>
        <v>6.3112923584814018E-2</v>
      </c>
      <c r="DE50" s="79">
        <f>DE20/DA20-1</f>
        <v>4.4955718136311162E-2</v>
      </c>
      <c r="DF50" s="79">
        <f>DF20/DB20-1</f>
        <v>5.399526272538302E-2</v>
      </c>
      <c r="DH50" s="79">
        <f t="shared" ca="1" si="60"/>
        <v>2.6531568870216793E-2</v>
      </c>
      <c r="DI50" s="79">
        <f t="shared" ca="1" si="61"/>
        <v>4.3254799753684736E-2</v>
      </c>
      <c r="DJ50" s="79">
        <f t="shared" ca="1" si="62"/>
        <v>3.4857136254184962E-2</v>
      </c>
      <c r="DL50" s="79">
        <f t="shared" ca="1" si="63"/>
        <v>2.9934015144869042E-2</v>
      </c>
      <c r="DM50" s="79">
        <f t="shared" ca="1" si="64"/>
        <v>3.7342660323298693E-2</v>
      </c>
      <c r="DN50" s="79">
        <f t="shared" ca="1" si="65"/>
        <v>3.3652298159260186E-2</v>
      </c>
      <c r="DP50" s="79">
        <f t="shared" ca="1" si="66"/>
        <v>3.9063555138803663E-2</v>
      </c>
      <c r="DQ50" s="79">
        <f t="shared" ca="1" si="67"/>
        <v>3.7920658258179252E-2</v>
      </c>
      <c r="DR50" s="79">
        <f t="shared" ca="1" si="68"/>
        <v>3.8487905205975004E-2</v>
      </c>
    </row>
    <row r="51" spans="1:128" s="20" customFormat="1" ht="13.8">
      <c r="A51" s="330" t="str">
        <f>A21</f>
        <v>Funds Management Income</v>
      </c>
      <c r="B51" s="49"/>
      <c r="BH51" s="75">
        <f t="shared" si="48"/>
        <v>1.1811023622047223E-2</v>
      </c>
      <c r="BI51" s="75">
        <f t="shared" si="48"/>
        <v>7.6305220883534197E-2</v>
      </c>
      <c r="BJ51" s="75">
        <f t="shared" si="48"/>
        <v>4.3737574552683789E-2</v>
      </c>
      <c r="BK51" s="49"/>
      <c r="BL51" s="75">
        <f t="shared" si="49"/>
        <v>5.8365758754863828E-2</v>
      </c>
      <c r="BM51" s="75">
        <f t="shared" si="49"/>
        <v>-3.7313432835820448E-3</v>
      </c>
      <c r="BN51" s="75">
        <f t="shared" si="49"/>
        <v>2.6666666666666616E-2</v>
      </c>
      <c r="BO51" s="49"/>
      <c r="BP51" s="75">
        <f t="shared" si="50"/>
        <v>4.4117647058823595E-2</v>
      </c>
      <c r="BQ51" s="75">
        <f t="shared" si="50"/>
        <v>8.6142322097378266E-2</v>
      </c>
      <c r="BR51" s="75">
        <f t="shared" si="50"/>
        <v>6.4935064935064846E-2</v>
      </c>
      <c r="BT51" s="75">
        <f t="shared" si="51"/>
        <v>-0.17253521126760563</v>
      </c>
      <c r="BU51" s="75">
        <f t="shared" si="51"/>
        <v>-0.23793103448275865</v>
      </c>
      <c r="BV51" s="75">
        <f t="shared" si="51"/>
        <v>-0.20557491289198604</v>
      </c>
      <c r="BX51" s="96"/>
      <c r="BY51" s="96"/>
      <c r="BZ51" s="96"/>
      <c r="CB51" s="96"/>
      <c r="CC51" s="96"/>
      <c r="CD51" s="96"/>
      <c r="CF51" s="96"/>
      <c r="CG51" s="96"/>
      <c r="CH51" s="96"/>
      <c r="CJ51" s="96"/>
      <c r="CK51" s="96"/>
      <c r="CL51" s="96"/>
      <c r="CN51" s="96"/>
      <c r="CO51" s="96"/>
      <c r="CP51" s="96"/>
      <c r="CR51" s="96"/>
      <c r="CS51" s="96"/>
      <c r="CT51" s="96"/>
      <c r="CV51" s="96"/>
      <c r="CW51" s="96"/>
      <c r="CX51" s="96"/>
      <c r="CZ51" s="96"/>
      <c r="DA51" s="96"/>
      <c r="DB51" s="96"/>
      <c r="DD51" s="96"/>
      <c r="DE51" s="96"/>
      <c r="DF51" s="96"/>
      <c r="DH51" s="96"/>
      <c r="DI51" s="96"/>
      <c r="DJ51" s="96"/>
      <c r="DL51" s="96"/>
      <c r="DM51" s="96"/>
      <c r="DN51" s="96"/>
      <c r="DP51" s="96"/>
      <c r="DQ51" s="96"/>
      <c r="DR51" s="96"/>
    </row>
    <row r="52" spans="1:128" s="20" customFormat="1" ht="13.8">
      <c r="A52" s="330" t="str">
        <f>A22</f>
        <v>Insurance Income</v>
      </c>
      <c r="B52" s="49"/>
      <c r="BH52" s="75">
        <f t="shared" si="48"/>
        <v>5.8365758754863828E-2</v>
      </c>
      <c r="BI52" s="75">
        <f t="shared" si="48"/>
        <v>5.9701492537313383E-2</v>
      </c>
      <c r="BJ52" s="75">
        <f t="shared" si="48"/>
        <v>5.9047619047619015E-2</v>
      </c>
      <c r="BK52" s="49"/>
      <c r="BL52" s="75">
        <f t="shared" si="49"/>
        <v>-7.3529411764705621E-3</v>
      </c>
      <c r="BM52" s="75">
        <f t="shared" si="49"/>
        <v>8.098591549295775E-2</v>
      </c>
      <c r="BN52" s="75">
        <f t="shared" si="49"/>
        <v>3.7769784172661858E-2</v>
      </c>
      <c r="BO52" s="49"/>
      <c r="BP52" s="75">
        <f t="shared" si="50"/>
        <v>0.22962962962962963</v>
      </c>
      <c r="BQ52" s="75">
        <f t="shared" si="50"/>
        <v>0.13355048859934859</v>
      </c>
      <c r="BR52" s="75">
        <f t="shared" si="50"/>
        <v>0.17850953206239173</v>
      </c>
      <c r="BT52" s="75">
        <f t="shared" si="51"/>
        <v>-0.11144578313253017</v>
      </c>
      <c r="BU52" s="75">
        <f t="shared" si="51"/>
        <v>-0.17816091954022983</v>
      </c>
      <c r="BV52" s="75">
        <f t="shared" si="51"/>
        <v>-0.14558823529411768</v>
      </c>
      <c r="BX52" s="96"/>
      <c r="BY52" s="96"/>
      <c r="BZ52" s="96"/>
      <c r="CB52" s="96"/>
      <c r="CC52" s="96"/>
      <c r="CD52" s="96"/>
      <c r="CF52" s="96"/>
      <c r="CG52" s="96"/>
      <c r="CH52" s="96"/>
      <c r="CJ52" s="96"/>
      <c r="CK52" s="96"/>
      <c r="CL52" s="96"/>
      <c r="CN52" s="96"/>
      <c r="CO52" s="96"/>
      <c r="CP52" s="96"/>
      <c r="CR52" s="96"/>
      <c r="CS52" s="96"/>
      <c r="CT52" s="96"/>
      <c r="CV52" s="96"/>
      <c r="CW52" s="96"/>
      <c r="CX52" s="96"/>
      <c r="CZ52" s="96"/>
      <c r="DA52" s="96"/>
      <c r="DB52" s="96"/>
      <c r="DD52" s="96"/>
      <c r="DE52" s="96"/>
      <c r="DF52" s="96"/>
      <c r="DH52" s="96"/>
      <c r="DI52" s="96"/>
      <c r="DJ52" s="96"/>
      <c r="DL52" s="96"/>
      <c r="DM52" s="96"/>
      <c r="DN52" s="96"/>
      <c r="DP52" s="96"/>
      <c r="DQ52" s="96"/>
      <c r="DR52" s="96"/>
    </row>
    <row r="53" spans="1:128" s="21" customFormat="1" ht="13.8">
      <c r="A53" s="331" t="str">
        <f>A25</f>
        <v>Wealth Management Income</v>
      </c>
      <c r="B53" s="27"/>
      <c r="BH53" s="79">
        <f t="shared" ref="BH53:BJ54" si="69">BH25/BD25-1</f>
        <v>6.6427289048474059E-2</v>
      </c>
      <c r="BI53" s="79">
        <f t="shared" si="69"/>
        <v>0.14760147601476015</v>
      </c>
      <c r="BJ53" s="79">
        <f t="shared" si="69"/>
        <v>0.10646041856232946</v>
      </c>
      <c r="BK53" s="27"/>
      <c r="BL53" s="79">
        <f t="shared" ref="BL53:BN54" si="70">BL25/BH25-1</f>
        <v>3.8720538720538711E-2</v>
      </c>
      <c r="BM53" s="79">
        <f t="shared" si="70"/>
        <v>7.0739549839228255E-2</v>
      </c>
      <c r="BN53" s="79">
        <f t="shared" si="70"/>
        <v>5.5098684210526327E-2</v>
      </c>
      <c r="BO53" s="27"/>
      <c r="BP53" s="79">
        <f t="shared" ref="BP53:BR54" si="71">BP25/BL25-1</f>
        <v>0.18638573743922193</v>
      </c>
      <c r="BQ53" s="79">
        <f t="shared" si="71"/>
        <v>0.15915915915915924</v>
      </c>
      <c r="BR53" s="79">
        <f t="shared" si="71"/>
        <v>0.17225253312548716</v>
      </c>
      <c r="BT53" s="79">
        <f t="shared" ref="BT53:BV54" si="72">BT25/BP25-1</f>
        <v>5.3278688524590168E-2</v>
      </c>
      <c r="BU53" s="79">
        <f t="shared" si="72"/>
        <v>-3.2383419689119175E-2</v>
      </c>
      <c r="BV53" s="79">
        <f t="shared" si="72"/>
        <v>9.3085106382979621E-3</v>
      </c>
      <c r="BX53" s="79">
        <f t="shared" ref="BX53:BZ54" si="73">BX25/BT25-1</f>
        <v>-0.55252918287937747</v>
      </c>
      <c r="BY53" s="79">
        <f t="shared" si="73"/>
        <v>-0.56760374832663985</v>
      </c>
      <c r="BZ53" s="79">
        <f t="shared" si="73"/>
        <v>-0.55994729907773388</v>
      </c>
      <c r="CB53" s="79">
        <f t="shared" ref="CB53:CD54" si="74">CB25/BX25-1</f>
        <v>-0.63478260869565217</v>
      </c>
      <c r="CC53" s="79">
        <f t="shared" si="74"/>
        <v>-0.60681114551083593</v>
      </c>
      <c r="CD53" s="79">
        <f t="shared" si="74"/>
        <v>-0.62125748502994016</v>
      </c>
      <c r="CF53" s="79">
        <f t="shared" ref="CF53:CJ54" si="75">CF25/CB25-1</f>
        <v>-0.44444444444444442</v>
      </c>
      <c r="CG53" s="79">
        <f t="shared" si="75"/>
        <v>-0.61417322834645671</v>
      </c>
      <c r="CH53" s="79">
        <f t="shared" si="75"/>
        <v>-0.52964426877470361</v>
      </c>
      <c r="CJ53" s="79">
        <f t="shared" si="75"/>
        <v>-0.32857142857142863</v>
      </c>
      <c r="CK53" s="79">
        <f>CK25/CG25-1</f>
        <v>-0.36734693877551017</v>
      </c>
      <c r="CL53" s="79">
        <f>CL25/CH25-1</f>
        <v>-0.34453781512605042</v>
      </c>
      <c r="CN53" s="79">
        <f t="shared" ref="CN53:CN54" si="76">CN25/CJ25-1</f>
        <v>0.1063829787234043</v>
      </c>
      <c r="CO53" s="79">
        <f>CO25/CK25-1</f>
        <v>0.87096774193548376</v>
      </c>
      <c r="CP53" s="79">
        <f>CP25/CL25-1</f>
        <v>0.41025641025641035</v>
      </c>
      <c r="CR53" s="79">
        <f t="shared" ref="CR53:CR54" si="77">CR25/CN25-1</f>
        <v>5.7692307692307709E-2</v>
      </c>
      <c r="CS53" s="79">
        <f>CS25/CO25-1</f>
        <v>0.46551724137931028</v>
      </c>
      <c r="CT53" s="79">
        <f>CT25/CP25-1</f>
        <v>0.27272727272727271</v>
      </c>
      <c r="CV53" s="79">
        <f t="shared" ref="CV53:CV54" si="78">CV25/CR25-1</f>
        <v>0</v>
      </c>
      <c r="CW53" s="79">
        <f>CW25/CS25-1</f>
        <v>-0.37647058823529411</v>
      </c>
      <c r="CX53" s="79">
        <f>CX25/CT25-1</f>
        <v>-0.22857142857142854</v>
      </c>
      <c r="CZ53" s="79">
        <f t="shared" ref="CZ53:CZ54" si="79">CZ25/CV25-1</f>
        <v>-0.12727272727272732</v>
      </c>
      <c r="DA53" s="79">
        <f>DA25/CW25-1</f>
        <v>0.39622641509433953</v>
      </c>
      <c r="DB53" s="79">
        <f>DB25/CX25-1</f>
        <v>0.12962962962962954</v>
      </c>
      <c r="DD53" s="79">
        <f t="shared" ref="DD53:DD54" si="80">DD25/CZ25-1</f>
        <v>-4.166666666666663E-2</v>
      </c>
      <c r="DE53" s="79">
        <f>DE25/DA25-1</f>
        <v>-0.33783783783783783</v>
      </c>
      <c r="DF53" s="79">
        <f>DF25/DB25-1</f>
        <v>-0.22131147540983609</v>
      </c>
      <c r="DH53" s="79">
        <f t="shared" ref="DH53:DH54" si="81">DH25/DD25-1</f>
        <v>7.5869565217391299E-2</v>
      </c>
      <c r="DI53" s="79">
        <f t="shared" ref="DI53:DI54" si="82">DI25/DE25-1</f>
        <v>2.0100000000000007E-2</v>
      </c>
      <c r="DJ53" s="79">
        <f t="shared" ref="DJ53:DJ54" si="83">DJ25/DF25-1</f>
        <v>4.7104210526315748E-2</v>
      </c>
      <c r="DL53" s="79">
        <f t="shared" ref="DL53:DL54" si="84">DL25/DH25-1</f>
        <v>2.0100000000000007E-2</v>
      </c>
      <c r="DM53" s="79">
        <f t="shared" ref="DM53:DM54" si="85">DM25/DI25-1</f>
        <v>2.0100000000000007E-2</v>
      </c>
      <c r="DN53" s="79">
        <f t="shared" ref="DN53:DN54" si="86">DN25/DJ25-1</f>
        <v>2.0100000000000007E-2</v>
      </c>
      <c r="DP53" s="79">
        <f t="shared" ref="DP53:DP54" si="87">DP25/DL25-1</f>
        <v>2.0100000000000229E-2</v>
      </c>
      <c r="DQ53" s="79">
        <f t="shared" ref="DQ53:DQ54" si="88">DQ25/DM25-1</f>
        <v>2.0100000000000007E-2</v>
      </c>
      <c r="DR53" s="79">
        <f t="shared" ref="DR53:DR54" si="89">DR25/DN25-1</f>
        <v>2.0100000000000007E-2</v>
      </c>
    </row>
    <row r="54" spans="1:128" s="21" customFormat="1" ht="13.8">
      <c r="A54" s="78" t="str">
        <f>A26</f>
        <v>Total Income</v>
      </c>
      <c r="B54" s="27"/>
      <c r="BH54" s="79">
        <f t="shared" si="69"/>
        <v>4.266055045871564E-2</v>
      </c>
      <c r="BI54" s="79">
        <f t="shared" si="69"/>
        <v>1.8733567046450572E-2</v>
      </c>
      <c r="BJ54" s="79">
        <f t="shared" si="69"/>
        <v>3.0423576871358105E-2</v>
      </c>
      <c r="BK54" s="27"/>
      <c r="BL54" s="79">
        <f t="shared" si="70"/>
        <v>6.3352397712274522E-2</v>
      </c>
      <c r="BM54" s="79">
        <f t="shared" si="70"/>
        <v>6.5705989891386096E-2</v>
      </c>
      <c r="BN54" s="79">
        <f t="shared" si="70"/>
        <v>6.4542439236583204E-2</v>
      </c>
      <c r="BO54" s="27"/>
      <c r="BP54" s="79">
        <f t="shared" si="71"/>
        <v>5.450972279685562E-2</v>
      </c>
      <c r="BQ54" s="79">
        <f t="shared" si="71"/>
        <v>4.3592330978809324E-2</v>
      </c>
      <c r="BR54" s="79">
        <f t="shared" si="71"/>
        <v>4.8983552967616806E-2</v>
      </c>
      <c r="BS54" s="567"/>
      <c r="BT54" s="79">
        <f t="shared" si="72"/>
        <v>1.2751348700343224E-2</v>
      </c>
      <c r="BU54" s="79">
        <f t="shared" si="72"/>
        <v>-7.0585960162444783E-3</v>
      </c>
      <c r="BV54" s="79">
        <f t="shared" si="72"/>
        <v>2.7754784048303893E-3</v>
      </c>
      <c r="BX54" s="79">
        <f t="shared" si="73"/>
        <v>-3.3801452784503638E-2</v>
      </c>
      <c r="BY54" s="79">
        <f t="shared" si="73"/>
        <v>-4.1776219690330074E-2</v>
      </c>
      <c r="BZ54" s="79">
        <f t="shared" si="73"/>
        <v>-3.7777993590366155E-2</v>
      </c>
      <c r="CB54" s="79">
        <f t="shared" si="74"/>
        <v>-1.0625501202886967E-2</v>
      </c>
      <c r="CC54" s="79">
        <f t="shared" si="74"/>
        <v>-3.4857723577235822E-2</v>
      </c>
      <c r="CD54" s="79">
        <f t="shared" si="74"/>
        <v>-2.2658457811869148E-2</v>
      </c>
      <c r="CF54" s="79">
        <f t="shared" si="75"/>
        <v>-1.2563323201621124E-2</v>
      </c>
      <c r="CG54" s="79">
        <f t="shared" si="75"/>
        <v>-2.2533431609982113E-2</v>
      </c>
      <c r="CH54" s="79">
        <f t="shared" si="75"/>
        <v>-1.7452367429132032E-2</v>
      </c>
      <c r="CJ54" s="79">
        <f t="shared" si="75"/>
        <v>-0.11974143238251589</v>
      </c>
      <c r="CK54" s="79">
        <f>CK26/CG26-1</f>
        <v>-1.1849617580523497E-2</v>
      </c>
      <c r="CL54" s="79">
        <f>CL26/CH26-1</f>
        <v>-6.7108098165957197E-2</v>
      </c>
      <c r="CN54" s="79">
        <f t="shared" si="76"/>
        <v>-1.8183937521855653E-2</v>
      </c>
      <c r="CO54" s="79">
        <f>CO26/CK26-1</f>
        <v>-1.624332279515972E-2</v>
      </c>
      <c r="CP54" s="79">
        <f>CP26/CL26-1</f>
        <v>-1.7181162685894535E-2</v>
      </c>
      <c r="CR54" s="79">
        <f t="shared" si="77"/>
        <v>6.2329336340971153E-2</v>
      </c>
      <c r="CS54" s="79">
        <f>CS26/CO26-1</f>
        <v>6.3718971631205656E-2</v>
      </c>
      <c r="CT54" s="79">
        <f>CT26/CP26-1</f>
        <v>6.3048088496589605E-2</v>
      </c>
      <c r="CV54" s="79">
        <f t="shared" si="78"/>
        <v>0.17791685292802861</v>
      </c>
      <c r="CW54" s="79">
        <f>CW26/CS26-1</f>
        <v>7.9799979164496326E-2</v>
      </c>
      <c r="CX54" s="79">
        <f>CX26/CT26-1</f>
        <v>0.12713646411818624</v>
      </c>
      <c r="CZ54" s="79">
        <f t="shared" si="79"/>
        <v>-1.8311195445920303E-2</v>
      </c>
      <c r="DA54" s="79">
        <f>DA26/CW26-1</f>
        <v>9.3584177520502632E-3</v>
      </c>
      <c r="DB54" s="79">
        <f>DB26/CX26-1</f>
        <v>-4.5922028222913358E-3</v>
      </c>
      <c r="DD54" s="79">
        <f t="shared" si="80"/>
        <v>6.2626848361843956E-2</v>
      </c>
      <c r="DE54" s="79">
        <f>DE26/DA26-1</f>
        <v>4.2248136111642243E-2</v>
      </c>
      <c r="DF54" s="79">
        <f>DF26/DB26-1</f>
        <v>5.2381181219664619E-2</v>
      </c>
      <c r="DH54" s="79">
        <f t="shared" ca="1" si="81"/>
        <v>2.6737985226012118E-2</v>
      </c>
      <c r="DI54" s="79">
        <f t="shared" ca="1" si="82"/>
        <v>4.3150747553764468E-2</v>
      </c>
      <c r="DJ54" s="79">
        <f t="shared" ca="1" si="83"/>
        <v>3.4910265258059736E-2</v>
      </c>
      <c r="DL54" s="79">
        <f t="shared" ca="1" si="84"/>
        <v>2.9890903612143083E-2</v>
      </c>
      <c r="DM54" s="79">
        <f t="shared" ca="1" si="85"/>
        <v>3.7266888073223647E-2</v>
      </c>
      <c r="DN54" s="79">
        <f t="shared" ca="1" si="86"/>
        <v>3.3592814252971337E-2</v>
      </c>
      <c r="DP54" s="79">
        <f t="shared" ca="1" si="87"/>
        <v>3.8981210775734576E-2</v>
      </c>
      <c r="DQ54" s="79">
        <f t="shared" ca="1" si="88"/>
        <v>3.7843642093719376E-2</v>
      </c>
      <c r="DR54" s="79">
        <f t="shared" ca="1" si="89"/>
        <v>3.8408250386937848E-2</v>
      </c>
    </row>
    <row r="55" spans="1:128" s="20" customFormat="1" ht="13.8">
      <c r="A55" s="330" t="str">
        <f>A31</f>
        <v>Total Operating Expenses</v>
      </c>
      <c r="B55" s="49"/>
      <c r="BH55" s="75">
        <f t="shared" ref="BH55:BJ59" si="90">BH31/BD31-1</f>
        <v>-2.1533994676990131E-2</v>
      </c>
      <c r="BI55" s="75">
        <f t="shared" si="90"/>
        <v>-3.9443684450524374E-2</v>
      </c>
      <c r="BJ55" s="75">
        <f t="shared" si="90"/>
        <v>-3.0754783425284704E-2</v>
      </c>
      <c r="BK55" s="49"/>
      <c r="BL55" s="75">
        <f t="shared" ref="BL55:BN59" si="91">BL31/BH31-1</f>
        <v>5.9841740850642866E-2</v>
      </c>
      <c r="BM55" s="75">
        <f t="shared" si="91"/>
        <v>6.1951103726560541E-2</v>
      </c>
      <c r="BN55" s="75">
        <f t="shared" si="91"/>
        <v>6.0918008962092873E-2</v>
      </c>
      <c r="BO55" s="49"/>
      <c r="BP55" s="75">
        <f t="shared" ref="BP55:BR59" si="92">BP31/BL31-1</f>
        <v>7.3961735884274349E-2</v>
      </c>
      <c r="BQ55" s="75">
        <f t="shared" si="92"/>
        <v>6.7277603933839858E-2</v>
      </c>
      <c r="BR55" s="75">
        <f t="shared" si="92"/>
        <v>7.0547945205479357E-2</v>
      </c>
      <c r="BS55" s="567"/>
      <c r="BT55" s="75">
        <f t="shared" ref="BT55:BV59" si="93">BT31/BP31-1</f>
        <v>0.19226591353465139</v>
      </c>
      <c r="BU55" s="75">
        <f t="shared" si="93"/>
        <v>3.6858638743455518E-2</v>
      </c>
      <c r="BV55" s="75">
        <f t="shared" si="93"/>
        <v>0.11313712945190879</v>
      </c>
      <c r="BX55" s="75">
        <f t="shared" ref="BX55:BZ59" si="94">BX31/BT31-1</f>
        <v>-0.18239795918367352</v>
      </c>
      <c r="BY55" s="75">
        <f t="shared" si="94"/>
        <v>-9.5132296505756386E-2</v>
      </c>
      <c r="BZ55" s="75">
        <f t="shared" si="94"/>
        <v>-0.14100967525625063</v>
      </c>
      <c r="CB55" s="75">
        <f t="shared" ref="CB55:CD59" si="95">CB31/BX31-1</f>
        <v>-3.1201248049922414E-3</v>
      </c>
      <c r="CC55" s="75">
        <f t="shared" si="95"/>
        <v>0.10000000000000009</v>
      </c>
      <c r="CD55" s="75">
        <f t="shared" si="95"/>
        <v>4.8399687743950093E-2</v>
      </c>
      <c r="CF55" s="75">
        <f t="shared" ref="CF55:CJ59" si="96">CF31/CB31-1</f>
        <v>-2.4144869215291798E-2</v>
      </c>
      <c r="CG55" s="75">
        <f t="shared" si="96"/>
        <v>-4.504870129870131E-2</v>
      </c>
      <c r="CH55" s="75">
        <f t="shared" si="96"/>
        <v>-3.5102648654398494E-2</v>
      </c>
      <c r="CJ55" s="75">
        <f t="shared" si="96"/>
        <v>5.4982817869415834E-2</v>
      </c>
      <c r="CK55" s="75">
        <f t="shared" ref="CK55:CL59" si="97">CK31/CG31-1</f>
        <v>1.5299617509562324E-2</v>
      </c>
      <c r="CL55" s="75">
        <f t="shared" si="97"/>
        <v>3.4395325763421969E-2</v>
      </c>
      <c r="CN55" s="75">
        <f t="shared" ref="CN55:CN59" si="98">CN31/CJ31-1</f>
        <v>-2.6710097719869652E-2</v>
      </c>
      <c r="CO55" s="75">
        <f t="shared" ref="CO55:CO59" si="99">CO31/CK31-1</f>
        <v>-4.3742151527835893E-2</v>
      </c>
      <c r="CP55" s="75">
        <f t="shared" ref="CP55:CP59" si="100">CP31/CL31-1</f>
        <v>-3.5383139720771561E-2</v>
      </c>
      <c r="CR55" s="75">
        <f t="shared" ref="CR55:CR59" si="101">CR31/CN31-1</f>
        <v>6.8942436412315899E-2</v>
      </c>
      <c r="CS55" s="75">
        <f t="shared" ref="CS55:CS59" si="102">CS31/CO31-1</f>
        <v>4.7931713722915381E-2</v>
      </c>
      <c r="CT55" s="75">
        <f t="shared" ref="CT55:CT59" si="103">CT31/CP31-1</f>
        <v>5.8336095459065263E-2</v>
      </c>
      <c r="CV55" s="75">
        <f t="shared" ref="CV55:CV59" si="104">CV31/CR31-1</f>
        <v>4.2997286579002258E-2</v>
      </c>
      <c r="CW55" s="75">
        <f t="shared" ref="CW55:CW59" si="105">CW31/CS31-1</f>
        <v>7.3934837092731742E-2</v>
      </c>
      <c r="CX55" s="75">
        <f t="shared" ref="CX55:CX59" si="106">CX31/CT31-1</f>
        <v>5.8461217246059016E-2</v>
      </c>
      <c r="CZ55" s="75">
        <f t="shared" ref="CZ55:CZ59" si="107">CZ31/CV31-1</f>
        <v>4.3626175705423265E-2</v>
      </c>
      <c r="DA55" s="75">
        <f t="shared" ref="DA55:DA59" si="108">DA31/CW31-1</f>
        <v>7.4679113185530888E-2</v>
      </c>
      <c r="DB55" s="75">
        <f t="shared" ref="DB55:DB59" si="109">DB31/CX31-1</f>
        <v>5.9374691784199518E-2</v>
      </c>
      <c r="DD55" s="75">
        <f t="shared" ref="DD55:DD59" si="110">DD31/CZ31-1</f>
        <v>0.10105465004793857</v>
      </c>
      <c r="DE55" s="75">
        <f t="shared" ref="DE55:DE59" si="111">DE31/DA31-1</f>
        <v>0.29171190734708641</v>
      </c>
      <c r="DF55" s="75">
        <f t="shared" ref="DF55:DF59" si="112">DF31/DB31-1</f>
        <v>0.19914346895074941</v>
      </c>
      <c r="DH55" s="75">
        <f t="shared" ref="DH55:DH59" si="113">DH31/DD31-1</f>
        <v>1.024142241977577E-2</v>
      </c>
      <c r="DI55" s="75">
        <f t="shared" ref="DI55:DI59" si="114">DI31/DE31-1</f>
        <v>-0.21902171853053021</v>
      </c>
      <c r="DJ55" s="75">
        <f t="shared" ref="DJ55:DJ59" si="115">DJ31/DF31-1</f>
        <v>-0.11681450150128669</v>
      </c>
      <c r="DL55" s="75">
        <f t="shared" ref="DL55:DL59" si="116">DL31/DH31-1</f>
        <v>-4.1759055543193035E-2</v>
      </c>
      <c r="DM55" s="75">
        <f t="shared" ref="DM55:DM59" si="117">DM31/DI31-1</f>
        <v>2.2311763117999428E-2</v>
      </c>
      <c r="DN55" s="75">
        <f t="shared" ref="DN55:DN59" si="118">DN31/DJ31-1</f>
        <v>-1.03606220698369E-2</v>
      </c>
      <c r="DP55" s="75">
        <f t="shared" ref="DP55:DP59" si="119">DP31/DL31-1</f>
        <v>2.381000749715434E-2</v>
      </c>
      <c r="DQ55" s="75">
        <f t="shared" ref="DQ55:DQ59" si="120">DQ31/DM31-1</f>
        <v>-1.3271365963725135E-2</v>
      </c>
      <c r="DR55" s="75">
        <f t="shared" ref="DR55:DR59" si="121">DR31/DN31-1</f>
        <v>5.0380349824266091E-3</v>
      </c>
    </row>
    <row r="56" spans="1:128" s="21" customFormat="1" ht="13.8">
      <c r="A56" s="78" t="str">
        <f>A32</f>
        <v>Pre-Provision Profit</v>
      </c>
      <c r="B56" s="27"/>
      <c r="BH56" s="79">
        <f t="shared" si="90"/>
        <v>0.10050141704817972</v>
      </c>
      <c r="BI56" s="79">
        <f t="shared" si="90"/>
        <v>7.2543230704344097E-2</v>
      </c>
      <c r="BJ56" s="79">
        <f t="shared" si="90"/>
        <v>8.629006324364874E-2</v>
      </c>
      <c r="BK56" s="27"/>
      <c r="BL56" s="79">
        <f t="shared" si="91"/>
        <v>6.6164817749603699E-2</v>
      </c>
      <c r="BM56" s="79">
        <f t="shared" si="91"/>
        <v>6.8816358631537566E-2</v>
      </c>
      <c r="BN56" s="79">
        <f t="shared" si="91"/>
        <v>6.7495559502664282E-2</v>
      </c>
      <c r="BO56" s="27"/>
      <c r="BP56" s="79">
        <f t="shared" si="92"/>
        <v>3.9018952062430223E-2</v>
      </c>
      <c r="BQ56" s="79">
        <f t="shared" si="92"/>
        <v>2.409860191317148E-2</v>
      </c>
      <c r="BR56" s="79">
        <f t="shared" si="92"/>
        <v>3.1521538177112118E-2</v>
      </c>
      <c r="BT56" s="79">
        <f t="shared" si="93"/>
        <v>-0.13501430615164522</v>
      </c>
      <c r="BU56" s="79">
        <f t="shared" si="93"/>
        <v>-4.4727860607149283E-2</v>
      </c>
      <c r="BV56" s="79">
        <f t="shared" si="93"/>
        <v>-8.9972219732950998E-2</v>
      </c>
      <c r="BX56" s="79">
        <f t="shared" si="94"/>
        <v>0.13479429398387421</v>
      </c>
      <c r="BY56" s="79">
        <f t="shared" si="94"/>
        <v>7.8977059044753606E-3</v>
      </c>
      <c r="BZ56" s="79">
        <f t="shared" si="94"/>
        <v>6.8340718857705651E-2</v>
      </c>
      <c r="CB56" s="79">
        <f t="shared" si="95"/>
        <v>-1.6760794315904493E-2</v>
      </c>
      <c r="CC56" s="79">
        <f t="shared" si="95"/>
        <v>-0.14757462686567169</v>
      </c>
      <c r="CD56" s="79">
        <f t="shared" si="95"/>
        <v>-8.1389989860816692E-2</v>
      </c>
      <c r="CF56" s="79">
        <f t="shared" si="96"/>
        <v>-2.9646099685010086E-3</v>
      </c>
      <c r="CG56" s="79">
        <f t="shared" si="96"/>
        <v>1.7509301816589495E-3</v>
      </c>
      <c r="CH56" s="79">
        <f t="shared" si="96"/>
        <v>-8.0272927955049589E-4</v>
      </c>
      <c r="CJ56" s="79">
        <f t="shared" si="96"/>
        <v>-0.2614755621631667</v>
      </c>
      <c r="CK56" s="79">
        <f t="shared" si="97"/>
        <v>-3.9764037579200329E-2</v>
      </c>
      <c r="CL56" s="79">
        <f t="shared" si="97"/>
        <v>-0.15957019481823664</v>
      </c>
      <c r="CN56" s="79">
        <f t="shared" si="98"/>
        <v>-8.303975842979372E-3</v>
      </c>
      <c r="CO56" s="79">
        <f t="shared" si="99"/>
        <v>1.3651877133105783E-2</v>
      </c>
      <c r="CP56" s="79">
        <f t="shared" si="100"/>
        <v>3.2261918986735694E-3</v>
      </c>
      <c r="CR56" s="79">
        <f t="shared" si="101"/>
        <v>5.4808424257802635E-2</v>
      </c>
      <c r="CS56" s="79">
        <f t="shared" si="102"/>
        <v>7.9910213243546524E-2</v>
      </c>
      <c r="CT56" s="79">
        <f t="shared" si="103"/>
        <v>6.812767984754653E-2</v>
      </c>
      <c r="CV56" s="79">
        <f t="shared" si="104"/>
        <v>0.33341351936492658</v>
      </c>
      <c r="CW56" s="79">
        <f t="shared" si="105"/>
        <v>8.5637081687798711E-2</v>
      </c>
      <c r="CX56" s="79">
        <f t="shared" si="106"/>
        <v>0.20049063336306872</v>
      </c>
      <c r="CZ56" s="79">
        <f t="shared" si="107"/>
        <v>-7.4147573516146537E-2</v>
      </c>
      <c r="DA56" s="79">
        <f t="shared" si="108"/>
        <v>-5.4949262875741867E-2</v>
      </c>
      <c r="DB56" s="79">
        <f t="shared" si="109"/>
        <v>-6.4833735835036266E-2</v>
      </c>
      <c r="DD56" s="79">
        <f t="shared" si="110"/>
        <v>2.3577552611067754E-2</v>
      </c>
      <c r="DE56" s="79">
        <f t="shared" si="111"/>
        <v>-0.23703403565640191</v>
      </c>
      <c r="DF56" s="79">
        <f t="shared" si="112"/>
        <v>-0.10419149781485892</v>
      </c>
      <c r="DH56" s="79">
        <f t="shared" ca="1" si="113"/>
        <v>4.4770207505358872E-2</v>
      </c>
      <c r="DI56" s="79">
        <f t="shared" ca="1" si="114"/>
        <v>0.54006712113573352</v>
      </c>
      <c r="DJ56" s="79">
        <f t="shared" ca="1" si="115"/>
        <v>0.25158783437441201</v>
      </c>
      <c r="DL56" s="79">
        <f t="shared" ca="1" si="116"/>
        <v>0.10562232818967221</v>
      </c>
      <c r="DM56" s="79">
        <f t="shared" ca="1" si="117"/>
        <v>5.1641150896634125E-2</v>
      </c>
      <c r="DN56" s="79">
        <f t="shared" ca="1" si="118"/>
        <v>7.7886406855968815E-2</v>
      </c>
      <c r="DP56" s="79">
        <f t="shared" ca="1" si="119"/>
        <v>5.2879077087684356E-2</v>
      </c>
      <c r="DQ56" s="79">
        <f t="shared" ca="1" si="120"/>
        <v>8.5603140293682545E-2</v>
      </c>
      <c r="DR56" s="79">
        <f t="shared" ca="1" si="121"/>
        <v>6.9283541072023835E-2</v>
      </c>
    </row>
    <row r="57" spans="1:128" s="20" customFormat="1" ht="13.8">
      <c r="A57" s="47" t="str">
        <f>A33</f>
        <v>Impairment Charges</v>
      </c>
      <c r="B57" s="49"/>
      <c r="BH57" s="75">
        <f t="shared" si="90"/>
        <v>5.0877192982456076E-2</v>
      </c>
      <c r="BI57" s="75">
        <f t="shared" si="90"/>
        <v>-0.1308139534883721</v>
      </c>
      <c r="BJ57" s="75">
        <f t="shared" si="90"/>
        <v>-4.8489666136725007E-2</v>
      </c>
      <c r="BK57" s="49"/>
      <c r="BL57" s="75">
        <f t="shared" si="91"/>
        <v>-0.11853088480801333</v>
      </c>
      <c r="BM57" s="75">
        <f t="shared" si="91"/>
        <v>-0.22909698996655514</v>
      </c>
      <c r="BN57" s="75">
        <f t="shared" si="91"/>
        <v>-0.17376775271512113</v>
      </c>
      <c r="BO57" s="49"/>
      <c r="BP57" s="75">
        <f t="shared" si="92"/>
        <v>-3.4090909090909061E-2</v>
      </c>
      <c r="BQ57" s="75">
        <f t="shared" si="92"/>
        <v>0.50759219088937102</v>
      </c>
      <c r="BR57" s="75">
        <f t="shared" si="92"/>
        <v>0.21840242669362997</v>
      </c>
      <c r="BT57" s="75">
        <f t="shared" si="93"/>
        <v>0.8</v>
      </c>
      <c r="BU57" s="75">
        <f t="shared" si="93"/>
        <v>0.4935251798561151</v>
      </c>
      <c r="BV57" s="75">
        <f t="shared" si="93"/>
        <v>0.62323651452282158</v>
      </c>
      <c r="BX57" s="75">
        <f t="shared" si="94"/>
        <v>-0.21568627450980393</v>
      </c>
      <c r="BY57" s="75">
        <f t="shared" si="94"/>
        <v>-0.53853564547206167</v>
      </c>
      <c r="BZ57" s="75">
        <f t="shared" si="94"/>
        <v>-0.38701431492842531</v>
      </c>
      <c r="CB57" s="75">
        <f t="shared" si="95"/>
        <v>-0.43333333333333335</v>
      </c>
      <c r="CC57" s="75">
        <f t="shared" si="95"/>
        <v>-0.41544885177453028</v>
      </c>
      <c r="CD57" s="75">
        <f t="shared" si="95"/>
        <v>-0.4261884904086739</v>
      </c>
      <c r="CF57" s="75">
        <f t="shared" si="96"/>
        <v>-3.6764705882352922E-2</v>
      </c>
      <c r="CG57" s="75">
        <f t="shared" si="96"/>
        <v>0.43571428571428572</v>
      </c>
      <c r="CH57" s="75">
        <f t="shared" si="96"/>
        <v>0.15552325581395343</v>
      </c>
      <c r="CJ57" s="75">
        <f t="shared" si="96"/>
        <v>3.2595419847328246</v>
      </c>
      <c r="CK57" s="75">
        <f t="shared" si="97"/>
        <v>1.6467661691542288</v>
      </c>
      <c r="CL57" s="75">
        <f t="shared" si="97"/>
        <v>2.4440251572327045</v>
      </c>
      <c r="CN57" s="75">
        <f t="shared" si="98"/>
        <v>-1.2933094384707289</v>
      </c>
      <c r="CO57" s="75">
        <f t="shared" si="99"/>
        <v>-1.0714285714285714</v>
      </c>
      <c r="CP57" s="75">
        <f t="shared" si="100"/>
        <v>-1.2070854638422206</v>
      </c>
      <c r="CR57" s="75">
        <f t="shared" si="101"/>
        <v>-0.42158859470468435</v>
      </c>
      <c r="CS57" s="75">
        <f t="shared" si="102"/>
        <v>-1.6842105263157894</v>
      </c>
      <c r="CT57" s="75">
        <f t="shared" si="103"/>
        <v>-0.59082892416225752</v>
      </c>
      <c r="CV57" s="75">
        <f t="shared" si="104"/>
        <v>-1.4683098591549295</v>
      </c>
      <c r="CW57" s="75">
        <f t="shared" si="105"/>
        <v>1.1538461538461537</v>
      </c>
      <c r="CX57" s="75">
        <f t="shared" si="106"/>
        <v>-2.056034482758621</v>
      </c>
      <c r="CZ57" s="75">
        <f t="shared" si="107"/>
        <v>-0.47368421052631582</v>
      </c>
      <c r="DA57" s="75">
        <f t="shared" si="108"/>
        <v>2</v>
      </c>
      <c r="DB57" s="75">
        <f t="shared" si="109"/>
        <v>0.65714285714285725</v>
      </c>
      <c r="DD57" s="75">
        <f t="shared" si="110"/>
        <v>1.0714285714285716</v>
      </c>
      <c r="DE57" s="75">
        <f t="shared" si="111"/>
        <v>-0.11904761904761907</v>
      </c>
      <c r="DF57" s="75">
        <f t="shared" si="112"/>
        <v>8.6206896551724199E-2</v>
      </c>
      <c r="DH57" s="75">
        <f t="shared" si="113"/>
        <v>0.44398908767443235</v>
      </c>
      <c r="DI57" s="75">
        <f t="shared" si="114"/>
        <v>0.1627060263540232</v>
      </c>
      <c r="DJ57" s="75">
        <f t="shared" si="115"/>
        <v>0.25519138665211694</v>
      </c>
      <c r="DL57" s="75">
        <f t="shared" si="116"/>
        <v>0.88005286722395359</v>
      </c>
      <c r="DM57" s="75">
        <f t="shared" si="117"/>
        <v>0.17795529322926895</v>
      </c>
      <c r="DN57" s="75">
        <f t="shared" si="118"/>
        <v>0.44352641376925828</v>
      </c>
      <c r="DP57" s="75">
        <f t="shared" si="119"/>
        <v>0.16416512459289234</v>
      </c>
      <c r="DQ57" s="75">
        <f t="shared" si="120"/>
        <v>0.154879457528877</v>
      </c>
      <c r="DR57" s="75">
        <f t="shared" si="121"/>
        <v>0.15945393832212607</v>
      </c>
    </row>
    <row r="58" spans="1:128" s="21" customFormat="1" ht="13.8">
      <c r="A58" s="331" t="str">
        <f>A34</f>
        <v>Pre-Tax Operating Profit</v>
      </c>
      <c r="B58" s="27"/>
      <c r="BH58" s="79">
        <f t="shared" si="90"/>
        <v>0.10754294249439877</v>
      </c>
      <c r="BI58" s="79">
        <f t="shared" si="90"/>
        <v>0.10705476073014308</v>
      </c>
      <c r="BJ58" s="79">
        <f t="shared" si="90"/>
        <v>0.10729773262297115</v>
      </c>
      <c r="BK58" s="27"/>
      <c r="BL58" s="79">
        <f t="shared" si="91"/>
        <v>9.1031692515171958E-2</v>
      </c>
      <c r="BM58" s="79">
        <f t="shared" si="91"/>
        <v>0.10851158645276282</v>
      </c>
      <c r="BN58" s="79">
        <f t="shared" si="91"/>
        <v>9.9809779568087675E-2</v>
      </c>
      <c r="BO58" s="27"/>
      <c r="BP58" s="79">
        <f t="shared" si="92"/>
        <v>4.6971569839307836E-2</v>
      </c>
      <c r="BQ58" s="79">
        <f t="shared" si="92"/>
        <v>-2.0703517587939646E-2</v>
      </c>
      <c r="BR58" s="79">
        <f t="shared" si="92"/>
        <v>1.2717468715026881E-2</v>
      </c>
      <c r="BT58" s="79">
        <f t="shared" si="93"/>
        <v>-0.22884691066509244</v>
      </c>
      <c r="BU58" s="79">
        <f t="shared" si="93"/>
        <v>-0.12151067323481113</v>
      </c>
      <c r="BV58" s="79">
        <f t="shared" si="93"/>
        <v>-0.17631103074141052</v>
      </c>
      <c r="BX58" s="79">
        <f t="shared" si="94"/>
        <v>0.21689206430211794</v>
      </c>
      <c r="BY58" s="79">
        <f t="shared" si="94"/>
        <v>0.14042056074766363</v>
      </c>
      <c r="BZ58" s="79">
        <f t="shared" si="94"/>
        <v>0.17697280156116602</v>
      </c>
      <c r="CB58" s="79">
        <f t="shared" si="95"/>
        <v>4.6131264416020112E-2</v>
      </c>
      <c r="CC58" s="79">
        <f t="shared" si="95"/>
        <v>-0.12128662159393566</v>
      </c>
      <c r="CD58" s="79">
        <f t="shared" si="95"/>
        <v>-3.8549222797927496E-2</v>
      </c>
      <c r="CF58" s="79">
        <f t="shared" si="96"/>
        <v>-2.0044097013427464E-4</v>
      </c>
      <c r="CG58" s="79">
        <f t="shared" si="96"/>
        <v>-2.6579622289577998E-2</v>
      </c>
      <c r="CH58" s="79">
        <f t="shared" si="96"/>
        <v>-1.2394912696701899E-2</v>
      </c>
      <c r="CJ58" s="79">
        <f t="shared" si="96"/>
        <v>-0.53889334402566158</v>
      </c>
      <c r="CK58" s="79">
        <f t="shared" si="97"/>
        <v>-0.20215568862275446</v>
      </c>
      <c r="CL58" s="79">
        <f t="shared" si="97"/>
        <v>-0.38546327621957877</v>
      </c>
      <c r="CN58" s="79">
        <f t="shared" si="98"/>
        <v>0.92695652173913046</v>
      </c>
      <c r="CO58" s="79">
        <f t="shared" si="99"/>
        <v>0.36025217652356645</v>
      </c>
      <c r="CP58" s="79">
        <f t="shared" si="100"/>
        <v>0.59172438288048301</v>
      </c>
      <c r="CR58" s="79">
        <f t="shared" si="101"/>
        <v>2.0306859205776462E-3</v>
      </c>
      <c r="CS58" s="79">
        <f t="shared" si="102"/>
        <v>5.0320017656146465E-2</v>
      </c>
      <c r="CT58" s="79">
        <f t="shared" si="103"/>
        <v>2.6442039495704561E-2</v>
      </c>
      <c r="CV58" s="79">
        <f t="shared" si="104"/>
        <v>0.21819410042783161</v>
      </c>
      <c r="CW58" s="79">
        <f t="shared" si="105"/>
        <v>7.396511872242062E-2</v>
      </c>
      <c r="CX58" s="79">
        <f t="shared" si="106"/>
        <v>0.14358695652173914</v>
      </c>
      <c r="CZ58" s="79">
        <f t="shared" si="107"/>
        <v>-6.4325323475046159E-2</v>
      </c>
      <c r="DA58" s="79">
        <f t="shared" si="108"/>
        <v>-9.9980434357268666E-2</v>
      </c>
      <c r="DB58" s="79">
        <f t="shared" si="109"/>
        <v>-8.1646231346830134E-2</v>
      </c>
      <c r="DD58" s="79">
        <f t="shared" si="110"/>
        <v>9.0873172659027279E-3</v>
      </c>
      <c r="DE58" s="79">
        <f t="shared" si="111"/>
        <v>-0.2456521739130435</v>
      </c>
      <c r="DF58" s="79">
        <f t="shared" si="112"/>
        <v>-0.11219209273442354</v>
      </c>
      <c r="DH58" s="79">
        <f t="shared" ca="1" si="113"/>
        <v>3.3437643365868741E-2</v>
      </c>
      <c r="DI58" s="79">
        <f t="shared" ca="1" si="114"/>
        <v>0.57225700126696877</v>
      </c>
      <c r="DJ58" s="79">
        <f t="shared" ca="1" si="115"/>
        <v>0.25140257364295149</v>
      </c>
      <c r="DL58" s="79">
        <f t="shared" ca="1" si="116"/>
        <v>7.4905298411450882E-2</v>
      </c>
      <c r="DM58" s="79">
        <f t="shared" ca="1" si="117"/>
        <v>4.3672944039800932E-2</v>
      </c>
      <c r="DN58" s="79">
        <f t="shared" ca="1" si="118"/>
        <v>5.9031727002797796E-2</v>
      </c>
      <c r="DP58" s="79">
        <f t="shared" ca="1" si="119"/>
        <v>4.5158721133951696E-2</v>
      </c>
      <c r="DQ58" s="79">
        <f t="shared" ca="1" si="120"/>
        <v>8.0670745874617422E-2</v>
      </c>
      <c r="DR58" s="79">
        <f t="shared" ca="1" si="121"/>
        <v>6.2945643721017408E-2</v>
      </c>
    </row>
    <row r="59" spans="1:128" s="20" customFormat="1" ht="13.8">
      <c r="A59" s="332" t="str">
        <f>A35</f>
        <v>Tax Expense</v>
      </c>
      <c r="B59" s="49"/>
      <c r="BH59" s="75">
        <f t="shared" si="90"/>
        <v>0.1324977618621308</v>
      </c>
      <c r="BI59" s="75">
        <f t="shared" si="90"/>
        <v>4.6511627906976827E-2</v>
      </c>
      <c r="BJ59" s="75">
        <f t="shared" si="90"/>
        <v>8.948545861297541E-2</v>
      </c>
      <c r="BK59" s="49"/>
      <c r="BL59" s="75">
        <f t="shared" si="91"/>
        <v>5.3754940711462362E-2</v>
      </c>
      <c r="BM59" s="75">
        <f t="shared" si="91"/>
        <v>0.16837606837606844</v>
      </c>
      <c r="BN59" s="75">
        <f t="shared" si="91"/>
        <v>0.10882956878850103</v>
      </c>
      <c r="BO59" s="49"/>
      <c r="BP59" s="75">
        <f t="shared" si="92"/>
        <v>4.8762190547636974E-2</v>
      </c>
      <c r="BQ59" s="75">
        <f t="shared" si="92"/>
        <v>-2.9992684711046103E-2</v>
      </c>
      <c r="BR59" s="75">
        <f t="shared" si="92"/>
        <v>8.8888888888889461E-3</v>
      </c>
      <c r="BT59" s="75">
        <f t="shared" si="93"/>
        <v>-0.18955650929899859</v>
      </c>
      <c r="BU59" s="75">
        <f t="shared" si="93"/>
        <v>-0.1206636500754148</v>
      </c>
      <c r="BV59" s="75">
        <f t="shared" si="93"/>
        <v>-0.1560205580029369</v>
      </c>
      <c r="BX59" s="75">
        <f t="shared" si="94"/>
        <v>0.24095322153574572</v>
      </c>
      <c r="BY59" s="75">
        <f t="shared" si="94"/>
        <v>0.21783876500857624</v>
      </c>
      <c r="BZ59" s="75">
        <f t="shared" si="94"/>
        <v>0.22923010004349709</v>
      </c>
      <c r="CB59" s="75">
        <f t="shared" si="95"/>
        <v>5.9032716927453821E-2</v>
      </c>
      <c r="CC59" s="75">
        <f t="shared" si="95"/>
        <v>-9.4366197183098577E-2</v>
      </c>
      <c r="CD59" s="75">
        <f t="shared" si="95"/>
        <v>-1.8046709129511673E-2</v>
      </c>
      <c r="CF59" s="75">
        <f t="shared" si="96"/>
        <v>-4.9697783747481572E-2</v>
      </c>
      <c r="CG59" s="75">
        <f t="shared" si="96"/>
        <v>-1.7884914463452528E-2</v>
      </c>
      <c r="CH59" s="75">
        <f t="shared" si="96"/>
        <v>-3.4954954954954931E-2</v>
      </c>
      <c r="CJ59" s="75">
        <f t="shared" si="96"/>
        <v>-0.3738515901060071</v>
      </c>
      <c r="CK59" s="75">
        <f t="shared" si="97"/>
        <v>-0.21931908155186064</v>
      </c>
      <c r="CL59" s="75">
        <f t="shared" si="97"/>
        <v>-0.30097087378640774</v>
      </c>
      <c r="CN59" s="75">
        <f t="shared" si="98"/>
        <v>0.6275395033860045</v>
      </c>
      <c r="CO59" s="75">
        <f t="shared" si="99"/>
        <v>0.34077079107505082</v>
      </c>
      <c r="CP59" s="75">
        <f t="shared" si="100"/>
        <v>0.47649572649572658</v>
      </c>
      <c r="CR59" s="75">
        <f t="shared" si="101"/>
        <v>-7.905686546463242E-2</v>
      </c>
      <c r="CS59" s="75">
        <f t="shared" si="102"/>
        <v>2.6475037821482639E-2</v>
      </c>
      <c r="CT59" s="75">
        <f t="shared" si="103"/>
        <v>-2.8581765557163519E-2</v>
      </c>
      <c r="CV59" s="75">
        <f t="shared" si="104"/>
        <v>0.1799698795180722</v>
      </c>
      <c r="CW59" s="75">
        <f t="shared" si="105"/>
        <v>0.11495946941783353</v>
      </c>
      <c r="CX59" s="75">
        <f t="shared" si="106"/>
        <v>0.14711359404096824</v>
      </c>
      <c r="CZ59" s="75">
        <f t="shared" si="107"/>
        <v>-4.5309508615188232E-2</v>
      </c>
      <c r="DA59" s="75">
        <f t="shared" si="108"/>
        <v>-7.0720423000660948E-2</v>
      </c>
      <c r="DB59" s="75">
        <f t="shared" si="109"/>
        <v>-5.7792207792207839E-2</v>
      </c>
      <c r="DD59" s="75">
        <f t="shared" si="110"/>
        <v>1.5374331550802145E-2</v>
      </c>
      <c r="DE59" s="75">
        <f t="shared" si="111"/>
        <v>-0.12446657183499288</v>
      </c>
      <c r="DF59" s="75">
        <f t="shared" si="112"/>
        <v>-5.2377670572019253E-2</v>
      </c>
      <c r="DH59" s="75">
        <f t="shared" ca="1" si="113"/>
        <v>2.517830630829021E-2</v>
      </c>
      <c r="DI59" s="75">
        <f t="shared" ca="1" si="114"/>
        <v>0.30742557217459976</v>
      </c>
      <c r="DJ59" s="75">
        <f t="shared" ca="1" si="115"/>
        <v>0.15152244604699106</v>
      </c>
      <c r="DL59" s="75">
        <f t="shared" ca="1" si="116"/>
        <v>7.4905298411450882E-2</v>
      </c>
      <c r="DM59" s="75">
        <f t="shared" ca="1" si="117"/>
        <v>4.3672944039800932E-2</v>
      </c>
      <c r="DN59" s="75">
        <f t="shared" ca="1" si="118"/>
        <v>5.9031727002797574E-2</v>
      </c>
      <c r="DP59" s="75">
        <f t="shared" ca="1" si="119"/>
        <v>4.5158721133951696E-2</v>
      </c>
      <c r="DQ59" s="75">
        <f t="shared" ca="1" si="120"/>
        <v>8.0670745874617422E-2</v>
      </c>
      <c r="DR59" s="75">
        <f t="shared" ca="1" si="121"/>
        <v>6.2945643721017186E-2</v>
      </c>
    </row>
    <row r="60" spans="1:128" s="54" customFormat="1" ht="13.8">
      <c r="A60" s="333" t="str">
        <f>A37</f>
        <v>Continuing Cash Profit</v>
      </c>
      <c r="B60" s="81"/>
      <c r="BH60" s="322">
        <f>BH37/BD37-1</f>
        <v>9.7720994475138045E-2</v>
      </c>
      <c r="BI60" s="322">
        <f>BI37/BE37-1</f>
        <v>0.12917518745739609</v>
      </c>
      <c r="BJ60" s="322">
        <f>BJ37/BF37-1</f>
        <v>0.11355060034305309</v>
      </c>
      <c r="BK60" s="81"/>
      <c r="BL60" s="322">
        <f>BL37/BH37-1</f>
        <v>0.10569361434413338</v>
      </c>
      <c r="BM60" s="322">
        <f>BM37/BI37-1</f>
        <v>8.7232115907032837E-2</v>
      </c>
      <c r="BN60" s="322">
        <f>BN37/BJ37-1</f>
        <v>9.6272335181762259E-2</v>
      </c>
      <c r="BO60" s="81"/>
      <c r="BP60" s="322">
        <f>BP37/BL37-1</f>
        <v>4.5803698435277429E-2</v>
      </c>
      <c r="BQ60" s="322">
        <f>BQ37/BM37-1</f>
        <v>-1.7212659633536909E-2</v>
      </c>
      <c r="BR60" s="322">
        <f>BR37/BN37-1</f>
        <v>1.391035548686248E-2</v>
      </c>
      <c r="BT60" s="322">
        <f>BT37/BP37-1</f>
        <v>-0.24319912948857458</v>
      </c>
      <c r="BU60" s="322">
        <f>BU37/BQ37-1</f>
        <v>-0.12231638418079094</v>
      </c>
      <c r="BV60" s="322">
        <f>BV37/BR37-1</f>
        <v>-0.18389689578713964</v>
      </c>
      <c r="BX60" s="322">
        <f>BX37/BT37-1</f>
        <v>0.20596693026599566</v>
      </c>
      <c r="BY60" s="322">
        <f>BY37/BU37-1</f>
        <v>0.11168329578371416</v>
      </c>
      <c r="BZ60" s="322">
        <f>BZ37/BV37-1</f>
        <v>0.15622346748174554</v>
      </c>
      <c r="CB60" s="322">
        <f>CB37/BX37-1</f>
        <v>4.1132637853949383E-2</v>
      </c>
      <c r="CC60" s="322">
        <f>CC37/BY37-1</f>
        <v>-0.13317892298784018</v>
      </c>
      <c r="CD60" s="322">
        <f>CD37/BZ37-1</f>
        <v>-4.7290351006021414E-2</v>
      </c>
      <c r="CF60" s="322">
        <f>CF37/CB37-1</f>
        <v>2.0326367019753766E-2</v>
      </c>
      <c r="CG60" s="322">
        <f>CG37/CC37-1</f>
        <v>-2.9392117568470266E-2</v>
      </c>
      <c r="CH60" s="322">
        <f>CH37/CD37-1</f>
        <v>-2.6206258671188642E-3</v>
      </c>
      <c r="CJ60" s="322">
        <f>CJ37/CF37-1</f>
        <v>-0.60353535353535359</v>
      </c>
      <c r="CK60" s="322">
        <f>CK37/CG37-1</f>
        <v>-0.1930488644184446</v>
      </c>
      <c r="CL60" s="322">
        <f>CL37/CH37-1</f>
        <v>-0.41916537867078829</v>
      </c>
      <c r="CN60" s="322">
        <f>CN37/CJ37-1</f>
        <v>1.1160651096956831</v>
      </c>
      <c r="CO60" s="322">
        <f>CO37/CK37-1</f>
        <v>0.36801705756929648</v>
      </c>
      <c r="CP60" s="322">
        <f>CP37/CL37-1</f>
        <v>0.64928153273017553</v>
      </c>
      <c r="CR60" s="322">
        <f>CR37/CN37-1</f>
        <v>4.1137123745819348E-2</v>
      </c>
      <c r="CS60" s="322">
        <f>CS37/CO37-1</f>
        <v>6.0473815461346669E-2</v>
      </c>
      <c r="CT60" s="322">
        <f>CT37/CP37-1</f>
        <v>5.1145530816392393E-2</v>
      </c>
      <c r="CV60" s="322">
        <f>CV37/CR37-1</f>
        <v>0.23000321233536791</v>
      </c>
      <c r="CW60" s="322">
        <f>CW37/CS37-1</f>
        <v>5.3497942386831365E-2</v>
      </c>
      <c r="CX60" s="322">
        <f>CX37/CT37-1</f>
        <v>0.1378357636224099</v>
      </c>
      <c r="CZ60" s="322">
        <f>CZ37/CV37-1</f>
        <v>-7.2342648211021099E-2</v>
      </c>
      <c r="DA60" s="322">
        <f>DA37/CW37-1</f>
        <v>-0.1146763392857143</v>
      </c>
      <c r="DB60" s="322">
        <f>DB37/CX37-1</f>
        <v>-9.2809928503979511E-2</v>
      </c>
      <c r="DD60" s="322">
        <f>DD37/CZ37-1</f>
        <v>4.5045045045044585E-3</v>
      </c>
      <c r="DE60" s="322">
        <f>DE37/DA37-1</f>
        <v>-0.30066183422628423</v>
      </c>
      <c r="DF60" s="322">
        <f>DF37/DB37-1</f>
        <v>-0.13947955390334577</v>
      </c>
      <c r="DH60" s="322">
        <f ca="1">DH37/DD37-1</f>
        <v>3.7430951522019251E-2</v>
      </c>
      <c r="DI60" s="322">
        <f ca="1">DI37/DE37-1</f>
        <v>0.72433119200065321</v>
      </c>
      <c r="DJ60" s="322">
        <f ca="1">DJ37/DF37-1</f>
        <v>0.30081986350095269</v>
      </c>
      <c r="DL60" s="322">
        <f ca="1">DL37/DH37-1</f>
        <v>7.5310021972404328E-2</v>
      </c>
      <c r="DM60" s="322">
        <f ca="1">DM37/DI37-1</f>
        <v>4.3901222260194661E-2</v>
      </c>
      <c r="DN60" s="322">
        <f ca="1">DN37/DJ37-1</f>
        <v>5.9345398341838385E-2</v>
      </c>
      <c r="DP60" s="322">
        <f ca="1">DP37/DL37-1</f>
        <v>4.5385631266778637E-2</v>
      </c>
      <c r="DQ60" s="322">
        <f ca="1">DQ37/DM37-1</f>
        <v>8.107467826107273E-2</v>
      </c>
      <c r="DR60" s="322">
        <f ca="1">DR37/DN37-1</f>
        <v>6.3261374880031251E-2</v>
      </c>
      <c r="DW60" s="21"/>
      <c r="DX60" s="21"/>
    </row>
    <row r="61" spans="1:128" s="20" customFormat="1" ht="13.8">
      <c r="A61" s="334"/>
      <c r="B61" s="49"/>
      <c r="BH61" s="49"/>
      <c r="BI61" s="49"/>
      <c r="BJ61" s="49"/>
      <c r="BK61" s="49"/>
      <c r="BL61" s="49"/>
      <c r="BM61" s="49"/>
      <c r="BN61" s="49"/>
      <c r="BO61" s="49"/>
      <c r="BP61" s="49"/>
      <c r="BT61" s="49"/>
      <c r="BX61" s="49"/>
      <c r="CB61" s="49"/>
      <c r="CF61" s="49"/>
      <c r="CJ61" s="49"/>
      <c r="CN61" s="49"/>
      <c r="CR61" s="49"/>
      <c r="CV61" s="49"/>
      <c r="CZ61" s="49"/>
      <c r="DD61" s="49"/>
      <c r="DH61" s="49"/>
      <c r="DL61" s="49"/>
      <c r="DP61" s="49"/>
    </row>
    <row r="62" spans="1:128" s="20" customFormat="1" ht="13.8">
      <c r="A62" s="581" t="s">
        <v>1027</v>
      </c>
      <c r="B62" s="49"/>
      <c r="BH62" s="49"/>
      <c r="BI62" s="49"/>
      <c r="BJ62" s="49"/>
      <c r="BK62" s="49"/>
      <c r="BL62" s="49"/>
      <c r="BM62" s="49"/>
      <c r="BN62" s="49"/>
      <c r="BO62" s="49"/>
      <c r="BP62" s="49"/>
      <c r="BT62" s="49"/>
      <c r="BX62" s="49"/>
      <c r="CB62" s="49"/>
      <c r="CF62" s="49"/>
      <c r="CJ62" s="49"/>
      <c r="CN62" s="49"/>
      <c r="CR62" s="49"/>
      <c r="CV62" s="49"/>
      <c r="CZ62" s="49"/>
      <c r="DD62" s="49"/>
      <c r="DH62" s="49"/>
      <c r="DL62" s="49"/>
      <c r="DP62" s="49"/>
    </row>
    <row r="63" spans="1:128" s="20" customFormat="1" ht="13.8">
      <c r="A63" s="334" t="s">
        <v>957</v>
      </c>
      <c r="B63" s="49"/>
      <c r="BH63" s="49"/>
      <c r="BI63" s="49"/>
      <c r="BJ63" s="49"/>
      <c r="BK63" s="49"/>
      <c r="BL63" s="49"/>
      <c r="BM63" s="49"/>
      <c r="BN63" s="49"/>
      <c r="BO63" s="49"/>
      <c r="BP63" s="49"/>
      <c r="BT63" s="49"/>
      <c r="BX63" s="49"/>
      <c r="CB63" s="65">
        <f>CB26-CB520</f>
        <v>9464</v>
      </c>
      <c r="CC63" s="65">
        <f>CC26-CC520</f>
        <v>9516</v>
      </c>
      <c r="CD63" s="65">
        <f>CD26-CD520</f>
        <v>18980</v>
      </c>
      <c r="CF63" s="65">
        <f>CF26-CF520</f>
        <v>9508</v>
      </c>
      <c r="CG63" s="65">
        <f>CG26-CG520</f>
        <v>9378</v>
      </c>
      <c r="CH63" s="65">
        <f>CH26-CH520</f>
        <v>18886</v>
      </c>
      <c r="CI63" s="436">
        <f>+CH63/CD63-1</f>
        <v>-4.952581664910416E-3</v>
      </c>
      <c r="CJ63" s="65">
        <f>CJ26-CJ520</f>
        <v>9376</v>
      </c>
      <c r="CK63" s="65">
        <f>CK26-CK520</f>
        <v>9335</v>
      </c>
      <c r="CL63" s="65">
        <f>CL26-CL520</f>
        <v>18711</v>
      </c>
      <c r="CM63" s="436">
        <f>+CL63/CH63-1</f>
        <v>-9.2661230541141171E-3</v>
      </c>
      <c r="CN63" s="65">
        <f>CN26-CN520</f>
        <v>9082</v>
      </c>
      <c r="CO63" s="65">
        <f>CO26-CO520</f>
        <v>9092</v>
      </c>
      <c r="CP63" s="65">
        <f>CP26-CP520</f>
        <v>18174</v>
      </c>
      <c r="CQ63" s="436">
        <f>+CP63/CL63-1</f>
        <v>-2.8699695366362077E-2</v>
      </c>
      <c r="CR63" s="65">
        <f>CR26-CR520</f>
        <v>8679</v>
      </c>
      <c r="CS63" s="65">
        <f>CS26-CS520</f>
        <v>9581</v>
      </c>
      <c r="CT63" s="65">
        <f>CT26-CT520</f>
        <v>18260</v>
      </c>
      <c r="CU63" s="436">
        <f>+CT63/CP63-1</f>
        <v>4.7320347749533198E-3</v>
      </c>
      <c r="CV63" s="65">
        <f>CV26-CV520</f>
        <v>10600</v>
      </c>
      <c r="CW63" s="65">
        <f>CW26-CW520</f>
        <v>10330</v>
      </c>
      <c r="CX63" s="65">
        <f>CX26-CX520</f>
        <v>20930</v>
      </c>
      <c r="CY63" s="436">
        <f>+CX63/CT63-1</f>
        <v>0.14622124863088715</v>
      </c>
      <c r="CZ63" s="65">
        <f>CZ26-CZ520</f>
        <v>10368</v>
      </c>
      <c r="DA63" s="65">
        <f>DA26-DA520</f>
        <v>10462</v>
      </c>
      <c r="DB63" s="65">
        <f>DB26-DB520</f>
        <v>20830</v>
      </c>
      <c r="DC63" s="436">
        <f>+DB63/CX63-1</f>
        <v>-4.7778308647873358E-3</v>
      </c>
      <c r="DD63" s="65">
        <f>DD26-DD520</f>
        <v>10995</v>
      </c>
      <c r="DE63" s="65">
        <f>DE26-DE520</f>
        <v>11189</v>
      </c>
      <c r="DF63" s="65">
        <f>DF26-DF520</f>
        <v>22184</v>
      </c>
      <c r="DG63" s="436">
        <f>+DF63/DB63-1</f>
        <v>6.5002400384061465E-2</v>
      </c>
      <c r="DH63" s="65">
        <f ca="1">DH26-DH520</f>
        <v>11288.984147560002</v>
      </c>
      <c r="DI63" s="65">
        <f ca="1">DI26-DI520</f>
        <v>11374.515751326247</v>
      </c>
      <c r="DJ63" s="65">
        <f ca="1">DJ26-DJ520</f>
        <v>22663.49989888625</v>
      </c>
      <c r="DK63" s="436">
        <f ca="1">+DJ63/DF63-1</f>
        <v>2.1614672686902647E-2</v>
      </c>
      <c r="DL63" s="65">
        <f ca="1">DL26-DL520</f>
        <v>11626.422084593729</v>
      </c>
      <c r="DM63" s="65">
        <f ca="1">DM26-DM520</f>
        <v>11798.408556718041</v>
      </c>
      <c r="DN63" s="65">
        <f ca="1">DN26-DN520</f>
        <v>23424.830641311772</v>
      </c>
      <c r="DO63" s="436">
        <f ca="1">+DN63/DJ63-1</f>
        <v>3.3592814252971337E-2</v>
      </c>
      <c r="DP63" s="65">
        <f ca="1">DP26-DP520</f>
        <v>12079.634094440931</v>
      </c>
      <c r="DQ63" s="65">
        <f ca="1">DQ26-DQ520</f>
        <v>12244.903307413953</v>
      </c>
      <c r="DR63" s="65">
        <f ca="1">DR26-DR520</f>
        <v>24324.537401854886</v>
      </c>
      <c r="DS63" s="436">
        <f ca="1">+DR63/DN63-1</f>
        <v>3.8408250386937848E-2</v>
      </c>
      <c r="DT63" s="436"/>
      <c r="DU63" s="436"/>
    </row>
    <row r="64" spans="1:128" s="20" customFormat="1" ht="13.8">
      <c r="A64" s="334" t="s">
        <v>238</v>
      </c>
      <c r="B64" s="49"/>
      <c r="BH64" s="49"/>
      <c r="BI64" s="49"/>
      <c r="BJ64" s="49"/>
      <c r="BK64" s="49"/>
      <c r="BL64" s="49"/>
      <c r="BM64" s="49"/>
      <c r="BN64" s="49"/>
      <c r="BO64" s="49"/>
      <c r="BP64" s="49"/>
      <c r="BT64" s="49"/>
      <c r="BX64" s="49"/>
      <c r="CB64" s="65">
        <f>CB31-CB521</f>
        <v>-4284</v>
      </c>
      <c r="CC64" s="65">
        <f>CC31-CC521</f>
        <v>-4279</v>
      </c>
      <c r="CD64" s="65">
        <f>CD31-CD521</f>
        <v>-8563</v>
      </c>
      <c r="CF64" s="65">
        <f>CF31-CF521</f>
        <v>-4240</v>
      </c>
      <c r="CG64" s="65">
        <f>CG31-CG521</f>
        <v>-4322</v>
      </c>
      <c r="CH64" s="65">
        <f>CH31-CH521</f>
        <v>-8562</v>
      </c>
      <c r="CJ64" s="65">
        <f>CJ31-CJ521</f>
        <v>-4361</v>
      </c>
      <c r="CK64" s="65">
        <f>CK31-CK521</f>
        <v>-4288</v>
      </c>
      <c r="CL64" s="65">
        <f>CL31-CL521</f>
        <v>-8649</v>
      </c>
      <c r="CN64" s="65">
        <f>CN31-CN521</f>
        <v>-4216</v>
      </c>
      <c r="CO64" s="65">
        <f>CO31-CO521</f>
        <v>-4454</v>
      </c>
      <c r="CP64" s="65">
        <f>CP31-CP521</f>
        <v>-8670</v>
      </c>
      <c r="CR64" s="65">
        <f>CR31-CR521</f>
        <v>-4544</v>
      </c>
      <c r="CS64" s="65">
        <f>CS31-CS521</f>
        <v>-4626</v>
      </c>
      <c r="CT64" s="65">
        <f>CT31-CT521</f>
        <v>-9170</v>
      </c>
      <c r="CV64" s="65">
        <f>CV31-CV521</f>
        <v>-4844</v>
      </c>
      <c r="CW64" s="65">
        <f>CW31-CW521</f>
        <v>-4874</v>
      </c>
      <c r="CX64" s="65">
        <f>CX31-CX521</f>
        <v>-9718</v>
      </c>
      <c r="CZ64" s="65">
        <f>CZ31-CZ521</f>
        <v>-5074</v>
      </c>
      <c r="DA64" s="65">
        <f>DA31-DA521</f>
        <v>-5526</v>
      </c>
      <c r="DB64" s="65">
        <f>DB31-DB521</f>
        <v>-10600</v>
      </c>
      <c r="DD64" s="65">
        <f>DD31-DD521</f>
        <v>-5742</v>
      </c>
      <c r="DE64" s="65">
        <f>DE31-DE521</f>
        <v>-6107</v>
      </c>
      <c r="DF64" s="65">
        <f>DF31-DF521</f>
        <v>-11849</v>
      </c>
      <c r="DH64" s="65">
        <f>DH31-DH521</f>
        <v>-5800.8062475343522</v>
      </c>
      <c r="DI64" s="65">
        <f>DI31-DI521</f>
        <v>-5574.622973129075</v>
      </c>
      <c r="DJ64" s="65">
        <f>DJ31-DJ521</f>
        <v>-11375.429220663427</v>
      </c>
      <c r="DL64" s="65">
        <f>DL31-DL521</f>
        <v>-5558.5700572482638</v>
      </c>
      <c r="DM64" s="65">
        <f>DM31-DM521</f>
        <v>-5699.0026403776892</v>
      </c>
      <c r="DN64" s="65">
        <f>DN31-DN521</f>
        <v>-11257.572697625954</v>
      </c>
      <c r="DP64" s="65">
        <f>DP31-DP521</f>
        <v>-5690.9196519848028</v>
      </c>
      <c r="DQ64" s="65">
        <f>DQ31-DQ521</f>
        <v>-5623.3690907090013</v>
      </c>
      <c r="DR64" s="65">
        <f>DR31-DR521</f>
        <v>-11314.288742693803</v>
      </c>
    </row>
    <row r="65" spans="1:128" s="20" customFormat="1" ht="13.8">
      <c r="A65" s="334" t="s">
        <v>448</v>
      </c>
      <c r="B65" s="49"/>
      <c r="BH65" s="49"/>
      <c r="BI65" s="49"/>
      <c r="BJ65" s="49"/>
      <c r="BK65" s="49"/>
      <c r="BL65" s="49"/>
      <c r="BM65" s="49"/>
      <c r="BN65" s="49"/>
      <c r="BO65" s="49"/>
      <c r="BP65" s="49"/>
      <c r="BT65" s="49"/>
      <c r="BX65" s="49"/>
      <c r="CB65" s="65">
        <f>+CB63+CB64</f>
        <v>5180</v>
      </c>
      <c r="CC65" s="65">
        <f t="shared" ref="CC65:CD65" si="122">+CC63+CC64</f>
        <v>5237</v>
      </c>
      <c r="CD65" s="65">
        <f t="shared" si="122"/>
        <v>10417</v>
      </c>
      <c r="CF65" s="65">
        <f t="shared" ref="CF65:CH65" si="123">+CF63+CF64</f>
        <v>5268</v>
      </c>
      <c r="CG65" s="65">
        <f t="shared" si="123"/>
        <v>5056</v>
      </c>
      <c r="CH65" s="65">
        <f t="shared" si="123"/>
        <v>10324</v>
      </c>
      <c r="CI65" s="436">
        <f>+CH65/CD65-1</f>
        <v>-8.9277143131419878E-3</v>
      </c>
      <c r="CJ65" s="65">
        <f t="shared" ref="CJ65:CL65" si="124">+CJ63+CJ64</f>
        <v>5015</v>
      </c>
      <c r="CK65" s="65">
        <f t="shared" si="124"/>
        <v>5047</v>
      </c>
      <c r="CL65" s="65">
        <f t="shared" si="124"/>
        <v>10062</v>
      </c>
      <c r="CM65" s="436">
        <f>+CL65/CH65-1</f>
        <v>-2.537776055792329E-2</v>
      </c>
      <c r="CN65" s="65">
        <f t="shared" ref="CN65:CP65" si="125">+CN63+CN64</f>
        <v>4866</v>
      </c>
      <c r="CO65" s="65">
        <f t="shared" si="125"/>
        <v>4638</v>
      </c>
      <c r="CP65" s="65">
        <f t="shared" si="125"/>
        <v>9504</v>
      </c>
      <c r="CQ65" s="436">
        <f>+CP65/CL65-1</f>
        <v>-5.5456171735241533E-2</v>
      </c>
      <c r="CR65" s="65">
        <f t="shared" ref="CR65:CT65" si="126">+CR63+CR64</f>
        <v>4135</v>
      </c>
      <c r="CS65" s="65">
        <f t="shared" si="126"/>
        <v>4955</v>
      </c>
      <c r="CT65" s="65">
        <f t="shared" si="126"/>
        <v>9090</v>
      </c>
      <c r="CU65" s="436">
        <f>+CT65/CP65-1</f>
        <v>-4.3560606060606077E-2</v>
      </c>
      <c r="CV65" s="65">
        <f t="shared" ref="CV65:CX65" si="127">+CV63+CV64</f>
        <v>5756</v>
      </c>
      <c r="CW65" s="65">
        <f t="shared" si="127"/>
        <v>5456</v>
      </c>
      <c r="CX65" s="65">
        <f t="shared" si="127"/>
        <v>11212</v>
      </c>
      <c r="CY65" s="436">
        <f>+CX65/CT65-1</f>
        <v>0.23344334433443348</v>
      </c>
      <c r="CZ65" s="65">
        <f t="shared" ref="CZ65:DB65" si="128">+CZ63+CZ64</f>
        <v>5294</v>
      </c>
      <c r="DA65" s="65">
        <f t="shared" si="128"/>
        <v>4936</v>
      </c>
      <c r="DB65" s="65">
        <f t="shared" si="128"/>
        <v>10230</v>
      </c>
      <c r="DC65" s="436">
        <f>+DB65/CX65-1</f>
        <v>-8.7584730645736686E-2</v>
      </c>
      <c r="DD65" s="65">
        <f t="shared" ref="DD65:DF65" si="129">+DD63+DD64</f>
        <v>5253</v>
      </c>
      <c r="DE65" s="65">
        <f t="shared" si="129"/>
        <v>5082</v>
      </c>
      <c r="DF65" s="65">
        <f t="shared" si="129"/>
        <v>10335</v>
      </c>
      <c r="DG65" s="436">
        <f>+DF65/DB65-1</f>
        <v>1.0263929618768319E-2</v>
      </c>
      <c r="DH65" s="65">
        <f t="shared" ref="DH65:DJ65" ca="1" si="130">+DH63+DH64</f>
        <v>5488.1779000256502</v>
      </c>
      <c r="DI65" s="65">
        <f t="shared" ca="1" si="130"/>
        <v>5799.8927781971724</v>
      </c>
      <c r="DJ65" s="65">
        <f t="shared" ca="1" si="130"/>
        <v>11288.070678222823</v>
      </c>
      <c r="DK65" s="436">
        <f ca="1">+DJ65/DF65-1</f>
        <v>9.2217772445362556E-2</v>
      </c>
      <c r="DL65" s="65">
        <f t="shared" ref="DL65:DN65" ca="1" si="131">+DL63+DL64</f>
        <v>6067.8520273454651</v>
      </c>
      <c r="DM65" s="65">
        <f t="shared" ca="1" si="131"/>
        <v>6099.4059163403517</v>
      </c>
      <c r="DN65" s="65">
        <f t="shared" ca="1" si="131"/>
        <v>12167.257943685818</v>
      </c>
      <c r="DO65" s="436">
        <f ca="1">+DN65/DJ65-1</f>
        <v>7.7886406855968815E-2</v>
      </c>
      <c r="DP65" s="65">
        <f t="shared" ref="DP65:DR65" ca="1" si="132">+DP63+DP64</f>
        <v>6388.7144424561284</v>
      </c>
      <c r="DQ65" s="65">
        <f t="shared" ca="1" si="132"/>
        <v>6621.5342167049521</v>
      </c>
      <c r="DR65" s="65">
        <f t="shared" ca="1" si="132"/>
        <v>13010.248659161083</v>
      </c>
      <c r="DS65" s="436">
        <f ca="1">+DR65/DN65-1</f>
        <v>6.9283541072023835E-2</v>
      </c>
      <c r="DT65" s="436"/>
      <c r="DU65" s="436"/>
    </row>
    <row r="66" spans="1:128" s="20" customFormat="1" ht="13.8">
      <c r="A66" s="20" t="s">
        <v>726</v>
      </c>
      <c r="B66" s="49"/>
      <c r="BH66" s="49"/>
      <c r="BI66" s="49"/>
      <c r="BJ66" s="49"/>
      <c r="BK66" s="49"/>
      <c r="BL66" s="49"/>
      <c r="BM66" s="49"/>
      <c r="BN66" s="49"/>
      <c r="BO66" s="49"/>
      <c r="BP66" s="49"/>
      <c r="BT66" s="49"/>
      <c r="BX66" s="49"/>
      <c r="CB66" s="65">
        <f>CB33-CB523</f>
        <v>-408</v>
      </c>
      <c r="CC66" s="65">
        <f>CC33-CC523</f>
        <v>-252</v>
      </c>
      <c r="CD66" s="65">
        <f>CD33-CD523</f>
        <v>-660</v>
      </c>
      <c r="CF66" s="65">
        <f>CF33-CF523</f>
        <v>-394</v>
      </c>
      <c r="CG66" s="65">
        <f>CG33-CG523</f>
        <v>-400</v>
      </c>
      <c r="CH66" s="65">
        <f>CH33-CH523</f>
        <v>-794</v>
      </c>
      <c r="CJ66" s="65">
        <f>CJ33-CJ523</f>
        <v>-1654</v>
      </c>
      <c r="CK66" s="65">
        <f>CK33-CK523</f>
        <v>-1061</v>
      </c>
      <c r="CL66" s="65">
        <f>CL33-CL523</f>
        <v>-2715</v>
      </c>
      <c r="CN66" s="65">
        <f>CN33-CN523</f>
        <v>491</v>
      </c>
      <c r="CO66" s="65">
        <f>CO33-CO523</f>
        <v>76</v>
      </c>
      <c r="CP66" s="65">
        <f>CP33-CP523</f>
        <v>567</v>
      </c>
      <c r="CR66" s="65">
        <f>CR33-CR523</f>
        <v>288</v>
      </c>
      <c r="CS66" s="65">
        <f>CS33-CS523</f>
        <v>-52</v>
      </c>
      <c r="CT66" s="65">
        <f>CT33-CT523</f>
        <v>236</v>
      </c>
      <c r="CV66" s="65">
        <f>CV33-CV523</f>
        <v>-133</v>
      </c>
      <c r="CW66" s="65">
        <f>CW33-CW523</f>
        <v>-112</v>
      </c>
      <c r="CX66" s="65">
        <f>CX33-CX523</f>
        <v>-245</v>
      </c>
      <c r="CZ66" s="65">
        <f>CZ33-CZ523</f>
        <v>-70</v>
      </c>
      <c r="DA66" s="65">
        <f>DA33-DA523</f>
        <v>-336</v>
      </c>
      <c r="DB66" s="65">
        <f>DB33-DB523</f>
        <v>-406</v>
      </c>
      <c r="DD66" s="65">
        <f>DD33-DD523</f>
        <v>-145</v>
      </c>
      <c r="DE66" s="65">
        <f>DE33-DE523</f>
        <v>-296</v>
      </c>
      <c r="DF66" s="65">
        <f>DF33-DF523</f>
        <v>-441</v>
      </c>
      <c r="DH66" s="65">
        <f>DH33-DH523</f>
        <v>-209.3784177127927</v>
      </c>
      <c r="DI66" s="65">
        <f>DI33-DI523</f>
        <v>-344.16098380079086</v>
      </c>
      <c r="DJ66" s="65">
        <f>DJ33-DJ523</f>
        <v>-553.53940151358358</v>
      </c>
      <c r="DL66" s="65">
        <f>DL33-DL523</f>
        <v>-393.64249455575055</v>
      </c>
      <c r="DM66" s="65">
        <f>DM33-DM523</f>
        <v>-405.40625259113426</v>
      </c>
      <c r="DN66" s="65">
        <f>DN33-DN523</f>
        <v>-799.04874714688481</v>
      </c>
      <c r="DP66" s="65">
        <f>DP33-DP523</f>
        <v>-458.2648637195523</v>
      </c>
      <c r="DQ66" s="65">
        <f>DQ33-DQ523</f>
        <v>-468.19535307126404</v>
      </c>
      <c r="DR66" s="65">
        <f>DR33-DR523</f>
        <v>-926.46021679081628</v>
      </c>
    </row>
    <row r="67" spans="1:128" s="20" customFormat="1" ht="13.8">
      <c r="A67" s="60" t="s">
        <v>11</v>
      </c>
      <c r="B67" s="49"/>
      <c r="BH67" s="49"/>
      <c r="BI67" s="49"/>
      <c r="BJ67" s="49"/>
      <c r="BK67" s="49"/>
      <c r="BL67" s="49"/>
      <c r="BM67" s="49"/>
      <c r="BN67" s="49"/>
      <c r="BO67" s="49"/>
      <c r="BP67" s="49"/>
      <c r="BT67" s="49"/>
      <c r="BX67" s="49"/>
      <c r="CB67" s="65">
        <f>+CB65+CB66</f>
        <v>4772</v>
      </c>
      <c r="CC67" s="65">
        <f t="shared" ref="CC67:CD67" si="133">+CC65+CC66</f>
        <v>4985</v>
      </c>
      <c r="CD67" s="65">
        <f t="shared" si="133"/>
        <v>9757</v>
      </c>
      <c r="CF67" s="65">
        <f t="shared" ref="CF67:CH67" si="134">+CF65+CF66</f>
        <v>4874</v>
      </c>
      <c r="CG67" s="65">
        <f t="shared" si="134"/>
        <v>4656</v>
      </c>
      <c r="CH67" s="65">
        <f t="shared" si="134"/>
        <v>9530</v>
      </c>
      <c r="CJ67" s="65">
        <f t="shared" ref="CJ67:CL67" si="135">+CJ65+CJ66</f>
        <v>3361</v>
      </c>
      <c r="CK67" s="65">
        <f t="shared" si="135"/>
        <v>3986</v>
      </c>
      <c r="CL67" s="65">
        <f t="shared" si="135"/>
        <v>7347</v>
      </c>
      <c r="CN67" s="65">
        <f t="shared" ref="CN67:CP67" si="136">+CN65+CN66</f>
        <v>5357</v>
      </c>
      <c r="CO67" s="65">
        <f t="shared" si="136"/>
        <v>4714</v>
      </c>
      <c r="CP67" s="65">
        <f t="shared" si="136"/>
        <v>10071</v>
      </c>
      <c r="CR67" s="65">
        <f t="shared" ref="CR67:CT67" si="137">+CR65+CR66</f>
        <v>4423</v>
      </c>
      <c r="CS67" s="65">
        <f t="shared" si="137"/>
        <v>4903</v>
      </c>
      <c r="CT67" s="65">
        <f t="shared" si="137"/>
        <v>9326</v>
      </c>
      <c r="CV67" s="65">
        <f t="shared" ref="CV67:CX67" si="138">+CV65+CV66</f>
        <v>5623</v>
      </c>
      <c r="CW67" s="65">
        <f t="shared" si="138"/>
        <v>5344</v>
      </c>
      <c r="CX67" s="65">
        <f t="shared" si="138"/>
        <v>10967</v>
      </c>
      <c r="CZ67" s="65">
        <f t="shared" ref="CZ67:DB67" si="139">+CZ65+CZ66</f>
        <v>5224</v>
      </c>
      <c r="DA67" s="65">
        <f t="shared" si="139"/>
        <v>4600</v>
      </c>
      <c r="DB67" s="65">
        <f t="shared" si="139"/>
        <v>9824</v>
      </c>
      <c r="DD67" s="65">
        <f t="shared" ref="DD67:DF67" si="140">+DD65+DD66</f>
        <v>5108</v>
      </c>
      <c r="DE67" s="65">
        <f t="shared" si="140"/>
        <v>4786</v>
      </c>
      <c r="DF67" s="65">
        <f t="shared" si="140"/>
        <v>9894</v>
      </c>
      <c r="DH67" s="65">
        <f t="shared" ref="DH67:DJ67" ca="1" si="141">+DH65+DH66</f>
        <v>5278.7994823128574</v>
      </c>
      <c r="DI67" s="65">
        <f t="shared" ca="1" si="141"/>
        <v>5455.7317943963817</v>
      </c>
      <c r="DJ67" s="65">
        <f t="shared" ca="1" si="141"/>
        <v>10734.531276709238</v>
      </c>
      <c r="DL67" s="65">
        <f t="shared" ref="DL67:DN67" ca="1" si="142">+DL65+DL66</f>
        <v>5674.209532789715</v>
      </c>
      <c r="DM67" s="65">
        <f t="shared" ca="1" si="142"/>
        <v>5693.9996637492177</v>
      </c>
      <c r="DN67" s="65">
        <f t="shared" ca="1" si="142"/>
        <v>11368.209196538934</v>
      </c>
      <c r="DP67" s="65">
        <f t="shared" ref="DP67:DR67" ca="1" si="143">+DP65+DP66</f>
        <v>5930.4495787365759</v>
      </c>
      <c r="DQ67" s="65">
        <f t="shared" ca="1" si="143"/>
        <v>6153.3388636336877</v>
      </c>
      <c r="DR67" s="65">
        <f t="shared" ca="1" si="143"/>
        <v>12083.788442370267</v>
      </c>
    </row>
    <row r="68" spans="1:128" s="20" customFormat="1" ht="13.8">
      <c r="A68" s="60"/>
      <c r="B68" s="49"/>
      <c r="BH68" s="49"/>
      <c r="BI68" s="49"/>
      <c r="BJ68" s="49"/>
      <c r="BK68" s="49"/>
      <c r="BL68" s="49"/>
      <c r="BM68" s="49"/>
      <c r="BN68" s="49"/>
      <c r="BO68" s="49"/>
      <c r="BP68" s="49"/>
      <c r="BT68" s="49"/>
      <c r="BX68" s="49"/>
      <c r="CB68" s="908">
        <f t="shared" ref="CB68:CD69" si="144">CB34-CB524</f>
        <v>4772</v>
      </c>
      <c r="CC68" s="908">
        <f t="shared" si="144"/>
        <v>4985</v>
      </c>
      <c r="CD68" s="908">
        <f t="shared" si="144"/>
        <v>9757</v>
      </c>
      <c r="CF68" s="908">
        <f t="shared" ref="CF68:CH69" si="145">CF34-CF524</f>
        <v>4874</v>
      </c>
      <c r="CG68" s="908">
        <f t="shared" si="145"/>
        <v>4656</v>
      </c>
      <c r="CH68" s="908">
        <f t="shared" si="145"/>
        <v>9530</v>
      </c>
      <c r="CJ68" s="908">
        <f t="shared" ref="CJ68:CL69" si="146">CJ34-CJ524</f>
        <v>3361</v>
      </c>
      <c r="CK68" s="908">
        <f t="shared" si="146"/>
        <v>3986</v>
      </c>
      <c r="CL68" s="908">
        <f t="shared" si="146"/>
        <v>7347</v>
      </c>
      <c r="CN68" s="908">
        <f t="shared" ref="CN68:CP69" si="147">CN34-CN524</f>
        <v>5357</v>
      </c>
      <c r="CO68" s="908">
        <f t="shared" si="147"/>
        <v>4714</v>
      </c>
      <c r="CP68" s="908">
        <f t="shared" si="147"/>
        <v>10071</v>
      </c>
      <c r="CR68" s="908">
        <f t="shared" ref="CR68:CT69" si="148">CR34-CR524</f>
        <v>4423</v>
      </c>
      <c r="CS68" s="908">
        <f t="shared" si="148"/>
        <v>4903</v>
      </c>
      <c r="CT68" s="908">
        <f t="shared" si="148"/>
        <v>9326</v>
      </c>
      <c r="CV68" s="908">
        <v>5611</v>
      </c>
      <c r="CW68" s="908">
        <v>5344</v>
      </c>
      <c r="CX68" s="908">
        <v>10955</v>
      </c>
      <c r="CZ68" s="908"/>
      <c r="DA68" s="908"/>
      <c r="DB68" s="908"/>
      <c r="DD68" s="908"/>
      <c r="DE68" s="908"/>
      <c r="DF68" s="908"/>
      <c r="DH68" s="908">
        <f t="shared" ref="DH68:DJ69" ca="1" si="149">DH34-DH524</f>
        <v>5278.7994823128574</v>
      </c>
      <c r="DI68" s="908">
        <f t="shared" ca="1" si="149"/>
        <v>5455.7317943963817</v>
      </c>
      <c r="DJ68" s="908">
        <f t="shared" ca="1" si="149"/>
        <v>10734.531276709238</v>
      </c>
      <c r="DL68" s="908">
        <f t="shared" ref="DL68:DN69" ca="1" si="150">DL34-DL524</f>
        <v>5674.209532789715</v>
      </c>
      <c r="DM68" s="908">
        <f t="shared" ca="1" si="150"/>
        <v>5693.9996637492177</v>
      </c>
      <c r="DN68" s="908">
        <f t="shared" ca="1" si="150"/>
        <v>11368.209196538934</v>
      </c>
      <c r="DP68" s="908">
        <f t="shared" ref="DP68:DR68" ca="1" si="151">DP34-DP524</f>
        <v>5930.4495787365759</v>
      </c>
      <c r="DQ68" s="908">
        <f t="shared" ca="1" si="151"/>
        <v>6153.3388636336877</v>
      </c>
      <c r="DR68" s="908">
        <f t="shared" ca="1" si="151"/>
        <v>12083.788442370267</v>
      </c>
    </row>
    <row r="69" spans="1:128" s="20" customFormat="1" ht="13.8">
      <c r="A69" s="63" t="s">
        <v>545</v>
      </c>
      <c r="B69" s="49"/>
      <c r="BH69" s="49"/>
      <c r="BI69" s="49"/>
      <c r="BJ69" s="49"/>
      <c r="BK69" s="49"/>
      <c r="BL69" s="49"/>
      <c r="BM69" s="49"/>
      <c r="BN69" s="49"/>
      <c r="BO69" s="49"/>
      <c r="BP69" s="49"/>
      <c r="BT69" s="49"/>
      <c r="BX69" s="49"/>
      <c r="CB69" s="65">
        <f t="shared" si="144"/>
        <v>-1445</v>
      </c>
      <c r="CC69" s="65">
        <f t="shared" si="144"/>
        <v>-1428</v>
      </c>
      <c r="CD69" s="65">
        <f t="shared" si="144"/>
        <v>-2873</v>
      </c>
      <c r="CF69" s="65">
        <f t="shared" si="145"/>
        <v>-1398</v>
      </c>
      <c r="CG69" s="65">
        <f t="shared" si="145"/>
        <v>-1345</v>
      </c>
      <c r="CH69" s="65">
        <f t="shared" si="145"/>
        <v>-2743</v>
      </c>
      <c r="CJ69" s="65">
        <f t="shared" si="146"/>
        <v>-960</v>
      </c>
      <c r="CK69" s="65">
        <f t="shared" si="146"/>
        <v>-1127</v>
      </c>
      <c r="CL69" s="65">
        <f t="shared" si="146"/>
        <v>-2087</v>
      </c>
      <c r="CN69" s="65">
        <f t="shared" si="147"/>
        <v>-1550</v>
      </c>
      <c r="CO69" s="65">
        <f t="shared" si="147"/>
        <v>-1376</v>
      </c>
      <c r="CP69" s="65">
        <f t="shared" si="147"/>
        <v>-2926</v>
      </c>
      <c r="CR69" s="65">
        <f t="shared" si="148"/>
        <v>-1269</v>
      </c>
      <c r="CS69" s="65">
        <f t="shared" si="148"/>
        <v>-1388</v>
      </c>
      <c r="CT69" s="65">
        <f t="shared" si="148"/>
        <v>-2657</v>
      </c>
      <c r="CV69" s="65">
        <f>CV35-CV525</f>
        <v>-1619</v>
      </c>
      <c r="CW69" s="65">
        <f>CW35-CW525</f>
        <v>-1600</v>
      </c>
      <c r="CX69" s="65">
        <f>CX35-CX525</f>
        <v>-3219</v>
      </c>
      <c r="CZ69" s="65">
        <f>CZ35-CZ525</f>
        <v>-1496</v>
      </c>
      <c r="DA69" s="65">
        <f>DA35-DA525</f>
        <v>-1406</v>
      </c>
      <c r="DB69" s="65">
        <f>DB35-DB525</f>
        <v>-2902</v>
      </c>
      <c r="DD69" s="65">
        <f>DD35-DD525</f>
        <v>-1519</v>
      </c>
      <c r="DE69" s="65">
        <f>DE35-DE525</f>
        <v>-1438</v>
      </c>
      <c r="DF69" s="65">
        <f>DF35-DF525</f>
        <v>-2957</v>
      </c>
      <c r="DH69" s="65">
        <f t="shared" ca="1" si="149"/>
        <v>-1557.245847282293</v>
      </c>
      <c r="DI69" s="65">
        <f t="shared" ca="1" si="149"/>
        <v>-1609.4408793469324</v>
      </c>
      <c r="DJ69" s="65">
        <f t="shared" ca="1" si="149"/>
        <v>-3166.6867266292256</v>
      </c>
      <c r="DL69" s="65">
        <f t="shared" ca="1" si="150"/>
        <v>-1673.8918121729657</v>
      </c>
      <c r="DM69" s="65">
        <f t="shared" ca="1" si="150"/>
        <v>-1679.729900806019</v>
      </c>
      <c r="DN69" s="65">
        <f t="shared" ca="1" si="150"/>
        <v>-3353.6217129789848</v>
      </c>
      <c r="DP69" s="65">
        <f t="shared" ref="DP69:DR69" ca="1" si="152">DP35-DP525</f>
        <v>-1749.4826257272898</v>
      </c>
      <c r="DQ69" s="65">
        <f t="shared" ca="1" si="152"/>
        <v>-1815.2349647719377</v>
      </c>
      <c r="DR69" s="65">
        <f t="shared" ca="1" si="152"/>
        <v>-3564.7175904992273</v>
      </c>
    </row>
    <row r="70" spans="1:128" s="20" customFormat="1" ht="13.8">
      <c r="A70" s="63" t="s">
        <v>880</v>
      </c>
      <c r="B70" s="49"/>
      <c r="BH70" s="49"/>
      <c r="BI70" s="49"/>
      <c r="BJ70" s="49"/>
      <c r="BK70" s="49"/>
      <c r="BL70" s="49"/>
      <c r="BM70" s="49"/>
      <c r="BN70" s="49"/>
      <c r="BO70" s="49"/>
      <c r="BP70" s="49"/>
      <c r="BT70" s="49"/>
      <c r="BX70" s="49"/>
      <c r="CB70" s="65">
        <f>CB36</f>
        <v>-7</v>
      </c>
      <c r="CC70" s="65">
        <f t="shared" ref="CC70:CD70" si="153">CC36</f>
        <v>-9</v>
      </c>
      <c r="CD70" s="65">
        <f t="shared" si="153"/>
        <v>-16</v>
      </c>
      <c r="CF70" s="65">
        <f t="shared" ref="CF70:CH70" si="154">CF36</f>
        <v>-9</v>
      </c>
      <c r="CG70" s="65">
        <f t="shared" si="154"/>
        <v>-6</v>
      </c>
      <c r="CH70" s="65">
        <f t="shared" si="154"/>
        <v>-15</v>
      </c>
      <c r="CJ70" s="65">
        <f t="shared" ref="CJ70:CL70" si="155">CJ36</f>
        <v>-1</v>
      </c>
      <c r="CK70" s="65">
        <f t="shared" si="155"/>
        <v>0</v>
      </c>
      <c r="CL70" s="65">
        <f t="shared" si="155"/>
        <v>-1</v>
      </c>
      <c r="CN70" s="65">
        <f t="shared" ref="CN70:CP70" si="156">CN36</f>
        <v>0</v>
      </c>
      <c r="CO70" s="65">
        <f t="shared" si="156"/>
        <v>-1</v>
      </c>
      <c r="CP70" s="65">
        <f t="shared" si="156"/>
        <v>-1</v>
      </c>
      <c r="CR70" s="65">
        <f t="shared" ref="CR70:CT70" si="157">CR36</f>
        <v>0</v>
      </c>
      <c r="CS70" s="65">
        <f t="shared" si="157"/>
        <v>0</v>
      </c>
      <c r="CT70" s="65">
        <f t="shared" si="157"/>
        <v>0</v>
      </c>
      <c r="CV70" s="65">
        <f t="shared" ref="CV70:CX70" si="158">CV36</f>
        <v>-14</v>
      </c>
      <c r="CW70" s="65">
        <f t="shared" si="158"/>
        <v>-14</v>
      </c>
      <c r="CX70" s="65">
        <f t="shared" si="158"/>
        <v>-28</v>
      </c>
      <c r="CZ70" s="65">
        <f t="shared" ref="CZ70:DB70" si="159">CZ36</f>
        <v>-14</v>
      </c>
      <c r="DA70" s="65">
        <f t="shared" si="159"/>
        <v>-21</v>
      </c>
      <c r="DB70" s="65">
        <f t="shared" si="159"/>
        <v>-35</v>
      </c>
      <c r="DD70" s="65">
        <f t="shared" ref="DD70:DF70" si="160">DD36</f>
        <v>-21</v>
      </c>
      <c r="DE70" s="65">
        <f t="shared" si="160"/>
        <v>-20</v>
      </c>
      <c r="DF70" s="65">
        <f t="shared" si="160"/>
        <v>-41</v>
      </c>
      <c r="DH70" s="65">
        <f t="shared" ref="DH70:DJ70" si="161">DH36</f>
        <v>-20</v>
      </c>
      <c r="DI70" s="65">
        <f t="shared" si="161"/>
        <v>-20</v>
      </c>
      <c r="DJ70" s="65">
        <f t="shared" si="161"/>
        <v>-40</v>
      </c>
      <c r="DL70" s="65">
        <f t="shared" ref="DL70:DN70" si="162">DL36</f>
        <v>-20</v>
      </c>
      <c r="DM70" s="65">
        <f t="shared" si="162"/>
        <v>-20</v>
      </c>
      <c r="DN70" s="65">
        <f t="shared" si="162"/>
        <v>-40</v>
      </c>
      <c r="DP70" s="65">
        <f t="shared" ref="DP70:DR70" si="163">DP36</f>
        <v>-20</v>
      </c>
      <c r="DQ70" s="65">
        <f t="shared" si="163"/>
        <v>-20</v>
      </c>
      <c r="DR70" s="65">
        <f t="shared" si="163"/>
        <v>-40</v>
      </c>
    </row>
    <row r="71" spans="1:128" s="20" customFormat="1" ht="13.8">
      <c r="A71" s="782" t="s">
        <v>888</v>
      </c>
      <c r="B71" s="1022"/>
      <c r="C71" s="566"/>
      <c r="D71" s="566"/>
      <c r="E71" s="566"/>
      <c r="F71" s="566"/>
      <c r="G71" s="566"/>
      <c r="H71" s="566"/>
      <c r="I71" s="566"/>
      <c r="J71" s="566"/>
      <c r="K71" s="566"/>
      <c r="L71" s="566"/>
      <c r="M71" s="566"/>
      <c r="N71" s="566"/>
      <c r="O71" s="566"/>
      <c r="P71" s="566"/>
      <c r="Q71" s="566"/>
      <c r="R71" s="566"/>
      <c r="S71" s="566"/>
      <c r="T71" s="566"/>
      <c r="U71" s="566"/>
      <c r="V71" s="566"/>
      <c r="W71" s="566"/>
      <c r="X71" s="566"/>
      <c r="Y71" s="566"/>
      <c r="Z71" s="566"/>
      <c r="AA71" s="566"/>
      <c r="AB71" s="566"/>
      <c r="AC71" s="566"/>
      <c r="AD71" s="566"/>
      <c r="AE71" s="566"/>
      <c r="AF71" s="566"/>
      <c r="AG71" s="566"/>
      <c r="AH71" s="566"/>
      <c r="AI71" s="566"/>
      <c r="AJ71" s="566"/>
      <c r="AK71" s="566"/>
      <c r="AL71" s="566"/>
      <c r="AM71" s="566"/>
      <c r="AN71" s="566"/>
      <c r="AO71" s="566"/>
      <c r="AP71" s="566"/>
      <c r="AQ71" s="566"/>
      <c r="AR71" s="566"/>
      <c r="AS71" s="566"/>
      <c r="AT71" s="566"/>
      <c r="AU71" s="566"/>
      <c r="AV71" s="566"/>
      <c r="AW71" s="566"/>
      <c r="AX71" s="566"/>
      <c r="AY71" s="566"/>
      <c r="AZ71" s="566"/>
      <c r="BA71" s="566"/>
      <c r="BB71" s="566"/>
      <c r="BC71" s="566"/>
      <c r="BD71" s="566"/>
      <c r="BE71" s="566"/>
      <c r="BF71" s="566"/>
      <c r="BG71" s="566"/>
      <c r="BH71" s="1022"/>
      <c r="BI71" s="1022"/>
      <c r="BJ71" s="1022"/>
      <c r="BK71" s="1022"/>
      <c r="BL71" s="1022"/>
      <c r="BM71" s="1022"/>
      <c r="BN71" s="1022"/>
      <c r="BO71" s="1022"/>
      <c r="BP71" s="1022"/>
      <c r="BQ71" s="566"/>
      <c r="BR71" s="566"/>
      <c r="BS71" s="566"/>
      <c r="BT71" s="1022"/>
      <c r="BU71" s="566"/>
      <c r="BV71" s="566"/>
      <c r="BW71" s="566"/>
      <c r="BX71" s="1022"/>
      <c r="BY71" s="566"/>
      <c r="BZ71" s="566"/>
      <c r="CA71" s="566"/>
      <c r="CB71" s="1023">
        <f>+CB67+CB69+CB70</f>
        <v>3320</v>
      </c>
      <c r="CC71" s="1023">
        <f t="shared" ref="CC71:CD71" si="164">+CC67+CC69+CC70</f>
        <v>3548</v>
      </c>
      <c r="CD71" s="1023">
        <f t="shared" si="164"/>
        <v>6868</v>
      </c>
      <c r="CE71" s="566"/>
      <c r="CF71" s="1023">
        <f t="shared" ref="CF71:CH71" si="165">+CF67+CF69+CF70</f>
        <v>3467</v>
      </c>
      <c r="CG71" s="1023">
        <f t="shared" si="165"/>
        <v>3305</v>
      </c>
      <c r="CH71" s="1023">
        <f t="shared" si="165"/>
        <v>6772</v>
      </c>
      <c r="CI71" s="566"/>
      <c r="CJ71" s="1023">
        <f t="shared" ref="CJ71:CL71" si="166">+CJ67+CJ69+CJ70</f>
        <v>2400</v>
      </c>
      <c r="CK71" s="1023">
        <f t="shared" si="166"/>
        <v>2859</v>
      </c>
      <c r="CL71" s="1023">
        <f t="shared" si="166"/>
        <v>5259</v>
      </c>
      <c r="CM71" s="566"/>
      <c r="CN71" s="1023">
        <f t="shared" ref="CN71:CP71" si="167">+CN67+CN69+CN70</f>
        <v>3807</v>
      </c>
      <c r="CO71" s="1023">
        <f t="shared" si="167"/>
        <v>3337</v>
      </c>
      <c r="CP71" s="1023">
        <f t="shared" si="167"/>
        <v>7144</v>
      </c>
      <c r="CQ71" s="566"/>
      <c r="CR71" s="1023">
        <f t="shared" ref="CR71:CT71" si="168">+CR67+CR69+CR70</f>
        <v>3154</v>
      </c>
      <c r="CS71" s="1023">
        <f t="shared" si="168"/>
        <v>3515</v>
      </c>
      <c r="CT71" s="1023">
        <f t="shared" si="168"/>
        <v>6669</v>
      </c>
      <c r="CU71" s="566"/>
      <c r="CV71" s="1023">
        <f t="shared" ref="CV71:CX71" si="169">+CV67+CV69+CV70</f>
        <v>3990</v>
      </c>
      <c r="CW71" s="1023">
        <f t="shared" si="169"/>
        <v>3730</v>
      </c>
      <c r="CX71" s="1023">
        <f t="shared" si="169"/>
        <v>7720</v>
      </c>
      <c r="CY71" s="566"/>
      <c r="CZ71" s="1023">
        <f t="shared" ref="CZ71:DB71" si="170">+CZ67+CZ69+CZ70</f>
        <v>3714</v>
      </c>
      <c r="DA71" s="1023">
        <f t="shared" si="170"/>
        <v>3173</v>
      </c>
      <c r="DB71" s="1023">
        <f t="shared" si="170"/>
        <v>6887</v>
      </c>
      <c r="DC71" s="566"/>
      <c r="DD71" s="1023">
        <f t="shared" ref="DD71:DF71" si="171">+DD67+DD69+DD70</f>
        <v>3568</v>
      </c>
      <c r="DE71" s="1023">
        <f t="shared" si="171"/>
        <v>3328</v>
      </c>
      <c r="DF71" s="1023">
        <f t="shared" si="171"/>
        <v>6896</v>
      </c>
      <c r="DG71" s="566"/>
      <c r="DH71" s="1023">
        <f t="shared" ref="DH71:DJ71" ca="1" si="172">+DH67+DH69+DH70</f>
        <v>3701.5536350305647</v>
      </c>
      <c r="DI71" s="1023">
        <f t="shared" ca="1" si="172"/>
        <v>3826.2909150494493</v>
      </c>
      <c r="DJ71" s="1023">
        <f t="shared" ca="1" si="172"/>
        <v>7527.8445500800126</v>
      </c>
      <c r="DK71" s="566"/>
      <c r="DL71" s="1023">
        <f t="shared" ref="DL71:DN71" ca="1" si="173">+DL67+DL69+DL70</f>
        <v>3980.3177206167493</v>
      </c>
      <c r="DM71" s="1023">
        <f t="shared" ca="1" si="173"/>
        <v>3994.2697629431987</v>
      </c>
      <c r="DN71" s="1023">
        <f t="shared" ca="1" si="173"/>
        <v>7974.5874835599489</v>
      </c>
      <c r="DO71" s="566"/>
      <c r="DP71" s="1023">
        <f t="shared" ref="DP71:DR71" ca="1" si="174">+DP67+DP69+DP70</f>
        <v>4160.966953009286</v>
      </c>
      <c r="DQ71" s="1023">
        <f t="shared" ca="1" si="174"/>
        <v>4318.1038988617502</v>
      </c>
      <c r="DR71" s="1023">
        <f t="shared" ca="1" si="174"/>
        <v>8479.0708518710398</v>
      </c>
      <c r="DS71" s="566"/>
      <c r="DT71" s="566"/>
      <c r="DU71" s="566"/>
      <c r="DV71" s="566"/>
    </row>
    <row r="72" spans="1:128" s="20" customFormat="1" ht="13.8">
      <c r="A72" s="334"/>
      <c r="B72" s="49"/>
      <c r="BH72" s="49"/>
      <c r="BI72" s="49"/>
      <c r="BJ72" s="49"/>
      <c r="BK72" s="49"/>
      <c r="BL72" s="49"/>
      <c r="BM72" s="49"/>
      <c r="BN72" s="49"/>
      <c r="BO72" s="49"/>
      <c r="BP72" s="49"/>
      <c r="BT72" s="49"/>
      <c r="BX72" s="49"/>
      <c r="CB72" s="908">
        <f>CB538</f>
        <v>3320</v>
      </c>
      <c r="CC72" s="908">
        <f t="shared" ref="CC72:CD72" si="175">CC538</f>
        <v>3548</v>
      </c>
      <c r="CD72" s="908">
        <f t="shared" si="175"/>
        <v>6868</v>
      </c>
      <c r="CF72" s="908">
        <f t="shared" ref="CF72:CH72" si="176">CF538</f>
        <v>3467</v>
      </c>
      <c r="CG72" s="908">
        <f t="shared" si="176"/>
        <v>3305</v>
      </c>
      <c r="CH72" s="908">
        <f t="shared" si="176"/>
        <v>6772</v>
      </c>
      <c r="CJ72" s="908">
        <f t="shared" ref="CJ72:CL72" si="177">CJ538</f>
        <v>2400</v>
      </c>
      <c r="CK72" s="908">
        <f t="shared" si="177"/>
        <v>2859</v>
      </c>
      <c r="CL72" s="908">
        <f t="shared" si="177"/>
        <v>5259</v>
      </c>
      <c r="CN72" s="908">
        <f t="shared" ref="CN72:CP72" si="178">CN538</f>
        <v>3807</v>
      </c>
      <c r="CO72" s="908">
        <f t="shared" si="178"/>
        <v>3337</v>
      </c>
      <c r="CP72" s="908">
        <f t="shared" si="178"/>
        <v>7144</v>
      </c>
      <c r="CR72" s="908">
        <f t="shared" ref="CR72:CT72" si="179">CR538</f>
        <v>3154</v>
      </c>
      <c r="CS72" s="908">
        <f t="shared" si="179"/>
        <v>3515</v>
      </c>
      <c r="CT72" s="908">
        <f t="shared" si="179"/>
        <v>6669</v>
      </c>
      <c r="CV72" s="908">
        <v>3982</v>
      </c>
      <c r="CW72" s="908">
        <v>3730</v>
      </c>
      <c r="CX72" s="908">
        <v>7712</v>
      </c>
      <c r="CZ72" s="908"/>
      <c r="DA72" s="908"/>
      <c r="DB72" s="908"/>
      <c r="DD72" s="908"/>
      <c r="DE72" s="908"/>
      <c r="DF72" s="908"/>
      <c r="DH72" s="908">
        <f t="shared" ref="DH72:DJ72" ca="1" si="180">DH538</f>
        <v>3701.5536350305647</v>
      </c>
      <c r="DI72" s="908">
        <f t="shared" ca="1" si="180"/>
        <v>3826.2909150494493</v>
      </c>
      <c r="DJ72" s="908">
        <f t="shared" ca="1" si="180"/>
        <v>7527.8445500800135</v>
      </c>
      <c r="DL72" s="908">
        <f t="shared" ref="DL72:DN72" ca="1" si="181">DL538</f>
        <v>3980.3177206167493</v>
      </c>
      <c r="DM72" s="908">
        <f t="shared" ca="1" si="181"/>
        <v>3994.2697629431987</v>
      </c>
      <c r="DN72" s="908">
        <f t="shared" ca="1" si="181"/>
        <v>7974.5874835599479</v>
      </c>
      <c r="DP72" s="908">
        <f t="shared" ref="DP72:DR72" ca="1" si="182">DP538</f>
        <v>4160.966953009286</v>
      </c>
      <c r="DQ72" s="908">
        <f t="shared" ca="1" si="182"/>
        <v>4318.1038988617502</v>
      </c>
      <c r="DR72" s="908">
        <f t="shared" ca="1" si="182"/>
        <v>8479.0708518710362</v>
      </c>
    </row>
    <row r="73" spans="1:128" s="20" customFormat="1" ht="13.8">
      <c r="A73" s="334"/>
      <c r="B73" s="49"/>
      <c r="BH73" s="49"/>
      <c r="BI73" s="49"/>
      <c r="BJ73" s="49"/>
      <c r="BK73" s="49"/>
      <c r="BL73" s="49"/>
      <c r="BM73" s="49"/>
      <c r="BN73" s="49"/>
      <c r="BO73" s="49"/>
      <c r="BP73" s="49"/>
      <c r="BT73" s="49"/>
      <c r="BX73" s="49"/>
      <c r="CB73" s="49"/>
      <c r="CF73" s="49"/>
      <c r="CJ73" s="49"/>
      <c r="CN73" s="49"/>
      <c r="CR73" s="49"/>
      <c r="CV73" s="68"/>
      <c r="CZ73" s="68"/>
      <c r="DD73" s="68"/>
      <c r="DH73" s="68"/>
      <c r="DL73" s="68"/>
      <c r="DP73" s="68"/>
    </row>
    <row r="74" spans="1:128" s="20" customFormat="1" ht="13.8">
      <c r="A74" s="334"/>
      <c r="B74" s="49"/>
      <c r="BH74" s="49"/>
      <c r="BI74" s="49"/>
      <c r="BJ74" s="49"/>
      <c r="BK74" s="49"/>
      <c r="BL74" s="49"/>
      <c r="BM74" s="49"/>
      <c r="BN74" s="49"/>
      <c r="BO74" s="49"/>
      <c r="BP74" s="49"/>
      <c r="BT74" s="49"/>
      <c r="BX74" s="49"/>
      <c r="CB74" s="49"/>
      <c r="CF74" s="49"/>
      <c r="CJ74" s="49"/>
      <c r="CN74" s="49"/>
      <c r="CR74" s="49"/>
      <c r="CV74" s="49"/>
      <c r="CZ74" s="49"/>
      <c r="DD74" s="49"/>
      <c r="DH74" s="49"/>
      <c r="DL74" s="49"/>
      <c r="DP74" s="49"/>
    </row>
    <row r="75" spans="1:128" s="318" customFormat="1" ht="13.8">
      <c r="A75" s="316" t="s">
        <v>253</v>
      </c>
      <c r="B75" s="317"/>
      <c r="BH75" s="317"/>
      <c r="BI75" s="317"/>
      <c r="BJ75" s="317"/>
      <c r="BK75" s="317"/>
      <c r="BL75" s="317"/>
      <c r="BM75" s="317"/>
      <c r="BN75" s="317"/>
      <c r="BO75" s="317"/>
      <c r="BP75" s="317"/>
      <c r="BT75" s="317"/>
      <c r="BX75" s="317"/>
      <c r="CB75" s="317"/>
      <c r="CF75" s="317"/>
      <c r="CJ75" s="317"/>
      <c r="CN75" s="317"/>
      <c r="CR75" s="317"/>
      <c r="CV75" s="317"/>
      <c r="CZ75" s="317"/>
      <c r="DD75" s="317"/>
      <c r="DH75" s="317"/>
      <c r="DL75" s="317"/>
      <c r="DP75" s="317"/>
      <c r="DT75" s="742"/>
      <c r="DU75" s="742"/>
      <c r="DV75" s="742"/>
      <c r="DW75" s="20"/>
      <c r="DX75" s="20"/>
    </row>
    <row r="76" spans="1:128" s="20" customFormat="1" ht="14.4" thickBot="1">
      <c r="A76" s="334"/>
      <c r="B76" s="49"/>
      <c r="BH76" s="49"/>
      <c r="BI76" s="49"/>
      <c r="BJ76" s="49"/>
      <c r="BK76" s="49"/>
      <c r="BL76" s="49"/>
      <c r="BM76" s="49"/>
      <c r="BN76" s="49"/>
      <c r="BO76" s="49"/>
      <c r="BP76" s="49"/>
      <c r="BT76" s="49"/>
      <c r="BX76" s="49"/>
      <c r="CB76" s="49"/>
      <c r="CF76" s="49"/>
      <c r="CJ76" s="49"/>
      <c r="CN76" s="49"/>
      <c r="CR76" s="49"/>
      <c r="CV76" s="49"/>
      <c r="CZ76" s="49"/>
      <c r="DD76" s="49"/>
      <c r="DH76" s="49"/>
      <c r="DL76" s="49"/>
      <c r="DP76" s="49"/>
    </row>
    <row r="77" spans="1:128" s="335" customFormat="1" ht="14.4" thickBot="1">
      <c r="A77" s="335" t="s">
        <v>555</v>
      </c>
      <c r="B77" s="336" t="s">
        <v>556</v>
      </c>
      <c r="BD77" s="337">
        <v>1.2697000000000001</v>
      </c>
      <c r="BE77" s="337">
        <v>1.2528999999999999</v>
      </c>
      <c r="BF77" s="338">
        <f>BE77</f>
        <v>1.2528999999999999</v>
      </c>
      <c r="BH77" s="337">
        <v>1.2468999999999999</v>
      </c>
      <c r="BI77" s="337">
        <v>1.1236999999999999</v>
      </c>
      <c r="BJ77" s="337">
        <v>1.1236999999999999</v>
      </c>
      <c r="BK77" s="336"/>
      <c r="BL77" s="339">
        <v>1.0668</v>
      </c>
      <c r="BM77" s="339">
        <v>1.1218999999999999</v>
      </c>
      <c r="BN77" s="435">
        <f>BM77</f>
        <v>1.1218999999999999</v>
      </c>
      <c r="BO77" s="336"/>
      <c r="BP77" s="339">
        <v>1.0187999999999999</v>
      </c>
      <c r="BQ77" s="339">
        <v>1.1003000000000001</v>
      </c>
      <c r="BR77" s="435">
        <f>BQ77</f>
        <v>1.1003000000000001</v>
      </c>
      <c r="BT77" s="339">
        <v>1.1093</v>
      </c>
      <c r="BU77" s="339">
        <v>1.0487</v>
      </c>
      <c r="BV77" s="435">
        <f>BU77</f>
        <v>1.0487</v>
      </c>
      <c r="BX77" s="339">
        <v>1.0939000000000001</v>
      </c>
      <c r="BY77" s="339">
        <v>1.0867</v>
      </c>
      <c r="BZ77" s="435">
        <f>BY77</f>
        <v>1.0867</v>
      </c>
      <c r="CB77" s="339">
        <v>1.0649999999999999</v>
      </c>
      <c r="CC77" s="339">
        <v>1.0918000000000001</v>
      </c>
      <c r="CD77" s="435">
        <f>CC77</f>
        <v>1.0918000000000001</v>
      </c>
      <c r="CF77" s="339">
        <v>1.0436000000000001</v>
      </c>
      <c r="CG77" s="339">
        <v>1.0793999999999999</v>
      </c>
      <c r="CH77" s="435">
        <f>CG77</f>
        <v>1.0793999999999999</v>
      </c>
      <c r="CJ77" s="339">
        <v>1.0268999999999999</v>
      </c>
      <c r="CK77" s="339">
        <v>1.0802</v>
      </c>
      <c r="CL77" s="435">
        <f>CK77</f>
        <v>1.0802</v>
      </c>
      <c r="CN77" s="339">
        <v>1.0893999999999999</v>
      </c>
      <c r="CO77" s="339">
        <v>1.0472999999999999</v>
      </c>
      <c r="CP77" s="435">
        <f>CO77</f>
        <v>1.0472999999999999</v>
      </c>
      <c r="CR77" s="339">
        <v>1.0760000000000001</v>
      </c>
      <c r="CS77" s="339">
        <v>1.1349</v>
      </c>
      <c r="CT77" s="435">
        <f>CS77</f>
        <v>1.1349</v>
      </c>
      <c r="CV77" s="339">
        <v>1.0679000000000001</v>
      </c>
      <c r="CW77" s="339">
        <v>1.0742</v>
      </c>
      <c r="CX77" s="435">
        <f>CW77</f>
        <v>1.0742</v>
      </c>
      <c r="CZ77" s="339">
        <v>1.0903</v>
      </c>
      <c r="DA77" s="339">
        <v>1.0882000000000001</v>
      </c>
      <c r="DB77" s="435">
        <f>DA77</f>
        <v>1.0882000000000001</v>
      </c>
      <c r="DD77" s="339">
        <v>1.1000000000000001</v>
      </c>
      <c r="DE77" s="339">
        <v>1.1383000000000001</v>
      </c>
      <c r="DF77" s="435">
        <f>DE77</f>
        <v>1.1383000000000001</v>
      </c>
      <c r="DH77" s="907">
        <v>1.17</v>
      </c>
      <c r="DI77" s="338">
        <f>DH77</f>
        <v>1.17</v>
      </c>
      <c r="DJ77" s="338">
        <f>DI77</f>
        <v>1.17</v>
      </c>
      <c r="DL77" s="338">
        <f>DI77</f>
        <v>1.17</v>
      </c>
      <c r="DM77" s="338">
        <f>DL77</f>
        <v>1.17</v>
      </c>
      <c r="DN77" s="338">
        <f>DM77</f>
        <v>1.17</v>
      </c>
      <c r="DP77" s="338">
        <f>DM77</f>
        <v>1.17</v>
      </c>
      <c r="DQ77" s="338">
        <f>DP77</f>
        <v>1.17</v>
      </c>
      <c r="DR77" s="338">
        <f>DQ77</f>
        <v>1.17</v>
      </c>
      <c r="DW77" s="47"/>
      <c r="DX77" s="47"/>
    </row>
    <row r="78" spans="1:128" s="335" customFormat="1" ht="14.4" thickBot="1">
      <c r="A78" s="47" t="s">
        <v>557</v>
      </c>
      <c r="B78" s="92"/>
      <c r="C78" s="47"/>
      <c r="D78" s="47"/>
      <c r="E78" s="47"/>
      <c r="F78" s="47"/>
      <c r="G78" s="47"/>
      <c r="H78" s="47"/>
      <c r="I78" s="47"/>
      <c r="J78" s="47"/>
      <c r="K78" s="47"/>
      <c r="L78" s="47"/>
      <c r="M78" s="47"/>
      <c r="N78" s="47"/>
      <c r="O78" s="47"/>
      <c r="P78" s="47"/>
      <c r="Q78" s="47"/>
      <c r="R78" s="47"/>
      <c r="S78" s="47"/>
      <c r="T78" s="47"/>
      <c r="U78" s="47"/>
      <c r="V78" s="47"/>
      <c r="W78" s="47"/>
      <c r="X78" s="47"/>
      <c r="Y78" s="47"/>
      <c r="Z78" s="47"/>
      <c r="AA78" s="47"/>
      <c r="AB78" s="47"/>
      <c r="AC78" s="47"/>
      <c r="AD78" s="47"/>
      <c r="AE78" s="47"/>
      <c r="AF78" s="47"/>
      <c r="AG78" s="47"/>
      <c r="AH78" s="47"/>
      <c r="AI78" s="47"/>
      <c r="AJ78" s="47"/>
      <c r="AK78" s="47"/>
      <c r="AL78" s="47"/>
      <c r="AM78" s="47"/>
      <c r="AN78" s="47"/>
      <c r="AO78" s="47"/>
      <c r="AP78" s="47"/>
      <c r="AQ78" s="47"/>
      <c r="AR78" s="47"/>
      <c r="AS78" s="47"/>
      <c r="AT78" s="47"/>
      <c r="AU78" s="47"/>
      <c r="AV78" s="47"/>
      <c r="AW78" s="47"/>
      <c r="AX78" s="47"/>
      <c r="AY78" s="47"/>
      <c r="AZ78" s="47"/>
      <c r="BA78" s="47"/>
      <c r="BB78" s="47"/>
      <c r="BC78" s="47"/>
      <c r="BD78" s="340">
        <f>AVERAGE(BD77,BA77)</f>
        <v>1.2697000000000001</v>
      </c>
      <c r="BE78" s="340">
        <f>AVERAGE(BD77,BE77)</f>
        <v>1.2612999999999999</v>
      </c>
      <c r="BF78" s="340">
        <f>AVERAGE(BD78:BE78)</f>
        <v>1.2654999999999998</v>
      </c>
      <c r="BG78" s="47"/>
      <c r="BH78" s="341">
        <v>1.2533000000000001</v>
      </c>
      <c r="BI78" s="341">
        <v>1.1733</v>
      </c>
      <c r="BJ78" s="341">
        <v>1.2132000000000001</v>
      </c>
      <c r="BK78" s="92"/>
      <c r="BL78" s="342">
        <v>1.0959000000000001</v>
      </c>
      <c r="BM78" s="342">
        <v>1.0903</v>
      </c>
      <c r="BN78" s="342">
        <v>1.0931</v>
      </c>
      <c r="BO78" s="92"/>
      <c r="BP78" s="342">
        <v>1.0690999999999999</v>
      </c>
      <c r="BQ78" s="342">
        <v>1.0878000000000001</v>
      </c>
      <c r="BR78" s="342">
        <v>1.0785</v>
      </c>
      <c r="BS78" s="47"/>
      <c r="BT78" s="342">
        <v>1.0833999999999999</v>
      </c>
      <c r="BU78" s="342">
        <v>1.0640000000000001</v>
      </c>
      <c r="BV78" s="342">
        <v>1.0737000000000001</v>
      </c>
      <c r="BW78" s="47"/>
      <c r="BX78" s="342">
        <v>1.0592999999999999</v>
      </c>
      <c r="BY78" s="342">
        <v>1.0670999999999999</v>
      </c>
      <c r="BZ78" s="342">
        <v>1.0661</v>
      </c>
      <c r="CA78" s="47"/>
      <c r="CB78" s="342">
        <v>1.0924</v>
      </c>
      <c r="CC78" s="342">
        <v>1.0841000000000001</v>
      </c>
      <c r="CD78" s="342">
        <v>1.0882000000000001</v>
      </c>
      <c r="CE78" s="47"/>
      <c r="CF78" s="342">
        <v>1.0578000000000001</v>
      </c>
      <c r="CG78" s="342">
        <v>1.0567</v>
      </c>
      <c r="CH78" s="342">
        <v>1.0571999999999999</v>
      </c>
      <c r="CI78" s="47"/>
      <c r="CJ78" s="342">
        <v>1.0488</v>
      </c>
      <c r="CK78" s="342">
        <v>1.071</v>
      </c>
      <c r="CL78" s="342">
        <v>1.06</v>
      </c>
      <c r="CM78" s="47"/>
      <c r="CN78" s="342">
        <v>1.0697000000000001</v>
      </c>
      <c r="CO78" s="342">
        <v>1.0626</v>
      </c>
      <c r="CP78" s="342">
        <v>1.0661</v>
      </c>
      <c r="CQ78" s="47"/>
      <c r="CR78" s="342">
        <v>1.0589999999999999</v>
      </c>
      <c r="CS78" s="342">
        <v>1.1063000000000001</v>
      </c>
      <c r="CT78" s="342">
        <v>1.0822000000000001</v>
      </c>
      <c r="CU78" s="47"/>
      <c r="CV78" s="342">
        <v>1.0876999999999999</v>
      </c>
      <c r="CW78" s="342">
        <v>1.0813999999999999</v>
      </c>
      <c r="CX78" s="342">
        <v>1.0845</v>
      </c>
      <c r="CY78" s="47"/>
      <c r="CZ78" s="342">
        <v>1.0761000000000001</v>
      </c>
      <c r="DA78" s="342">
        <v>1.0929</v>
      </c>
      <c r="DB78" s="342">
        <v>1.0844</v>
      </c>
      <c r="DC78" s="47"/>
      <c r="DD78" s="342">
        <v>1.1044</v>
      </c>
      <c r="DE78" s="342">
        <v>1.0918000000000001</v>
      </c>
      <c r="DF78" s="342">
        <v>1.0981000000000001</v>
      </c>
      <c r="DG78" s="47"/>
      <c r="DH78" s="340">
        <f>AVERAGE(DH77,DE77)</f>
        <v>1.15415</v>
      </c>
      <c r="DI78" s="340">
        <f>AVERAGE(DH77,DI77)</f>
        <v>1.17</v>
      </c>
      <c r="DJ78" s="340">
        <f>AVERAGE(DH78:DI78)</f>
        <v>1.162075</v>
      </c>
      <c r="DK78" s="47"/>
      <c r="DL78" s="340">
        <f>AVERAGE(DL77,DI77)</f>
        <v>1.17</v>
      </c>
      <c r="DM78" s="340">
        <f>AVERAGE(DL77,DM77)</f>
        <v>1.17</v>
      </c>
      <c r="DN78" s="340">
        <f>AVERAGE(DL78:DM78)</f>
        <v>1.17</v>
      </c>
      <c r="DO78" s="47"/>
      <c r="DP78" s="340">
        <f>AVERAGE(DP77,DM77)</f>
        <v>1.17</v>
      </c>
      <c r="DQ78" s="340">
        <f>AVERAGE(DP77,DQ77)</f>
        <v>1.17</v>
      </c>
      <c r="DR78" s="340">
        <f>AVERAGE(DP78:DQ78)</f>
        <v>1.17</v>
      </c>
      <c r="DS78" s="47"/>
      <c r="DT78" s="47"/>
      <c r="DU78" s="47"/>
      <c r="DV78" s="47"/>
      <c r="DW78" s="47"/>
      <c r="DX78" s="47"/>
    </row>
    <row r="79" spans="1:128" s="335" customFormat="1" ht="14.4" thickBot="1">
      <c r="A79" s="335" t="s">
        <v>558</v>
      </c>
      <c r="B79" s="336" t="s">
        <v>556</v>
      </c>
      <c r="BD79" s="337">
        <v>1.0401</v>
      </c>
      <c r="BE79" s="337">
        <v>1.0462</v>
      </c>
      <c r="BF79" s="338">
        <f>BE79</f>
        <v>1.0462</v>
      </c>
      <c r="BH79" s="337">
        <v>1.0424</v>
      </c>
      <c r="BI79" s="337">
        <v>0.93120000000000003</v>
      </c>
      <c r="BJ79" s="337">
        <v>0.93120000000000003</v>
      </c>
      <c r="BK79" s="336"/>
      <c r="BL79" s="339">
        <v>0.92330000000000001</v>
      </c>
      <c r="BM79" s="339">
        <v>0.87519999999999998</v>
      </c>
      <c r="BN79" s="435">
        <f>BM79</f>
        <v>0.87519999999999998</v>
      </c>
      <c r="BO79" s="336"/>
      <c r="BP79" s="339">
        <v>0.76339999999999997</v>
      </c>
      <c r="BQ79" s="339">
        <v>0.70130000000000003</v>
      </c>
      <c r="BR79" s="435">
        <f>BQ79</f>
        <v>0.70130000000000003</v>
      </c>
      <c r="BT79" s="339">
        <v>0.7651</v>
      </c>
      <c r="BU79" s="339">
        <v>0.76170000000000004</v>
      </c>
      <c r="BV79" s="435">
        <f>BU79</f>
        <v>0.76170000000000004</v>
      </c>
      <c r="BX79" s="339">
        <v>0.76439999999999997</v>
      </c>
      <c r="BY79" s="339">
        <v>0.78449999999999998</v>
      </c>
      <c r="BZ79" s="435">
        <f>BY79</f>
        <v>0.78449999999999998</v>
      </c>
      <c r="CB79" s="339">
        <v>0.7671</v>
      </c>
      <c r="CC79" s="339">
        <v>0.72160000000000002</v>
      </c>
      <c r="CD79" s="435">
        <f>CC79</f>
        <v>0.72160000000000002</v>
      </c>
      <c r="CF79" s="339">
        <v>0.70940000000000003</v>
      </c>
      <c r="CG79" s="339">
        <v>0.6754</v>
      </c>
      <c r="CH79" s="435">
        <f>CG79</f>
        <v>0.6754</v>
      </c>
      <c r="CJ79" s="339">
        <v>0.61890000000000001</v>
      </c>
      <c r="CK79" s="339">
        <v>0.71099999999999997</v>
      </c>
      <c r="CL79" s="435">
        <f>CK79</f>
        <v>0.71099999999999997</v>
      </c>
      <c r="CN79" s="339">
        <v>0.76</v>
      </c>
      <c r="CO79" s="339">
        <v>0.72019999999999995</v>
      </c>
      <c r="CP79" s="435">
        <f>CO79</f>
        <v>0.72019999999999995</v>
      </c>
      <c r="CR79" s="339">
        <v>0.74829999999999997</v>
      </c>
      <c r="CS79" s="339">
        <v>0.64890000000000003</v>
      </c>
      <c r="CT79" s="435">
        <f>CS79</f>
        <v>0.64890000000000003</v>
      </c>
      <c r="CV79" s="339">
        <v>0.67120000000000002</v>
      </c>
      <c r="CW79" s="339">
        <v>0.64680000000000004</v>
      </c>
      <c r="CX79" s="435">
        <f>CW79</f>
        <v>0.64680000000000004</v>
      </c>
      <c r="CZ79" s="339">
        <v>0.65080000000000005</v>
      </c>
      <c r="DA79" s="339">
        <v>0.69330000000000003</v>
      </c>
      <c r="DB79" s="435">
        <f>DA79</f>
        <v>0.69330000000000003</v>
      </c>
      <c r="DD79" s="339">
        <v>0.62829999999999997</v>
      </c>
      <c r="DE79" s="339">
        <v>0.65980000000000005</v>
      </c>
      <c r="DF79" s="435">
        <f>DE79</f>
        <v>0.65980000000000005</v>
      </c>
      <c r="DH79" s="907">
        <v>0.71</v>
      </c>
      <c r="DI79" s="338">
        <f>DH79</f>
        <v>0.71</v>
      </c>
      <c r="DJ79" s="338">
        <f>DI79</f>
        <v>0.71</v>
      </c>
      <c r="DL79" s="338">
        <f>DI79</f>
        <v>0.71</v>
      </c>
      <c r="DM79" s="338">
        <f>DL79</f>
        <v>0.71</v>
      </c>
      <c r="DN79" s="338">
        <f>DM79</f>
        <v>0.71</v>
      </c>
      <c r="DP79" s="338">
        <f>DM79</f>
        <v>0.71</v>
      </c>
      <c r="DQ79" s="338">
        <f>DP79</f>
        <v>0.71</v>
      </c>
      <c r="DR79" s="338">
        <f>DQ79</f>
        <v>0.71</v>
      </c>
      <c r="DW79" s="47"/>
      <c r="DX79" s="47"/>
    </row>
    <row r="80" spans="1:128" s="335" customFormat="1" ht="13.8">
      <c r="A80" s="47" t="s">
        <v>559</v>
      </c>
      <c r="B80" s="92"/>
      <c r="C80" s="47"/>
      <c r="D80" s="47"/>
      <c r="E80" s="47"/>
      <c r="F80" s="47"/>
      <c r="G80" s="47"/>
      <c r="H80" s="47"/>
      <c r="I80" s="47"/>
      <c r="J80" s="47"/>
      <c r="K80" s="47"/>
      <c r="L80" s="47"/>
      <c r="M80" s="47"/>
      <c r="N80" s="47"/>
      <c r="O80" s="47"/>
      <c r="P80" s="47"/>
      <c r="Q80" s="47"/>
      <c r="R80" s="47"/>
      <c r="S80" s="47"/>
      <c r="T80" s="47"/>
      <c r="U80" s="47"/>
      <c r="V80" s="47"/>
      <c r="W80" s="47"/>
      <c r="X80" s="47"/>
      <c r="Y80" s="47"/>
      <c r="Z80" s="47"/>
      <c r="AA80" s="47"/>
      <c r="AB80" s="47"/>
      <c r="AC80" s="47"/>
      <c r="AD80" s="47"/>
      <c r="AE80" s="47"/>
      <c r="AF80" s="47"/>
      <c r="AG80" s="47"/>
      <c r="AH80" s="47"/>
      <c r="AI80" s="47"/>
      <c r="AJ80" s="47"/>
      <c r="AK80" s="47"/>
      <c r="AL80" s="47"/>
      <c r="AM80" s="47"/>
      <c r="AN80" s="47"/>
      <c r="AO80" s="47"/>
      <c r="AP80" s="47"/>
      <c r="AQ80" s="47"/>
      <c r="AR80" s="47"/>
      <c r="AS80" s="47"/>
      <c r="AT80" s="47"/>
      <c r="AU80" s="47"/>
      <c r="AV80" s="47"/>
      <c r="AW80" s="47"/>
      <c r="AX80" s="47"/>
      <c r="AY80" s="47"/>
      <c r="AZ80" s="47"/>
      <c r="BA80" s="47"/>
      <c r="BB80" s="47"/>
      <c r="BC80" s="47"/>
      <c r="BD80" s="340">
        <f>AVERAGE(BD79,BA79)</f>
        <v>1.0401</v>
      </c>
      <c r="BE80" s="340">
        <f>AVERAGE(BD79,BE79)</f>
        <v>1.04315</v>
      </c>
      <c r="BF80" s="340">
        <f>AVERAGE(BD80:BE80)</f>
        <v>1.041625</v>
      </c>
      <c r="BG80" s="47"/>
      <c r="BH80" s="341">
        <v>1.0387</v>
      </c>
      <c r="BI80" s="341">
        <v>0.94740000000000002</v>
      </c>
      <c r="BJ80" s="341">
        <v>0.9929</v>
      </c>
      <c r="BK80" s="92"/>
      <c r="BL80" s="342">
        <v>0.9113</v>
      </c>
      <c r="BM80" s="342">
        <v>0.92889999999999995</v>
      </c>
      <c r="BN80" s="342">
        <v>0.92010000000000003</v>
      </c>
      <c r="BO80" s="92"/>
      <c r="BP80" s="342">
        <v>0.82</v>
      </c>
      <c r="BQ80" s="342">
        <v>0.748</v>
      </c>
      <c r="BR80" s="342">
        <v>0.78390000000000004</v>
      </c>
      <c r="BS80" s="47"/>
      <c r="BT80" s="342">
        <v>0.72119999999999995</v>
      </c>
      <c r="BU80" s="342">
        <v>0.751</v>
      </c>
      <c r="BV80" s="342">
        <v>0.73609999999999998</v>
      </c>
      <c r="BW80" s="47"/>
      <c r="BX80" s="342">
        <v>0.75329999999999997</v>
      </c>
      <c r="BY80" s="342">
        <v>0.76500000000000001</v>
      </c>
      <c r="BZ80" s="342">
        <v>0.76119999999999999</v>
      </c>
      <c r="CA80" s="47"/>
      <c r="CB80" s="342">
        <v>0.7772</v>
      </c>
      <c r="CC80" s="342">
        <v>0.74280000000000002</v>
      </c>
      <c r="CD80" s="342">
        <v>0.75990000000000002</v>
      </c>
      <c r="CE80" s="47"/>
      <c r="CF80" s="342">
        <v>0.71450000000000002</v>
      </c>
      <c r="CG80" s="342">
        <v>0.69230000000000003</v>
      </c>
      <c r="CH80" s="342">
        <v>0.70340000000000003</v>
      </c>
      <c r="CI80" s="47"/>
      <c r="CJ80" s="342">
        <v>0.67049999999999998</v>
      </c>
      <c r="CK80" s="342">
        <v>0.68400000000000005</v>
      </c>
      <c r="CL80" s="342">
        <v>0.67730000000000001</v>
      </c>
      <c r="CM80" s="47"/>
      <c r="CN80" s="342">
        <v>0.75070000000000003</v>
      </c>
      <c r="CO80" s="342">
        <v>0.75180000000000002</v>
      </c>
      <c r="CP80" s="342">
        <v>0.75119999999999998</v>
      </c>
      <c r="CQ80" s="47"/>
      <c r="CR80" s="342">
        <v>0.72599999999999998</v>
      </c>
      <c r="CS80" s="342">
        <v>0.69910000000000005</v>
      </c>
      <c r="CT80" s="342">
        <v>0.71230000000000004</v>
      </c>
      <c r="CU80" s="47"/>
      <c r="CV80" s="342">
        <v>0.66990000000000005</v>
      </c>
      <c r="CW80" s="342">
        <v>0.66149999999999998</v>
      </c>
      <c r="CX80" s="342">
        <v>0.66569999999999996</v>
      </c>
      <c r="CY80" s="47"/>
      <c r="CZ80" s="342">
        <v>0.65429999999999999</v>
      </c>
      <c r="DA80" s="342">
        <v>0.66439999999999999</v>
      </c>
      <c r="DB80" s="342">
        <v>0.6593</v>
      </c>
      <c r="DC80" s="47"/>
      <c r="DD80" s="342">
        <v>0.63959999999999995</v>
      </c>
      <c r="DE80" s="342">
        <v>0.64739999999999998</v>
      </c>
      <c r="DF80" s="342">
        <v>0.64349999999999996</v>
      </c>
      <c r="DG80" s="47"/>
      <c r="DH80" s="340">
        <f>AVERAGE(DH79,DE79)</f>
        <v>0.68490000000000006</v>
      </c>
      <c r="DI80" s="340">
        <f>AVERAGE(DH79,DI79)</f>
        <v>0.71</v>
      </c>
      <c r="DJ80" s="340">
        <f>AVERAGE(DH80:DI80)</f>
        <v>0.69745000000000001</v>
      </c>
      <c r="DK80" s="47"/>
      <c r="DL80" s="340">
        <f>AVERAGE(DL79,DI79)</f>
        <v>0.71</v>
      </c>
      <c r="DM80" s="340">
        <f>AVERAGE(DL79,DM79)</f>
        <v>0.71</v>
      </c>
      <c r="DN80" s="340">
        <f>AVERAGE(DL80:DM80)</f>
        <v>0.71</v>
      </c>
      <c r="DO80" s="47"/>
      <c r="DP80" s="340">
        <f>AVERAGE(DP79,DM79)</f>
        <v>0.71</v>
      </c>
      <c r="DQ80" s="340">
        <f>AVERAGE(DP79,DQ79)</f>
        <v>0.71</v>
      </c>
      <c r="DR80" s="340">
        <f>AVERAGE(DP80:DQ80)</f>
        <v>0.71</v>
      </c>
      <c r="DS80" s="47"/>
      <c r="DT80" s="47"/>
      <c r="DU80" s="47"/>
      <c r="DV80" s="47"/>
      <c r="DW80" s="47"/>
      <c r="DX80" s="47"/>
    </row>
    <row r="81" spans="1:128" s="20" customFormat="1" ht="13.8">
      <c r="A81" s="334"/>
      <c r="B81" s="49"/>
      <c r="BH81" s="49"/>
      <c r="BI81" s="49"/>
      <c r="BJ81" s="49"/>
      <c r="BK81" s="49"/>
      <c r="BL81" s="49"/>
      <c r="BM81" s="49"/>
      <c r="BN81" s="49"/>
      <c r="BO81" s="49"/>
      <c r="BP81" s="49"/>
      <c r="BT81" s="49"/>
      <c r="BX81" s="49"/>
      <c r="CB81" s="49"/>
      <c r="CF81" s="49"/>
      <c r="CG81" s="49"/>
      <c r="CJ81" s="49"/>
      <c r="CN81" s="49"/>
      <c r="CR81" s="49"/>
      <c r="CV81" s="49"/>
      <c r="CZ81" s="49"/>
      <c r="DD81" s="49"/>
      <c r="DH81" s="49"/>
      <c r="DL81" s="49"/>
      <c r="DP81" s="49"/>
    </row>
    <row r="82" spans="1:128" s="318" customFormat="1" ht="13.8">
      <c r="A82" s="316" t="s">
        <v>224</v>
      </c>
      <c r="B82" s="317"/>
      <c r="BH82" s="317"/>
      <c r="BI82" s="317"/>
      <c r="BJ82" s="317"/>
      <c r="BK82" s="317"/>
      <c r="BL82" s="317"/>
      <c r="BM82" s="317"/>
      <c r="BN82" s="317"/>
      <c r="BO82" s="317"/>
      <c r="BP82" s="317"/>
      <c r="BT82" s="317"/>
      <c r="BX82" s="317"/>
      <c r="CB82" s="317"/>
      <c r="CF82" s="317"/>
      <c r="CJ82" s="317"/>
      <c r="CN82" s="317"/>
      <c r="CR82" s="317"/>
      <c r="CV82" s="317"/>
      <c r="CZ82" s="317"/>
      <c r="DD82" s="317"/>
      <c r="DH82" s="317"/>
      <c r="DL82" s="317"/>
      <c r="DP82" s="317"/>
      <c r="DT82" s="742"/>
      <c r="DU82" s="742"/>
      <c r="DV82" s="742"/>
      <c r="DW82" s="20"/>
      <c r="DX82" s="20"/>
    </row>
    <row r="83" spans="1:128" s="20" customFormat="1" ht="13.8">
      <c r="B83" s="49"/>
      <c r="BH83" s="49"/>
      <c r="BI83" s="49"/>
      <c r="BJ83" s="49"/>
      <c r="BK83" s="49"/>
      <c r="BL83" s="49"/>
      <c r="BM83" s="49"/>
      <c r="BN83" s="49"/>
      <c r="BO83" s="49"/>
      <c r="BP83" s="49"/>
      <c r="BS83" s="28"/>
      <c r="BT83" s="65"/>
      <c r="BX83" s="49"/>
      <c r="CB83" s="49"/>
      <c r="CF83" s="49"/>
      <c r="CJ83" s="49"/>
      <c r="CN83" s="49"/>
      <c r="CR83" s="49"/>
      <c r="CV83" s="49"/>
      <c r="CZ83" s="49"/>
      <c r="DD83" s="49"/>
      <c r="DH83" s="49"/>
      <c r="DL83" s="49"/>
      <c r="DP83" s="49"/>
    </row>
    <row r="84" spans="1:128" s="343" customFormat="1" ht="13.8">
      <c r="A84" s="343" t="s">
        <v>520</v>
      </c>
      <c r="B84" s="344"/>
      <c r="BH84" s="344"/>
      <c r="BI84" s="344"/>
      <c r="BJ84" s="344"/>
      <c r="BK84" s="344"/>
      <c r="BL84" s="344"/>
      <c r="BM84" s="344"/>
      <c r="BN84" s="344"/>
      <c r="BO84" s="344"/>
      <c r="BP84" s="344"/>
      <c r="BT84" s="344"/>
      <c r="BX84" s="344"/>
      <c r="CB84" s="344"/>
      <c r="CF84" s="344"/>
      <c r="CJ84" s="344"/>
      <c r="CN84" s="344"/>
      <c r="CR84" s="344"/>
      <c r="CV84" s="344"/>
      <c r="CZ84" s="344"/>
      <c r="DD84" s="344"/>
      <c r="DH84" s="344"/>
      <c r="DL84" s="344"/>
      <c r="DP84" s="344"/>
      <c r="DT84" s="743"/>
      <c r="DU84" s="743"/>
      <c r="DV84" s="743"/>
      <c r="DW84" s="21"/>
      <c r="DX84" s="21"/>
    </row>
    <row r="85" spans="1:128" s="20" customFormat="1" ht="13.8">
      <c r="B85" s="49"/>
      <c r="BH85" s="49"/>
      <c r="BI85" s="49"/>
      <c r="BJ85" s="49"/>
      <c r="BK85" s="49"/>
      <c r="BL85" s="49"/>
      <c r="BM85" s="49"/>
      <c r="BN85" s="49"/>
      <c r="BO85" s="49"/>
      <c r="BP85" s="49"/>
      <c r="BT85" s="65"/>
      <c r="BU85" s="65"/>
      <c r="BV85" s="65"/>
      <c r="BW85" s="28"/>
      <c r="BX85" s="49"/>
      <c r="CB85" s="49"/>
      <c r="CF85" s="49"/>
      <c r="CN85" s="49"/>
      <c r="CO85" s="22"/>
      <c r="CR85" s="376"/>
      <c r="CV85" s="49"/>
      <c r="CZ85" s="49"/>
      <c r="DD85" s="49"/>
      <c r="DH85" s="49"/>
      <c r="DL85" s="49"/>
      <c r="DP85" s="49"/>
    </row>
    <row r="86" spans="1:128" s="20" customFormat="1" ht="13.8">
      <c r="A86" s="21" t="s">
        <v>7</v>
      </c>
      <c r="B86" s="49"/>
      <c r="BH86" s="49"/>
      <c r="BI86" s="49"/>
      <c r="BJ86" s="49"/>
      <c r="BK86" s="49"/>
      <c r="BL86" s="49"/>
      <c r="BM86" s="49"/>
      <c r="BN86" s="49"/>
      <c r="BO86" s="49"/>
      <c r="BP86" s="49"/>
      <c r="BS86" s="76"/>
      <c r="BT86" s="77"/>
      <c r="BX86" s="49"/>
      <c r="CB86" s="49"/>
      <c r="CF86" s="49"/>
      <c r="CN86" s="49"/>
      <c r="CO86" s="22"/>
      <c r="CR86" s="68"/>
      <c r="CS86" s="22"/>
      <c r="CU86" s="22"/>
      <c r="CV86" s="49"/>
      <c r="CZ86" s="49"/>
      <c r="DD86" s="49"/>
      <c r="DH86" s="49"/>
      <c r="DL86" s="49"/>
      <c r="DP86" s="49"/>
    </row>
    <row r="87" spans="1:128" s="20" customFormat="1" ht="13.8">
      <c r="A87" s="20" t="s">
        <v>500</v>
      </c>
      <c r="B87" s="49" t="s">
        <v>544</v>
      </c>
      <c r="BD87" s="67">
        <v>178486</v>
      </c>
      <c r="BE87" s="67">
        <v>181971</v>
      </c>
      <c r="BF87" s="65">
        <f>BE87</f>
        <v>181971</v>
      </c>
      <c r="BH87" s="67">
        <v>187708</v>
      </c>
      <c r="BI87" s="67">
        <v>194755</v>
      </c>
      <c r="BJ87" s="65">
        <f>BI87</f>
        <v>194755</v>
      </c>
      <c r="BK87" s="49"/>
      <c r="BL87" s="67">
        <v>201396</v>
      </c>
      <c r="BM87" s="67">
        <v>209122</v>
      </c>
      <c r="BN87" s="65">
        <f>BM87</f>
        <v>209122</v>
      </c>
      <c r="BO87" s="49"/>
      <c r="BP87" s="67">
        <v>217756</v>
      </c>
      <c r="BQ87" s="67">
        <v>230879</v>
      </c>
      <c r="BR87" s="65">
        <f>BQ87</f>
        <v>230879</v>
      </c>
      <c r="BS87" s="75">
        <f>+BR87/BN87-1</f>
        <v>0.10403974713325237</v>
      </c>
      <c r="BT87" s="67">
        <v>242426</v>
      </c>
      <c r="BU87" s="67">
        <v>246351</v>
      </c>
      <c r="BV87" s="65">
        <f>BU87</f>
        <v>246351</v>
      </c>
      <c r="BW87" s="75">
        <f>+BV87/BR87-1</f>
        <v>6.7013457265494125E-2</v>
      </c>
      <c r="BX87" s="67">
        <v>255721</v>
      </c>
      <c r="BY87" s="67">
        <v>264105</v>
      </c>
      <c r="BZ87" s="65">
        <f>BY87</f>
        <v>264105</v>
      </c>
      <c r="CA87" s="75">
        <f>+BZ87/BV87-1</f>
        <v>7.2067903113849807E-2</v>
      </c>
      <c r="CB87" s="67">
        <v>270631</v>
      </c>
      <c r="CC87" s="67">
        <v>271554</v>
      </c>
      <c r="CD87" s="65">
        <f>CC87</f>
        <v>271554</v>
      </c>
      <c r="CE87" s="75">
        <f>+CD87/BZ87-1</f>
        <v>2.8204691315953934E-2</v>
      </c>
      <c r="CF87" s="67">
        <v>268766</v>
      </c>
      <c r="CG87" s="67">
        <v>264786</v>
      </c>
      <c r="CH87" s="65">
        <f>CG87</f>
        <v>264786</v>
      </c>
      <c r="CI87" s="75">
        <f>+CH87/CD87-1</f>
        <v>-2.4923219691111109E-2</v>
      </c>
      <c r="CJ87" s="67">
        <v>263596</v>
      </c>
      <c r="CK87" s="67">
        <v>274967</v>
      </c>
      <c r="CL87" s="65">
        <f>CK87</f>
        <v>274967</v>
      </c>
      <c r="CM87" s="75">
        <f>+CL87/CH87-1</f>
        <v>3.8449918047026577E-2</v>
      </c>
      <c r="CN87" s="67">
        <v>280545</v>
      </c>
      <c r="CO87" s="67">
        <v>277720</v>
      </c>
      <c r="CP87" s="65">
        <f>CO87</f>
        <v>277720</v>
      </c>
      <c r="CQ87" s="75">
        <f>+CP87/CL87-1</f>
        <v>1.0012110544174391E-2</v>
      </c>
      <c r="CR87" s="67">
        <v>277894</v>
      </c>
      <c r="CS87" s="67">
        <v>282343</v>
      </c>
      <c r="CT87" s="65">
        <f>CS87</f>
        <v>282343</v>
      </c>
      <c r="CU87" s="75">
        <f>+CT87/CP87-1</f>
        <v>1.6646262422583824E-2</v>
      </c>
      <c r="CV87" s="67">
        <v>292597</v>
      </c>
      <c r="CW87" s="67">
        <v>304133</v>
      </c>
      <c r="CX87" s="65">
        <f>CW87</f>
        <v>304133</v>
      </c>
      <c r="CY87" s="75">
        <f>+CX87/CT87-1</f>
        <v>7.7175633892109907E-2</v>
      </c>
      <c r="CZ87" s="67">
        <v>314103</v>
      </c>
      <c r="DA87" s="67">
        <v>382030</v>
      </c>
      <c r="DB87" s="65">
        <f>DA87</f>
        <v>382030</v>
      </c>
      <c r="DC87" s="75">
        <f>+DB87/CX87-1</f>
        <v>0.25612807554589612</v>
      </c>
      <c r="DD87" s="67">
        <v>391719</v>
      </c>
      <c r="DE87" s="67">
        <v>401534</v>
      </c>
      <c r="DF87" s="65">
        <f>DE87</f>
        <v>401534</v>
      </c>
      <c r="DG87" s="75">
        <f>+DF87/DB87-1</f>
        <v>5.1053582179410029E-2</v>
      </c>
      <c r="DH87" s="65">
        <f>+DE87*(1+DH91)</f>
        <v>407557.00999999995</v>
      </c>
      <c r="DI87" s="65">
        <f>+DH87*(1+DI91)</f>
        <v>417745.93524999992</v>
      </c>
      <c r="DJ87" s="102">
        <f>DI87</f>
        <v>417745.93524999992</v>
      </c>
      <c r="DK87" s="75">
        <f>+DJ87/DF87-1</f>
        <v>4.0374999999999828E-2</v>
      </c>
      <c r="DL87" s="65">
        <f>+DI87*(1+DL91)</f>
        <v>430278.31330749992</v>
      </c>
      <c r="DM87" s="65">
        <f>+DL87*(1+DM91)</f>
        <v>443186.66270672495</v>
      </c>
      <c r="DN87" s="102">
        <f>DM87</f>
        <v>443186.66270672495</v>
      </c>
      <c r="DO87" s="75">
        <f>+DN87/DJ87-1</f>
        <v>6.0900000000000176E-2</v>
      </c>
      <c r="DP87" s="65">
        <f>+DM87*(1+DP91)</f>
        <v>454266.32927439304</v>
      </c>
      <c r="DQ87" s="65">
        <f>+DP87*(1+DQ91)</f>
        <v>465622.98750625283</v>
      </c>
      <c r="DR87" s="102">
        <f>DQ87</f>
        <v>465622.98750625283</v>
      </c>
      <c r="DS87" s="75">
        <f>+DR87/DN87-1</f>
        <v>5.062499999999992E-2</v>
      </c>
      <c r="DT87" s="75"/>
      <c r="DU87" s="75"/>
      <c r="DV87" s="75"/>
    </row>
    <row r="88" spans="1:128" s="20" customFormat="1" ht="13.8">
      <c r="A88" s="20" t="s">
        <v>410</v>
      </c>
      <c r="B88" s="49" t="s">
        <v>544</v>
      </c>
      <c r="BD88" s="65">
        <f>+BD89-BD87</f>
        <v>123766</v>
      </c>
      <c r="BE88" s="65">
        <f>+BE89-BE87</f>
        <v>127771</v>
      </c>
      <c r="BF88" s="65">
        <f>+BF89-BF87</f>
        <v>127771</v>
      </c>
      <c r="BH88" s="65">
        <f>+BH89-BH87</f>
        <v>129528</v>
      </c>
      <c r="BI88" s="65">
        <f>+BI89-BI87</f>
        <v>132058</v>
      </c>
      <c r="BJ88" s="65">
        <f>+BJ89-BJ87</f>
        <v>132058</v>
      </c>
      <c r="BK88" s="49"/>
      <c r="BL88" s="65">
        <f>+BL89-BL87</f>
        <v>137616</v>
      </c>
      <c r="BM88" s="65">
        <f>+BM89-BM87</f>
        <v>141605</v>
      </c>
      <c r="BN88" s="65">
        <f>+BN89-BN87</f>
        <v>141605</v>
      </c>
      <c r="BO88" s="49"/>
      <c r="BP88" s="65">
        <f>+BP89-BP87</f>
        <v>147145</v>
      </c>
      <c r="BQ88" s="65">
        <f>+BQ89-BQ87</f>
        <v>152276</v>
      </c>
      <c r="BR88" s="65">
        <f>+BR89-BR87</f>
        <v>152276</v>
      </c>
      <c r="BS88" s="75">
        <f>+BR88/BN88-1</f>
        <v>7.5357508562550857E-2</v>
      </c>
      <c r="BT88" s="65">
        <f>+BT89-BT87</f>
        <v>146409</v>
      </c>
      <c r="BU88" s="65">
        <f>+BU89-BU87</f>
        <v>150054</v>
      </c>
      <c r="BV88" s="65">
        <f>+BV89-BV87</f>
        <v>150054</v>
      </c>
      <c r="BW88" s="75">
        <f>+BV88/BR88-1</f>
        <v>-1.459192518847352E-2</v>
      </c>
      <c r="BX88" s="65">
        <f>+BX89-BX87</f>
        <v>149468</v>
      </c>
      <c r="BY88" s="65">
        <f>+BY89-BY87</f>
        <v>149151</v>
      </c>
      <c r="BZ88" s="65">
        <f>+BZ89-BZ87</f>
        <v>149151</v>
      </c>
      <c r="CA88" s="75">
        <f>+BZ88/BV88-1</f>
        <v>-6.0178335799112581E-3</v>
      </c>
      <c r="CB88" s="65">
        <f>+CB89-CB87</f>
        <v>149813</v>
      </c>
      <c r="CC88" s="65">
        <f>+CC89-CC87</f>
        <v>157084</v>
      </c>
      <c r="CD88" s="65">
        <f>+CD89-CD87</f>
        <v>157084</v>
      </c>
      <c r="CE88" s="75">
        <f>+CD88/BZ88-1</f>
        <v>5.3187709100173564E-2</v>
      </c>
      <c r="CF88" s="65">
        <f>+CF89-CF87</f>
        <v>154701</v>
      </c>
      <c r="CG88" s="65">
        <f>+CG89-CG87</f>
        <v>166809</v>
      </c>
      <c r="CH88" s="65">
        <f>+CH89-CH87</f>
        <v>166809</v>
      </c>
      <c r="CI88" s="75">
        <f>+CH88/CD88-1</f>
        <v>6.1909551577499888E-2</v>
      </c>
      <c r="CJ88" s="65">
        <f>+CJ89-CJ87</f>
        <v>184658</v>
      </c>
      <c r="CK88" s="65">
        <f>+CK89-CK87</f>
        <v>168183</v>
      </c>
      <c r="CL88" s="65">
        <f>+CL89-CL87</f>
        <v>168183</v>
      </c>
      <c r="CM88" s="75">
        <f>+CL88/CH88-1</f>
        <v>8.23696563135079E-3</v>
      </c>
      <c r="CN88" s="65">
        <f>+CN89-CN87</f>
        <v>156409</v>
      </c>
      <c r="CO88" s="65">
        <f>+CO89-CO87</f>
        <v>156882</v>
      </c>
      <c r="CP88" s="65">
        <f>+CP89-CP87</f>
        <v>156882</v>
      </c>
      <c r="CQ88" s="75">
        <f>+CP88/CL88-1</f>
        <v>-6.7194662956422513E-2</v>
      </c>
      <c r="CR88" s="65">
        <f>+CR89-CR87</f>
        <v>167661</v>
      </c>
      <c r="CS88" s="65">
        <f>+CS89-CS87</f>
        <v>179263</v>
      </c>
      <c r="CT88" s="65">
        <f>+CT89-CT87</f>
        <v>179263</v>
      </c>
      <c r="CU88" s="75">
        <f>+CT88/CP88-1</f>
        <v>0.14266136331765278</v>
      </c>
      <c r="CV88" s="65">
        <f>+CV89-CV87</f>
        <v>181369</v>
      </c>
      <c r="CW88" s="65">
        <f>+CW89-CW87</f>
        <v>184504</v>
      </c>
      <c r="CX88" s="65">
        <f>+CX89-CX87</f>
        <v>184504</v>
      </c>
      <c r="CY88" s="75">
        <f>+CX88/CT88-1</f>
        <v>2.9236373373200175E-2</v>
      </c>
      <c r="CZ88" s="65">
        <f>+CZ89-CZ87</f>
        <v>188236</v>
      </c>
      <c r="DA88" s="65">
        <f>+DA89-DA87</f>
        <v>206186</v>
      </c>
      <c r="DB88" s="65">
        <f>+DB89-DB87</f>
        <v>206186</v>
      </c>
      <c r="DC88" s="75">
        <f>+DB88/CX88-1</f>
        <v>0.11751506742401241</v>
      </c>
      <c r="DD88" s="65">
        <f>+DD89-DD87</f>
        <v>207949</v>
      </c>
      <c r="DE88" s="65">
        <f>+DE89-DE87</f>
        <v>218452</v>
      </c>
      <c r="DF88" s="65">
        <f>+DF89-DF87</f>
        <v>218452</v>
      </c>
      <c r="DG88" s="75">
        <f>+DF88/DB88-1</f>
        <v>5.9489975071052248E-2</v>
      </c>
      <c r="DH88" s="65">
        <f>DH101</f>
        <v>221405.33</v>
      </c>
      <c r="DI88" s="65">
        <f>DI101</f>
        <v>225734.91055000003</v>
      </c>
      <c r="DJ88" s="102">
        <f>DI88</f>
        <v>225734.91055000003</v>
      </c>
      <c r="DK88" s="75">
        <f>+DJ88/DF88-1</f>
        <v>3.3338722236464058E-2</v>
      </c>
      <c r="DL88" s="65">
        <f>DL101</f>
        <v>228791.14189225005</v>
      </c>
      <c r="DM88" s="65">
        <f>DM101</f>
        <v>233621.88866119378</v>
      </c>
      <c r="DN88" s="102">
        <f>DM88</f>
        <v>233621.88866119378</v>
      </c>
      <c r="DO88" s="75">
        <f>+DN88/DJ88-1</f>
        <v>3.4939115496035678E-2</v>
      </c>
      <c r="DP88" s="65">
        <f>DP101</f>
        <v>237522.48862460087</v>
      </c>
      <c r="DQ88" s="65">
        <f>DQ101</f>
        <v>242920.96401505789</v>
      </c>
      <c r="DR88" s="102">
        <f>DQ88</f>
        <v>242920.96401505789</v>
      </c>
      <c r="DS88" s="75">
        <f>+DR88/DN88-1</f>
        <v>3.9803955901366539E-2</v>
      </c>
      <c r="DT88" s="75"/>
      <c r="DU88" s="75"/>
      <c r="DV88" s="75"/>
    </row>
    <row r="89" spans="1:128" s="20" customFormat="1" ht="13.8">
      <c r="A89" s="21" t="s">
        <v>178</v>
      </c>
      <c r="B89" s="49" t="s">
        <v>544</v>
      </c>
      <c r="BD89" s="98">
        <v>302252</v>
      </c>
      <c r="BE89" s="98">
        <v>309742</v>
      </c>
      <c r="BF89" s="72">
        <f>BE89</f>
        <v>309742</v>
      </c>
      <c r="BH89" s="98">
        <v>317236</v>
      </c>
      <c r="BI89" s="98">
        <v>326813</v>
      </c>
      <c r="BJ89" s="72">
        <f>BI89</f>
        <v>326813</v>
      </c>
      <c r="BK89" s="49"/>
      <c r="BL89" s="98">
        <v>339012</v>
      </c>
      <c r="BM89" s="98">
        <v>350727</v>
      </c>
      <c r="BN89" s="72">
        <f>BM89</f>
        <v>350727</v>
      </c>
      <c r="BO89" s="49"/>
      <c r="BP89" s="98">
        <v>364901</v>
      </c>
      <c r="BQ89" s="98">
        <v>383155</v>
      </c>
      <c r="BR89" s="72">
        <f>BQ89</f>
        <v>383155</v>
      </c>
      <c r="BS89" s="79">
        <f>+BR89/BN89-1</f>
        <v>9.2459377236425944E-2</v>
      </c>
      <c r="BT89" s="98">
        <v>388835</v>
      </c>
      <c r="BU89" s="98">
        <v>396405</v>
      </c>
      <c r="BV89" s="72">
        <f>BU89</f>
        <v>396405</v>
      </c>
      <c r="BW89" s="79">
        <f>+BV89/BR89-1</f>
        <v>3.4581305215904745E-2</v>
      </c>
      <c r="BX89" s="98">
        <v>405189</v>
      </c>
      <c r="BY89" s="98">
        <v>413256</v>
      </c>
      <c r="BZ89" s="72">
        <f>BY89</f>
        <v>413256</v>
      </c>
      <c r="CA89" s="79">
        <f>+BZ89/BV89-1</f>
        <v>4.2509554622166768E-2</v>
      </c>
      <c r="CB89" s="98">
        <v>420444</v>
      </c>
      <c r="CC89" s="98">
        <v>428638</v>
      </c>
      <c r="CD89" s="72">
        <f>CC89</f>
        <v>428638</v>
      </c>
      <c r="CE89" s="79">
        <f>+CD89/BZ89-1</f>
        <v>3.7221480147898722E-2</v>
      </c>
      <c r="CF89" s="98">
        <v>423467</v>
      </c>
      <c r="CG89" s="98">
        <v>431595</v>
      </c>
      <c r="CH89" s="72">
        <f>CG89</f>
        <v>431595</v>
      </c>
      <c r="CI89" s="79">
        <f>+CH89/CD89-1</f>
        <v>6.8985950848967637E-3</v>
      </c>
      <c r="CJ89" s="98">
        <v>448254</v>
      </c>
      <c r="CK89" s="98">
        <v>443150</v>
      </c>
      <c r="CL89" s="72">
        <f>CK89</f>
        <v>443150</v>
      </c>
      <c r="CM89" s="79">
        <f>+CL89/CH89-1</f>
        <v>2.677278467081412E-2</v>
      </c>
      <c r="CN89" s="98">
        <v>436954</v>
      </c>
      <c r="CO89" s="98">
        <v>434602</v>
      </c>
      <c r="CP89" s="72">
        <f>CO89</f>
        <v>434602</v>
      </c>
      <c r="CQ89" s="79">
        <f>+CP89/CL89-1</f>
        <v>-1.9289179735981099E-2</v>
      </c>
      <c r="CR89" s="98">
        <v>445555</v>
      </c>
      <c r="CS89" s="98">
        <v>461606</v>
      </c>
      <c r="CT89" s="72">
        <f>CS89</f>
        <v>461606</v>
      </c>
      <c r="CU89" s="79">
        <f>+CT89/CP89-1</f>
        <v>6.2135010883521025E-2</v>
      </c>
      <c r="CV89" s="98">
        <v>473966</v>
      </c>
      <c r="CW89" s="98">
        <v>488637</v>
      </c>
      <c r="CX89" s="72">
        <f>CW89</f>
        <v>488637</v>
      </c>
      <c r="CY89" s="79">
        <f>+CX89/CT89-1</f>
        <v>5.8558597591885642E-2</v>
      </c>
      <c r="CZ89" s="98">
        <v>502339</v>
      </c>
      <c r="DA89" s="98">
        <v>588216</v>
      </c>
      <c r="DB89" s="72">
        <f>DA89</f>
        <v>588216</v>
      </c>
      <c r="DC89" s="79">
        <f>+DB89/CX89-1</f>
        <v>0.20378931599530947</v>
      </c>
      <c r="DD89" s="98">
        <v>599668</v>
      </c>
      <c r="DE89" s="98">
        <v>619986</v>
      </c>
      <c r="DF89" s="72">
        <f>DE89</f>
        <v>619986</v>
      </c>
      <c r="DG89" s="79">
        <f>+DF89/DB89-1</f>
        <v>5.4010771553306913E-2</v>
      </c>
      <c r="DH89" s="72">
        <f>SUM(DH87:DH88)</f>
        <v>628962.34</v>
      </c>
      <c r="DI89" s="72">
        <f>SUM(DI87:DI88)</f>
        <v>643480.84580000001</v>
      </c>
      <c r="DJ89" s="104">
        <f>SUM(DJ87:DJ88)</f>
        <v>643480.84580000001</v>
      </c>
      <c r="DK89" s="79">
        <f>+DJ89/DF89-1</f>
        <v>3.7895768291542176E-2</v>
      </c>
      <c r="DL89" s="72">
        <f>SUM(DL87:DL88)</f>
        <v>659069.45519974991</v>
      </c>
      <c r="DM89" s="72">
        <f>SUM(DM87:DM88)</f>
        <v>676808.55136791873</v>
      </c>
      <c r="DN89" s="104">
        <f>SUM(DN87:DN88)</f>
        <v>676808.55136791873</v>
      </c>
      <c r="DO89" s="79">
        <f>+DN89/DJ89-1</f>
        <v>5.1792847891974914E-2</v>
      </c>
      <c r="DP89" s="72">
        <f>SUM(DP87:DP88)</f>
        <v>691788.81789899385</v>
      </c>
      <c r="DQ89" s="72">
        <f>SUM(DQ87:DQ88)</f>
        <v>708543.95152131072</v>
      </c>
      <c r="DR89" s="104">
        <f>SUM(DR87:DR88)</f>
        <v>708543.95152131072</v>
      </c>
      <c r="DS89" s="79">
        <f>+DR89/DN89-1</f>
        <v>4.6889774204611712E-2</v>
      </c>
      <c r="DT89" s="79"/>
      <c r="DU89" s="79"/>
      <c r="DV89" s="79"/>
    </row>
    <row r="90" spans="1:128" s="20" customFormat="1" ht="13.8">
      <c r="A90" s="78" t="s">
        <v>217</v>
      </c>
      <c r="B90" s="49"/>
      <c r="BH90" s="67"/>
      <c r="BI90" s="49"/>
      <c r="BJ90" s="49"/>
      <c r="BK90" s="49"/>
      <c r="BL90" s="67"/>
      <c r="BM90" s="49"/>
      <c r="BN90" s="49"/>
      <c r="BO90" s="49"/>
      <c r="BP90" s="67"/>
      <c r="BQ90" s="49"/>
      <c r="BR90" s="49"/>
      <c r="BS90" s="49"/>
      <c r="BT90" s="67"/>
      <c r="BU90" s="49"/>
      <c r="BV90" s="65"/>
      <c r="BW90" s="49"/>
      <c r="BX90" s="67"/>
      <c r="BY90" s="49"/>
      <c r="BZ90" s="65"/>
      <c r="CA90" s="49"/>
      <c r="CB90" s="67"/>
      <c r="CC90" s="49"/>
      <c r="CD90" s="65"/>
      <c r="CE90" s="49"/>
      <c r="CF90" s="67"/>
      <c r="CG90" s="49"/>
      <c r="CH90" s="65"/>
      <c r="CI90" s="49"/>
      <c r="CJ90" s="67"/>
      <c r="CK90" s="49"/>
      <c r="CL90" s="65"/>
      <c r="CM90" s="49"/>
      <c r="CN90" s="67"/>
      <c r="CO90" s="49"/>
      <c r="CP90" s="65"/>
      <c r="CQ90" s="49"/>
      <c r="CR90" s="67"/>
      <c r="CS90" s="49"/>
      <c r="CT90" s="65"/>
      <c r="CU90" s="49"/>
      <c r="CV90" s="67"/>
      <c r="CW90" s="49"/>
      <c r="CX90" s="65"/>
      <c r="CY90" s="49"/>
      <c r="CZ90" s="67"/>
      <c r="DA90" s="49"/>
      <c r="DB90" s="65"/>
      <c r="DC90" s="49"/>
      <c r="DD90" s="67"/>
      <c r="DE90" s="49"/>
      <c r="DF90" s="65"/>
      <c r="DG90" s="75"/>
      <c r="DH90" s="65"/>
      <c r="DI90" s="65"/>
      <c r="DJ90" s="102"/>
      <c r="DK90" s="75"/>
      <c r="DL90" s="65"/>
      <c r="DM90" s="65"/>
      <c r="DN90" s="102"/>
      <c r="DO90" s="75"/>
      <c r="DP90" s="65"/>
      <c r="DQ90" s="65"/>
      <c r="DR90" s="102"/>
      <c r="DS90" s="75"/>
      <c r="DT90" s="49"/>
      <c r="DU90" s="49"/>
      <c r="DV90" s="49"/>
    </row>
    <row r="91" spans="1:128" s="325" customFormat="1" ht="13.8">
      <c r="A91" s="335" t="str">
        <f>+A87</f>
        <v>Housing Loans</v>
      </c>
      <c r="B91" s="336" t="s">
        <v>556</v>
      </c>
      <c r="BE91" s="345">
        <f>+BE87/BD87-1</f>
        <v>1.9525340923097545E-2</v>
      </c>
      <c r="BH91" s="345">
        <f>+BH87/BE87-1</f>
        <v>3.1527001555192946E-2</v>
      </c>
      <c r="BI91" s="345">
        <f>+BI87/BH87-1</f>
        <v>3.7542353016387198E-2</v>
      </c>
      <c r="BJ91" s="324"/>
      <c r="BK91" s="324"/>
      <c r="BL91" s="345">
        <f>+BL87/BI87-1</f>
        <v>3.4099252907499267E-2</v>
      </c>
      <c r="BM91" s="345">
        <f>+BM87/BL87-1</f>
        <v>3.8362231623269683E-2</v>
      </c>
      <c r="BN91" s="324"/>
      <c r="BO91" s="324"/>
      <c r="BP91" s="345">
        <f>+BP87/BM87-1</f>
        <v>4.1286904295100513E-2</v>
      </c>
      <c r="BQ91" s="345">
        <f>+BQ87/BP87-1</f>
        <v>6.0264699939381661E-2</v>
      </c>
      <c r="BR91" s="324"/>
      <c r="BS91" s="324"/>
      <c r="BT91" s="345">
        <f>+BT87/BQ87-1</f>
        <v>5.0013210382927831E-2</v>
      </c>
      <c r="BU91" s="345">
        <f>+BU87/BT87-1</f>
        <v>1.6190507618819794E-2</v>
      </c>
      <c r="BV91" s="324"/>
      <c r="BW91" s="324"/>
      <c r="BX91" s="345">
        <f>+BX87/BU87-1</f>
        <v>3.8035161213065827E-2</v>
      </c>
      <c r="BY91" s="345">
        <f>+BY87/BX87-1</f>
        <v>3.2785731324373124E-2</v>
      </c>
      <c r="BZ91" s="324"/>
      <c r="CA91" s="324"/>
      <c r="CB91" s="345">
        <f>+CB87/BY87-1</f>
        <v>2.47098691808183E-2</v>
      </c>
      <c r="CC91" s="345">
        <f>+CC87/CB87-1</f>
        <v>3.4105479416621787E-3</v>
      </c>
      <c r="CD91" s="345"/>
      <c r="CE91" s="324"/>
      <c r="CF91" s="345">
        <f>+CF87/CC87-1</f>
        <v>-1.0266834589068852E-2</v>
      </c>
      <c r="CG91" s="345">
        <f>+CG87/CF87-1</f>
        <v>-1.48084207079765E-2</v>
      </c>
      <c r="CH91" s="345"/>
      <c r="CI91" s="324"/>
      <c r="CJ91" s="345">
        <f>+CJ87/CG87-1</f>
        <v>-4.4941953124409961E-3</v>
      </c>
      <c r="CK91" s="345">
        <f>+CK87/CJ87-1</f>
        <v>4.3137983884429243E-2</v>
      </c>
      <c r="CL91" s="345"/>
      <c r="CM91" s="324"/>
      <c r="CN91" s="345">
        <f>+CN87/CK87-1</f>
        <v>2.0286070692119518E-2</v>
      </c>
      <c r="CO91" s="345">
        <f>+CO87/CN87-1</f>
        <v>-1.0069685790158434E-2</v>
      </c>
      <c r="CP91" s="345"/>
      <c r="CQ91" s="324"/>
      <c r="CR91" s="345">
        <f>+CR87/CO87-1</f>
        <v>6.2653031830617323E-4</v>
      </c>
      <c r="CS91" s="345">
        <f>+CS87/CR87-1</f>
        <v>1.6009701540875332E-2</v>
      </c>
      <c r="CT91" s="345"/>
      <c r="CU91" s="324"/>
      <c r="CV91" s="345">
        <f>+CV87/CS87-1</f>
        <v>3.6317528679655542E-2</v>
      </c>
      <c r="CW91" s="345">
        <f>+CW87/CV87-1</f>
        <v>3.9426241554082919E-2</v>
      </c>
      <c r="CX91" s="345"/>
      <c r="CY91" s="324"/>
      <c r="CZ91" s="345">
        <f>+CZ87/CW87-1</f>
        <v>3.2781710633176919E-2</v>
      </c>
      <c r="DA91" s="345">
        <f>+DA87/CZ87-1</f>
        <v>0.21625708764322527</v>
      </c>
      <c r="DB91" s="345"/>
      <c r="DC91" s="324"/>
      <c r="DD91" s="345">
        <f>+DD87/DA87-1</f>
        <v>2.5361882574666872E-2</v>
      </c>
      <c r="DE91" s="345">
        <f>+DE87/DD87-1</f>
        <v>2.5056226529731829E-2</v>
      </c>
      <c r="DF91" s="345"/>
      <c r="DG91" s="1266"/>
      <c r="DH91" s="616">
        <v>1.4999999999999999E-2</v>
      </c>
      <c r="DI91" s="616">
        <v>2.5000000000000001E-2</v>
      </c>
      <c r="DJ91" s="1266"/>
      <c r="DK91" s="355">
        <v>6.0900000000000176E-2</v>
      </c>
      <c r="DL91" s="616">
        <v>0.03</v>
      </c>
      <c r="DM91" s="616">
        <v>0.03</v>
      </c>
      <c r="DN91" s="1266"/>
      <c r="DO91" s="324"/>
      <c r="DP91" s="616">
        <v>2.5000000000000001E-2</v>
      </c>
      <c r="DQ91" s="616">
        <v>2.5000000000000001E-2</v>
      </c>
      <c r="DR91" s="1266"/>
      <c r="DS91" s="324"/>
      <c r="DT91" s="324"/>
      <c r="DU91" s="324"/>
      <c r="DV91" s="324"/>
      <c r="DW91" s="20"/>
      <c r="DX91" s="347"/>
    </row>
    <row r="92" spans="1:128" s="20" customFormat="1" ht="13.8">
      <c r="A92" s="47" t="str">
        <f>+A88</f>
        <v>Non Housing Loans</v>
      </c>
      <c r="B92" s="92" t="s">
        <v>556</v>
      </c>
      <c r="BE92" s="96">
        <f>+BE88/BD88-1</f>
        <v>3.2359452515230425E-2</v>
      </c>
      <c r="BH92" s="96">
        <f>+BH88/BE88-1</f>
        <v>1.3751164192187693E-2</v>
      </c>
      <c r="BI92" s="96">
        <f>+BI88/BH88-1</f>
        <v>1.9532456302884249E-2</v>
      </c>
      <c r="BJ92" s="49"/>
      <c r="BK92" s="49"/>
      <c r="BL92" s="96">
        <f>+BL88/BI88-1</f>
        <v>4.2087567583940499E-2</v>
      </c>
      <c r="BM92" s="96">
        <f>+BM88/BL88-1</f>
        <v>2.8986455063364724E-2</v>
      </c>
      <c r="BN92" s="49"/>
      <c r="BO92" s="49"/>
      <c r="BP92" s="96">
        <f>+BP88/BM88-1</f>
        <v>3.9122912326542192E-2</v>
      </c>
      <c r="BQ92" s="96">
        <f>+BQ88/BP88-1</f>
        <v>3.487036596554427E-2</v>
      </c>
      <c r="BR92" s="49"/>
      <c r="BS92" s="49"/>
      <c r="BT92" s="96">
        <f>+BT88/BQ88-1</f>
        <v>-3.8528724158764294E-2</v>
      </c>
      <c r="BU92" s="96">
        <f>+BU88/BT88-1</f>
        <v>2.4896010491158416E-2</v>
      </c>
      <c r="BV92" s="49"/>
      <c r="BW92" s="49"/>
      <c r="BX92" s="96">
        <f>+BX88/BU88-1</f>
        <v>-3.9052607727884103E-3</v>
      </c>
      <c r="BY92" s="96">
        <f>+BY88/BX88-1</f>
        <v>-2.1208553001311747E-3</v>
      </c>
      <c r="BZ92" s="49"/>
      <c r="CA92" s="49"/>
      <c r="CB92" s="96">
        <f>+CB88/BY88-1</f>
        <v>4.4384549885685409E-3</v>
      </c>
      <c r="CC92" s="96">
        <f>+CC88/CB88-1</f>
        <v>4.8533838852436118E-2</v>
      </c>
      <c r="CD92" s="49"/>
      <c r="CE92" s="49"/>
      <c r="CF92" s="96">
        <f>+CF88/CC88-1</f>
        <v>-1.5170227394260438E-2</v>
      </c>
      <c r="CG92" s="96">
        <f>+CG88/CF88-1</f>
        <v>7.8267108809897845E-2</v>
      </c>
      <c r="CH92" s="49"/>
      <c r="CI92" s="49"/>
      <c r="CJ92" s="96">
        <f>+CJ88/CG88-1</f>
        <v>0.10700261976272274</v>
      </c>
      <c r="CK92" s="96">
        <f>+CK88/CJ88-1</f>
        <v>-8.9218988616794337E-2</v>
      </c>
      <c r="CL92" s="49"/>
      <c r="CM92" s="49"/>
      <c r="CN92" s="96">
        <f>+CN88/CK88-1</f>
        <v>-7.0007075625955095E-2</v>
      </c>
      <c r="CO92" s="96">
        <f>+CO88/CN88-1</f>
        <v>3.0241226527885079E-3</v>
      </c>
      <c r="CP92" s="49"/>
      <c r="CQ92" s="49"/>
      <c r="CR92" s="96">
        <f>+CR88/CO88-1</f>
        <v>6.8707691130913684E-2</v>
      </c>
      <c r="CS92" s="96">
        <f>+CS88/CR88-1</f>
        <v>6.9199157824419544E-2</v>
      </c>
      <c r="CT92" s="49"/>
      <c r="CU92" s="49"/>
      <c r="CV92" s="96">
        <f>+CV88/CS88-1</f>
        <v>1.1748101950765033E-2</v>
      </c>
      <c r="CW92" s="96">
        <f>+CW88/CV88-1</f>
        <v>1.7285203094244306E-2</v>
      </c>
      <c r="CX92" s="49"/>
      <c r="CY92" s="49"/>
      <c r="CZ92" s="96">
        <f>+CZ88/CW88-1</f>
        <v>2.0227203746260303E-2</v>
      </c>
      <c r="DA92" s="96">
        <f>+DA88/CZ88-1</f>
        <v>9.5359017403684687E-2</v>
      </c>
      <c r="DB92" s="49"/>
      <c r="DC92" s="49"/>
      <c r="DD92" s="96">
        <f>+DD88/DA88-1</f>
        <v>8.5505320438827859E-3</v>
      </c>
      <c r="DE92" s="96">
        <f>+DE88/DD88-1</f>
        <v>5.0507576376900065E-2</v>
      </c>
      <c r="DF92" s="49"/>
      <c r="DG92" s="49"/>
      <c r="DH92" s="96">
        <f>+DH88/DE88-1</f>
        <v>1.3519354366176461E-2</v>
      </c>
      <c r="DI92" s="96">
        <f>+DI88/DH88-1</f>
        <v>1.9554996937065861E-2</v>
      </c>
      <c r="DJ92" s="49"/>
      <c r="DK92" s="68">
        <v>8.9392000103554192E-3</v>
      </c>
      <c r="DL92" s="96">
        <f>+DL88/DI88-1</f>
        <v>1.3539028300069145E-2</v>
      </c>
      <c r="DM92" s="96">
        <f>+DM88/DL88-1</f>
        <v>2.1114221158172297E-2</v>
      </c>
      <c r="DN92" s="49"/>
      <c r="DO92" s="49"/>
      <c r="DP92" s="96">
        <f>+DP88/DM88-1</f>
        <v>1.6696209356751979E-2</v>
      </c>
      <c r="DQ92" s="96">
        <f>+DQ88/DP88-1</f>
        <v>2.2728270580682608E-2</v>
      </c>
      <c r="DR92" s="49"/>
      <c r="DS92" s="49"/>
      <c r="DT92" s="49"/>
      <c r="DU92" s="49"/>
      <c r="DV92" s="49"/>
      <c r="DX92" s="347"/>
    </row>
    <row r="93" spans="1:128" s="20" customFormat="1" ht="13.8">
      <c r="A93" s="78" t="str">
        <f>+A89</f>
        <v>Total Loans</v>
      </c>
      <c r="B93" s="49" t="s">
        <v>546</v>
      </c>
      <c r="BE93" s="79">
        <f>+BE89/BD89-1</f>
        <v>2.4780646612760249E-2</v>
      </c>
      <c r="BH93" s="79">
        <f>+BH89/BE89-1</f>
        <v>2.4194329474207521E-2</v>
      </c>
      <c r="BI93" s="79">
        <f>+BI89/BH89-1</f>
        <v>3.0188881463642181E-2</v>
      </c>
      <c r="BJ93" s="49"/>
      <c r="BK93" s="49"/>
      <c r="BL93" s="79">
        <f>+BL89/BI89-1</f>
        <v>3.7327156508462078E-2</v>
      </c>
      <c r="BM93" s="79">
        <f>+BM89/BL89-1</f>
        <v>3.4556298892074677E-2</v>
      </c>
      <c r="BN93" s="49"/>
      <c r="BO93" s="49"/>
      <c r="BP93" s="79">
        <f>+BP89/BM89-1</f>
        <v>4.0413198869776235E-2</v>
      </c>
      <c r="BQ93" s="79">
        <f>+BQ89/BP89-1</f>
        <v>5.0024527200528413E-2</v>
      </c>
      <c r="BR93" s="49"/>
      <c r="BS93" s="49"/>
      <c r="BT93" s="79">
        <f>+BT89/BQ89-1</f>
        <v>1.4824287820855764E-2</v>
      </c>
      <c r="BU93" s="79">
        <f>+BU89/BT89-1</f>
        <v>1.9468412051384165E-2</v>
      </c>
      <c r="BV93" s="49"/>
      <c r="BW93" s="49"/>
      <c r="BX93" s="79">
        <f>+BX89/BU89-1</f>
        <v>2.2159155409240627E-2</v>
      </c>
      <c r="BY93" s="79">
        <f>+BY89/BX89-1</f>
        <v>1.9909227545663821E-2</v>
      </c>
      <c r="BZ93" s="49"/>
      <c r="CA93" s="49"/>
      <c r="CB93" s="79">
        <f>+CB89/BY89-1</f>
        <v>1.7393576862767768E-2</v>
      </c>
      <c r="CC93" s="79">
        <f>+CC89/CB89-1</f>
        <v>1.9488921235646162E-2</v>
      </c>
      <c r="CD93" s="49"/>
      <c r="CE93" s="49"/>
      <c r="CF93" s="79">
        <f>+CF89/CC89-1</f>
        <v>-1.2063792757525005E-2</v>
      </c>
      <c r="CG93" s="79">
        <f>+CG89/CF89-1</f>
        <v>1.9193939551370054E-2</v>
      </c>
      <c r="CH93" s="49"/>
      <c r="CI93" s="49"/>
      <c r="CJ93" s="79">
        <f>+CJ89/CG89-1</f>
        <v>3.8598686268376703E-2</v>
      </c>
      <c r="CK93" s="79">
        <f>+CK89/CJ89-1</f>
        <v>-1.1386401459886564E-2</v>
      </c>
      <c r="CL93" s="49"/>
      <c r="CM93" s="49"/>
      <c r="CN93" s="79">
        <f>+CN89/CK89-1</f>
        <v>-1.3981721764639521E-2</v>
      </c>
      <c r="CO93" s="79">
        <f>+CO89/CN89-1</f>
        <v>-5.3827176316042502E-3</v>
      </c>
      <c r="CP93" s="49"/>
      <c r="CQ93" s="49"/>
      <c r="CR93" s="79">
        <f>+CR89/CO89-1</f>
        <v>2.520236906410922E-2</v>
      </c>
      <c r="CS93" s="79">
        <f>+CS89/CR89-1</f>
        <v>3.6024733197921766E-2</v>
      </c>
      <c r="CT93" s="49"/>
      <c r="CU93" s="49"/>
      <c r="CV93" s="79">
        <f>+CV89/CS89-1</f>
        <v>2.6776081766701543E-2</v>
      </c>
      <c r="CW93" s="79">
        <f>+CW89/CV89-1</f>
        <v>3.0953697100635891E-2</v>
      </c>
      <c r="CX93" s="49"/>
      <c r="CY93" s="49"/>
      <c r="CZ93" s="79">
        <f>+CZ89/CW89-1</f>
        <v>2.8041265806723503E-2</v>
      </c>
      <c r="DA93" s="79">
        <f>+DA89/CZ89-1</f>
        <v>0.17095427589735213</v>
      </c>
      <c r="DB93" s="49"/>
      <c r="DC93" s="49"/>
      <c r="DD93" s="79">
        <f>+DD89/DA89-1</f>
        <v>1.9469038584465581E-2</v>
      </c>
      <c r="DE93" s="79">
        <f>+DE89/DD89-1</f>
        <v>3.3882081418384891E-2</v>
      </c>
      <c r="DF93" s="49"/>
      <c r="DG93" s="49"/>
      <c r="DH93" s="79">
        <f>+DH89/DE89-1</f>
        <v>1.44782946711699E-2</v>
      </c>
      <c r="DI93" s="79">
        <f>+DI89/DH89-1</f>
        <v>2.3083267274794261E-2</v>
      </c>
      <c r="DJ93" s="49"/>
      <c r="DK93" s="68">
        <v>4.2462404174660184E-2</v>
      </c>
      <c r="DL93" s="79">
        <f>+DL89/DI89-1</f>
        <v>2.4225444318190403E-2</v>
      </c>
      <c r="DM93" s="79">
        <f>+DM89/DL89-1</f>
        <v>2.6915366852788614E-2</v>
      </c>
      <c r="DN93" s="49"/>
      <c r="DO93" s="49"/>
      <c r="DP93" s="79">
        <f>+DP89/DM89-1</f>
        <v>2.2133683891549571E-2</v>
      </c>
      <c r="DQ93" s="79">
        <f>+DQ89/DP89-1</f>
        <v>2.4220012218762577E-2</v>
      </c>
      <c r="DR93" s="49"/>
      <c r="DS93" s="49"/>
      <c r="DT93" s="49"/>
      <c r="DU93" s="49"/>
      <c r="DV93" s="49"/>
    </row>
    <row r="94" spans="1:128" s="20" customFormat="1" ht="13.8">
      <c r="A94" s="78"/>
      <c r="B94" s="49"/>
      <c r="BE94" s="79"/>
      <c r="BH94" s="79"/>
      <c r="BI94" s="79"/>
      <c r="BJ94" s="49"/>
      <c r="BK94" s="49"/>
      <c r="BL94" s="79"/>
      <c r="BM94" s="79"/>
      <c r="BN94" s="49"/>
      <c r="BO94" s="49"/>
      <c r="BP94" s="79"/>
      <c r="BQ94" s="79"/>
      <c r="BR94" s="49"/>
      <c r="BS94" s="49"/>
      <c r="BT94" s="79"/>
      <c r="BU94" s="79"/>
      <c r="BV94" s="49"/>
      <c r="BW94" s="49"/>
      <c r="BX94" s="79"/>
      <c r="BY94" s="79"/>
      <c r="BZ94" s="49"/>
      <c r="CA94" s="49"/>
      <c r="CB94" s="79"/>
      <c r="CC94" s="79"/>
      <c r="CD94" s="49"/>
      <c r="CE94" s="49"/>
      <c r="CF94" s="79"/>
      <c r="CG94" s="79"/>
      <c r="CH94" s="49"/>
      <c r="CI94" s="49"/>
      <c r="CJ94" s="79"/>
      <c r="CK94" s="79"/>
      <c r="CL94" s="49"/>
      <c r="CM94" s="49"/>
      <c r="CN94" s="79"/>
      <c r="CO94" s="79"/>
      <c r="CP94" s="49"/>
      <c r="CQ94" s="49"/>
      <c r="CR94" s="79"/>
      <c r="CS94" s="79"/>
      <c r="CT94" s="49"/>
      <c r="CU94" s="49"/>
      <c r="CV94" s="79"/>
      <c r="CW94" s="79"/>
      <c r="CX94" s="49"/>
      <c r="CY94" s="49"/>
      <c r="CZ94" s="79"/>
      <c r="DA94" s="79"/>
      <c r="DB94" s="49"/>
      <c r="DC94" s="49"/>
      <c r="DD94" s="79"/>
      <c r="DE94" s="79"/>
      <c r="DF94" s="49"/>
      <c r="DG94" s="49"/>
      <c r="DH94" s="79"/>
      <c r="DI94" s="79"/>
      <c r="DJ94" s="49"/>
      <c r="DK94" s="49"/>
      <c r="DL94" s="79"/>
      <c r="DM94" s="79"/>
      <c r="DN94" s="49"/>
      <c r="DO94" s="49"/>
      <c r="DP94" s="79"/>
      <c r="DQ94" s="79"/>
      <c r="DR94" s="49"/>
      <c r="DS94" s="49"/>
      <c r="DT94" s="49"/>
      <c r="DU94" s="49"/>
      <c r="DV94" s="49"/>
    </row>
    <row r="95" spans="1:128" s="20" customFormat="1" ht="13.8">
      <c r="A95" s="1263" t="s">
        <v>1179</v>
      </c>
      <c r="B95" s="547"/>
      <c r="C95" s="533"/>
      <c r="D95" s="533"/>
      <c r="E95" s="533"/>
      <c r="F95" s="533"/>
      <c r="G95" s="533"/>
      <c r="H95" s="533"/>
      <c r="I95" s="533"/>
      <c r="J95" s="533"/>
      <c r="K95" s="533"/>
      <c r="L95" s="533"/>
      <c r="M95" s="533"/>
      <c r="N95" s="533"/>
      <c r="O95" s="533"/>
      <c r="P95" s="533"/>
      <c r="Q95" s="533"/>
      <c r="R95" s="533"/>
      <c r="S95" s="533"/>
      <c r="T95" s="533"/>
      <c r="U95" s="533"/>
      <c r="V95" s="533"/>
      <c r="W95" s="533"/>
      <c r="X95" s="533"/>
      <c r="Y95" s="533"/>
      <c r="Z95" s="533"/>
      <c r="AA95" s="533"/>
      <c r="AB95" s="533"/>
      <c r="AC95" s="533"/>
      <c r="AD95" s="533"/>
      <c r="AE95" s="533"/>
      <c r="AF95" s="533"/>
      <c r="AG95" s="533"/>
      <c r="AH95" s="533"/>
      <c r="AI95" s="533"/>
      <c r="AJ95" s="533"/>
      <c r="AK95" s="533"/>
      <c r="AL95" s="533"/>
      <c r="AM95" s="533"/>
      <c r="AN95" s="533"/>
      <c r="AO95" s="533"/>
      <c r="AP95" s="533"/>
      <c r="AQ95" s="533"/>
      <c r="AR95" s="533"/>
      <c r="AS95" s="533"/>
      <c r="AT95" s="533"/>
      <c r="AU95" s="533"/>
      <c r="AV95" s="533"/>
      <c r="AW95" s="533"/>
      <c r="AX95" s="533"/>
      <c r="AY95" s="533"/>
      <c r="AZ95" s="533"/>
      <c r="BA95" s="533"/>
      <c r="BB95" s="533"/>
      <c r="BC95" s="533"/>
      <c r="BD95" s="533"/>
      <c r="BE95" s="612"/>
      <c r="BF95" s="533"/>
      <c r="BG95" s="533"/>
      <c r="BH95" s="612"/>
      <c r="BI95" s="612"/>
      <c r="BJ95" s="547"/>
      <c r="BK95" s="547"/>
      <c r="BL95" s="612"/>
      <c r="BM95" s="612"/>
      <c r="BN95" s="547"/>
      <c r="BO95" s="547"/>
      <c r="BP95" s="612"/>
      <c r="BQ95" s="612"/>
      <c r="BR95" s="547"/>
      <c r="BS95" s="547"/>
      <c r="BT95" s="612"/>
      <c r="BU95" s="612"/>
      <c r="BV95" s="547"/>
      <c r="BW95" s="547"/>
      <c r="BX95" s="612"/>
      <c r="BY95" s="612"/>
      <c r="BZ95" s="547"/>
      <c r="CA95" s="547"/>
      <c r="CB95" s="612"/>
      <c r="CC95" s="612"/>
      <c r="CD95" s="547"/>
      <c r="CE95" s="547"/>
      <c r="CF95" s="612"/>
      <c r="CG95" s="612"/>
      <c r="CH95" s="547"/>
      <c r="CI95" s="547"/>
      <c r="CJ95" s="612"/>
      <c r="CK95" s="612"/>
      <c r="CL95" s="547"/>
      <c r="CM95" s="547"/>
      <c r="CN95" s="613">
        <v>2.5999999999999999E-2</v>
      </c>
      <c r="CO95" s="613">
        <v>3.7999999999999999E-2</v>
      </c>
      <c r="CP95" s="1265"/>
      <c r="CQ95" s="1265"/>
      <c r="CR95" s="613">
        <v>3.9E-2</v>
      </c>
      <c r="CS95" s="613">
        <v>3.7999999999999999E-2</v>
      </c>
      <c r="CT95" s="1265"/>
      <c r="CU95" s="1266"/>
      <c r="CV95" s="613">
        <f>4.3%/2</f>
        <v>2.1499999999999998E-2</v>
      </c>
      <c r="CW95" s="613">
        <f>4%/2</f>
        <v>0.02</v>
      </c>
      <c r="CX95" s="1585">
        <f>CV95+CW95</f>
        <v>4.1499999999999995E-2</v>
      </c>
      <c r="CY95" s="1266"/>
      <c r="CZ95" s="613">
        <f>4.5%/2</f>
        <v>2.2499999999999999E-2</v>
      </c>
      <c r="DA95" s="613">
        <v>2.7E-2</v>
      </c>
      <c r="DB95" s="1585">
        <f>CZ95+DA95</f>
        <v>4.9500000000000002E-2</v>
      </c>
      <c r="DC95" s="1266"/>
      <c r="DD95" s="613">
        <f>5.7%/2</f>
        <v>2.8500000000000001E-2</v>
      </c>
      <c r="DE95" s="613">
        <v>2.7E-2</v>
      </c>
      <c r="DF95" s="1585">
        <f>DD95+DE95</f>
        <v>5.5500000000000001E-2</v>
      </c>
      <c r="DG95" s="1266"/>
      <c r="DH95" s="616">
        <v>3.5000000000000003E-2</v>
      </c>
      <c r="DI95" s="616">
        <v>3.5000000000000003E-2</v>
      </c>
      <c r="DJ95" s="1585">
        <f>DH95+DI95</f>
        <v>7.0000000000000007E-2</v>
      </c>
      <c r="DK95" s="1266"/>
      <c r="DL95" s="616">
        <v>0.03</v>
      </c>
      <c r="DM95" s="616">
        <v>0.03</v>
      </c>
      <c r="DN95" s="1585">
        <f>DL95+DM95</f>
        <v>0.06</v>
      </c>
      <c r="DO95" s="1266"/>
      <c r="DP95" s="616">
        <v>2.5000000000000001E-2</v>
      </c>
      <c r="DQ95" s="616">
        <v>2.5000000000000001E-2</v>
      </c>
      <c r="DR95" s="1585">
        <f>DP95+DQ95</f>
        <v>0.05</v>
      </c>
      <c r="DS95" s="1266"/>
      <c r="DT95" s="49"/>
      <c r="DU95" s="49"/>
      <c r="DV95" s="49"/>
    </row>
    <row r="96" spans="1:128" s="20" customFormat="1" ht="13.8">
      <c r="A96" s="1264" t="s">
        <v>1181</v>
      </c>
      <c r="B96" s="49"/>
      <c r="BE96" s="79"/>
      <c r="BH96" s="79"/>
      <c r="BI96" s="79"/>
      <c r="BJ96" s="49"/>
      <c r="BK96" s="49"/>
      <c r="BL96" s="79"/>
      <c r="BM96" s="79"/>
      <c r="BN96" s="49"/>
      <c r="BO96" s="49"/>
      <c r="BP96" s="79"/>
      <c r="BQ96" s="79"/>
      <c r="BR96" s="49"/>
      <c r="BS96" s="49"/>
      <c r="BT96" s="79"/>
      <c r="BU96" s="79"/>
      <c r="BV96" s="49"/>
      <c r="BW96" s="49"/>
      <c r="BX96" s="79"/>
      <c r="BY96" s="79"/>
      <c r="BZ96" s="49"/>
      <c r="CA96" s="49"/>
      <c r="CB96" s="79"/>
      <c r="CC96" s="79"/>
      <c r="CD96" s="49"/>
      <c r="CE96" s="49"/>
      <c r="CF96" s="79"/>
      <c r="CG96" s="79"/>
      <c r="CH96" s="49"/>
      <c r="CI96" s="49"/>
      <c r="CJ96" s="79"/>
      <c r="CK96" s="79"/>
      <c r="CL96" s="49"/>
      <c r="CM96" s="49"/>
      <c r="CN96" s="1267">
        <f>+CN91/CN95</f>
        <v>0.78023348815844307</v>
      </c>
      <c r="CO96" s="1267">
        <f t="shared" ref="CO96" si="183">+CO91/CO95</f>
        <v>-0.26499173131995879</v>
      </c>
      <c r="CP96" s="1268"/>
      <c r="CQ96" s="1268"/>
      <c r="CR96" s="1267">
        <f>+CR91/CR95</f>
        <v>1.6064879956568544E-2</v>
      </c>
      <c r="CS96" s="1267">
        <f t="shared" ref="CS96" si="184">+CS91/CS95</f>
        <v>0.42130793528619298</v>
      </c>
      <c r="CT96" s="1268"/>
      <c r="CU96" s="1268"/>
      <c r="CV96" s="1267">
        <f>+CV91/CV95</f>
        <v>1.6891873804490951</v>
      </c>
      <c r="CW96" s="1267">
        <f t="shared" ref="CW96" si="185">+CW91/CW95</f>
        <v>1.971312077704146</v>
      </c>
      <c r="CX96" s="1267"/>
      <c r="CY96" s="1267"/>
      <c r="CZ96" s="1267">
        <f>+CZ91/CZ95</f>
        <v>1.4569649170300853</v>
      </c>
      <c r="DA96" s="1267">
        <f t="shared" ref="DA96" si="186">+DA91/DA95</f>
        <v>8.0095217645638996</v>
      </c>
      <c r="DB96" s="1267"/>
      <c r="DC96" s="1267"/>
      <c r="DD96" s="1267">
        <f>+DD91/DD95</f>
        <v>0.88989061665497793</v>
      </c>
      <c r="DE96" s="1267">
        <f t="shared" ref="DE96" si="187">+DE91/DE95</f>
        <v>0.92800838999006774</v>
      </c>
      <c r="DF96" s="1267"/>
      <c r="DG96" s="1269"/>
      <c r="DH96" s="1269">
        <f t="shared" ref="DH96:DI96" si="188">+DH91/DH95</f>
        <v>0.42857142857142849</v>
      </c>
      <c r="DI96" s="1269">
        <f t="shared" si="188"/>
        <v>0.7142857142857143</v>
      </c>
      <c r="DJ96" s="1269"/>
      <c r="DK96" s="1269"/>
      <c r="DL96" s="1269">
        <f t="shared" ref="DL96:DM96" si="189">+DL91/DL95</f>
        <v>1</v>
      </c>
      <c r="DM96" s="1269">
        <f t="shared" si="189"/>
        <v>1</v>
      </c>
      <c r="DN96" s="1269"/>
      <c r="DO96" s="1269"/>
      <c r="DP96" s="1269">
        <f t="shared" ref="DP96:DQ96" si="190">+DP91/DP95</f>
        <v>1</v>
      </c>
      <c r="DQ96" s="1269">
        <f t="shared" si="190"/>
        <v>1</v>
      </c>
      <c r="DR96" s="1269"/>
      <c r="DS96" s="1269"/>
      <c r="DT96" s="49"/>
      <c r="DU96" s="49"/>
      <c r="DV96" s="49"/>
    </row>
    <row r="97" spans="1:126" s="20" customFormat="1" ht="13.8">
      <c r="B97" s="49"/>
      <c r="BH97" s="67"/>
      <c r="BI97" s="49"/>
      <c r="BJ97" s="49"/>
      <c r="BK97" s="49"/>
      <c r="BL97" s="67"/>
      <c r="BM97" s="49"/>
      <c r="BN97" s="49"/>
      <c r="BO97" s="49"/>
      <c r="BP97" s="67"/>
      <c r="BQ97" s="49"/>
      <c r="BR97" s="49"/>
      <c r="BS97" s="49"/>
      <c r="BT97" s="67"/>
      <c r="BU97" s="49"/>
      <c r="BV97" s="49"/>
      <c r="BW97" s="49"/>
      <c r="BX97" s="67"/>
      <c r="BY97" s="49"/>
      <c r="BZ97" s="49"/>
      <c r="CA97" s="49"/>
      <c r="CB97" s="67"/>
      <c r="CC97" s="49"/>
      <c r="CD97" s="49"/>
      <c r="CE97" s="49"/>
      <c r="CF97" s="67"/>
      <c r="CG97" s="49"/>
      <c r="CH97" s="49"/>
      <c r="CI97" s="49"/>
      <c r="CJ97" s="67"/>
      <c r="CK97" s="49"/>
      <c r="CL97" s="49"/>
      <c r="CM97" s="49"/>
      <c r="CN97" s="67"/>
      <c r="CO97" s="49"/>
      <c r="CP97" s="49"/>
      <c r="CQ97" s="49"/>
      <c r="CR97" s="67"/>
      <c r="CS97" s="49"/>
      <c r="CT97" s="49"/>
      <c r="CU97" s="49"/>
      <c r="CV97" s="67"/>
      <c r="CW97" s="49"/>
      <c r="CX97" s="49"/>
      <c r="CY97" s="49"/>
      <c r="CZ97" s="67"/>
      <c r="DA97" s="49"/>
      <c r="DB97" s="49"/>
      <c r="DC97" s="49"/>
      <c r="DD97" s="67"/>
      <c r="DE97" s="49"/>
      <c r="DF97" s="49"/>
      <c r="DG97" s="49"/>
      <c r="DH97" s="49"/>
      <c r="DI97" s="49"/>
      <c r="DJ97" s="49"/>
      <c r="DK97" s="49"/>
      <c r="DL97" s="49"/>
      <c r="DM97" s="49"/>
      <c r="DN97" s="49"/>
      <c r="DO97" s="49"/>
      <c r="DP97" s="49"/>
      <c r="DQ97" s="49"/>
      <c r="DR97" s="49"/>
      <c r="DS97" s="49"/>
      <c r="DT97" s="49"/>
      <c r="DU97" s="49"/>
      <c r="DV97" s="49"/>
    </row>
    <row r="98" spans="1:126" s="20" customFormat="1" ht="13.8">
      <c r="A98" s="20" t="s">
        <v>1077</v>
      </c>
      <c r="B98" s="49"/>
      <c r="BH98" s="67"/>
      <c r="BI98" s="49"/>
      <c r="BJ98" s="49"/>
      <c r="BK98" s="49"/>
      <c r="BL98" s="67"/>
      <c r="BM98" s="49"/>
      <c r="BN98" s="49"/>
      <c r="BO98" s="49"/>
      <c r="BP98" s="67"/>
      <c r="BQ98" s="49"/>
      <c r="BR98" s="49"/>
      <c r="BS98" s="49"/>
      <c r="BT98" s="67"/>
      <c r="BU98" s="49"/>
      <c r="BV98" s="49"/>
      <c r="BW98" s="49"/>
      <c r="BX98" s="67"/>
      <c r="BY98" s="67">
        <f>58331-100+700</f>
        <v>58931</v>
      </c>
      <c r="BZ98" s="65">
        <f t="shared" ref="BZ98:BZ100" si="191">BY98</f>
        <v>58931</v>
      </c>
      <c r="CA98" s="49"/>
      <c r="CB98" s="67">
        <f>57617-100+700</f>
        <v>58217</v>
      </c>
      <c r="CC98" s="67">
        <f>58222+700</f>
        <v>58922</v>
      </c>
      <c r="CD98" s="65">
        <f t="shared" ref="CD98:CD100" si="192">CC98</f>
        <v>58922</v>
      </c>
      <c r="CE98" s="49"/>
      <c r="CF98" s="67">
        <f>57101+700</f>
        <v>57801</v>
      </c>
      <c r="CG98" s="67">
        <f>57074+700</f>
        <v>57774</v>
      </c>
      <c r="CH98" s="65">
        <f t="shared" ref="CH98:CH100" si="193">CG98</f>
        <v>57774</v>
      </c>
      <c r="CI98" s="49"/>
      <c r="CJ98" s="67">
        <f>57116+700</f>
        <v>57816</v>
      </c>
      <c r="CK98" s="67">
        <v>57811</v>
      </c>
      <c r="CL98" s="65">
        <f t="shared" ref="CL98:CL100" si="194">CK98</f>
        <v>57811</v>
      </c>
      <c r="CM98" s="49"/>
      <c r="CN98" s="67">
        <v>56794</v>
      </c>
      <c r="CO98" s="67">
        <v>57245</v>
      </c>
      <c r="CP98" s="65">
        <f t="shared" ref="CP98:CP100" si="195">CO98</f>
        <v>57245</v>
      </c>
      <c r="CQ98" s="75">
        <f t="shared" ref="CQ98:CQ101" si="196">+CP98/CL98-1</f>
        <v>-9.7905242946844107E-3</v>
      </c>
      <c r="CR98" s="67">
        <v>57625</v>
      </c>
      <c r="CS98" s="67">
        <v>59727</v>
      </c>
      <c r="CT98" s="65">
        <f t="shared" ref="CT98:CT100" si="197">CS98</f>
        <v>59727</v>
      </c>
      <c r="CU98" s="75">
        <f>+CT98/CP98-1</f>
        <v>4.3357498471482181E-2</v>
      </c>
      <c r="CV98" s="67">
        <v>59911</v>
      </c>
      <c r="CW98" s="67">
        <v>61557</v>
      </c>
      <c r="CX98" s="65">
        <f t="shared" ref="CX98:CX100" si="198">CW98</f>
        <v>61557</v>
      </c>
      <c r="CY98" s="75">
        <f>+CX98/CT98-1</f>
        <v>3.0639409312371191E-2</v>
      </c>
      <c r="CZ98" s="67">
        <v>63874</v>
      </c>
      <c r="DA98" s="67">
        <v>65025</v>
      </c>
      <c r="DB98" s="65">
        <f t="shared" ref="DB98:DB100" si="199">DA98</f>
        <v>65025</v>
      </c>
      <c r="DC98" s="75">
        <f>+DB98/CX98-1</f>
        <v>5.6338028169014009E-2</v>
      </c>
      <c r="DD98" s="67">
        <v>65995</v>
      </c>
      <c r="DE98" s="67">
        <v>67174</v>
      </c>
      <c r="DF98" s="65">
        <f t="shared" ref="DF98:DF100" si="200">DE98</f>
        <v>67174</v>
      </c>
      <c r="DG98" s="75">
        <f>+DF98/DB98-1</f>
        <v>3.3048827374086986E-2</v>
      </c>
      <c r="DH98" s="65">
        <f>+DE98*(1+DH103)</f>
        <v>68517.48</v>
      </c>
      <c r="DI98" s="65">
        <f>+DH98*(1+DI103)</f>
        <v>69887.829599999997</v>
      </c>
      <c r="DJ98" s="102">
        <f>DI98</f>
        <v>69887.829599999997</v>
      </c>
      <c r="DK98" s="75">
        <f>+DJ98/DF98-1</f>
        <v>4.0399999999999991E-2</v>
      </c>
      <c r="DL98" s="65">
        <f>+DI98*(1+DL103)</f>
        <v>71285.586192000002</v>
      </c>
      <c r="DM98" s="65">
        <f>+DL98*(1+DM103)</f>
        <v>73067.725846799993</v>
      </c>
      <c r="DN98" s="102">
        <f>DM98</f>
        <v>73067.725846799993</v>
      </c>
      <c r="DO98" s="75">
        <f>+DN98/DJ98-1</f>
        <v>4.5499999999999874E-2</v>
      </c>
      <c r="DP98" s="65">
        <f>+DM98*(1+DP103)</f>
        <v>75259.757622203993</v>
      </c>
      <c r="DQ98" s="65">
        <f>+DP98*(1+DQ103)</f>
        <v>77517.550350870122</v>
      </c>
      <c r="DR98" s="102">
        <f>DQ98</f>
        <v>77517.550350870122</v>
      </c>
      <c r="DS98" s="75">
        <f>+DR98/DN98-1</f>
        <v>6.0900000000000176E-2</v>
      </c>
      <c r="DT98" s="49"/>
      <c r="DU98" s="49"/>
      <c r="DV98" s="49"/>
    </row>
    <row r="99" spans="1:126" s="20" customFormat="1" ht="13.8">
      <c r="A99" s="20" t="s">
        <v>1078</v>
      </c>
      <c r="B99" s="49"/>
      <c r="BH99" s="67"/>
      <c r="BI99" s="49"/>
      <c r="BJ99" s="49"/>
      <c r="BK99" s="49"/>
      <c r="BL99" s="67"/>
      <c r="BM99" s="49"/>
      <c r="BN99" s="49"/>
      <c r="BO99" s="49"/>
      <c r="BP99" s="67"/>
      <c r="BQ99" s="49"/>
      <c r="BR99" s="49"/>
      <c r="BS99" s="49"/>
      <c r="BT99" s="67"/>
      <c r="BU99" s="49"/>
      <c r="BV99" s="49"/>
      <c r="BW99" s="49"/>
      <c r="BX99" s="67"/>
      <c r="BY99" s="67">
        <f>76008+150</f>
        <v>76158</v>
      </c>
      <c r="BZ99" s="65">
        <f t="shared" si="191"/>
        <v>76158</v>
      </c>
      <c r="CA99" s="49"/>
      <c r="CB99" s="67">
        <f>78029+150</f>
        <v>78179</v>
      </c>
      <c r="CC99" s="67">
        <v>85261</v>
      </c>
      <c r="CD99" s="65">
        <f t="shared" si="192"/>
        <v>85261</v>
      </c>
      <c r="CE99" s="49"/>
      <c r="CF99" s="67">
        <v>84653</v>
      </c>
      <c r="CG99" s="67">
        <v>97583</v>
      </c>
      <c r="CH99" s="65">
        <f t="shared" si="193"/>
        <v>97583</v>
      </c>
      <c r="CI99" s="49"/>
      <c r="CJ99" s="67">
        <v>115637</v>
      </c>
      <c r="CK99" s="67">
        <v>98992</v>
      </c>
      <c r="CL99" s="65">
        <f t="shared" si="194"/>
        <v>98992</v>
      </c>
      <c r="CM99" s="49"/>
      <c r="CN99" s="67">
        <v>89755</v>
      </c>
      <c r="CO99" s="67">
        <v>91084</v>
      </c>
      <c r="CP99" s="65">
        <f t="shared" si="195"/>
        <v>91084</v>
      </c>
      <c r="CQ99" s="75">
        <f t="shared" si="196"/>
        <v>-7.9885243251979987E-2</v>
      </c>
      <c r="CR99" s="67">
        <v>98552</v>
      </c>
      <c r="CS99" s="67">
        <v>111117</v>
      </c>
      <c r="CT99" s="65">
        <f t="shared" si="197"/>
        <v>111117</v>
      </c>
      <c r="CU99" s="75">
        <f t="shared" ref="CU99:CU101" si="201">+CT99/CP99-1</f>
        <v>0.2199398357560054</v>
      </c>
      <c r="CV99" s="67">
        <v>113981</v>
      </c>
      <c r="CW99" s="67">
        <v>115569</v>
      </c>
      <c r="CX99" s="65">
        <f t="shared" si="198"/>
        <v>115569</v>
      </c>
      <c r="CY99" s="75">
        <f t="shared" ref="CY99:CY101" si="202">+CX99/CT99-1</f>
        <v>4.0065876508545095E-2</v>
      </c>
      <c r="CZ99" s="67">
        <v>117157</v>
      </c>
      <c r="DA99" s="67">
        <v>121203</v>
      </c>
      <c r="DB99" s="65">
        <f t="shared" si="199"/>
        <v>121203</v>
      </c>
      <c r="DC99" s="75">
        <f t="shared" ref="DC99:DC101" si="203">+DB99/CX99-1</f>
        <v>4.8750097344443688E-2</v>
      </c>
      <c r="DD99" s="67">
        <v>122516</v>
      </c>
      <c r="DE99" s="67">
        <v>131864</v>
      </c>
      <c r="DF99" s="65">
        <f t="shared" si="200"/>
        <v>131864</v>
      </c>
      <c r="DG99" s="75">
        <f t="shared" ref="DG99:DG101" si="204">+DF99/DB99-1</f>
        <v>8.7959868980140854E-2</v>
      </c>
      <c r="DH99" s="65">
        <f t="shared" ref="DH99:DI99" si="205">DH175</f>
        <v>133182.64000000001</v>
      </c>
      <c r="DI99" s="65">
        <f t="shared" si="205"/>
        <v>135846.29280000002</v>
      </c>
      <c r="DJ99" s="102">
        <f t="shared" ref="DJ99:DJ100" si="206">DI99</f>
        <v>135846.29280000002</v>
      </c>
      <c r="DK99" s="75">
        <f t="shared" ref="DK99:DK101" si="207">+DJ99/DF99-1</f>
        <v>3.0200000000000227E-2</v>
      </c>
      <c r="DL99" s="65">
        <f t="shared" ref="DL99:DM99" si="208">DL175</f>
        <v>137204.75572800002</v>
      </c>
      <c r="DM99" s="65">
        <f t="shared" si="208"/>
        <v>139948.85084256003</v>
      </c>
      <c r="DN99" s="102">
        <f t="shared" ref="DN99:DN100" si="209">DM99</f>
        <v>139948.85084256003</v>
      </c>
      <c r="DO99" s="75">
        <f t="shared" ref="DO99:DO101" si="210">+DN99/DJ99-1</f>
        <v>3.0200000000000005E-2</v>
      </c>
      <c r="DP99" s="65">
        <f t="shared" ref="DP99:DQ99" si="211">DP175</f>
        <v>141348.33935098563</v>
      </c>
      <c r="DQ99" s="65">
        <f t="shared" si="211"/>
        <v>144175.30613800534</v>
      </c>
      <c r="DR99" s="102">
        <f t="shared" ref="DR99:DR100" si="212">DQ99</f>
        <v>144175.30613800534</v>
      </c>
      <c r="DS99" s="75">
        <f t="shared" ref="DS99:DS101" si="213">+DR99/DN99-1</f>
        <v>3.0200000000000005E-2</v>
      </c>
      <c r="DT99" s="49"/>
      <c r="DU99" s="49"/>
      <c r="DV99" s="49"/>
    </row>
    <row r="100" spans="1:126" s="20" customFormat="1" ht="13.8">
      <c r="A100" s="20" t="s">
        <v>1079</v>
      </c>
      <c r="B100" s="49"/>
      <c r="BH100" s="67"/>
      <c r="BI100" s="49"/>
      <c r="BJ100" s="49"/>
      <c r="BK100" s="49"/>
      <c r="BL100" s="67"/>
      <c r="BM100" s="49"/>
      <c r="BN100" s="49"/>
      <c r="BO100" s="49"/>
      <c r="BP100" s="67"/>
      <c r="BQ100" s="49"/>
      <c r="BR100" s="49"/>
      <c r="BS100" s="49"/>
      <c r="BT100" s="67"/>
      <c r="BU100" s="49"/>
      <c r="BV100" s="49"/>
      <c r="BW100" s="49"/>
      <c r="BX100" s="65"/>
      <c r="BY100" s="65">
        <f>+BY101-BY98-BY99</f>
        <v>14062</v>
      </c>
      <c r="BZ100" s="65">
        <f t="shared" si="191"/>
        <v>14062</v>
      </c>
      <c r="CA100" s="49"/>
      <c r="CB100" s="65">
        <f>+CB101-CB98-CB99</f>
        <v>13417</v>
      </c>
      <c r="CC100" s="65">
        <f>+CC101-CC98-CC99</f>
        <v>12901</v>
      </c>
      <c r="CD100" s="65">
        <f t="shared" si="192"/>
        <v>12901</v>
      </c>
      <c r="CE100" s="49"/>
      <c r="CF100" s="65">
        <f>+CF101-CF98-CF99</f>
        <v>12247</v>
      </c>
      <c r="CG100" s="65">
        <f>+CG101-CG98-CG99</f>
        <v>11452</v>
      </c>
      <c r="CH100" s="65">
        <f t="shared" si="193"/>
        <v>11452</v>
      </c>
      <c r="CI100" s="49"/>
      <c r="CJ100" s="65">
        <f>+CJ101-CJ98-CJ99</f>
        <v>11205</v>
      </c>
      <c r="CK100" s="65">
        <f>+CK101-CK98-CK99</f>
        <v>11380</v>
      </c>
      <c r="CL100" s="65">
        <f t="shared" si="194"/>
        <v>11380</v>
      </c>
      <c r="CM100" s="49"/>
      <c r="CN100" s="65">
        <f>+CN101-CN98-CN99</f>
        <v>9860</v>
      </c>
      <c r="CO100" s="65">
        <f>+CO101-CO98-CO99</f>
        <v>8553</v>
      </c>
      <c r="CP100" s="65">
        <f t="shared" si="195"/>
        <v>8553</v>
      </c>
      <c r="CQ100" s="75">
        <f t="shared" si="196"/>
        <v>-0.24841827768014058</v>
      </c>
      <c r="CR100" s="65">
        <f>+CR101-CR98-CR99</f>
        <v>11484</v>
      </c>
      <c r="CS100" s="65">
        <f>+CS101-CS98-CS99</f>
        <v>8419</v>
      </c>
      <c r="CT100" s="65">
        <f t="shared" si="197"/>
        <v>8419</v>
      </c>
      <c r="CU100" s="75">
        <f t="shared" si="201"/>
        <v>-1.5667017420788021E-2</v>
      </c>
      <c r="CV100" s="65">
        <f>+CV101-CV98-CV99</f>
        <v>7477</v>
      </c>
      <c r="CW100" s="65">
        <f>+CW101-CW98-CW99</f>
        <v>7378</v>
      </c>
      <c r="CX100" s="65">
        <f t="shared" si="198"/>
        <v>7378</v>
      </c>
      <c r="CY100" s="75">
        <f t="shared" si="202"/>
        <v>-0.1236488894167953</v>
      </c>
      <c r="CZ100" s="65">
        <f>+CZ101-CZ98-CZ99</f>
        <v>7205</v>
      </c>
      <c r="DA100" s="65">
        <f>+DA101-DA98-DA99</f>
        <v>19958</v>
      </c>
      <c r="DB100" s="65">
        <f t="shared" si="199"/>
        <v>19958</v>
      </c>
      <c r="DC100" s="75">
        <f t="shared" si="203"/>
        <v>1.7050691244239631</v>
      </c>
      <c r="DD100" s="65">
        <f>+DD101-DD98-DD99</f>
        <v>19438</v>
      </c>
      <c r="DE100" s="65">
        <f>+DE101-DE98-DE99</f>
        <v>19414</v>
      </c>
      <c r="DF100" s="65">
        <f t="shared" si="200"/>
        <v>19414</v>
      </c>
      <c r="DG100" s="75">
        <f t="shared" si="204"/>
        <v>-2.7257240204429323E-2</v>
      </c>
      <c r="DH100" s="65">
        <f t="shared" ref="DH100" si="214">+DE100*(1+DH105)</f>
        <v>19705.21</v>
      </c>
      <c r="DI100" s="65">
        <f t="shared" ref="DI100" si="215">+DH100*(1+DI105)</f>
        <v>20000.788149999997</v>
      </c>
      <c r="DJ100" s="102">
        <f t="shared" si="206"/>
        <v>20000.788149999997</v>
      </c>
      <c r="DK100" s="75">
        <f t="shared" si="207"/>
        <v>3.0224999999999724E-2</v>
      </c>
      <c r="DL100" s="65">
        <f t="shared" ref="DL100" si="216">+DI100*(1+DL105)</f>
        <v>20300.799972249995</v>
      </c>
      <c r="DM100" s="65">
        <f t="shared" ref="DM100" si="217">+DL100*(1+DM105)</f>
        <v>20605.311971833744</v>
      </c>
      <c r="DN100" s="102">
        <f t="shared" si="209"/>
        <v>20605.311971833744</v>
      </c>
      <c r="DO100" s="75">
        <f t="shared" si="210"/>
        <v>3.0224999999999946E-2</v>
      </c>
      <c r="DP100" s="65">
        <f t="shared" ref="DP100" si="218">+DM100*(1+DP105)</f>
        <v>20914.39165141125</v>
      </c>
      <c r="DQ100" s="65">
        <f t="shared" ref="DQ100" si="219">+DP100*(1+DQ105)</f>
        <v>21228.107526182415</v>
      </c>
      <c r="DR100" s="102">
        <f t="shared" si="212"/>
        <v>21228.107526182415</v>
      </c>
      <c r="DS100" s="75">
        <f t="shared" si="213"/>
        <v>3.0224999999999724E-2</v>
      </c>
      <c r="DT100" s="49"/>
      <c r="DU100" s="49"/>
      <c r="DV100" s="49"/>
    </row>
    <row r="101" spans="1:126" s="20" customFormat="1" ht="13.8">
      <c r="A101" s="21" t="s">
        <v>1080</v>
      </c>
      <c r="B101" s="49"/>
      <c r="BH101" s="67"/>
      <c r="BI101" s="49"/>
      <c r="BJ101" s="49"/>
      <c r="BK101" s="49"/>
      <c r="BL101" s="67"/>
      <c r="BM101" s="49"/>
      <c r="BN101" s="49"/>
      <c r="BO101" s="49"/>
      <c r="BP101" s="67"/>
      <c r="BQ101" s="49"/>
      <c r="BR101" s="49"/>
      <c r="BS101" s="49"/>
      <c r="BT101" s="67"/>
      <c r="BU101" s="49"/>
      <c r="BV101" s="49"/>
      <c r="BW101" s="49"/>
      <c r="BX101" s="72"/>
      <c r="BY101" s="72">
        <f t="shared" ref="BY101:BZ101" si="220">BY88</f>
        <v>149151</v>
      </c>
      <c r="BZ101" s="72">
        <f t="shared" si="220"/>
        <v>149151</v>
      </c>
      <c r="CA101" s="49"/>
      <c r="CB101" s="72">
        <f>CB88</f>
        <v>149813</v>
      </c>
      <c r="CC101" s="72">
        <f t="shared" ref="CC101:CD101" si="221">CC88</f>
        <v>157084</v>
      </c>
      <c r="CD101" s="72">
        <f t="shared" si="221"/>
        <v>157084</v>
      </c>
      <c r="CE101" s="49"/>
      <c r="CF101" s="72">
        <f>CF88</f>
        <v>154701</v>
      </c>
      <c r="CG101" s="72">
        <f t="shared" ref="CG101:CH101" si="222">CG88</f>
        <v>166809</v>
      </c>
      <c r="CH101" s="72">
        <f t="shared" si="222"/>
        <v>166809</v>
      </c>
      <c r="CI101" s="49"/>
      <c r="CJ101" s="72">
        <f>CJ88</f>
        <v>184658</v>
      </c>
      <c r="CK101" s="72">
        <f t="shared" ref="CK101:CL101" si="223">CK88</f>
        <v>168183</v>
      </c>
      <c r="CL101" s="72">
        <f t="shared" si="223"/>
        <v>168183</v>
      </c>
      <c r="CM101" s="27"/>
      <c r="CN101" s="72">
        <f t="shared" ref="CN101:CP101" si="224">CN88</f>
        <v>156409</v>
      </c>
      <c r="CO101" s="72">
        <f t="shared" si="224"/>
        <v>156882</v>
      </c>
      <c r="CP101" s="72">
        <f t="shared" si="224"/>
        <v>156882</v>
      </c>
      <c r="CQ101" s="79">
        <f t="shared" si="196"/>
        <v>-6.7194662956422513E-2</v>
      </c>
      <c r="CR101" s="72">
        <f t="shared" ref="CR101:CT101" si="225">CR88</f>
        <v>167661</v>
      </c>
      <c r="CS101" s="72">
        <f t="shared" si="225"/>
        <v>179263</v>
      </c>
      <c r="CT101" s="72">
        <f t="shared" si="225"/>
        <v>179263</v>
      </c>
      <c r="CU101" s="79">
        <f t="shared" si="201"/>
        <v>0.14266136331765278</v>
      </c>
      <c r="CV101" s="72">
        <f t="shared" ref="CV101:CX101" si="226">CV88</f>
        <v>181369</v>
      </c>
      <c r="CW101" s="72">
        <f t="shared" si="226"/>
        <v>184504</v>
      </c>
      <c r="CX101" s="72">
        <f t="shared" si="226"/>
        <v>184504</v>
      </c>
      <c r="CY101" s="79">
        <f t="shared" si="202"/>
        <v>2.9236373373200175E-2</v>
      </c>
      <c r="CZ101" s="72">
        <f t="shared" ref="CZ101:DB101" si="227">CZ88</f>
        <v>188236</v>
      </c>
      <c r="DA101" s="72">
        <f t="shared" si="227"/>
        <v>206186</v>
      </c>
      <c r="DB101" s="72">
        <f t="shared" si="227"/>
        <v>206186</v>
      </c>
      <c r="DC101" s="79">
        <f t="shared" si="203"/>
        <v>0.11751506742401241</v>
      </c>
      <c r="DD101" s="72">
        <f t="shared" ref="DD101:DF101" si="228">DD88</f>
        <v>207949</v>
      </c>
      <c r="DE101" s="72">
        <f t="shared" si="228"/>
        <v>218452</v>
      </c>
      <c r="DF101" s="72">
        <f t="shared" si="228"/>
        <v>218452</v>
      </c>
      <c r="DG101" s="79">
        <f t="shared" si="204"/>
        <v>5.9489975071052248E-2</v>
      </c>
      <c r="DH101" s="72">
        <f>SUM(DH98:DH100)</f>
        <v>221405.33</v>
      </c>
      <c r="DI101" s="72">
        <f t="shared" ref="DI101:DJ101" si="229">SUM(DI98:DI100)</f>
        <v>225734.91055000003</v>
      </c>
      <c r="DJ101" s="72">
        <f t="shared" si="229"/>
        <v>225734.91055000003</v>
      </c>
      <c r="DK101" s="79">
        <f t="shared" si="207"/>
        <v>3.3338722236464058E-2</v>
      </c>
      <c r="DL101" s="72">
        <f>SUM(DL98:DL100)</f>
        <v>228791.14189225005</v>
      </c>
      <c r="DM101" s="72">
        <f t="shared" ref="DM101:DN101" si="230">SUM(DM98:DM100)</f>
        <v>233621.88866119378</v>
      </c>
      <c r="DN101" s="72">
        <f t="shared" si="230"/>
        <v>233621.88866119378</v>
      </c>
      <c r="DO101" s="79">
        <f t="shared" si="210"/>
        <v>3.4939115496035678E-2</v>
      </c>
      <c r="DP101" s="72">
        <f>SUM(DP98:DP100)</f>
        <v>237522.48862460087</v>
      </c>
      <c r="DQ101" s="72">
        <f t="shared" ref="DQ101:DR101" si="231">SUM(DQ98:DQ100)</f>
        <v>242920.96401505789</v>
      </c>
      <c r="DR101" s="72">
        <f t="shared" si="231"/>
        <v>242920.96401505789</v>
      </c>
      <c r="DS101" s="79">
        <f t="shared" si="213"/>
        <v>3.9803955901366539E-2</v>
      </c>
      <c r="DT101" s="49"/>
      <c r="DU101" s="49"/>
      <c r="DV101" s="49"/>
    </row>
    <row r="102" spans="1:126" s="20" customFormat="1" ht="13.8">
      <c r="A102" s="78" t="s">
        <v>217</v>
      </c>
      <c r="B102" s="49"/>
      <c r="BH102" s="67"/>
      <c r="BI102" s="49"/>
      <c r="BJ102" s="49"/>
      <c r="BK102" s="49"/>
      <c r="BL102" s="67"/>
      <c r="BM102" s="49"/>
      <c r="BN102" s="49"/>
      <c r="BO102" s="49"/>
      <c r="BP102" s="67"/>
      <c r="BQ102" s="49"/>
      <c r="BR102" s="49"/>
      <c r="BS102" s="49"/>
      <c r="BT102" s="67"/>
      <c r="BU102" s="49"/>
      <c r="BV102" s="49"/>
      <c r="BW102" s="49"/>
      <c r="BX102" s="67"/>
      <c r="BY102" s="49"/>
      <c r="BZ102" s="49"/>
      <c r="CA102" s="49"/>
      <c r="CB102" s="67"/>
      <c r="CC102" s="49"/>
      <c r="CD102" s="49"/>
      <c r="CE102" s="49"/>
      <c r="CF102" s="67"/>
      <c r="CG102" s="49"/>
      <c r="CH102" s="49"/>
      <c r="CI102" s="49"/>
      <c r="CJ102" s="67"/>
      <c r="CK102" s="49"/>
      <c r="CL102" s="49"/>
      <c r="CM102" s="49"/>
      <c r="CN102" s="67"/>
      <c r="CO102" s="49"/>
      <c r="CP102" s="49"/>
      <c r="CQ102" s="49"/>
      <c r="CR102" s="67"/>
      <c r="CS102" s="49"/>
      <c r="CT102" s="49"/>
      <c r="CU102" s="49"/>
      <c r="CV102" s="67"/>
      <c r="CW102" s="49"/>
      <c r="CX102" s="49"/>
      <c r="CY102" s="49"/>
      <c r="CZ102" s="67"/>
      <c r="DA102" s="49"/>
      <c r="DB102" s="49"/>
      <c r="DC102" s="49"/>
      <c r="DD102" s="67"/>
      <c r="DE102" s="49"/>
      <c r="DF102" s="49"/>
      <c r="DG102" s="49"/>
      <c r="DH102" s="49"/>
      <c r="DI102" s="49"/>
      <c r="DJ102" s="49"/>
      <c r="DK102" s="49"/>
      <c r="DL102" s="49"/>
      <c r="DM102" s="49"/>
      <c r="DN102" s="49"/>
      <c r="DO102" s="49"/>
      <c r="DP102" s="49"/>
      <c r="DQ102" s="49"/>
      <c r="DR102" s="49"/>
      <c r="DS102" s="49"/>
      <c r="DT102" s="49"/>
      <c r="DU102" s="49"/>
      <c r="DV102" s="49"/>
    </row>
    <row r="103" spans="1:126" s="20" customFormat="1" ht="13.8">
      <c r="A103" s="335" t="str">
        <f>A98</f>
        <v>Aust: SME</v>
      </c>
      <c r="B103" s="336" t="s">
        <v>556</v>
      </c>
      <c r="C103" s="533"/>
      <c r="D103" s="533"/>
      <c r="E103" s="533"/>
      <c r="F103" s="533"/>
      <c r="G103" s="533"/>
      <c r="H103" s="533"/>
      <c r="I103" s="533"/>
      <c r="J103" s="533"/>
      <c r="K103" s="533"/>
      <c r="L103" s="533"/>
      <c r="M103" s="533"/>
      <c r="N103" s="533"/>
      <c r="O103" s="533"/>
      <c r="P103" s="533"/>
      <c r="Q103" s="533"/>
      <c r="R103" s="533"/>
      <c r="S103" s="533"/>
      <c r="T103" s="533"/>
      <c r="U103" s="533"/>
      <c r="V103" s="533"/>
      <c r="W103" s="533"/>
      <c r="X103" s="533"/>
      <c r="Y103" s="533"/>
      <c r="Z103" s="533"/>
      <c r="AA103" s="533"/>
      <c r="AB103" s="533"/>
      <c r="AC103" s="533"/>
      <c r="AD103" s="533"/>
      <c r="AE103" s="533"/>
      <c r="AF103" s="533"/>
      <c r="AG103" s="533"/>
      <c r="AH103" s="533"/>
      <c r="AI103" s="533"/>
      <c r="AJ103" s="533"/>
      <c r="AK103" s="533"/>
      <c r="AL103" s="533"/>
      <c r="AM103" s="533"/>
      <c r="AN103" s="533"/>
      <c r="AO103" s="533"/>
      <c r="AP103" s="533"/>
      <c r="AQ103" s="533"/>
      <c r="AR103" s="533"/>
      <c r="AS103" s="533"/>
      <c r="AT103" s="533"/>
      <c r="AU103" s="533"/>
      <c r="AV103" s="533"/>
      <c r="AW103" s="533"/>
      <c r="AX103" s="533"/>
      <c r="AY103" s="533"/>
      <c r="AZ103" s="533"/>
      <c r="BA103" s="533"/>
      <c r="BB103" s="533"/>
      <c r="BC103" s="533"/>
      <c r="BD103" s="533"/>
      <c r="BE103" s="533"/>
      <c r="BF103" s="533"/>
      <c r="BG103" s="533"/>
      <c r="BH103" s="599"/>
      <c r="BI103" s="547"/>
      <c r="BJ103" s="547"/>
      <c r="BK103" s="547"/>
      <c r="BL103" s="599"/>
      <c r="BM103" s="547"/>
      <c r="BN103" s="547"/>
      <c r="BO103" s="547"/>
      <c r="BP103" s="599"/>
      <c r="BQ103" s="547"/>
      <c r="BR103" s="547"/>
      <c r="BS103" s="547"/>
      <c r="BT103" s="599"/>
      <c r="BU103" s="547"/>
      <c r="BV103" s="547"/>
      <c r="BW103" s="547"/>
      <c r="BX103" s="599"/>
      <c r="BY103" s="547"/>
      <c r="BZ103" s="547"/>
      <c r="CA103" s="547"/>
      <c r="CB103" s="345">
        <f>+CB98/BY98-1</f>
        <v>-1.2115864315894842E-2</v>
      </c>
      <c r="CC103" s="345">
        <f>+CC98/CB98-1</f>
        <v>1.2109864816119087E-2</v>
      </c>
      <c r="CD103" s="547"/>
      <c r="CE103" s="547"/>
      <c r="CF103" s="345">
        <f>+CF98/CC98-1</f>
        <v>-1.9025151895726511E-2</v>
      </c>
      <c r="CG103" s="345">
        <f>+CG98/CF98-1</f>
        <v>-4.6711994602166573E-4</v>
      </c>
      <c r="CH103" s="547"/>
      <c r="CI103" s="547"/>
      <c r="CJ103" s="345">
        <f>+CJ98/CG98-1</f>
        <v>7.2697060961668392E-4</v>
      </c>
      <c r="CK103" s="345">
        <f>+CK98/CJ98-1</f>
        <v>-8.648125086485603E-5</v>
      </c>
      <c r="CL103" s="547"/>
      <c r="CM103" s="547"/>
      <c r="CN103" s="345">
        <f>+CN98/CK98-1</f>
        <v>-1.7591807787445291E-2</v>
      </c>
      <c r="CO103" s="345">
        <f>+CO98/CN98-1</f>
        <v>7.9409796809521982E-3</v>
      </c>
      <c r="CP103" s="547"/>
      <c r="CQ103" s="547"/>
      <c r="CR103" s="345">
        <f>+CR98/CO98-1</f>
        <v>6.6381343348764776E-3</v>
      </c>
      <c r="CS103" s="345">
        <f>+CS98/CR98-1</f>
        <v>3.647722342733184E-2</v>
      </c>
      <c r="CT103" s="547"/>
      <c r="CU103" s="547"/>
      <c r="CV103" s="345">
        <f>+CV98/CS98-1</f>
        <v>3.0806837778558638E-3</v>
      </c>
      <c r="CW103" s="345">
        <f>+CW98/CV98-1</f>
        <v>2.7474086561733335E-2</v>
      </c>
      <c r="CX103" s="547"/>
      <c r="CY103" s="324"/>
      <c r="CZ103" s="345">
        <f>+CZ98/CW98-1</f>
        <v>3.7639910976818181E-2</v>
      </c>
      <c r="DA103" s="345">
        <f>+DA98/CZ98-1</f>
        <v>1.8019851582803614E-2</v>
      </c>
      <c r="DB103" s="547"/>
      <c r="DC103" s="324"/>
      <c r="DD103" s="345">
        <f>+DD98/DA98-1</f>
        <v>1.4917339484813441E-2</v>
      </c>
      <c r="DE103" s="345">
        <f>+DE98/DD98-1</f>
        <v>1.78649897719525E-2</v>
      </c>
      <c r="DF103" s="547"/>
      <c r="DG103" s="547"/>
      <c r="DH103" s="936">
        <v>0.02</v>
      </c>
      <c r="DI103" s="936">
        <v>0.02</v>
      </c>
      <c r="DJ103" s="547"/>
      <c r="DK103" s="324"/>
      <c r="DL103" s="936">
        <v>0.02</v>
      </c>
      <c r="DM103" s="936">
        <v>2.5000000000000001E-2</v>
      </c>
      <c r="DN103" s="547"/>
      <c r="DO103" s="324"/>
      <c r="DP103" s="936">
        <v>0.03</v>
      </c>
      <c r="DQ103" s="936">
        <v>0.03</v>
      </c>
      <c r="DR103" s="547"/>
      <c r="DS103" s="324"/>
      <c r="DT103" s="324"/>
      <c r="DU103" s="324"/>
      <c r="DV103" s="547"/>
    </row>
    <row r="104" spans="1:126" s="20" customFormat="1" ht="13.8">
      <c r="A104" s="47" t="str">
        <f>A99</f>
        <v>Aust: Institutional</v>
      </c>
      <c r="B104" s="92" t="s">
        <v>556</v>
      </c>
      <c r="BH104" s="67"/>
      <c r="BI104" s="49"/>
      <c r="BJ104" s="49"/>
      <c r="BK104" s="49"/>
      <c r="BL104" s="67"/>
      <c r="BM104" s="49"/>
      <c r="BN104" s="49"/>
      <c r="BO104" s="49"/>
      <c r="BP104" s="67"/>
      <c r="BQ104" s="49"/>
      <c r="BR104" s="49"/>
      <c r="BS104" s="49"/>
      <c r="BT104" s="67"/>
      <c r="BU104" s="49"/>
      <c r="BV104" s="49"/>
      <c r="BW104" s="49"/>
      <c r="BX104" s="67"/>
      <c r="BY104" s="49"/>
      <c r="BZ104" s="49"/>
      <c r="CA104" s="49"/>
      <c r="CB104" s="96">
        <f>+CB99/BY99-1</f>
        <v>2.653693636912724E-2</v>
      </c>
      <c r="CC104" s="96">
        <f t="shared" ref="CC104:CC106" si="232">+CC99/CB99-1</f>
        <v>9.0586986275086767E-2</v>
      </c>
      <c r="CD104" s="49"/>
      <c r="CE104" s="49"/>
      <c r="CF104" s="96">
        <f>+CF99/CC99-1</f>
        <v>-7.1310446745874723E-3</v>
      </c>
      <c r="CG104" s="96">
        <f t="shared" ref="CG104:CG106" si="233">+CG99/CF99-1</f>
        <v>0.1527411905071292</v>
      </c>
      <c r="CH104" s="49"/>
      <c r="CI104" s="49"/>
      <c r="CJ104" s="96">
        <f>+CJ99/CG99-1</f>
        <v>0.18501173360113965</v>
      </c>
      <c r="CK104" s="96">
        <f t="shared" ref="CK104:CK106" si="234">+CK99/CJ99-1</f>
        <v>-0.14394181793024718</v>
      </c>
      <c r="CL104" s="49"/>
      <c r="CM104" s="49"/>
      <c r="CN104" s="96">
        <f>+CN99/CK99-1</f>
        <v>-9.3310570551155658E-2</v>
      </c>
      <c r="CO104" s="96">
        <f t="shared" ref="CO104:CO106" si="235">+CO99/CN99-1</f>
        <v>1.4806974541808238E-2</v>
      </c>
      <c r="CP104" s="49"/>
      <c r="CQ104" s="49"/>
      <c r="CR104" s="96">
        <f>+CR99/CO99-1</f>
        <v>8.1990250757542515E-2</v>
      </c>
      <c r="CS104" s="96">
        <f t="shared" ref="CS104:CS106" si="236">+CS99/CR99-1</f>
        <v>0.12749614416754618</v>
      </c>
      <c r="CT104" s="49"/>
      <c r="CU104" s="49"/>
      <c r="CV104" s="96">
        <f>+CV99/CS99-1</f>
        <v>2.5774633944400938E-2</v>
      </c>
      <c r="CW104" s="96">
        <f t="shared" ref="CW104:CW106" si="237">+CW99/CV99-1</f>
        <v>1.3932146585834415E-2</v>
      </c>
      <c r="CX104" s="49"/>
      <c r="CY104" s="49"/>
      <c r="CZ104" s="96">
        <f>+CZ99/CW99-1</f>
        <v>1.3740709013662755E-2</v>
      </c>
      <c r="DA104" s="96">
        <f t="shared" ref="DA104:DA106" si="238">+DA99/CZ99-1</f>
        <v>3.4534854938245152E-2</v>
      </c>
      <c r="DB104" s="49"/>
      <c r="DC104" s="49"/>
      <c r="DD104" s="96">
        <f>+DD99/DA99-1</f>
        <v>1.0833065188155411E-2</v>
      </c>
      <c r="DE104" s="96">
        <f t="shared" ref="DE104:DE106" si="239">+DE99/DD99-1</f>
        <v>7.6300238336217241E-2</v>
      </c>
      <c r="DF104" s="49"/>
      <c r="DG104" s="49"/>
      <c r="DH104" s="96">
        <f>+DH99/DE99-1</f>
        <v>1.0000000000000009E-2</v>
      </c>
      <c r="DI104" s="96">
        <f t="shared" ref="DI104" si="240">+DI99/DH99-1</f>
        <v>2.0000000000000018E-2</v>
      </c>
      <c r="DJ104" s="49"/>
      <c r="DK104" s="49"/>
      <c r="DL104" s="96">
        <f>+DL99/DI99-1</f>
        <v>1.0000000000000009E-2</v>
      </c>
      <c r="DM104" s="96">
        <f t="shared" ref="DM104" si="241">+DM99/DL99-1</f>
        <v>2.0000000000000018E-2</v>
      </c>
      <c r="DN104" s="49"/>
      <c r="DO104" s="49"/>
      <c r="DP104" s="96">
        <f>+DP99/DM99-1</f>
        <v>1.0000000000000009E-2</v>
      </c>
      <c r="DQ104" s="96">
        <f t="shared" ref="DQ104" si="242">+DQ99/DP99-1</f>
        <v>2.0000000000000018E-2</v>
      </c>
      <c r="DR104" s="49"/>
      <c r="DS104" s="49"/>
      <c r="DT104" s="49"/>
      <c r="DU104" s="49"/>
      <c r="DV104" s="49"/>
    </row>
    <row r="105" spans="1:126" s="20" customFormat="1" ht="13.8">
      <c r="A105" s="574" t="str">
        <f>+A100</f>
        <v>Aust: Other Non Housing</v>
      </c>
      <c r="B105" s="547" t="s">
        <v>546</v>
      </c>
      <c r="C105" s="533"/>
      <c r="D105" s="533"/>
      <c r="E105" s="533"/>
      <c r="F105" s="533"/>
      <c r="G105" s="533"/>
      <c r="H105" s="533"/>
      <c r="I105" s="533"/>
      <c r="J105" s="533"/>
      <c r="K105" s="533"/>
      <c r="L105" s="533"/>
      <c r="M105" s="533"/>
      <c r="N105" s="533"/>
      <c r="O105" s="533"/>
      <c r="P105" s="533"/>
      <c r="Q105" s="533"/>
      <c r="R105" s="533"/>
      <c r="S105" s="533"/>
      <c r="T105" s="533"/>
      <c r="U105" s="533"/>
      <c r="V105" s="533"/>
      <c r="W105" s="533"/>
      <c r="X105" s="533"/>
      <c r="Y105" s="533"/>
      <c r="Z105" s="533"/>
      <c r="AA105" s="533"/>
      <c r="AB105" s="533"/>
      <c r="AC105" s="533"/>
      <c r="AD105" s="533"/>
      <c r="AE105" s="533"/>
      <c r="AF105" s="533"/>
      <c r="AG105" s="533"/>
      <c r="AH105" s="533"/>
      <c r="AI105" s="533"/>
      <c r="AJ105" s="533"/>
      <c r="AK105" s="533"/>
      <c r="AL105" s="533"/>
      <c r="AM105" s="533"/>
      <c r="AN105" s="533"/>
      <c r="AO105" s="533"/>
      <c r="AP105" s="533"/>
      <c r="AQ105" s="533"/>
      <c r="AR105" s="533"/>
      <c r="AS105" s="533"/>
      <c r="AT105" s="533"/>
      <c r="AU105" s="533"/>
      <c r="AV105" s="533"/>
      <c r="AW105" s="533"/>
      <c r="AX105" s="533"/>
      <c r="AY105" s="533"/>
      <c r="AZ105" s="533"/>
      <c r="BA105" s="533"/>
      <c r="BB105" s="533"/>
      <c r="BC105" s="533"/>
      <c r="BD105" s="533"/>
      <c r="BE105" s="533"/>
      <c r="BF105" s="533"/>
      <c r="BG105" s="533"/>
      <c r="BH105" s="599"/>
      <c r="BI105" s="547"/>
      <c r="BJ105" s="547"/>
      <c r="BK105" s="547"/>
      <c r="BL105" s="599"/>
      <c r="BM105" s="547"/>
      <c r="BN105" s="547"/>
      <c r="BO105" s="547"/>
      <c r="BP105" s="599"/>
      <c r="BQ105" s="547"/>
      <c r="BR105" s="547"/>
      <c r="BS105" s="547"/>
      <c r="BT105" s="599"/>
      <c r="BU105" s="547"/>
      <c r="BV105" s="547"/>
      <c r="BW105" s="547"/>
      <c r="BX105" s="599"/>
      <c r="BY105" s="547"/>
      <c r="BZ105" s="547"/>
      <c r="CA105" s="547"/>
      <c r="CB105" s="577">
        <f>+CB100/BY100-1</f>
        <v>-4.5868297539468084E-2</v>
      </c>
      <c r="CC105" s="577">
        <f t="shared" si="232"/>
        <v>-3.8458671834240121E-2</v>
      </c>
      <c r="CD105" s="547"/>
      <c r="CE105" s="547"/>
      <c r="CF105" s="577">
        <f>+CF100/CC100-1</f>
        <v>-5.0693744670955776E-2</v>
      </c>
      <c r="CG105" s="577">
        <f t="shared" si="233"/>
        <v>-6.4913856454641983E-2</v>
      </c>
      <c r="CH105" s="547"/>
      <c r="CI105" s="547"/>
      <c r="CJ105" s="577">
        <f>+CJ100/CG100-1</f>
        <v>-2.1568285015717725E-2</v>
      </c>
      <c r="CK105" s="577">
        <f t="shared" si="234"/>
        <v>1.5618027666220335E-2</v>
      </c>
      <c r="CL105" s="547"/>
      <c r="CM105" s="547"/>
      <c r="CN105" s="577">
        <f>+CN100/CK100-1</f>
        <v>-0.13356766256590513</v>
      </c>
      <c r="CO105" s="577">
        <f t="shared" si="235"/>
        <v>-0.13255578093306286</v>
      </c>
      <c r="CP105" s="547"/>
      <c r="CQ105" s="547"/>
      <c r="CR105" s="577">
        <f>+CR100/CO100-1</f>
        <v>0.34268677656962465</v>
      </c>
      <c r="CS105" s="577">
        <f t="shared" si="236"/>
        <v>-0.26689306861720652</v>
      </c>
      <c r="CT105" s="547"/>
      <c r="CU105" s="547"/>
      <c r="CV105" s="577">
        <f>+CV100/CS100-1</f>
        <v>-0.11188977313220094</v>
      </c>
      <c r="CW105" s="577">
        <f t="shared" si="237"/>
        <v>-1.3240604520529664E-2</v>
      </c>
      <c r="CX105" s="547"/>
      <c r="CY105" s="547"/>
      <c r="CZ105" s="577">
        <f>+CZ100/CW100-1</f>
        <v>-2.3448088912984555E-2</v>
      </c>
      <c r="DA105" s="577">
        <f t="shared" si="238"/>
        <v>1.7700208188757807</v>
      </c>
      <c r="DB105" s="547"/>
      <c r="DC105" s="547"/>
      <c r="DD105" s="577">
        <f>+DD100/DA100-1</f>
        <v>-2.6054714901292741E-2</v>
      </c>
      <c r="DE105" s="577">
        <f t="shared" si="239"/>
        <v>-1.2346949274616437E-3</v>
      </c>
      <c r="DF105" s="547"/>
      <c r="DG105" s="547"/>
      <c r="DH105" s="936">
        <v>1.4999999999999999E-2</v>
      </c>
      <c r="DI105" s="936">
        <v>1.4999999999999999E-2</v>
      </c>
      <c r="DJ105" s="547"/>
      <c r="DK105" s="547"/>
      <c r="DL105" s="936">
        <v>1.4999999999999999E-2</v>
      </c>
      <c r="DM105" s="936">
        <v>1.4999999999999999E-2</v>
      </c>
      <c r="DN105" s="547"/>
      <c r="DO105" s="547"/>
      <c r="DP105" s="936">
        <v>1.4999999999999999E-2</v>
      </c>
      <c r="DQ105" s="936">
        <v>1.4999999999999999E-2</v>
      </c>
      <c r="DR105" s="547"/>
      <c r="DS105" s="547"/>
      <c r="DT105" s="547"/>
      <c r="DU105" s="547"/>
      <c r="DV105" s="547"/>
    </row>
    <row r="106" spans="1:126" s="20" customFormat="1" ht="13.8">
      <c r="A106" s="78" t="str">
        <f>+A101</f>
        <v>Aust: Non Housing</v>
      </c>
      <c r="B106" s="49" t="s">
        <v>546</v>
      </c>
      <c r="BH106" s="67"/>
      <c r="BI106" s="49"/>
      <c r="BJ106" s="49"/>
      <c r="BK106" s="49"/>
      <c r="BL106" s="67"/>
      <c r="BM106" s="49"/>
      <c r="BN106" s="49"/>
      <c r="BO106" s="49"/>
      <c r="BP106" s="67"/>
      <c r="BQ106" s="49"/>
      <c r="BR106" s="49"/>
      <c r="BS106" s="49"/>
      <c r="BT106" s="67"/>
      <c r="BU106" s="49"/>
      <c r="BV106" s="49"/>
      <c r="BW106" s="49"/>
      <c r="BX106" s="67"/>
      <c r="BY106" s="49"/>
      <c r="BZ106" s="49"/>
      <c r="CA106" s="49"/>
      <c r="CB106" s="79">
        <f>+CB101/BY101-1</f>
        <v>4.4384549885685409E-3</v>
      </c>
      <c r="CC106" s="79">
        <f t="shared" si="232"/>
        <v>4.8533838852436118E-2</v>
      </c>
      <c r="CD106" s="49"/>
      <c r="CE106" s="49"/>
      <c r="CF106" s="79">
        <f>+CF101/CC101-1</f>
        <v>-1.5170227394260438E-2</v>
      </c>
      <c r="CG106" s="79">
        <f t="shared" si="233"/>
        <v>7.8267108809897845E-2</v>
      </c>
      <c r="CH106" s="49"/>
      <c r="CI106" s="49"/>
      <c r="CJ106" s="79">
        <f>+CJ101/CG101-1</f>
        <v>0.10700261976272274</v>
      </c>
      <c r="CK106" s="79">
        <f t="shared" si="234"/>
        <v>-8.9218988616794337E-2</v>
      </c>
      <c r="CL106" s="49"/>
      <c r="CM106" s="49"/>
      <c r="CN106" s="79">
        <f>+CN101/CK101-1</f>
        <v>-7.0007075625955095E-2</v>
      </c>
      <c r="CO106" s="79">
        <f t="shared" si="235"/>
        <v>3.0241226527885079E-3</v>
      </c>
      <c r="CP106" s="49"/>
      <c r="CQ106" s="49"/>
      <c r="CR106" s="79">
        <f>+CR101/CO101-1</f>
        <v>6.8707691130913684E-2</v>
      </c>
      <c r="CS106" s="79">
        <f t="shared" si="236"/>
        <v>6.9199157824419544E-2</v>
      </c>
      <c r="CT106" s="49"/>
      <c r="CU106" s="49"/>
      <c r="CV106" s="79">
        <f>+CV101/CS101-1</f>
        <v>1.1748101950765033E-2</v>
      </c>
      <c r="CW106" s="79">
        <f t="shared" si="237"/>
        <v>1.7285203094244306E-2</v>
      </c>
      <c r="CX106" s="49"/>
      <c r="CY106" s="49"/>
      <c r="CZ106" s="79">
        <f>+CZ101/CW101-1</f>
        <v>2.0227203746260303E-2</v>
      </c>
      <c r="DA106" s="79">
        <f t="shared" si="238"/>
        <v>9.5359017403684687E-2</v>
      </c>
      <c r="DB106" s="49"/>
      <c r="DC106" s="49"/>
      <c r="DD106" s="79">
        <f>+DD101/DA101-1</f>
        <v>8.5505320438827859E-3</v>
      </c>
      <c r="DE106" s="79">
        <f t="shared" si="239"/>
        <v>5.0507576376900065E-2</v>
      </c>
      <c r="DF106" s="49"/>
      <c r="DG106" s="49"/>
      <c r="DH106" s="79">
        <f>+DH101/DE101-1</f>
        <v>1.3519354366176461E-2</v>
      </c>
      <c r="DI106" s="79">
        <f t="shared" ref="DI106" si="243">+DI101/DH101-1</f>
        <v>1.9554996937065861E-2</v>
      </c>
      <c r="DJ106" s="49"/>
      <c r="DK106" s="49"/>
      <c r="DL106" s="79">
        <f>+DL101/DI101-1</f>
        <v>1.3539028300069145E-2</v>
      </c>
      <c r="DM106" s="79">
        <f t="shared" ref="DM106" si="244">+DM101/DL101-1</f>
        <v>2.1114221158172297E-2</v>
      </c>
      <c r="DN106" s="49"/>
      <c r="DO106" s="49"/>
      <c r="DP106" s="79">
        <f>+DP101/DM101-1</f>
        <v>1.6696209356751979E-2</v>
      </c>
      <c r="DQ106" s="79">
        <f t="shared" ref="DQ106" si="245">+DQ101/DP101-1</f>
        <v>2.2728270580682608E-2</v>
      </c>
      <c r="DR106" s="49"/>
      <c r="DS106" s="49"/>
      <c r="DT106" s="49"/>
      <c r="DU106" s="49"/>
      <c r="DV106" s="49"/>
    </row>
    <row r="107" spans="1:126" s="20" customFormat="1" ht="13.8">
      <c r="B107" s="49"/>
      <c r="BH107" s="67"/>
      <c r="BI107" s="49"/>
      <c r="BJ107" s="49"/>
      <c r="BK107" s="49"/>
      <c r="BL107" s="67"/>
      <c r="BM107" s="49"/>
      <c r="BN107" s="49"/>
      <c r="BO107" s="49"/>
      <c r="BP107" s="67"/>
      <c r="BQ107" s="49"/>
      <c r="BR107" s="49"/>
      <c r="BS107" s="49"/>
      <c r="BT107" s="67"/>
      <c r="BU107" s="49"/>
      <c r="BV107" s="49"/>
      <c r="BW107" s="49"/>
      <c r="BX107" s="67"/>
      <c r="BY107" s="49"/>
      <c r="BZ107" s="49"/>
      <c r="CA107" s="49"/>
      <c r="CB107" s="67"/>
      <c r="CC107" s="49"/>
      <c r="CD107" s="49"/>
      <c r="CE107" s="49"/>
      <c r="CF107" s="67"/>
      <c r="CG107" s="49"/>
      <c r="CH107" s="49"/>
      <c r="CI107" s="49"/>
      <c r="CJ107" s="67"/>
      <c r="CK107" s="49"/>
      <c r="CL107" s="49"/>
      <c r="CM107" s="49"/>
      <c r="CN107" s="67"/>
      <c r="CO107" s="49"/>
      <c r="CP107" s="49"/>
      <c r="CQ107" s="49"/>
      <c r="CR107" s="67"/>
      <c r="CS107" s="49"/>
      <c r="CT107" s="49"/>
      <c r="CU107" s="49"/>
      <c r="CV107" s="67"/>
      <c r="CW107" s="49"/>
      <c r="CX107" s="49"/>
      <c r="CY107" s="49"/>
      <c r="CZ107" s="67"/>
      <c r="DA107" s="49"/>
      <c r="DB107" s="49"/>
      <c r="DC107" s="49"/>
      <c r="DD107" s="67"/>
      <c r="DE107" s="49"/>
      <c r="DF107" s="49"/>
      <c r="DG107" s="49"/>
      <c r="DH107" s="49"/>
      <c r="DI107" s="49"/>
      <c r="DJ107" s="49"/>
      <c r="DK107" s="49"/>
      <c r="DL107" s="49"/>
      <c r="DM107" s="49"/>
      <c r="DN107" s="49"/>
      <c r="DO107" s="49"/>
      <c r="DP107" s="49"/>
      <c r="DQ107" s="49"/>
      <c r="DR107" s="49"/>
      <c r="DS107" s="49"/>
      <c r="DT107" s="49"/>
      <c r="DU107" s="49"/>
      <c r="DV107" s="49"/>
    </row>
    <row r="108" spans="1:126" s="20" customFormat="1" ht="13.8">
      <c r="A108" s="21" t="s">
        <v>533</v>
      </c>
      <c r="B108" s="49"/>
      <c r="BH108" s="67"/>
      <c r="BI108" s="49"/>
      <c r="BJ108" s="49"/>
      <c r="BK108" s="49"/>
      <c r="BL108" s="67"/>
      <c r="BM108" s="49"/>
      <c r="BN108" s="49"/>
      <c r="BO108" s="49"/>
      <c r="BP108" s="67"/>
      <c r="BQ108" s="49"/>
      <c r="BR108" s="49"/>
      <c r="BS108" s="49"/>
      <c r="BT108" s="67"/>
      <c r="BU108" s="49"/>
      <c r="BV108" s="49"/>
      <c r="BW108" s="49"/>
      <c r="BX108" s="67"/>
      <c r="BY108" s="49"/>
      <c r="BZ108" s="49"/>
      <c r="CA108" s="49"/>
      <c r="CB108" s="67"/>
      <c r="CC108" s="49"/>
      <c r="CD108" s="49"/>
      <c r="CE108" s="49"/>
      <c r="CF108" s="67"/>
      <c r="CG108" s="49"/>
      <c r="CH108" s="49"/>
      <c r="CI108" s="49"/>
      <c r="CJ108" s="67"/>
      <c r="CK108" s="49"/>
      <c r="CL108" s="49"/>
      <c r="CM108" s="49"/>
      <c r="CN108" s="67"/>
      <c r="CO108" s="22"/>
      <c r="CP108" s="49"/>
      <c r="CQ108" s="49"/>
      <c r="CR108" s="67"/>
      <c r="CS108" s="22"/>
      <c r="CT108" s="49"/>
      <c r="CU108" s="49"/>
      <c r="CV108" s="67"/>
      <c r="CW108" s="22"/>
      <c r="CX108" s="49"/>
      <c r="CY108" s="49"/>
      <c r="CZ108" s="67"/>
      <c r="DA108" s="22"/>
      <c r="DB108" s="49"/>
      <c r="DC108" s="49"/>
      <c r="DD108" s="67"/>
      <c r="DE108" s="22"/>
      <c r="DF108" s="49"/>
      <c r="DG108" s="49"/>
      <c r="DH108" s="49"/>
      <c r="DI108" s="49"/>
      <c r="DJ108" s="49"/>
      <c r="DK108" s="49"/>
      <c r="DL108" s="49"/>
      <c r="DM108" s="49"/>
      <c r="DN108" s="49"/>
      <c r="DO108" s="49"/>
      <c r="DP108" s="49"/>
      <c r="DQ108" s="49"/>
      <c r="DR108" s="49"/>
      <c r="DS108" s="49"/>
      <c r="DT108" s="49"/>
      <c r="DU108" s="49"/>
      <c r="DV108" s="49"/>
    </row>
    <row r="109" spans="1:126" s="20" customFormat="1" ht="13.8">
      <c r="A109" s="20" t="s">
        <v>500</v>
      </c>
      <c r="B109" s="49" t="s">
        <v>544</v>
      </c>
      <c r="BD109" s="67">
        <v>42681</v>
      </c>
      <c r="BE109" s="67">
        <v>44754</v>
      </c>
      <c r="BF109" s="65">
        <f>BE109</f>
        <v>44754</v>
      </c>
      <c r="BH109" s="67">
        <v>46080</v>
      </c>
      <c r="BI109" s="67">
        <v>52785</v>
      </c>
      <c r="BJ109" s="65">
        <f>BI109</f>
        <v>52785</v>
      </c>
      <c r="BK109" s="49"/>
      <c r="BL109" s="67">
        <v>57254</v>
      </c>
      <c r="BM109" s="67">
        <v>55627</v>
      </c>
      <c r="BN109" s="65">
        <f>BM109</f>
        <v>55627</v>
      </c>
      <c r="BO109" s="49"/>
      <c r="BP109" s="67">
        <v>63311</v>
      </c>
      <c r="BQ109" s="67">
        <v>61743</v>
      </c>
      <c r="BR109" s="65">
        <f>BQ109</f>
        <v>61743</v>
      </c>
      <c r="BS109" s="49"/>
      <c r="BT109" s="67">
        <v>63649</v>
      </c>
      <c r="BU109" s="67">
        <v>69927</v>
      </c>
      <c r="BV109" s="65">
        <f>BU109</f>
        <v>69927</v>
      </c>
      <c r="BW109" s="75">
        <f>+BV109/BR109-1</f>
        <v>0.13254943880277925</v>
      </c>
      <c r="BX109" s="67">
        <v>68592</v>
      </c>
      <c r="BY109" s="67">
        <v>70735</v>
      </c>
      <c r="BZ109" s="65">
        <f>BY109</f>
        <v>70735</v>
      </c>
      <c r="CA109" s="49"/>
      <c r="CB109" s="67">
        <v>73751</v>
      </c>
      <c r="CC109" s="67">
        <v>73833</v>
      </c>
      <c r="CD109" s="65">
        <f>CC109</f>
        <v>73833</v>
      </c>
      <c r="CE109" s="75">
        <f>+CD109/BZ109-1</f>
        <v>4.3797271506326396E-2</v>
      </c>
      <c r="CF109" s="67">
        <v>79410</v>
      </c>
      <c r="CG109" s="67">
        <v>78518</v>
      </c>
      <c r="CH109" s="65">
        <f>CG109</f>
        <v>78518</v>
      </c>
      <c r="CI109" s="75">
        <f>+CH109/CD109-1</f>
        <v>6.3454011079056682E-2</v>
      </c>
      <c r="CJ109" s="67">
        <v>85301</v>
      </c>
      <c r="CK109" s="67">
        <v>82894</v>
      </c>
      <c r="CL109" s="65">
        <f>CK109</f>
        <v>82894</v>
      </c>
      <c r="CM109" s="49"/>
      <c r="CN109" s="67">
        <v>87561</v>
      </c>
      <c r="CO109" s="67">
        <v>94370</v>
      </c>
      <c r="CP109" s="65">
        <f>CO109</f>
        <v>94370</v>
      </c>
      <c r="CQ109" s="75">
        <f>+CP109/CL109-1</f>
        <v>0.13844186551499504</v>
      </c>
      <c r="CR109" s="67">
        <v>95794</v>
      </c>
      <c r="CS109" s="67">
        <v>91792</v>
      </c>
      <c r="CT109" s="65">
        <f>CS109</f>
        <v>91792</v>
      </c>
      <c r="CU109" s="75">
        <f>+CT109/CP109-1</f>
        <v>-2.7318003602839869E-2</v>
      </c>
      <c r="CV109" s="67">
        <v>97939</v>
      </c>
      <c r="CW109" s="67">
        <v>99928</v>
      </c>
      <c r="CX109" s="65">
        <f>CW109</f>
        <v>99928</v>
      </c>
      <c r="CY109" s="75">
        <f>+CX109/CT109-1</f>
        <v>8.8635175178664705E-2</v>
      </c>
      <c r="CZ109" s="67">
        <v>100407</v>
      </c>
      <c r="DA109" s="67">
        <v>102099</v>
      </c>
      <c r="DB109" s="65">
        <f>DA109</f>
        <v>102099</v>
      </c>
      <c r="DC109" s="75">
        <f>+DB109/CX109-1</f>
        <v>2.1725642462573136E-2</v>
      </c>
      <c r="DD109" s="67">
        <v>103090</v>
      </c>
      <c r="DE109" s="67">
        <v>102011</v>
      </c>
      <c r="DF109" s="65">
        <f>DE109</f>
        <v>102011</v>
      </c>
      <c r="DG109" s="75">
        <f>+DF109/DB109-1</f>
        <v>-8.619085397506554E-4</v>
      </c>
      <c r="DH109" s="102">
        <f>+DH118/DH$116</f>
        <v>101728.29002777778</v>
      </c>
      <c r="DI109" s="102">
        <f>+DI118/DI$116</f>
        <v>104271.49727847222</v>
      </c>
      <c r="DJ109" s="102">
        <f>DI109</f>
        <v>104271.49727847222</v>
      </c>
      <c r="DK109" s="75">
        <f>+DJ109/DF109-1</f>
        <v>2.215934829059818E-2</v>
      </c>
      <c r="DL109" s="102">
        <f>+DL118/DL$116</f>
        <v>106356.92722404168</v>
      </c>
      <c r="DM109" s="102">
        <f>+DM118/DM$116</f>
        <v>108484.06576852252</v>
      </c>
      <c r="DN109" s="102">
        <f>DM109</f>
        <v>108484.06576852252</v>
      </c>
      <c r="DO109" s="75">
        <f>+DN109/DJ109-1</f>
        <v>4.0400000000000214E-2</v>
      </c>
      <c r="DP109" s="102">
        <f>+DP118/DP$116</f>
        <v>110111.32675505034</v>
      </c>
      <c r="DQ109" s="102">
        <f>+DQ118/DQ$116</f>
        <v>111762.99665637608</v>
      </c>
      <c r="DR109" s="102">
        <f>DQ109</f>
        <v>111762.99665637608</v>
      </c>
      <c r="DS109" s="75">
        <f>+DR109/DN109-1</f>
        <v>3.0224999999999724E-2</v>
      </c>
      <c r="DT109" s="49"/>
      <c r="DU109" s="49"/>
      <c r="DV109" s="49"/>
    </row>
    <row r="110" spans="1:126" s="20" customFormat="1" ht="13.8">
      <c r="A110" s="20" t="s">
        <v>410</v>
      </c>
      <c r="B110" s="49" t="s">
        <v>544</v>
      </c>
      <c r="BD110" s="65">
        <f>+BD111-BD109</f>
        <v>32322</v>
      </c>
      <c r="BE110" s="65">
        <f>+BE111-BE109</f>
        <v>32977</v>
      </c>
      <c r="BF110" s="65">
        <f>+BF111-BF109</f>
        <v>32977</v>
      </c>
      <c r="BH110" s="65">
        <f>+BH111-BH109</f>
        <v>33306</v>
      </c>
      <c r="BI110" s="65">
        <f>+BI111-BI109</f>
        <v>37082</v>
      </c>
      <c r="BJ110" s="65">
        <f>+BJ111-BJ109</f>
        <v>37082</v>
      </c>
      <c r="BK110" s="49"/>
      <c r="BL110" s="65">
        <f>+BL111-BL109</f>
        <v>39573</v>
      </c>
      <c r="BM110" s="65">
        <f>+BM111-BM109</f>
        <v>38947</v>
      </c>
      <c r="BN110" s="65">
        <f>+BN111-BN109</f>
        <v>38947</v>
      </c>
      <c r="BO110" s="49"/>
      <c r="BP110" s="65">
        <f>+BP111-BP109</f>
        <v>44250</v>
      </c>
      <c r="BQ110" s="65">
        <f>+BQ111-BQ109</f>
        <v>42637</v>
      </c>
      <c r="BR110" s="65">
        <f>+BR111-BR109</f>
        <v>42637</v>
      </c>
      <c r="BS110" s="49"/>
      <c r="BT110" s="65">
        <f>+BT111-BT109</f>
        <v>42644</v>
      </c>
      <c r="BU110" s="65">
        <f>+BU111-BU109</f>
        <v>45554</v>
      </c>
      <c r="BV110" s="65">
        <f>+BV111-BV109</f>
        <v>45554</v>
      </c>
      <c r="BW110" s="75">
        <f>+BV110/BR110-1</f>
        <v>6.8414757135820903E-2</v>
      </c>
      <c r="BX110" s="65">
        <f>+BX111-BX109</f>
        <v>44221</v>
      </c>
      <c r="BY110" s="65">
        <f>+BY111-BY109</f>
        <v>44614</v>
      </c>
      <c r="BZ110" s="65">
        <f>+BZ111-BZ109</f>
        <v>44614</v>
      </c>
      <c r="CA110" s="49"/>
      <c r="CB110" s="65">
        <f>+CB111-CB109</f>
        <v>45266</v>
      </c>
      <c r="CC110" s="65">
        <f>+CC111-CC109</f>
        <v>44432</v>
      </c>
      <c r="CD110" s="65">
        <f>+CD111-CD109</f>
        <v>44432</v>
      </c>
      <c r="CE110" s="75">
        <f>+CD110/BZ110-1</f>
        <v>-4.0794369480432469E-3</v>
      </c>
      <c r="CF110" s="65">
        <f>+CF111-CF109</f>
        <v>47276</v>
      </c>
      <c r="CG110" s="65">
        <f>+CG111-CG109</f>
        <v>45346</v>
      </c>
      <c r="CH110" s="65">
        <f>+CH111-CH109</f>
        <v>45346</v>
      </c>
      <c r="CI110" s="75">
        <f>+CH110/CD110-1</f>
        <v>2.0570759812747585E-2</v>
      </c>
      <c r="CJ110" s="65">
        <f>+CJ111-CJ109</f>
        <v>47352</v>
      </c>
      <c r="CK110" s="65">
        <f>+CK111-CK109</f>
        <v>40585</v>
      </c>
      <c r="CL110" s="65">
        <f>+CL111-CL109</f>
        <v>40585</v>
      </c>
      <c r="CM110" s="49"/>
      <c r="CN110" s="65">
        <f>+CN111-CN109</f>
        <v>39170</v>
      </c>
      <c r="CO110" s="65">
        <f>+CO111-CO109</f>
        <v>40539</v>
      </c>
      <c r="CP110" s="65">
        <f>+CP111-CP109</f>
        <v>40539</v>
      </c>
      <c r="CQ110" s="75">
        <f>+CP110/CL110-1</f>
        <v>-1.1334236786990637E-3</v>
      </c>
      <c r="CR110" s="65">
        <f>+CR111-CR109</f>
        <v>40423</v>
      </c>
      <c r="CS110" s="65">
        <f>+CS111-CS109</f>
        <v>38276</v>
      </c>
      <c r="CT110" s="65">
        <f>+CT111-CT109</f>
        <v>38276</v>
      </c>
      <c r="CU110" s="75">
        <f>+CT110/CP110-1</f>
        <v>-5.5822787932608087E-2</v>
      </c>
      <c r="CV110" s="65">
        <f>+CV111-CV109</f>
        <v>40444</v>
      </c>
      <c r="CW110" s="65">
        <f>+CW111-CW109</f>
        <v>39637</v>
      </c>
      <c r="CX110" s="65">
        <f>+CX111-CX109</f>
        <v>39637</v>
      </c>
      <c r="CY110" s="75">
        <f>+CX110/CT110-1</f>
        <v>3.5557529522416198E-2</v>
      </c>
      <c r="CZ110" s="65">
        <f>+CZ111-CZ109</f>
        <v>38500</v>
      </c>
      <c r="DA110" s="65">
        <f>+DA111-DA109</f>
        <v>37758</v>
      </c>
      <c r="DB110" s="65">
        <f>+DB111-DB109</f>
        <v>37758</v>
      </c>
      <c r="DC110" s="75">
        <f>+DB110/CX110-1</f>
        <v>-4.7405202210056285E-2</v>
      </c>
      <c r="DD110" s="65">
        <f>+DD111-DD109</f>
        <v>36989</v>
      </c>
      <c r="DE110" s="65">
        <f>+DE111-DE109</f>
        <v>37691</v>
      </c>
      <c r="DF110" s="65">
        <f>+DF111-DF109</f>
        <v>37691</v>
      </c>
      <c r="DG110" s="75">
        <f>+DF110/DB110-1</f>
        <v>-1.7744583929233393E-3</v>
      </c>
      <c r="DH110" s="102">
        <f>+DH119/DH$116</f>
        <v>37159.059226923091</v>
      </c>
      <c r="DI110" s="102">
        <f>+DI119/DI$116</f>
        <v>37575.097953282064</v>
      </c>
      <c r="DJ110" s="102">
        <f>DI110</f>
        <v>37575.097953282064</v>
      </c>
      <c r="DK110" s="75">
        <f>+DJ110/DF110-1</f>
        <v>-3.075058945582132E-3</v>
      </c>
      <c r="DL110" s="102">
        <f>+DL119/DL$116</f>
        <v>38081.243068713084</v>
      </c>
      <c r="DM110" s="102">
        <f>+DM119/DM$116</f>
        <v>38514.08975961696</v>
      </c>
      <c r="DN110" s="102">
        <f>DM110</f>
        <v>38514.08975961696</v>
      </c>
      <c r="DO110" s="75">
        <f>+DN110/DJ110-1</f>
        <v>2.4989736753377567E-2</v>
      </c>
      <c r="DP110" s="102">
        <f>+DP119/DP$116</f>
        <v>39037.787926956502</v>
      </c>
      <c r="DQ110" s="102">
        <f>+DQ119/DQ$116</f>
        <v>39488.121624172898</v>
      </c>
      <c r="DR110" s="102">
        <f>DQ110</f>
        <v>39488.121624172898</v>
      </c>
      <c r="DS110" s="75">
        <f>+DR110/DN110-1</f>
        <v>2.5290273524190443E-2</v>
      </c>
      <c r="DT110" s="49"/>
      <c r="DU110" s="49"/>
      <c r="DV110" s="49"/>
    </row>
    <row r="111" spans="1:126" s="20" customFormat="1" ht="13.8">
      <c r="A111" s="21" t="s">
        <v>178</v>
      </c>
      <c r="B111" s="49" t="s">
        <v>544</v>
      </c>
      <c r="BD111" s="98">
        <v>75003</v>
      </c>
      <c r="BE111" s="98">
        <v>77731</v>
      </c>
      <c r="BF111" s="72">
        <f>BE111</f>
        <v>77731</v>
      </c>
      <c r="BH111" s="98">
        <v>79386</v>
      </c>
      <c r="BI111" s="98">
        <v>89867</v>
      </c>
      <c r="BJ111" s="72">
        <f>BI111</f>
        <v>89867</v>
      </c>
      <c r="BK111" s="49"/>
      <c r="BL111" s="98">
        <v>96827</v>
      </c>
      <c r="BM111" s="98">
        <v>94574</v>
      </c>
      <c r="BN111" s="72">
        <f>BM111</f>
        <v>94574</v>
      </c>
      <c r="BO111" s="49"/>
      <c r="BP111" s="98">
        <v>107561</v>
      </c>
      <c r="BQ111" s="98">
        <v>104380</v>
      </c>
      <c r="BR111" s="72">
        <f>BQ111</f>
        <v>104380</v>
      </c>
      <c r="BS111" s="75">
        <f>+BR111/BN111-1</f>
        <v>0.1036860024954005</v>
      </c>
      <c r="BT111" s="98">
        <v>106293</v>
      </c>
      <c r="BU111" s="98">
        <v>115481</v>
      </c>
      <c r="BV111" s="72">
        <f>BU111</f>
        <v>115481</v>
      </c>
      <c r="BW111" s="75">
        <f>+BV111/BR111-1</f>
        <v>0.10635179153094465</v>
      </c>
      <c r="BX111" s="98">
        <v>112813</v>
      </c>
      <c r="BY111" s="98">
        <v>115349</v>
      </c>
      <c r="BZ111" s="72">
        <f>BY111</f>
        <v>115349</v>
      </c>
      <c r="CA111" s="75">
        <f>+BZ111/BV111-1</f>
        <v>-1.1430451762627358E-3</v>
      </c>
      <c r="CB111" s="98">
        <v>119017</v>
      </c>
      <c r="CC111" s="98">
        <v>118265</v>
      </c>
      <c r="CD111" s="72">
        <f>CC111</f>
        <v>118265</v>
      </c>
      <c r="CE111" s="75">
        <f>+CD111/BZ111-1</f>
        <v>2.5279803032536075E-2</v>
      </c>
      <c r="CF111" s="98">
        <v>126686</v>
      </c>
      <c r="CG111" s="98">
        <v>123864</v>
      </c>
      <c r="CH111" s="72">
        <f>CG111</f>
        <v>123864</v>
      </c>
      <c r="CI111" s="75">
        <f>+CH111/CD111-1</f>
        <v>4.7342831776095995E-2</v>
      </c>
      <c r="CJ111" s="98">
        <v>132653</v>
      </c>
      <c r="CK111" s="98">
        <v>123479</v>
      </c>
      <c r="CL111" s="72">
        <f>CK111</f>
        <v>123479</v>
      </c>
      <c r="CM111" s="75">
        <f>+CL111/CH111-1</f>
        <v>-3.108247755602922E-3</v>
      </c>
      <c r="CN111" s="98">
        <v>126731</v>
      </c>
      <c r="CO111" s="98">
        <v>134909</v>
      </c>
      <c r="CP111" s="72">
        <f>CO111</f>
        <v>134909</v>
      </c>
      <c r="CQ111" s="79">
        <f>+CP111/CL111-1</f>
        <v>9.256634731411828E-2</v>
      </c>
      <c r="CR111" s="98">
        <v>136217</v>
      </c>
      <c r="CS111" s="98">
        <v>130068</v>
      </c>
      <c r="CT111" s="72">
        <f>CS111</f>
        <v>130068</v>
      </c>
      <c r="CU111" s="79">
        <f>+CT111/CP111-1</f>
        <v>-3.5883447360813614E-2</v>
      </c>
      <c r="CV111" s="98">
        <v>138383</v>
      </c>
      <c r="CW111" s="98">
        <v>139565</v>
      </c>
      <c r="CX111" s="72">
        <f>CW111</f>
        <v>139565</v>
      </c>
      <c r="CY111" s="79">
        <f>+CX111/CT111-1</f>
        <v>7.3015653350555043E-2</v>
      </c>
      <c r="CZ111" s="98">
        <v>138907</v>
      </c>
      <c r="DA111" s="98">
        <v>139857</v>
      </c>
      <c r="DB111" s="72">
        <f>DA111</f>
        <v>139857</v>
      </c>
      <c r="DC111" s="79">
        <f>+DB111/CX111-1</f>
        <v>2.0922150969082676E-3</v>
      </c>
      <c r="DD111" s="98">
        <v>140079</v>
      </c>
      <c r="DE111" s="98">
        <v>139702</v>
      </c>
      <c r="DF111" s="72">
        <f>DE111</f>
        <v>139702</v>
      </c>
      <c r="DG111" s="79">
        <f>+DF111/DB111-1</f>
        <v>-1.1082748807710319E-3</v>
      </c>
      <c r="DH111" s="104">
        <f>SUM(DH109:DH110)</f>
        <v>138887.34925470088</v>
      </c>
      <c r="DI111" s="104">
        <f>SUM(DI109:DI110)</f>
        <v>141846.5952317543</v>
      </c>
      <c r="DJ111" s="104">
        <f>SUM(DJ109:DJ110)</f>
        <v>141846.5952317543</v>
      </c>
      <c r="DK111" s="79">
        <f>+DJ111/DF111-1</f>
        <v>1.5351213524175122E-2</v>
      </c>
      <c r="DL111" s="104">
        <f>SUM(DL109:DL110)</f>
        <v>144438.17029275477</v>
      </c>
      <c r="DM111" s="104">
        <f>SUM(DM109:DM110)</f>
        <v>146998.15552813947</v>
      </c>
      <c r="DN111" s="104">
        <f>SUM(DN109:DN110)</f>
        <v>146998.15552813947</v>
      </c>
      <c r="DO111" s="79">
        <f>+DN111/DJ111-1</f>
        <v>3.6317828341021263E-2</v>
      </c>
      <c r="DP111" s="104">
        <f>SUM(DP109:DP110)</f>
        <v>149149.11468200682</v>
      </c>
      <c r="DQ111" s="104">
        <f>SUM(DQ109:DQ110)</f>
        <v>151251.11828054898</v>
      </c>
      <c r="DR111" s="104">
        <f>SUM(DR109:DR110)</f>
        <v>151251.11828054898</v>
      </c>
      <c r="DS111" s="79">
        <f>+DR111/DN111-1</f>
        <v>2.8932082427356676E-2</v>
      </c>
      <c r="DT111" s="75"/>
      <c r="DU111" s="75"/>
      <c r="DV111" s="75"/>
    </row>
    <row r="112" spans="1:126" s="20" customFormat="1" ht="13.8">
      <c r="A112" s="78" t="s">
        <v>217</v>
      </c>
      <c r="B112" s="49"/>
      <c r="BH112" s="67"/>
      <c r="BI112" s="49"/>
      <c r="BJ112" s="49"/>
      <c r="BK112" s="49"/>
      <c r="BL112" s="67"/>
      <c r="BM112" s="49"/>
      <c r="BN112" s="49"/>
      <c r="BO112" s="49"/>
      <c r="BP112" s="67"/>
      <c r="BQ112" s="49"/>
      <c r="BR112" s="49"/>
      <c r="BS112" s="49"/>
      <c r="BT112" s="67"/>
      <c r="BU112" s="49"/>
      <c r="BV112" s="49"/>
      <c r="BW112" s="49"/>
      <c r="BX112" s="67"/>
      <c r="BY112" s="49"/>
      <c r="BZ112" s="49"/>
      <c r="CA112" s="49"/>
      <c r="CB112" s="67"/>
      <c r="CC112" s="49"/>
      <c r="CD112" s="49"/>
      <c r="CE112" s="49"/>
      <c r="CF112" s="67"/>
      <c r="CG112" s="49"/>
      <c r="CH112" s="49"/>
      <c r="CI112" s="49"/>
      <c r="CJ112" s="67"/>
      <c r="CK112" s="49"/>
      <c r="CL112" s="49"/>
      <c r="CM112" s="49"/>
      <c r="CN112" s="67"/>
      <c r="CO112" s="49"/>
      <c r="CP112" s="49"/>
      <c r="CQ112" s="49"/>
      <c r="CR112" s="67"/>
      <c r="CS112" s="49"/>
      <c r="CT112" s="49"/>
      <c r="CU112" s="49"/>
      <c r="CV112" s="67"/>
      <c r="CW112" s="49"/>
      <c r="CX112" s="49"/>
      <c r="CY112" s="49"/>
      <c r="CZ112" s="67"/>
      <c r="DA112" s="49"/>
      <c r="DB112" s="49"/>
      <c r="DC112" s="49"/>
      <c r="DD112" s="67"/>
      <c r="DE112" s="49"/>
      <c r="DF112" s="49"/>
      <c r="DG112" s="49"/>
      <c r="DH112" s="49"/>
      <c r="DI112" s="49"/>
      <c r="DJ112" s="49"/>
      <c r="DK112" s="49"/>
      <c r="DL112" s="49"/>
      <c r="DM112" s="49"/>
      <c r="DN112" s="49"/>
      <c r="DO112" s="49"/>
      <c r="DP112" s="49"/>
      <c r="DQ112" s="49"/>
      <c r="DR112" s="49"/>
      <c r="DS112" s="49"/>
      <c r="DT112" s="49"/>
      <c r="DU112" s="49"/>
      <c r="DV112" s="49"/>
    </row>
    <row r="113" spans="1:128" s="20" customFormat="1" ht="13.8">
      <c r="A113" s="47" t="str">
        <f>+A109</f>
        <v>Housing Loans</v>
      </c>
      <c r="B113" s="49" t="s">
        <v>546</v>
      </c>
      <c r="BD113" s="75"/>
      <c r="BE113" s="75">
        <f>+BE109/BD109-1</f>
        <v>4.8569621142897201E-2</v>
      </c>
      <c r="BF113" s="49"/>
      <c r="BH113" s="75">
        <f>+BH109/BE109-1</f>
        <v>2.9628636546453979E-2</v>
      </c>
      <c r="BI113" s="75">
        <f>+BI109/BH109-1</f>
        <v>0.1455078125</v>
      </c>
      <c r="BJ113" s="49"/>
      <c r="BK113" s="49"/>
      <c r="BL113" s="75">
        <f>+BL109/BI109-1</f>
        <v>8.4664203845789432E-2</v>
      </c>
      <c r="BM113" s="75">
        <f>+BM109/BL109-1</f>
        <v>-2.8417228490585811E-2</v>
      </c>
      <c r="BN113" s="49"/>
      <c r="BO113" s="49"/>
      <c r="BP113" s="75">
        <f>+BP109/BM109-1</f>
        <v>0.13813435921405071</v>
      </c>
      <c r="BQ113" s="75">
        <f>+BQ109/BP109-1</f>
        <v>-2.4766628232060772E-2</v>
      </c>
      <c r="BR113" s="49"/>
      <c r="BS113" s="49"/>
      <c r="BT113" s="75">
        <f>+BT109/BQ109-1</f>
        <v>3.0869896182563306E-2</v>
      </c>
      <c r="BU113" s="75">
        <f>+BU109/BT109-1</f>
        <v>9.863469968106342E-2</v>
      </c>
      <c r="BV113" s="49"/>
      <c r="BW113" s="49"/>
      <c r="BX113" s="75">
        <f>+BX109/BU109-1</f>
        <v>-1.9091338109743061E-2</v>
      </c>
      <c r="BY113" s="75">
        <f>+BY109/BX109-1</f>
        <v>3.1242710520177353E-2</v>
      </c>
      <c r="BZ113" s="49"/>
      <c r="CA113" s="49"/>
      <c r="CB113" s="75">
        <f>+CB109/BY109-1</f>
        <v>4.2638015126881923E-2</v>
      </c>
      <c r="CC113" s="75">
        <f>+CC109/CB109-1</f>
        <v>1.111849330856618E-3</v>
      </c>
      <c r="CD113" s="49"/>
      <c r="CE113" s="49"/>
      <c r="CF113" s="75">
        <f>+CF109/CC109-1</f>
        <v>7.553532973060828E-2</v>
      </c>
      <c r="CG113" s="75">
        <f>+CG109/CF109-1</f>
        <v>-1.123284221130838E-2</v>
      </c>
      <c r="CH113" s="49"/>
      <c r="CI113" s="49"/>
      <c r="CJ113" s="75">
        <f>+CJ109/CG109-1</f>
        <v>8.638783463664379E-2</v>
      </c>
      <c r="CK113" s="75">
        <f>+CK109/CJ109-1</f>
        <v>-2.8217723121651606E-2</v>
      </c>
      <c r="CL113" s="49"/>
      <c r="CM113" s="49"/>
      <c r="CN113" s="75">
        <f>+CN109/CK109-1</f>
        <v>5.6300817912032342E-2</v>
      </c>
      <c r="CO113" s="75">
        <f>+CO109/CN109-1</f>
        <v>7.7762930985255885E-2</v>
      </c>
      <c r="CP113" s="49"/>
      <c r="CQ113" s="49"/>
      <c r="CR113" s="75">
        <f>+CR109/CO109-1</f>
        <v>1.508954116774408E-2</v>
      </c>
      <c r="CS113" s="75">
        <f>+CS109/CR109-1</f>
        <v>-4.1777146794162445E-2</v>
      </c>
      <c r="CT113" s="49"/>
      <c r="CU113" s="49"/>
      <c r="CV113" s="75">
        <f>+CV109/CS109-1</f>
        <v>6.6966620184765624E-2</v>
      </c>
      <c r="CW113" s="75">
        <f>+CW109/CV109-1</f>
        <v>2.0308559409428328E-2</v>
      </c>
      <c r="CX113" s="49"/>
      <c r="CY113" s="49"/>
      <c r="CZ113" s="75">
        <f>+CZ109/CW109-1</f>
        <v>4.7934512849252542E-3</v>
      </c>
      <c r="DA113" s="75">
        <f>+DA109/CZ109-1</f>
        <v>1.6851414742000026E-2</v>
      </c>
      <c r="DB113" s="49"/>
      <c r="DC113" s="49"/>
      <c r="DD113" s="75">
        <f>+DD109/DA109-1</f>
        <v>9.7062654874191523E-3</v>
      </c>
      <c r="DE113" s="75">
        <f>+DE109/DD109-1</f>
        <v>-1.0466582597730145E-2</v>
      </c>
      <c r="DF113" s="49"/>
      <c r="DG113" s="49"/>
      <c r="DH113" s="75">
        <f>+DH109/DE109-1</f>
        <v>-2.7713675213675293E-3</v>
      </c>
      <c r="DI113" s="75">
        <f>+DI109/DH109-1</f>
        <v>2.4999999999999911E-2</v>
      </c>
      <c r="DJ113" s="49"/>
      <c r="DK113" s="49"/>
      <c r="DL113" s="75">
        <f>+DL109/DI109-1</f>
        <v>2.0000000000000018E-2</v>
      </c>
      <c r="DM113" s="75">
        <f>+DM109/DL109-1</f>
        <v>2.0000000000000018E-2</v>
      </c>
      <c r="DN113" s="49"/>
      <c r="DO113" s="49"/>
      <c r="DP113" s="75">
        <f>+DP109/DM109-1</f>
        <v>1.4999999999999902E-2</v>
      </c>
      <c r="DQ113" s="75">
        <f>+DQ109/DP109-1</f>
        <v>1.4999999999999902E-2</v>
      </c>
      <c r="DR113" s="49"/>
      <c r="DS113" s="49"/>
      <c r="DT113" s="49"/>
      <c r="DU113" s="49"/>
      <c r="DV113" s="49"/>
    </row>
    <row r="114" spans="1:128" s="20" customFormat="1" ht="13.8">
      <c r="A114" s="47" t="str">
        <f>+A110</f>
        <v>Non Housing Loans</v>
      </c>
      <c r="B114" s="49" t="s">
        <v>546</v>
      </c>
      <c r="BD114" s="75"/>
      <c r="BE114" s="75">
        <f>+BE110/BD110-1</f>
        <v>2.0264835096837963E-2</v>
      </c>
      <c r="BF114" s="49"/>
      <c r="BH114" s="75">
        <f>+BH110/BE110-1</f>
        <v>9.9766503926979055E-3</v>
      </c>
      <c r="BI114" s="75">
        <f>+BI110/BH110-1</f>
        <v>0.1133729658319822</v>
      </c>
      <c r="BJ114" s="49"/>
      <c r="BK114" s="49"/>
      <c r="BL114" s="75">
        <f>+BL110/BI110-1</f>
        <v>6.7175449004908128E-2</v>
      </c>
      <c r="BM114" s="75">
        <f>+BM110/BL110-1</f>
        <v>-1.5818866398807252E-2</v>
      </c>
      <c r="BN114" s="49"/>
      <c r="BO114" s="49"/>
      <c r="BP114" s="75">
        <f>+BP110/BM110-1</f>
        <v>0.13615939610239547</v>
      </c>
      <c r="BQ114" s="75">
        <f>+BQ110/BP110-1</f>
        <v>-3.6451977401129931E-2</v>
      </c>
      <c r="BR114" s="49"/>
      <c r="BS114" s="49"/>
      <c r="BT114" s="75">
        <f>+BT110/BQ110-1</f>
        <v>1.6417665407986171E-4</v>
      </c>
      <c r="BU114" s="75">
        <f>+BU110/BT110-1</f>
        <v>6.8239377169120985E-2</v>
      </c>
      <c r="BV114" s="49"/>
      <c r="BW114" s="49"/>
      <c r="BX114" s="75">
        <f>+BX110/BU110-1</f>
        <v>-2.9261974799139501E-2</v>
      </c>
      <c r="BY114" s="75">
        <f>+BY110/BX110-1</f>
        <v>8.887180298952968E-3</v>
      </c>
      <c r="BZ114" s="49"/>
      <c r="CA114" s="49"/>
      <c r="CB114" s="75">
        <f>+CB110/BY110-1</f>
        <v>1.4614246649033991E-2</v>
      </c>
      <c r="CC114" s="75">
        <f>+CC110/CB110-1</f>
        <v>-1.84244245128794E-2</v>
      </c>
      <c r="CD114" s="49"/>
      <c r="CE114" s="49"/>
      <c r="CF114" s="75">
        <f>+CF110/CC110-1</f>
        <v>6.4007922218221047E-2</v>
      </c>
      <c r="CG114" s="75">
        <f>+CG110/CF110-1</f>
        <v>-4.0824096793298903E-2</v>
      </c>
      <c r="CH114" s="49"/>
      <c r="CI114" s="49"/>
      <c r="CJ114" s="75">
        <f>+CJ110/CG110-1</f>
        <v>4.4237639483085678E-2</v>
      </c>
      <c r="CK114" s="75">
        <f>+CK110/CJ110-1</f>
        <v>-0.1429084304781213</v>
      </c>
      <c r="CL114" s="49"/>
      <c r="CM114" s="49"/>
      <c r="CN114" s="75">
        <f>+CN110/CK110-1</f>
        <v>-3.4865097942589629E-2</v>
      </c>
      <c r="CO114" s="75">
        <f>+CO110/CN110-1</f>
        <v>3.4950217002808204E-2</v>
      </c>
      <c r="CP114" s="49"/>
      <c r="CQ114" s="49"/>
      <c r="CR114" s="75">
        <f>+CR110/CO110-1</f>
        <v>-2.8614420681318808E-3</v>
      </c>
      <c r="CS114" s="75">
        <f>+CS110/CR110-1</f>
        <v>-5.3113326571506358E-2</v>
      </c>
      <c r="CT114" s="49"/>
      <c r="CU114" s="49"/>
      <c r="CV114" s="75">
        <f>+CV110/CS110-1</f>
        <v>5.6641237328874494E-2</v>
      </c>
      <c r="CW114" s="75">
        <f>+CW110/CV110-1</f>
        <v>-1.9953515972703006E-2</v>
      </c>
      <c r="CX114" s="49"/>
      <c r="CY114" s="49"/>
      <c r="CZ114" s="75">
        <f>+CZ110/CW110-1</f>
        <v>-2.8685319272397036E-2</v>
      </c>
      <c r="DA114" s="75">
        <f>+DA110/CZ110-1</f>
        <v>-1.9272727272727219E-2</v>
      </c>
      <c r="DB114" s="49"/>
      <c r="DC114" s="49"/>
      <c r="DD114" s="75">
        <f>+DD110/DA110-1</f>
        <v>-2.0366544838180012E-2</v>
      </c>
      <c r="DE114" s="75">
        <f>+DE110/DD110-1</f>
        <v>1.8978615263997467E-2</v>
      </c>
      <c r="DF114" s="49"/>
      <c r="DG114" s="49"/>
      <c r="DH114" s="75">
        <f>+DH110/DE110-1</f>
        <v>-1.4113204029527204E-2</v>
      </c>
      <c r="DI114" s="75">
        <f>+DI110/DH110-1</f>
        <v>1.1196158756827224E-2</v>
      </c>
      <c r="DJ114" s="49"/>
      <c r="DK114" s="49"/>
      <c r="DL114" s="75">
        <f>+DL110/DI110-1</f>
        <v>1.347022743787174E-2</v>
      </c>
      <c r="DM114" s="75">
        <f>+DM110/DL110-1</f>
        <v>1.1366401304780283E-2</v>
      </c>
      <c r="DN114" s="49"/>
      <c r="DO114" s="49"/>
      <c r="DP114" s="75">
        <f>+DP110/DM110-1</f>
        <v>1.3597573527199147E-2</v>
      </c>
      <c r="DQ114" s="75">
        <f>+DQ110/DP110-1</f>
        <v>1.1535840556821775E-2</v>
      </c>
      <c r="DR114" s="49"/>
      <c r="DS114" s="49"/>
      <c r="DT114" s="49"/>
      <c r="DU114" s="49"/>
      <c r="DV114" s="49"/>
    </row>
    <row r="115" spans="1:128" s="20" customFormat="1" ht="13.8">
      <c r="A115" s="78" t="str">
        <f>+A111</f>
        <v>Total Loans</v>
      </c>
      <c r="B115" s="49" t="s">
        <v>546</v>
      </c>
      <c r="BD115" s="79"/>
      <c r="BE115" s="79">
        <f>+BE111/BD111-1</f>
        <v>3.6371878458195006E-2</v>
      </c>
      <c r="BF115" s="49"/>
      <c r="BH115" s="79">
        <f>+BH111/BE111-1</f>
        <v>2.1291376670826256E-2</v>
      </c>
      <c r="BI115" s="79">
        <f>+BI111/BH111-1</f>
        <v>0.13202579799964731</v>
      </c>
      <c r="BJ115" s="49"/>
      <c r="BK115" s="49"/>
      <c r="BL115" s="79">
        <f>+BL111/BI111-1</f>
        <v>7.7447783947388826E-2</v>
      </c>
      <c r="BM115" s="79">
        <f>+BM111/BL111-1</f>
        <v>-2.3268303262519718E-2</v>
      </c>
      <c r="BN115" s="49"/>
      <c r="BO115" s="49"/>
      <c r="BP115" s="79">
        <f>+BP111/BM111-1</f>
        <v>0.13732103960919484</v>
      </c>
      <c r="BQ115" s="79">
        <f>+BQ111/BP111-1</f>
        <v>-2.9573916196390937E-2</v>
      </c>
      <c r="BR115" s="49"/>
      <c r="BS115" s="49"/>
      <c r="BT115" s="79">
        <f>+BT111/BQ111-1</f>
        <v>1.8327265759723987E-2</v>
      </c>
      <c r="BU115" s="79">
        <f>+BU111/BT111-1</f>
        <v>8.6440311215225885E-2</v>
      </c>
      <c r="BV115" s="49"/>
      <c r="BW115" s="49"/>
      <c r="BX115" s="79">
        <f>+BX111/BU111-1</f>
        <v>-2.3103367653553364E-2</v>
      </c>
      <c r="BY115" s="79">
        <f>+BY111/BX111-1</f>
        <v>2.2479678760426447E-2</v>
      </c>
      <c r="BZ115" s="49"/>
      <c r="CA115" s="49"/>
      <c r="CB115" s="79">
        <f>+CB111/BY111-1</f>
        <v>3.1799148670556221E-2</v>
      </c>
      <c r="CC115" s="79">
        <f>+CC111/CB111-1</f>
        <v>-6.3184250989354318E-3</v>
      </c>
      <c r="CD115" s="49"/>
      <c r="CE115" s="49"/>
      <c r="CF115" s="79">
        <f>+CF111/CC111-1</f>
        <v>7.1204498372299474E-2</v>
      </c>
      <c r="CG115" s="79">
        <f>+CG111/CF111-1</f>
        <v>-2.2275547416446995E-2</v>
      </c>
      <c r="CH115" s="49"/>
      <c r="CI115" s="49"/>
      <c r="CJ115" s="79">
        <f>+CJ111/CG111-1</f>
        <v>7.0956855906478156E-2</v>
      </c>
      <c r="CK115" s="79">
        <f>+CK111/CJ111-1</f>
        <v>-6.9157878072866774E-2</v>
      </c>
      <c r="CL115" s="49"/>
      <c r="CM115" s="49"/>
      <c r="CN115" s="79">
        <f>+CN111/CK111-1</f>
        <v>2.6336462070473576E-2</v>
      </c>
      <c r="CO115" s="79">
        <f>+CO111/CN111-1</f>
        <v>6.4530383252716428E-2</v>
      </c>
      <c r="CP115" s="49"/>
      <c r="CQ115" s="49"/>
      <c r="CR115" s="79">
        <f>+CR111/CO111-1</f>
        <v>9.6954243230622517E-3</v>
      </c>
      <c r="CS115" s="79">
        <f>+CS111/CR111-1</f>
        <v>-4.5141208512887498E-2</v>
      </c>
      <c r="CT115" s="49"/>
      <c r="CU115" s="49"/>
      <c r="CV115" s="79">
        <f>+CV111/CS111-1</f>
        <v>6.3928099148137907E-2</v>
      </c>
      <c r="CW115" s="79">
        <f>+CW111/CV111-1</f>
        <v>8.5415116018585646E-3</v>
      </c>
      <c r="CX115" s="49"/>
      <c r="CY115" s="49"/>
      <c r="CZ115" s="79">
        <f>+CZ111/CW111-1</f>
        <v>-4.7146490882384873E-3</v>
      </c>
      <c r="DA115" s="79">
        <f>+DA111/CZ111-1</f>
        <v>6.8391081802932074E-3</v>
      </c>
      <c r="DB115" s="49"/>
      <c r="DC115" s="49"/>
      <c r="DD115" s="79">
        <f>+DD111/DA111-1</f>
        <v>1.5873356356850277E-3</v>
      </c>
      <c r="DE115" s="79">
        <f>+DE111/DD111-1</f>
        <v>-2.6913384590123712E-3</v>
      </c>
      <c r="DF115" s="49"/>
      <c r="DG115" s="49"/>
      <c r="DH115" s="79">
        <f>+DH111/DE111-1</f>
        <v>-5.8313463321865155E-3</v>
      </c>
      <c r="DI115" s="79">
        <f>+DI111/DH111-1</f>
        <v>2.1306807228544278E-2</v>
      </c>
      <c r="DJ115" s="49"/>
      <c r="DK115" s="49"/>
      <c r="DL115" s="79">
        <f>+DL111/DI111-1</f>
        <v>1.8270266246195543E-2</v>
      </c>
      <c r="DM115" s="79">
        <f>+DM111/DL111-1</f>
        <v>1.7723744562784027E-2</v>
      </c>
      <c r="DN115" s="49"/>
      <c r="DO115" s="49"/>
      <c r="DP115" s="79">
        <f>+DP111/DM111-1</f>
        <v>1.4632558797349038E-2</v>
      </c>
      <c r="DQ115" s="79">
        <f>+DQ111/DP111-1</f>
        <v>1.4093302551769993E-2</v>
      </c>
      <c r="DR115" s="49"/>
      <c r="DS115" s="49"/>
      <c r="DT115" s="49"/>
      <c r="DU115" s="49"/>
      <c r="DV115" s="49"/>
    </row>
    <row r="116" spans="1:128" s="335" customFormat="1" ht="13.8">
      <c r="A116" s="47" t="s">
        <v>560</v>
      </c>
      <c r="B116" s="92" t="s">
        <v>556</v>
      </c>
      <c r="C116" s="47"/>
      <c r="D116" s="47"/>
      <c r="E116" s="47"/>
      <c r="F116" s="47"/>
      <c r="G116" s="47"/>
      <c r="H116" s="47"/>
      <c r="I116" s="47"/>
      <c r="J116" s="47"/>
      <c r="K116" s="47"/>
      <c r="L116" s="47"/>
      <c r="M116" s="47"/>
      <c r="N116" s="47"/>
      <c r="O116" s="47"/>
      <c r="P116" s="47"/>
      <c r="Q116" s="47"/>
      <c r="R116" s="47"/>
      <c r="S116" s="47"/>
      <c r="T116" s="47"/>
      <c r="U116" s="47"/>
      <c r="V116" s="47"/>
      <c r="W116" s="47"/>
      <c r="X116" s="47"/>
      <c r="Y116" s="47"/>
      <c r="Z116" s="47"/>
      <c r="AA116" s="47"/>
      <c r="AB116" s="47"/>
      <c r="AC116" s="47"/>
      <c r="AD116" s="47"/>
      <c r="AE116" s="47"/>
      <c r="AF116" s="47"/>
      <c r="AG116" s="47"/>
      <c r="AH116" s="47"/>
      <c r="AI116" s="47"/>
      <c r="AJ116" s="47"/>
      <c r="AK116" s="47"/>
      <c r="AL116" s="47"/>
      <c r="AM116" s="47"/>
      <c r="AN116" s="47"/>
      <c r="AO116" s="47"/>
      <c r="AP116" s="47"/>
      <c r="AQ116" s="47"/>
      <c r="AR116" s="47"/>
      <c r="AS116" s="47"/>
      <c r="AT116" s="47"/>
      <c r="AU116" s="47"/>
      <c r="AV116" s="47"/>
      <c r="AW116" s="47"/>
      <c r="AX116" s="47"/>
      <c r="AY116" s="47"/>
      <c r="AZ116" s="47"/>
      <c r="BA116" s="47"/>
      <c r="BB116" s="47"/>
      <c r="BC116" s="47"/>
      <c r="BD116" s="340">
        <f>BD77</f>
        <v>1.2697000000000001</v>
      </c>
      <c r="BE116" s="340">
        <f>BE77</f>
        <v>1.2528999999999999</v>
      </c>
      <c r="BF116" s="340">
        <f>BF77</f>
        <v>1.2528999999999999</v>
      </c>
      <c r="BG116" s="47"/>
      <c r="BH116" s="340">
        <f>BH77</f>
        <v>1.2468999999999999</v>
      </c>
      <c r="BI116" s="340">
        <f>BI77</f>
        <v>1.1236999999999999</v>
      </c>
      <c r="BJ116" s="340">
        <f>BJ77</f>
        <v>1.1236999999999999</v>
      </c>
      <c r="BK116" s="92"/>
      <c r="BL116" s="340">
        <f>BL77</f>
        <v>1.0668</v>
      </c>
      <c r="BM116" s="340">
        <f>BM77</f>
        <v>1.1218999999999999</v>
      </c>
      <c r="BN116" s="340">
        <f>BN77</f>
        <v>1.1218999999999999</v>
      </c>
      <c r="BO116" s="92"/>
      <c r="BP116" s="340">
        <f>BP77</f>
        <v>1.0187999999999999</v>
      </c>
      <c r="BQ116" s="340">
        <f>BQ77</f>
        <v>1.1003000000000001</v>
      </c>
      <c r="BR116" s="340">
        <f>BR77</f>
        <v>1.1003000000000001</v>
      </c>
      <c r="BS116" s="92"/>
      <c r="BT116" s="340">
        <f>BT77</f>
        <v>1.1093</v>
      </c>
      <c r="BU116" s="340">
        <f>BU77</f>
        <v>1.0487</v>
      </c>
      <c r="BV116" s="340">
        <f>BV77</f>
        <v>1.0487</v>
      </c>
      <c r="BW116" s="92"/>
      <c r="BX116" s="340">
        <f>BX77</f>
        <v>1.0939000000000001</v>
      </c>
      <c r="BY116" s="340">
        <f>BY77</f>
        <v>1.0867</v>
      </c>
      <c r="BZ116" s="340">
        <f>BZ77</f>
        <v>1.0867</v>
      </c>
      <c r="CA116" s="92"/>
      <c r="CB116" s="340">
        <f>CB77</f>
        <v>1.0649999999999999</v>
      </c>
      <c r="CC116" s="340">
        <f>CC77</f>
        <v>1.0918000000000001</v>
      </c>
      <c r="CD116" s="340">
        <f>CD77</f>
        <v>1.0918000000000001</v>
      </c>
      <c r="CE116" s="92"/>
      <c r="CF116" s="340">
        <f>CF77</f>
        <v>1.0436000000000001</v>
      </c>
      <c r="CG116" s="340">
        <f>CG77</f>
        <v>1.0793999999999999</v>
      </c>
      <c r="CH116" s="340">
        <f>CH77</f>
        <v>1.0793999999999999</v>
      </c>
      <c r="CI116" s="92"/>
      <c r="CJ116" s="340">
        <f>CJ77</f>
        <v>1.0268999999999999</v>
      </c>
      <c r="CK116" s="340">
        <f>CK77</f>
        <v>1.0802</v>
      </c>
      <c r="CL116" s="340">
        <f>CL77</f>
        <v>1.0802</v>
      </c>
      <c r="CM116" s="92"/>
      <c r="CN116" s="340">
        <f>CN77</f>
        <v>1.0893999999999999</v>
      </c>
      <c r="CO116" s="340">
        <f>CO77</f>
        <v>1.0472999999999999</v>
      </c>
      <c r="CP116" s="340">
        <f>CP77</f>
        <v>1.0472999999999999</v>
      </c>
      <c r="CQ116" s="92"/>
      <c r="CR116" s="340">
        <f>CR77</f>
        <v>1.0760000000000001</v>
      </c>
      <c r="CS116" s="340">
        <f>CS77</f>
        <v>1.1349</v>
      </c>
      <c r="CT116" s="340">
        <f>CT77</f>
        <v>1.1349</v>
      </c>
      <c r="CU116" s="92"/>
      <c r="CV116" s="340">
        <f>CV77</f>
        <v>1.0679000000000001</v>
      </c>
      <c r="CW116" s="340">
        <f>CW77</f>
        <v>1.0742</v>
      </c>
      <c r="CX116" s="340">
        <f>CX77</f>
        <v>1.0742</v>
      </c>
      <c r="CY116" s="92"/>
      <c r="CZ116" s="340">
        <f>CZ77</f>
        <v>1.0903</v>
      </c>
      <c r="DA116" s="340">
        <f>DA77</f>
        <v>1.0882000000000001</v>
      </c>
      <c r="DB116" s="340">
        <f>DB77</f>
        <v>1.0882000000000001</v>
      </c>
      <c r="DC116" s="92"/>
      <c r="DD116" s="340">
        <f>DD77</f>
        <v>1.1000000000000001</v>
      </c>
      <c r="DE116" s="340">
        <f>DE77</f>
        <v>1.1383000000000001</v>
      </c>
      <c r="DF116" s="340">
        <f>DF77</f>
        <v>1.1383000000000001</v>
      </c>
      <c r="DG116" s="92"/>
      <c r="DH116" s="340">
        <f>DH77</f>
        <v>1.17</v>
      </c>
      <c r="DI116" s="340">
        <f>DI77</f>
        <v>1.17</v>
      </c>
      <c r="DJ116" s="340">
        <f>DJ77</f>
        <v>1.17</v>
      </c>
      <c r="DK116" s="92"/>
      <c r="DL116" s="340">
        <f>DL77</f>
        <v>1.17</v>
      </c>
      <c r="DM116" s="340">
        <f>DM77</f>
        <v>1.17</v>
      </c>
      <c r="DN116" s="340">
        <f>DN77</f>
        <v>1.17</v>
      </c>
      <c r="DO116" s="92"/>
      <c r="DP116" s="340">
        <f>DP77</f>
        <v>1.17</v>
      </c>
      <c r="DQ116" s="340">
        <f>DQ77</f>
        <v>1.17</v>
      </c>
      <c r="DR116" s="340">
        <f>DR77</f>
        <v>1.17</v>
      </c>
      <c r="DS116" s="92"/>
      <c r="DT116" s="92"/>
      <c r="DU116" s="92"/>
      <c r="DV116" s="92"/>
      <c r="DW116" s="47"/>
      <c r="DX116" s="47"/>
    </row>
    <row r="117" spans="1:128" s="20" customFormat="1" ht="13.8">
      <c r="A117" s="21" t="s">
        <v>533</v>
      </c>
      <c r="B117" s="49"/>
      <c r="BD117" s="67"/>
      <c r="BE117" s="49"/>
      <c r="BF117" s="49"/>
      <c r="BH117" s="67"/>
      <c r="BI117" s="49"/>
      <c r="BJ117" s="49"/>
      <c r="BK117" s="49"/>
      <c r="BL117" s="67"/>
      <c r="BM117" s="49"/>
      <c r="BN117" s="49"/>
      <c r="BO117" s="49"/>
      <c r="BP117" s="67"/>
      <c r="BQ117" s="49"/>
      <c r="BR117" s="49"/>
      <c r="BS117" s="49"/>
      <c r="BT117" s="67"/>
      <c r="BU117" s="49"/>
      <c r="BV117" s="49"/>
      <c r="BW117" s="49"/>
      <c r="BX117" s="67"/>
      <c r="BY117" s="49"/>
      <c r="BZ117" s="49"/>
      <c r="CA117" s="49"/>
      <c r="CB117" s="67"/>
      <c r="CC117" s="49"/>
      <c r="CD117" s="49"/>
      <c r="CE117" s="49"/>
      <c r="CF117" s="67"/>
      <c r="CG117" s="49"/>
      <c r="CH117" s="49"/>
      <c r="CI117" s="49"/>
      <c r="CJ117" s="67"/>
      <c r="CK117" s="49"/>
      <c r="CL117" s="49"/>
      <c r="CM117" s="49"/>
      <c r="CN117" s="67"/>
      <c r="CP117" s="49"/>
      <c r="CQ117" s="49"/>
      <c r="CR117" s="67"/>
      <c r="CT117" s="49"/>
      <c r="CU117" s="49"/>
      <c r="CV117" s="67"/>
      <c r="CX117" s="49"/>
      <c r="CY117" s="49"/>
      <c r="CZ117" s="67"/>
      <c r="DB117" s="49"/>
      <c r="DC117" s="49"/>
      <c r="DD117" s="67"/>
      <c r="DF117" s="49"/>
      <c r="DG117" s="49"/>
      <c r="DH117" s="49"/>
      <c r="DI117" s="49"/>
      <c r="DJ117" s="49"/>
      <c r="DK117" s="49"/>
      <c r="DL117" s="49"/>
      <c r="DM117" s="49"/>
      <c r="DN117" s="49"/>
      <c r="DO117" s="49"/>
      <c r="DP117" s="49"/>
      <c r="DQ117" s="49"/>
      <c r="DR117" s="49"/>
      <c r="DS117" s="49"/>
      <c r="DT117" s="49"/>
      <c r="DU117" s="49"/>
      <c r="DV117" s="49"/>
    </row>
    <row r="118" spans="1:128" s="20" customFormat="1" ht="13.8">
      <c r="A118" s="20" t="s">
        <v>500</v>
      </c>
      <c r="B118" s="49" t="s">
        <v>701</v>
      </c>
      <c r="BD118" s="65">
        <f>+BD109*BD$116</f>
        <v>54192.065699999999</v>
      </c>
      <c r="BE118" s="65">
        <f>+BE109*BE$116</f>
        <v>56072.286599999992</v>
      </c>
      <c r="BF118" s="65">
        <f>BE118</f>
        <v>56072.286599999992</v>
      </c>
      <c r="BH118" s="65">
        <f>+BH109*BH$116</f>
        <v>57457.151999999995</v>
      </c>
      <c r="BI118" s="65">
        <f>+BI109*BI$116</f>
        <v>59314.504499999995</v>
      </c>
      <c r="BJ118" s="65">
        <f>BI118</f>
        <v>59314.504499999995</v>
      </c>
      <c r="BK118" s="49"/>
      <c r="BL118" s="65">
        <f>+BL109*BL$116</f>
        <v>61078.567199999998</v>
      </c>
      <c r="BM118" s="65">
        <f>+BM109*BM$116</f>
        <v>62407.931299999997</v>
      </c>
      <c r="BN118" s="65">
        <f>BM118</f>
        <v>62407.931299999997</v>
      </c>
      <c r="BO118" s="49"/>
      <c r="BP118" s="65">
        <f>+BP109*BP$116</f>
        <v>64501.246799999994</v>
      </c>
      <c r="BQ118" s="65">
        <f>+BQ109*BQ$116</f>
        <v>67935.822899999999</v>
      </c>
      <c r="BR118" s="65">
        <f>BQ118</f>
        <v>67935.822899999999</v>
      </c>
      <c r="BS118" s="49"/>
      <c r="BT118" s="65">
        <f>+BT109*BT$116</f>
        <v>70605.835699999996</v>
      </c>
      <c r="BU118" s="65">
        <f>+BU109*BU$116</f>
        <v>73332.444900000002</v>
      </c>
      <c r="BV118" s="65">
        <f>BU118</f>
        <v>73332.444900000002</v>
      </c>
      <c r="BW118" s="75">
        <f>+BV118/BR118-1</f>
        <v>7.9437059413318689E-2</v>
      </c>
      <c r="BX118" s="65">
        <f>+BX109*BX$116</f>
        <v>75032.788800000009</v>
      </c>
      <c r="BY118" s="65">
        <f>+BY109*BY$116</f>
        <v>76867.724499999997</v>
      </c>
      <c r="BZ118" s="65">
        <f>BY118</f>
        <v>76867.724499999997</v>
      </c>
      <c r="CA118" s="75">
        <f>+BZ118/BV118-1</f>
        <v>4.8208942233153307E-2</v>
      </c>
      <c r="CB118" s="65">
        <f>+CB109*CB$116</f>
        <v>78544.815000000002</v>
      </c>
      <c r="CC118" s="65">
        <f>+CC109*CC$116</f>
        <v>80610.869400000011</v>
      </c>
      <c r="CD118" s="65">
        <f>CC118</f>
        <v>80610.869400000011</v>
      </c>
      <c r="CE118" s="75">
        <f>+CD118/BZ118-1</f>
        <v>4.8695924386313871E-2</v>
      </c>
      <c r="CF118" s="65">
        <f>+CF109*CF$116</f>
        <v>82872.276000000013</v>
      </c>
      <c r="CG118" s="65">
        <f>+CG109*CG$116</f>
        <v>84752.329199999993</v>
      </c>
      <c r="CH118" s="65">
        <f>CG118</f>
        <v>84752.329199999993</v>
      </c>
      <c r="CI118" s="75">
        <f>+CH118/CD118-1</f>
        <v>5.1375947571655756E-2</v>
      </c>
      <c r="CJ118" s="65">
        <f>+CJ109*CJ$116</f>
        <v>87595.59689999999</v>
      </c>
      <c r="CK118" s="65">
        <f>+CK109*CK$116</f>
        <v>89542.098800000007</v>
      </c>
      <c r="CL118" s="65">
        <f>CK118</f>
        <v>89542.098800000007</v>
      </c>
      <c r="CM118" s="75">
        <f>+CL118/CH118-1</f>
        <v>5.6514902247666088E-2</v>
      </c>
      <c r="CN118" s="65">
        <f>+CN109*CN$116</f>
        <v>95388.953399999999</v>
      </c>
      <c r="CO118" s="65">
        <f>+CO109*CO$116</f>
        <v>98833.700999999986</v>
      </c>
      <c r="CP118" s="65">
        <f>CO118</f>
        <v>98833.700999999986</v>
      </c>
      <c r="CQ118" s="75">
        <f>+CP118/CL118-1</f>
        <v>0.10376797422130535</v>
      </c>
      <c r="CR118" s="65">
        <f>+CR109*CR$116</f>
        <v>103074.34400000001</v>
      </c>
      <c r="CS118" s="65">
        <f>+CS109*CS$116</f>
        <v>104174.7408</v>
      </c>
      <c r="CT118" s="65">
        <f>CS118</f>
        <v>104174.7408</v>
      </c>
      <c r="CU118" s="75">
        <f>+CT118/CP118-1</f>
        <v>5.4040673838572584E-2</v>
      </c>
      <c r="CV118" s="65">
        <f>+CV109*CV$116</f>
        <v>104589.05810000001</v>
      </c>
      <c r="CW118" s="65">
        <f>+CW109*CW$116</f>
        <v>107342.65760000001</v>
      </c>
      <c r="CX118" s="65">
        <f>CW118</f>
        <v>107342.65760000001</v>
      </c>
      <c r="CY118" s="75">
        <f>+CX118/CT118-1</f>
        <v>3.0409644177391559E-2</v>
      </c>
      <c r="CZ118" s="65">
        <f>+CZ109*CZ$116</f>
        <v>109473.7521</v>
      </c>
      <c r="DA118" s="65">
        <f>+DA109*DA$116</f>
        <v>111104.1318</v>
      </c>
      <c r="DB118" s="65">
        <f>DA118</f>
        <v>111104.1318</v>
      </c>
      <c r="DC118" s="75">
        <f>+DB118/CX118-1</f>
        <v>3.5041746534883567E-2</v>
      </c>
      <c r="DD118" s="65">
        <f>+DD109*DD$116</f>
        <v>113399.00000000001</v>
      </c>
      <c r="DE118" s="65">
        <f>+DE109*DE$116</f>
        <v>116119.12130000001</v>
      </c>
      <c r="DF118" s="65">
        <f>DE118</f>
        <v>116119.12130000001</v>
      </c>
      <c r="DG118" s="75">
        <f>+DF118/DB118-1</f>
        <v>4.5137740773021573E-2</v>
      </c>
      <c r="DH118" s="65">
        <f>+DE118*(1+DH122)</f>
        <v>119022.0993325</v>
      </c>
      <c r="DI118" s="65">
        <f>+DH118*(1+DI122)</f>
        <v>121997.6518158125</v>
      </c>
      <c r="DJ118" s="65">
        <f>DI118</f>
        <v>121997.6518158125</v>
      </c>
      <c r="DK118" s="75">
        <f>+DJ118/DF118-1</f>
        <v>5.062499999999992E-2</v>
      </c>
      <c r="DL118" s="65">
        <f>+DI118*(1+DL122)</f>
        <v>124437.60485212874</v>
      </c>
      <c r="DM118" s="65">
        <f>+DL118*(1+DM122)</f>
        <v>126926.35694917133</v>
      </c>
      <c r="DN118" s="65">
        <f>DM118</f>
        <v>126926.35694917133</v>
      </c>
      <c r="DO118" s="75">
        <f>+DN118/DJ118-1</f>
        <v>4.0399999999999991E-2</v>
      </c>
      <c r="DP118" s="65">
        <f>+DM118*(1+DP122)</f>
        <v>128830.25230340888</v>
      </c>
      <c r="DQ118" s="65">
        <f>+DP118*(1+DQ122)</f>
        <v>130762.70608796</v>
      </c>
      <c r="DR118" s="65">
        <f>DQ118</f>
        <v>130762.70608796</v>
      </c>
      <c r="DS118" s="75">
        <f>+DR118/DN118-1</f>
        <v>3.0224999999999724E-2</v>
      </c>
      <c r="DT118" s="75"/>
      <c r="DU118" s="75"/>
      <c r="DV118" s="75"/>
    </row>
    <row r="119" spans="1:128" s="20" customFormat="1" ht="13.8">
      <c r="A119" s="20" t="s">
        <v>410</v>
      </c>
      <c r="B119" s="49" t="s">
        <v>701</v>
      </c>
      <c r="BD119" s="65">
        <f>+BD120-BD118</f>
        <v>41039.243399999999</v>
      </c>
      <c r="BE119" s="65">
        <f>+BE120-BE118</f>
        <v>41316.883300000001</v>
      </c>
      <c r="BF119" s="65">
        <f>+BF120-BF118</f>
        <v>41316.883300000001</v>
      </c>
      <c r="BH119" s="65">
        <f>+BH120-BH118</f>
        <v>41529.251400000001</v>
      </c>
      <c r="BI119" s="65">
        <f>+BI120-BI118</f>
        <v>41669.043399999995</v>
      </c>
      <c r="BJ119" s="65">
        <f>+BJ120-BJ118</f>
        <v>41669.043399999995</v>
      </c>
      <c r="BK119" s="49"/>
      <c r="BL119" s="65">
        <f>+BL120-BL118</f>
        <v>42216.476399999992</v>
      </c>
      <c r="BM119" s="65">
        <f>+BM120-BM118</f>
        <v>43694.639299999995</v>
      </c>
      <c r="BN119" s="65">
        <f>+BN120-BN118</f>
        <v>43694.639299999995</v>
      </c>
      <c r="BO119" s="49"/>
      <c r="BP119" s="65">
        <f>+BP120-BP118</f>
        <v>45081.899999999994</v>
      </c>
      <c r="BQ119" s="65">
        <f>+BQ120-BQ118</f>
        <v>46913.491100000014</v>
      </c>
      <c r="BR119" s="65">
        <f>+BR120-BR118</f>
        <v>46913.491100000014</v>
      </c>
      <c r="BS119" s="49"/>
      <c r="BT119" s="65">
        <f>+BT120-BT118</f>
        <v>47304.989199999996</v>
      </c>
      <c r="BU119" s="65">
        <f>+BU120-BU118</f>
        <v>47772.479800000001</v>
      </c>
      <c r="BV119" s="65">
        <f>+BV120-BV118</f>
        <v>47772.479800000001</v>
      </c>
      <c r="BW119" s="75">
        <f>+BV119/BR119-1</f>
        <v>1.8310057082918441E-2</v>
      </c>
      <c r="BX119" s="65">
        <f>+BX120-BX118</f>
        <v>48373.351899999994</v>
      </c>
      <c r="BY119" s="65">
        <f>+BY120-BY118</f>
        <v>48482.033800000005</v>
      </c>
      <c r="BZ119" s="65">
        <f>+BZ120-BZ118</f>
        <v>48482.033800000005</v>
      </c>
      <c r="CA119" s="75">
        <f>+BZ119/BV119-1</f>
        <v>1.4852777225937697E-2</v>
      </c>
      <c r="CB119" s="65">
        <f>+CB120-CB118</f>
        <v>48208.289999999994</v>
      </c>
      <c r="CC119" s="65">
        <f>+CC120-CC118</f>
        <v>48510.857600000003</v>
      </c>
      <c r="CD119" s="65">
        <f>+CD120-CD118</f>
        <v>48510.857600000003</v>
      </c>
      <c r="CE119" s="75">
        <f>+CD119/BZ119-1</f>
        <v>5.9452538890814033E-4</v>
      </c>
      <c r="CF119" s="65">
        <f>+CF120-CF118</f>
        <v>49337.233600000007</v>
      </c>
      <c r="CG119" s="65">
        <f>+CG120-CG118</f>
        <v>48946.472399999984</v>
      </c>
      <c r="CH119" s="65">
        <f>+CH120-CH118</f>
        <v>48946.472399999984</v>
      </c>
      <c r="CI119" s="75">
        <f>+CH119/CD119-1</f>
        <v>8.979738177211205E-3</v>
      </c>
      <c r="CJ119" s="65">
        <f>+CJ120-CJ118</f>
        <v>48625.768800000005</v>
      </c>
      <c r="CK119" s="65">
        <f>+CK120-CK118</f>
        <v>43839.916999999987</v>
      </c>
      <c r="CL119" s="65">
        <f>+CL120-CL118</f>
        <v>43839.916999999987</v>
      </c>
      <c r="CM119" s="75">
        <f>+CL119/CH119-1</f>
        <v>-0.10432938574752115</v>
      </c>
      <c r="CN119" s="65">
        <f>+CN120-CN118</f>
        <v>42671.797999999981</v>
      </c>
      <c r="CO119" s="65">
        <f>+CO120-CO118</f>
        <v>42456.494699999996</v>
      </c>
      <c r="CP119" s="65">
        <f>+CP120-CP118</f>
        <v>42456.494699999996</v>
      </c>
      <c r="CQ119" s="75">
        <f>+CP119/CL119-1</f>
        <v>-3.1556225345955591E-2</v>
      </c>
      <c r="CR119" s="65">
        <f>+CR120-CR118</f>
        <v>43495.147999999986</v>
      </c>
      <c r="CS119" s="65">
        <f>+CS120-CS118</f>
        <v>43439.432399999991</v>
      </c>
      <c r="CT119" s="65">
        <f>+CT120-CT118</f>
        <v>43439.432399999991</v>
      </c>
      <c r="CU119" s="75">
        <f>+CT119/CP119-1</f>
        <v>2.3151645159250389E-2</v>
      </c>
      <c r="CV119" s="65">
        <f>+CV120-CV118</f>
        <v>43190.147600000011</v>
      </c>
      <c r="CW119" s="65">
        <f>+CW120-CW118</f>
        <v>42578.065399999992</v>
      </c>
      <c r="CX119" s="65">
        <f>+CX120-CX118</f>
        <v>42578.065399999992</v>
      </c>
      <c r="CY119" s="75">
        <f>+CX119/CT119-1</f>
        <v>-1.9829149517156197E-2</v>
      </c>
      <c r="CZ119" s="65">
        <f>+CZ120-CZ118</f>
        <v>41976.55</v>
      </c>
      <c r="DA119" s="65">
        <f>+DA120-DA118</f>
        <v>41088.255600000004</v>
      </c>
      <c r="DB119" s="65">
        <f>+DB120-DB118</f>
        <v>41088.255600000004</v>
      </c>
      <c r="DC119" s="75">
        <f>+DB119/CX119-1</f>
        <v>-3.499007730867898E-2</v>
      </c>
      <c r="DD119" s="65">
        <f>+DD120-DD118</f>
        <v>40687.900000000009</v>
      </c>
      <c r="DE119" s="65">
        <f>+DE120-DE118</f>
        <v>42903.665300000008</v>
      </c>
      <c r="DF119" s="65">
        <f>+DF120-DF118</f>
        <v>42903.665300000008</v>
      </c>
      <c r="DG119" s="75">
        <f>+DF119/DB119-1</f>
        <v>4.418317773509961E-2</v>
      </c>
      <c r="DH119" s="65">
        <f>DH204</f>
        <v>43476.099295500011</v>
      </c>
      <c r="DI119" s="65">
        <f>DI204</f>
        <v>43962.864605340008</v>
      </c>
      <c r="DJ119" s="65">
        <f>+DJ120-DJ118</f>
        <v>43962.864605340015</v>
      </c>
      <c r="DK119" s="75">
        <f>+DJ119/DF119-1</f>
        <v>2.4687851211164569E-2</v>
      </c>
      <c r="DL119" s="65">
        <f>DL204</f>
        <v>44555.054390394303</v>
      </c>
      <c r="DM119" s="65">
        <f>DM204</f>
        <v>45061.485018751839</v>
      </c>
      <c r="DN119" s="65">
        <f>+DN120-DN118</f>
        <v>45061.485018751831</v>
      </c>
      <c r="DO119" s="75">
        <f>+DN119/DJ119-1</f>
        <v>2.4989736753377345E-2</v>
      </c>
      <c r="DP119" s="65">
        <f>DP204</f>
        <v>45674.211874539105</v>
      </c>
      <c r="DQ119" s="65">
        <f>DQ204</f>
        <v>46201.102300282291</v>
      </c>
      <c r="DR119" s="65">
        <f>+DR120-DR118</f>
        <v>46201.102300282291</v>
      </c>
      <c r="DS119" s="75">
        <f>+DR119/DN119-1</f>
        <v>2.5290273524190887E-2</v>
      </c>
      <c r="DT119"/>
      <c r="DU119"/>
      <c r="DV119"/>
      <c r="DW119"/>
    </row>
    <row r="120" spans="1:128" s="20" customFormat="1" ht="13.8">
      <c r="A120" s="21" t="s">
        <v>178</v>
      </c>
      <c r="B120" s="49" t="s">
        <v>701</v>
      </c>
      <c r="BD120" s="72">
        <f>+BD111*BD$116</f>
        <v>95231.309099999999</v>
      </c>
      <c r="BE120" s="72">
        <f>+BE111*BE$116</f>
        <v>97389.169899999994</v>
      </c>
      <c r="BF120" s="72">
        <f>BE120</f>
        <v>97389.169899999994</v>
      </c>
      <c r="BH120" s="72">
        <f>+BH111*BH$116</f>
        <v>98986.403399999996</v>
      </c>
      <c r="BI120" s="72">
        <f>+BI111*BI$116</f>
        <v>100983.54789999999</v>
      </c>
      <c r="BJ120" s="72">
        <f>BI120</f>
        <v>100983.54789999999</v>
      </c>
      <c r="BK120" s="49"/>
      <c r="BL120" s="72">
        <f>+BL111*BL$116</f>
        <v>103295.04359999999</v>
      </c>
      <c r="BM120" s="72">
        <f>+BM111*BM$116</f>
        <v>106102.57059999999</v>
      </c>
      <c r="BN120" s="72">
        <f>BM120</f>
        <v>106102.57059999999</v>
      </c>
      <c r="BO120" s="49"/>
      <c r="BP120" s="72">
        <f>+BP111*BP$116</f>
        <v>109583.14679999999</v>
      </c>
      <c r="BQ120" s="72">
        <f>+BQ111*BQ$116</f>
        <v>114849.31400000001</v>
      </c>
      <c r="BR120" s="72">
        <f>BQ120</f>
        <v>114849.31400000001</v>
      </c>
      <c r="BS120" s="75">
        <f>+BR120/BN120-1</f>
        <v>8.2436677552089499E-2</v>
      </c>
      <c r="BT120" s="72">
        <f>+BT111*BT$116</f>
        <v>117910.82489999999</v>
      </c>
      <c r="BU120" s="72">
        <f>+BU111*BU$116</f>
        <v>121104.9247</v>
      </c>
      <c r="BV120" s="72">
        <f>BU120</f>
        <v>121104.9247</v>
      </c>
      <c r="BW120" s="75">
        <f>+BV120/BR120-1</f>
        <v>5.4467984893666666E-2</v>
      </c>
      <c r="BX120" s="72">
        <f>+BX111*BX$116</f>
        <v>123406.1407</v>
      </c>
      <c r="BY120" s="72">
        <f>+BY111*BY$116</f>
        <v>125349.7583</v>
      </c>
      <c r="BZ120" s="72">
        <f>BY120</f>
        <v>125349.7583</v>
      </c>
      <c r="CA120" s="75">
        <f>+BZ120/BV120-1</f>
        <v>3.5050875185425046E-2</v>
      </c>
      <c r="CB120" s="72">
        <f>+CB111*CB$116</f>
        <v>126753.105</v>
      </c>
      <c r="CC120" s="72">
        <f>+CC111*CC$116</f>
        <v>129121.72700000001</v>
      </c>
      <c r="CD120" s="72">
        <f>CC120</f>
        <v>129121.72700000001</v>
      </c>
      <c r="CE120" s="75">
        <f>+CD120/BZ120-1</f>
        <v>3.0091551440989184E-2</v>
      </c>
      <c r="CF120" s="72">
        <f>+CF111*CF$116</f>
        <v>132209.50960000002</v>
      </c>
      <c r="CG120" s="72">
        <f>+CG111*CG$116</f>
        <v>133698.80159999998</v>
      </c>
      <c r="CH120" s="72">
        <f>CG120</f>
        <v>133698.80159999998</v>
      </c>
      <c r="CI120" s="75">
        <f>+CH120/CD120-1</f>
        <v>3.5447749238979531E-2</v>
      </c>
      <c r="CJ120" s="72">
        <f>+CJ111*CJ$116</f>
        <v>136221.36569999999</v>
      </c>
      <c r="CK120" s="72">
        <f>+CK111*CK$116</f>
        <v>133382.01579999999</v>
      </c>
      <c r="CL120" s="72">
        <f>CK120</f>
        <v>133382.01579999999</v>
      </c>
      <c r="CM120" s="75">
        <f>+CL120/CH120-1</f>
        <v>-2.3693989490477518E-3</v>
      </c>
      <c r="CN120" s="72">
        <f>+CN111*CN$116</f>
        <v>138060.75139999998</v>
      </c>
      <c r="CO120" s="72">
        <f>+CO111*CO$116</f>
        <v>141290.19569999998</v>
      </c>
      <c r="CP120" s="72">
        <f>CO120</f>
        <v>141290.19569999998</v>
      </c>
      <c r="CQ120" s="75">
        <f>+CP120/CL120-1</f>
        <v>5.9289701483128843E-2</v>
      </c>
      <c r="CR120" s="72">
        <f>+CR111*CR$116</f>
        <v>146569.492</v>
      </c>
      <c r="CS120" s="72">
        <f>+CS111*CS$116</f>
        <v>147614.17319999999</v>
      </c>
      <c r="CT120" s="72">
        <f>CS120</f>
        <v>147614.17319999999</v>
      </c>
      <c r="CU120" s="75">
        <f>+CT120/CP120-1</f>
        <v>4.4758785057015915E-2</v>
      </c>
      <c r="CV120" s="72">
        <f>+CV111*CV$116</f>
        <v>147779.20570000002</v>
      </c>
      <c r="CW120" s="72">
        <f>+CW111*CW$116</f>
        <v>149920.723</v>
      </c>
      <c r="CX120" s="72">
        <f>CW120</f>
        <v>149920.723</v>
      </c>
      <c r="CY120" s="75">
        <f>+CX120/CT120-1</f>
        <v>1.5625530733250903E-2</v>
      </c>
      <c r="CZ120" s="72">
        <f>+CZ111*CZ$116</f>
        <v>151450.3021</v>
      </c>
      <c r="DA120" s="72">
        <f>+DA111*DA$116</f>
        <v>152192.38740000001</v>
      </c>
      <c r="DB120" s="72">
        <f>DA120</f>
        <v>152192.38740000001</v>
      </c>
      <c r="DC120" s="75">
        <f>+DB120/CX120-1</f>
        <v>1.5152437598636714E-2</v>
      </c>
      <c r="DD120" s="72">
        <f>+DD111*DD$116</f>
        <v>154086.90000000002</v>
      </c>
      <c r="DE120" s="72">
        <f>+DE111*DE$116</f>
        <v>159022.78660000002</v>
      </c>
      <c r="DF120" s="72">
        <f>DE120</f>
        <v>159022.78660000002</v>
      </c>
      <c r="DG120" s="75">
        <f>+DF120/DB120-1</f>
        <v>4.4880031890478289E-2</v>
      </c>
      <c r="DH120" s="72">
        <f>SUM(DH118:DH119)</f>
        <v>162498.19862800001</v>
      </c>
      <c r="DI120" s="72">
        <f>SUM(DI118:DI119)</f>
        <v>165960.51642115251</v>
      </c>
      <c r="DJ120" s="72">
        <f>DI120</f>
        <v>165960.51642115251</v>
      </c>
      <c r="DK120" s="75">
        <f>+DJ120/DF120-1</f>
        <v>4.3627268578831924E-2</v>
      </c>
      <c r="DL120" s="72">
        <f>SUM(DL118:DL119)</f>
        <v>168992.65924252305</v>
      </c>
      <c r="DM120" s="72">
        <f>SUM(DM118:DM119)</f>
        <v>171987.84196792316</v>
      </c>
      <c r="DN120" s="72">
        <f>DM120</f>
        <v>171987.84196792316</v>
      </c>
      <c r="DO120" s="75">
        <f>+DN120/DJ120-1</f>
        <v>3.6317828341021263E-2</v>
      </c>
      <c r="DP120" s="72">
        <f>SUM(DP118:DP119)</f>
        <v>174504.46417794799</v>
      </c>
      <c r="DQ120" s="72">
        <f>SUM(DQ118:DQ119)</f>
        <v>176963.80838824229</v>
      </c>
      <c r="DR120" s="72">
        <f>DQ120</f>
        <v>176963.80838824229</v>
      </c>
      <c r="DS120" s="75">
        <f>+DR120/DN120-1</f>
        <v>2.8932082427356676E-2</v>
      </c>
      <c r="DT120"/>
      <c r="DU120"/>
      <c r="DV120"/>
      <c r="DW120"/>
    </row>
    <row r="121" spans="1:128" s="20" customFormat="1" ht="13.8">
      <c r="A121" s="78" t="s">
        <v>217</v>
      </c>
      <c r="B121" s="49"/>
      <c r="BH121" s="67"/>
      <c r="BI121" s="49"/>
      <c r="BJ121" s="49"/>
      <c r="BK121" s="49"/>
      <c r="BL121" s="67"/>
      <c r="BM121" s="49"/>
      <c r="BN121" s="49"/>
      <c r="BO121" s="49"/>
      <c r="BP121" s="67"/>
      <c r="BQ121" s="49"/>
      <c r="BR121" s="49"/>
      <c r="BS121" s="49"/>
      <c r="BT121" s="67"/>
      <c r="BU121" s="49"/>
      <c r="BV121" s="49"/>
      <c r="BW121" s="49"/>
      <c r="BX121" s="67"/>
      <c r="BY121" s="49"/>
      <c r="BZ121" s="49"/>
      <c r="CA121" s="49"/>
      <c r="CB121" s="67"/>
      <c r="CC121" s="49"/>
      <c r="CD121" s="49"/>
      <c r="CE121" s="49"/>
      <c r="CF121" s="67"/>
      <c r="CG121" s="49"/>
      <c r="CH121" s="49"/>
      <c r="CI121" s="49"/>
      <c r="CJ121" s="49"/>
      <c r="CK121" s="49"/>
      <c r="CL121" s="49"/>
      <c r="CM121" s="49"/>
      <c r="CN121" s="49"/>
      <c r="CO121" s="49"/>
      <c r="CP121" s="49"/>
      <c r="CQ121" s="49"/>
      <c r="CR121" s="49"/>
      <c r="CS121" s="49"/>
      <c r="CT121" s="49"/>
      <c r="CU121" s="49"/>
      <c r="CV121" s="49"/>
      <c r="CW121" s="49"/>
      <c r="CX121" s="49"/>
      <c r="CY121" s="49"/>
      <c r="CZ121" s="49"/>
      <c r="DA121" s="49"/>
      <c r="DB121" s="49"/>
      <c r="DC121" s="49"/>
      <c r="DD121" s="49"/>
      <c r="DE121" s="49"/>
      <c r="DF121" s="49"/>
      <c r="DG121" s="49"/>
      <c r="DH121" s="49"/>
      <c r="DI121" s="49"/>
      <c r="DJ121" s="49"/>
      <c r="DK121" s="49"/>
      <c r="DL121" s="49"/>
      <c r="DM121" s="49"/>
      <c r="DN121" s="49"/>
      <c r="DO121" s="49"/>
      <c r="DP121" s="49"/>
      <c r="DQ121" s="49"/>
      <c r="DR121" s="49"/>
      <c r="DS121" s="49"/>
      <c r="DT121"/>
      <c r="DU121"/>
      <c r="DV121"/>
      <c r="DW121"/>
    </row>
    <row r="122" spans="1:128" s="325" customFormat="1" ht="13.8">
      <c r="A122" s="335" t="str">
        <f>+A118</f>
        <v>Housing Loans</v>
      </c>
      <c r="B122" s="336" t="s">
        <v>556</v>
      </c>
      <c r="BE122" s="345">
        <f>+BE118/BD118-1</f>
        <v>3.4695501559373065E-2</v>
      </c>
      <c r="BH122" s="345">
        <f>+BH118/BE118-1</f>
        <v>2.4697858496107727E-2</v>
      </c>
      <c r="BI122" s="345">
        <f>+BI118/BH118-1</f>
        <v>3.2325871285788788E-2</v>
      </c>
      <c r="BJ122" s="324"/>
      <c r="BK122" s="324"/>
      <c r="BL122" s="345">
        <f>+BL118/BI118-1</f>
        <v>2.9740831772437692E-2</v>
      </c>
      <c r="BM122" s="345">
        <f>+BM118/BL118-1</f>
        <v>2.1764821293974279E-2</v>
      </c>
      <c r="BN122" s="324"/>
      <c r="BO122" s="324"/>
      <c r="BP122" s="345">
        <f>+BP118/BM118-1</f>
        <v>3.3542459370063948E-2</v>
      </c>
      <c r="BQ122" s="345">
        <f>+BQ118/BP118-1</f>
        <v>5.3248212560133013E-2</v>
      </c>
      <c r="BR122" s="324"/>
      <c r="BS122" s="324"/>
      <c r="BT122" s="345">
        <f>+BT118/BQ118-1</f>
        <v>3.9301986581220749E-2</v>
      </c>
      <c r="BU122" s="345">
        <f>+BU118/BT118-1</f>
        <v>3.8617334855792995E-2</v>
      </c>
      <c r="BV122" s="324"/>
      <c r="BW122" s="324"/>
      <c r="BX122" s="345">
        <f>+BX118/BU118-1</f>
        <v>2.3186788635217059E-2</v>
      </c>
      <c r="BY122" s="345">
        <f>+BY118/BX118-1</f>
        <v>2.4455117947048688E-2</v>
      </c>
      <c r="BZ122" s="324"/>
      <c r="CA122" s="324"/>
      <c r="CB122" s="345">
        <f>+CB118/BY118-1</f>
        <v>2.1817876240111778E-2</v>
      </c>
      <c r="CC122" s="345">
        <f>+CC118/CB118-1</f>
        <v>2.6304147511201137E-2</v>
      </c>
      <c r="CD122" s="324"/>
      <c r="CE122" s="324"/>
      <c r="CF122" s="345">
        <f>+CF118/CC118-1</f>
        <v>2.8053370678570166E-2</v>
      </c>
      <c r="CG122" s="345">
        <f>+CG118/CF118-1</f>
        <v>2.2686153810955734E-2</v>
      </c>
      <c r="CH122" s="324"/>
      <c r="CI122" s="324"/>
      <c r="CJ122" s="345">
        <f>+CJ118/CG118-1</f>
        <v>3.3547959411126094E-2</v>
      </c>
      <c r="CK122" s="345">
        <f>+CK118/CJ118-1</f>
        <v>2.2221458256882043E-2</v>
      </c>
      <c r="CL122" s="324"/>
      <c r="CM122" s="324"/>
      <c r="CN122" s="345">
        <f>+CN118/CK118-1</f>
        <v>6.5297269980899575E-2</v>
      </c>
      <c r="CO122" s="345">
        <f>+CO118/CN118-1</f>
        <v>3.6112646980777097E-2</v>
      </c>
      <c r="CP122" s="324"/>
      <c r="CQ122" s="324"/>
      <c r="CR122" s="345">
        <f>+CR118/CO118-1</f>
        <v>4.2906852188000277E-2</v>
      </c>
      <c r="CS122" s="345">
        <f>+CS118/CR118-1</f>
        <v>1.0675758460320539E-2</v>
      </c>
      <c r="CT122" s="324"/>
      <c r="CU122" s="324"/>
      <c r="CV122" s="345">
        <f>+CV118/CS118-1</f>
        <v>3.9771378053672368E-3</v>
      </c>
      <c r="CW122" s="345">
        <f>+CW118/CV118-1</f>
        <v>2.6327797094866323E-2</v>
      </c>
      <c r="CX122" s="324"/>
      <c r="CY122" s="324"/>
      <c r="CZ122" s="345">
        <f>+CZ118/CW118-1</f>
        <v>1.9853193014293335E-2</v>
      </c>
      <c r="DA122" s="345">
        <f>+DA118/CZ118-1</f>
        <v>1.4892882254649686E-2</v>
      </c>
      <c r="DB122" s="324"/>
      <c r="DC122" s="324"/>
      <c r="DD122" s="345">
        <f>+DD118/DA118-1</f>
        <v>2.0655111226025591E-2</v>
      </c>
      <c r="DE122" s="345">
        <f>+DE118/DD118-1</f>
        <v>2.3987171844548794E-2</v>
      </c>
      <c r="DF122" s="324"/>
      <c r="DG122" s="324"/>
      <c r="DH122" s="936">
        <v>2.5000000000000001E-2</v>
      </c>
      <c r="DI122" s="936">
        <v>2.5000000000000001E-2</v>
      </c>
      <c r="DJ122" s="324"/>
      <c r="DK122" s="324"/>
      <c r="DL122" s="936">
        <v>0.02</v>
      </c>
      <c r="DM122" s="936">
        <v>0.02</v>
      </c>
      <c r="DN122" s="324"/>
      <c r="DO122" s="324"/>
      <c r="DP122" s="936">
        <v>1.4999999999999999E-2</v>
      </c>
      <c r="DQ122" s="936">
        <v>1.4999999999999999E-2</v>
      </c>
      <c r="DR122" s="324"/>
      <c r="DS122" s="324"/>
      <c r="DT122"/>
      <c r="DU122"/>
      <c r="DV122"/>
      <c r="DW122"/>
      <c r="DX122" s="347"/>
    </row>
    <row r="123" spans="1:128" s="325" customFormat="1" ht="13.8">
      <c r="A123" s="47" t="str">
        <f>+A119</f>
        <v>Non Housing Loans</v>
      </c>
      <c r="B123" s="92" t="s">
        <v>556</v>
      </c>
      <c r="C123" s="20"/>
      <c r="D123" s="20"/>
      <c r="E123" s="20"/>
      <c r="F123" s="20"/>
      <c r="G123" s="20"/>
      <c r="H123" s="20"/>
      <c r="I123" s="20"/>
      <c r="J123" s="20"/>
      <c r="K123" s="20"/>
      <c r="L123" s="20"/>
      <c r="M123" s="20"/>
      <c r="N123" s="20"/>
      <c r="O123" s="20"/>
      <c r="P123" s="20"/>
      <c r="Q123" s="20"/>
      <c r="R123" s="20"/>
      <c r="S123" s="20"/>
      <c r="T123" s="20"/>
      <c r="U123" s="20"/>
      <c r="V123" s="20"/>
      <c r="W123" s="20"/>
      <c r="X123" s="20"/>
      <c r="Y123" s="20"/>
      <c r="Z123" s="20"/>
      <c r="AA123" s="20"/>
      <c r="AB123" s="20"/>
      <c r="AC123" s="20"/>
      <c r="AD123" s="20"/>
      <c r="AE123" s="20"/>
      <c r="AF123" s="20"/>
      <c r="AG123" s="20"/>
      <c r="AH123" s="20"/>
      <c r="AI123" s="20"/>
      <c r="AJ123" s="20"/>
      <c r="AK123" s="20"/>
      <c r="AL123" s="20"/>
      <c r="AM123" s="20"/>
      <c r="AN123" s="20"/>
      <c r="AO123" s="20"/>
      <c r="AP123" s="20"/>
      <c r="AQ123" s="20"/>
      <c r="AR123" s="20"/>
      <c r="AS123" s="20"/>
      <c r="AT123" s="20"/>
      <c r="AU123" s="20"/>
      <c r="AV123" s="20"/>
      <c r="AW123" s="20"/>
      <c r="AX123" s="20"/>
      <c r="AY123" s="20"/>
      <c r="AZ123" s="20"/>
      <c r="BA123" s="20"/>
      <c r="BB123" s="20"/>
      <c r="BC123" s="20"/>
      <c r="BD123" s="20"/>
      <c r="BE123" s="96">
        <f>+BE119/BD119-1</f>
        <v>6.7652294973841176E-3</v>
      </c>
      <c r="BF123" s="20"/>
      <c r="BG123" s="20"/>
      <c r="BH123" s="96">
        <f>+BH119/BE119-1</f>
        <v>5.1399835379160042E-3</v>
      </c>
      <c r="BI123" s="96">
        <f>+BI119/BH119-1</f>
        <v>3.3661093154209176E-3</v>
      </c>
      <c r="BJ123" s="49"/>
      <c r="BK123" s="49"/>
      <c r="BL123" s="96">
        <f>+BL119/BI119-1</f>
        <v>1.3137642607845335E-2</v>
      </c>
      <c r="BM123" s="96">
        <f>+BM119/BL119-1</f>
        <v>3.5013886189705801E-2</v>
      </c>
      <c r="BN123" s="49"/>
      <c r="BO123" s="49"/>
      <c r="BP123" s="96">
        <f>+BP119/BM119-1</f>
        <v>3.1748990773794894E-2</v>
      </c>
      <c r="BQ123" s="96">
        <f>+BQ119/BP119-1</f>
        <v>4.0628081336412603E-2</v>
      </c>
      <c r="BR123" s="49"/>
      <c r="BS123" s="49"/>
      <c r="BT123" s="96">
        <f>+BT119/BQ119-1</f>
        <v>8.3451069366267117E-3</v>
      </c>
      <c r="BU123" s="96">
        <f>+BU119/BT119-1</f>
        <v>9.8824797955985311E-3</v>
      </c>
      <c r="BV123" s="49"/>
      <c r="BW123" s="49"/>
      <c r="BX123" s="96">
        <f>+BX119/BU119-1</f>
        <v>1.2577787515229533E-2</v>
      </c>
      <c r="BY123" s="96">
        <f>+BY119/BX119-1</f>
        <v>2.2467308080011961E-3</v>
      </c>
      <c r="BZ123" s="49"/>
      <c r="CA123" s="49"/>
      <c r="CB123" s="96">
        <f>+CB119/BY119-1</f>
        <v>-5.6462936585801593E-3</v>
      </c>
      <c r="CC123" s="96">
        <f>+CC119/CB119-1</f>
        <v>6.2762566355289984E-3</v>
      </c>
      <c r="CD123" s="49"/>
      <c r="CE123" s="49"/>
      <c r="CF123" s="96">
        <f>+CF119/CC119-1</f>
        <v>1.7034866850096808E-2</v>
      </c>
      <c r="CG123" s="96">
        <f>+CG119/CF119-1</f>
        <v>-7.920208967695852E-3</v>
      </c>
      <c r="CH123" s="49"/>
      <c r="CI123" s="49"/>
      <c r="CJ123" s="96">
        <f>+CJ119/CG119-1</f>
        <v>-6.5521289742624944E-3</v>
      </c>
      <c r="CK123" s="96">
        <f>+CK119/CJ119-1</f>
        <v>-9.8422131271269864E-2</v>
      </c>
      <c r="CL123" s="49"/>
      <c r="CM123" s="49"/>
      <c r="CN123" s="96">
        <f>+CN119/CK119-1</f>
        <v>-2.664510062827008E-2</v>
      </c>
      <c r="CO123" s="96">
        <f>+CO119/CN119-1</f>
        <v>-5.0455642858073801E-3</v>
      </c>
      <c r="CP123" s="49"/>
      <c r="CQ123" s="49"/>
      <c r="CR123" s="96">
        <f>+CR119/CO119-1</f>
        <v>2.4463943793268328E-2</v>
      </c>
      <c r="CS123" s="96">
        <f>+CS119/CR119-1</f>
        <v>-1.2809612695189321E-3</v>
      </c>
      <c r="CT123" s="49"/>
      <c r="CU123" s="49"/>
      <c r="CV123" s="96">
        <f>+CV119/CS119-1</f>
        <v>-5.7386753515679123E-3</v>
      </c>
      <c r="CW123" s="96">
        <f>+CW119/CV119-1</f>
        <v>-1.4171801533737316E-2</v>
      </c>
      <c r="CX123" s="49"/>
      <c r="CY123" s="49"/>
      <c r="CZ123" s="96">
        <f>+CZ119/CW119-1</f>
        <v>-1.4127353940322274E-2</v>
      </c>
      <c r="DA123" s="96">
        <f>+DA119/CZ119-1</f>
        <v>-2.1161681939082633E-2</v>
      </c>
      <c r="DB123" s="49"/>
      <c r="DC123" s="49"/>
      <c r="DD123" s="96">
        <f>+DD119/DA119-1</f>
        <v>-9.7437964730728854E-3</v>
      </c>
      <c r="DE123" s="96">
        <f>+DE119/DD119-1</f>
        <v>5.4457597959098436E-2</v>
      </c>
      <c r="DF123" s="49"/>
      <c r="DG123" s="49"/>
      <c r="DH123" s="96">
        <f>+DH119/DE119-1</f>
        <v>1.3342309835239208E-2</v>
      </c>
      <c r="DI123" s="96">
        <f>+DI119/DH119-1</f>
        <v>1.1196158756827002E-2</v>
      </c>
      <c r="DJ123" s="49"/>
      <c r="DK123" s="49"/>
      <c r="DL123" s="96">
        <f>+DL119/DI119-1</f>
        <v>1.347022743787174E-2</v>
      </c>
      <c r="DM123" s="96">
        <f>+DM119/DL119-1</f>
        <v>1.1366401304780283E-2</v>
      </c>
      <c r="DN123" s="49"/>
      <c r="DO123" s="49"/>
      <c r="DP123" s="96">
        <f>+DP119/DM119-1</f>
        <v>1.3597573527199369E-2</v>
      </c>
      <c r="DQ123" s="96">
        <f>+DQ119/DP119-1</f>
        <v>1.1535840556821997E-2</v>
      </c>
      <c r="DR123" s="49"/>
      <c r="DS123" s="49"/>
      <c r="DT123"/>
      <c r="DU123"/>
      <c r="DV123"/>
      <c r="DW123"/>
      <c r="DX123" s="347"/>
    </row>
    <row r="124" spans="1:128" s="20" customFormat="1" ht="13.8">
      <c r="A124" s="78" t="str">
        <f>+A120</f>
        <v>Total Loans</v>
      </c>
      <c r="B124" s="49" t="s">
        <v>546</v>
      </c>
      <c r="BE124" s="79">
        <f>+BE120/BD120-1</f>
        <v>2.2659152965482043E-2</v>
      </c>
      <c r="BH124" s="79">
        <f>+BH120/BE120-1</f>
        <v>1.6400524839056185E-2</v>
      </c>
      <c r="BI124" s="79">
        <f>+BI120/BH120-1</f>
        <v>2.0175947720108667E-2</v>
      </c>
      <c r="BJ124" s="49"/>
      <c r="BK124" s="49"/>
      <c r="BL124" s="79">
        <f>+BL120/BI120-1</f>
        <v>2.2889824610727416E-2</v>
      </c>
      <c r="BM124" s="79">
        <f>+BM120/BL120-1</f>
        <v>2.7179687448236844E-2</v>
      </c>
      <c r="BN124" s="49"/>
      <c r="BO124" s="49"/>
      <c r="BP124" s="79">
        <f>+BP120/BM120-1</f>
        <v>3.2803881944779123E-2</v>
      </c>
      <c r="BQ124" s="79">
        <f>+BQ120/BP120-1</f>
        <v>4.8056360432971568E-2</v>
      </c>
      <c r="BR124" s="49"/>
      <c r="BS124" s="49"/>
      <c r="BT124" s="79">
        <f>+BT120/BQ120-1</f>
        <v>2.6656762616797058E-2</v>
      </c>
      <c r="BU124" s="79">
        <f>+BU120/BT120-1</f>
        <v>2.7089114190397057E-2</v>
      </c>
      <c r="BV124" s="49"/>
      <c r="BW124" s="49"/>
      <c r="BX124" s="79">
        <f>+BX120/BU120-1</f>
        <v>1.9001836677579709E-2</v>
      </c>
      <c r="BY124" s="79">
        <f>+BY120/BX120-1</f>
        <v>1.5749764063402116E-2</v>
      </c>
      <c r="BZ124" s="49"/>
      <c r="CA124" s="49"/>
      <c r="CB124" s="79">
        <f>+CB120/BY120-1</f>
        <v>1.119544799313732E-2</v>
      </c>
      <c r="CC124" s="79">
        <f>+CC120/CB120-1</f>
        <v>1.8686895283551497E-2</v>
      </c>
      <c r="CD124" s="49"/>
      <c r="CE124" s="49"/>
      <c r="CF124" s="79">
        <f>+CF120/CC120-1</f>
        <v>2.3913733743663457E-2</v>
      </c>
      <c r="CG124" s="79">
        <f>+CG120/CF120-1</f>
        <v>1.1264635989542748E-2</v>
      </c>
      <c r="CH124" s="49"/>
      <c r="CI124" s="49"/>
      <c r="CJ124" s="79">
        <f>+CJ120/CG120-1</f>
        <v>1.8867514665890761E-2</v>
      </c>
      <c r="CK124" s="79">
        <f>+CK120/CJ120-1</f>
        <v>-2.0843645821706835E-2</v>
      </c>
      <c r="CL124" s="49"/>
      <c r="CM124" s="49"/>
      <c r="CN124" s="79">
        <f>+CN120/CK120-1</f>
        <v>3.5077709479331309E-2</v>
      </c>
      <c r="CO124" s="79">
        <f>+CO120/CN120-1</f>
        <v>2.3391472719451079E-2</v>
      </c>
      <c r="CP124" s="49"/>
      <c r="CQ124" s="49"/>
      <c r="CR124" s="79">
        <f>+CR120/CO120-1</f>
        <v>3.736491604279113E-2</v>
      </c>
      <c r="CS124" s="79">
        <f>+CS120/CR120-1</f>
        <v>7.1275487534607773E-3</v>
      </c>
      <c r="CT124" s="49"/>
      <c r="CU124" s="49"/>
      <c r="CV124" s="79">
        <f>+CV120/CS120-1</f>
        <v>1.1179990133902695E-3</v>
      </c>
      <c r="CW124" s="79">
        <f>+CW120/CV120-1</f>
        <v>1.4491330426740667E-2</v>
      </c>
      <c r="CX124" s="49"/>
      <c r="CY124" s="49"/>
      <c r="CZ124" s="79">
        <f>+CZ120/CW120-1</f>
        <v>1.0202586202842756E-2</v>
      </c>
      <c r="DA124" s="79">
        <f>+DA120/CZ120-1</f>
        <v>4.8998601502294736E-3</v>
      </c>
      <c r="DB124" s="49"/>
      <c r="DC124" s="49"/>
      <c r="DD124" s="79">
        <f>+DD120/DA120-1</f>
        <v>1.2448142987735444E-2</v>
      </c>
      <c r="DE124" s="79">
        <f>+DE120/DD120-1</f>
        <v>3.2033135847369332E-2</v>
      </c>
      <c r="DF124" s="49"/>
      <c r="DG124" s="49"/>
      <c r="DH124" s="79">
        <f>+DH120/DE120-1</f>
        <v>2.1854805228271657E-2</v>
      </c>
      <c r="DI124" s="79">
        <f>+DI120/DH120-1</f>
        <v>2.1306807228544278E-2</v>
      </c>
      <c r="DJ124" s="49"/>
      <c r="DK124" s="49"/>
      <c r="DL124" s="79">
        <f>+DL120/DI120-1</f>
        <v>1.8270266246195321E-2</v>
      </c>
      <c r="DM124" s="79">
        <f>+DM120/DL120-1</f>
        <v>1.7723744562784249E-2</v>
      </c>
      <c r="DN124" s="49"/>
      <c r="DO124" s="49"/>
      <c r="DP124" s="79">
        <f>+DP120/DM120-1</f>
        <v>1.4632558797349038E-2</v>
      </c>
      <c r="DQ124" s="79">
        <f>+DQ120/DP120-1</f>
        <v>1.4093302551769771E-2</v>
      </c>
      <c r="DR124" s="49"/>
      <c r="DS124" s="49"/>
      <c r="DT124"/>
      <c r="DU124"/>
      <c r="DV124"/>
      <c r="DW124"/>
    </row>
    <row r="125" spans="1:128" s="20" customFormat="1" ht="13.8">
      <c r="B125" s="49"/>
      <c r="BH125" s="67"/>
      <c r="BI125" s="49"/>
      <c r="BJ125" s="49"/>
      <c r="BK125" s="49"/>
      <c r="BL125" s="67"/>
      <c r="BM125" s="49"/>
      <c r="BN125" s="49"/>
      <c r="BO125" s="49"/>
      <c r="BP125" s="67"/>
      <c r="BQ125" s="49"/>
      <c r="BR125" s="49"/>
      <c r="BS125" s="49"/>
      <c r="BT125" s="67"/>
      <c r="BU125" s="49"/>
      <c r="BV125" s="49"/>
      <c r="BW125" s="49"/>
      <c r="BX125" s="67"/>
      <c r="BY125" s="49"/>
      <c r="BZ125" s="49"/>
      <c r="CA125" s="49"/>
      <c r="CB125" s="67"/>
      <c r="CC125" s="49"/>
      <c r="CD125" s="49"/>
      <c r="CE125" s="49"/>
      <c r="CF125" s="67"/>
      <c r="CG125" s="49"/>
      <c r="CH125" s="49"/>
      <c r="CI125" s="49"/>
      <c r="CJ125" s="67"/>
      <c r="CK125" s="49"/>
      <c r="CL125" s="49"/>
      <c r="CM125" s="49"/>
      <c r="CN125" s="67"/>
      <c r="CO125" s="49"/>
      <c r="CP125" s="49"/>
      <c r="CQ125" s="49"/>
      <c r="CR125" s="67"/>
      <c r="CS125" s="49"/>
      <c r="CT125" s="49"/>
      <c r="CU125" s="49"/>
      <c r="CV125" s="67"/>
      <c r="CW125" s="49"/>
      <c r="CX125" s="49"/>
      <c r="CY125" s="49"/>
      <c r="CZ125" s="67"/>
      <c r="DA125" s="49"/>
      <c r="DB125" s="49"/>
      <c r="DC125" s="49"/>
      <c r="DD125" s="67"/>
      <c r="DE125" s="49"/>
      <c r="DF125" s="49"/>
      <c r="DG125" s="49"/>
      <c r="DH125" s="49"/>
      <c r="DI125" s="49"/>
      <c r="DJ125" s="49"/>
      <c r="DK125" s="49"/>
      <c r="DL125" s="49"/>
      <c r="DM125" s="49"/>
      <c r="DN125" s="49"/>
      <c r="DO125" s="49"/>
      <c r="DP125" s="49"/>
      <c r="DQ125" s="49"/>
      <c r="DR125" s="49"/>
      <c r="DS125" s="49"/>
      <c r="DT125"/>
      <c r="DU125"/>
      <c r="DV125"/>
      <c r="DW125"/>
    </row>
    <row r="126" spans="1:128" s="20" customFormat="1" ht="13.8">
      <c r="A126" s="1263" t="s">
        <v>1238</v>
      </c>
      <c r="B126" s="547"/>
      <c r="C126" s="533"/>
      <c r="D126" s="533"/>
      <c r="E126" s="533"/>
      <c r="F126" s="533"/>
      <c r="G126" s="533"/>
      <c r="H126" s="533"/>
      <c r="I126" s="533"/>
      <c r="J126" s="533"/>
      <c r="K126" s="533"/>
      <c r="L126" s="533"/>
      <c r="M126" s="533"/>
      <c r="N126" s="533"/>
      <c r="O126" s="533"/>
      <c r="P126" s="533"/>
      <c r="Q126" s="533"/>
      <c r="R126" s="533"/>
      <c r="S126" s="533"/>
      <c r="T126" s="533"/>
      <c r="U126" s="533"/>
      <c r="V126" s="533"/>
      <c r="W126" s="533"/>
      <c r="X126" s="533"/>
      <c r="Y126" s="533"/>
      <c r="Z126" s="533"/>
      <c r="AA126" s="533"/>
      <c r="AB126" s="533"/>
      <c r="AC126" s="533"/>
      <c r="AD126" s="533"/>
      <c r="AE126" s="533"/>
      <c r="AF126" s="533"/>
      <c r="AG126" s="533"/>
      <c r="AH126" s="533"/>
      <c r="AI126" s="533"/>
      <c r="AJ126" s="533"/>
      <c r="AK126" s="533"/>
      <c r="AL126" s="533"/>
      <c r="AM126" s="533"/>
      <c r="AN126" s="533"/>
      <c r="AO126" s="533"/>
      <c r="AP126" s="533"/>
      <c r="AQ126" s="533"/>
      <c r="AR126" s="533"/>
      <c r="AS126" s="533"/>
      <c r="AT126" s="533"/>
      <c r="AU126" s="533"/>
      <c r="AV126" s="533"/>
      <c r="AW126" s="533"/>
      <c r="AX126" s="533"/>
      <c r="AY126" s="533"/>
      <c r="AZ126" s="533"/>
      <c r="BA126" s="533"/>
      <c r="BB126" s="533"/>
      <c r="BC126" s="533"/>
      <c r="BD126" s="533"/>
      <c r="BE126" s="533"/>
      <c r="BF126" s="533"/>
      <c r="BG126" s="533"/>
      <c r="BH126" s="599"/>
      <c r="BI126" s="547"/>
      <c r="BJ126" s="547"/>
      <c r="BK126" s="547"/>
      <c r="BL126" s="599"/>
      <c r="BM126" s="547"/>
      <c r="BN126" s="547"/>
      <c r="BO126" s="547"/>
      <c r="BP126" s="599"/>
      <c r="BQ126" s="547"/>
      <c r="BR126" s="547"/>
      <c r="BS126" s="547"/>
      <c r="BT126" s="599"/>
      <c r="BU126" s="547"/>
      <c r="BV126" s="547"/>
      <c r="BW126" s="547"/>
      <c r="BX126" s="599"/>
      <c r="BY126" s="547"/>
      <c r="BZ126" s="547"/>
      <c r="CA126" s="547"/>
      <c r="CB126" s="599"/>
      <c r="CC126" s="547"/>
      <c r="CD126" s="547"/>
      <c r="CE126" s="547"/>
      <c r="CF126" s="599"/>
      <c r="CG126" s="547"/>
      <c r="CH126" s="547"/>
      <c r="CI126" s="547"/>
      <c r="CJ126" s="599"/>
      <c r="CK126" s="547"/>
      <c r="CL126" s="547"/>
      <c r="CM126" s="547"/>
      <c r="CN126" s="613">
        <v>6.4000000000000001E-2</v>
      </c>
      <c r="CO126" s="613">
        <v>4.7E-2</v>
      </c>
      <c r="CP126" s="1265"/>
      <c r="CQ126" s="1265"/>
      <c r="CR126" s="613">
        <v>3.4000000000000002E-2</v>
      </c>
      <c r="CS126" s="613">
        <v>8.9999999999999993E-3</v>
      </c>
      <c r="CT126" s="1265"/>
      <c r="CU126" s="1266"/>
      <c r="CV126" s="613">
        <f>3.3%/2</f>
        <v>1.6500000000000001E-2</v>
      </c>
      <c r="CW126" s="613">
        <f>3.3%/2</f>
        <v>1.6500000000000001E-2</v>
      </c>
      <c r="CX126" s="1265"/>
      <c r="CY126" s="1266"/>
      <c r="CZ126" s="613">
        <f>3.3%/2</f>
        <v>1.6500000000000001E-2</v>
      </c>
      <c r="DA126" s="613">
        <v>1.7999999999999999E-2</v>
      </c>
      <c r="DB126" s="1265"/>
      <c r="DC126" s="1266"/>
      <c r="DD126" s="613">
        <v>2.5000000000000001E-2</v>
      </c>
      <c r="DE126" s="613">
        <v>2.9000000000000001E-2</v>
      </c>
      <c r="DF126" s="1265"/>
      <c r="DG126" s="1266"/>
      <c r="DH126" s="616">
        <v>3.5000000000000003E-2</v>
      </c>
      <c r="DI126" s="616">
        <v>3.5000000000000003E-2</v>
      </c>
      <c r="DJ126" s="1266"/>
      <c r="DK126" s="1266"/>
      <c r="DL126" s="616">
        <v>0.03</v>
      </c>
      <c r="DM126" s="616">
        <v>0.03</v>
      </c>
      <c r="DN126" s="1266"/>
      <c r="DO126" s="1266"/>
      <c r="DP126" s="616">
        <v>2.5000000000000001E-2</v>
      </c>
      <c r="DQ126" s="616">
        <v>2.5000000000000001E-2</v>
      </c>
      <c r="DR126" s="1266"/>
      <c r="DS126" s="1266"/>
      <c r="DT126"/>
      <c r="DU126"/>
      <c r="DV126"/>
      <c r="DW126"/>
    </row>
    <row r="127" spans="1:128" s="20" customFormat="1" ht="13.8">
      <c r="A127" s="1264" t="s">
        <v>1181</v>
      </c>
      <c r="B127" s="49"/>
      <c r="BH127" s="67"/>
      <c r="BI127" s="49"/>
      <c r="BJ127" s="49"/>
      <c r="BK127" s="49"/>
      <c r="BL127" s="67"/>
      <c r="BM127" s="49"/>
      <c r="BN127" s="49"/>
      <c r="BO127" s="49"/>
      <c r="BP127" s="67"/>
      <c r="BQ127" s="49"/>
      <c r="BR127" s="49"/>
      <c r="BS127" s="49"/>
      <c r="BT127" s="67"/>
      <c r="BU127" s="49"/>
      <c r="BV127" s="49"/>
      <c r="BW127" s="49"/>
      <c r="BX127" s="67"/>
      <c r="BY127" s="49"/>
      <c r="BZ127" s="49"/>
      <c r="CA127" s="49"/>
      <c r="CB127" s="67"/>
      <c r="CC127" s="49"/>
      <c r="CD127" s="49"/>
      <c r="CE127" s="49"/>
      <c r="CF127" s="67"/>
      <c r="CG127" s="49"/>
      <c r="CH127" s="49"/>
      <c r="CI127" s="49"/>
      <c r="CJ127" s="67"/>
      <c r="CK127" s="49"/>
      <c r="CL127" s="49"/>
      <c r="CM127" s="49"/>
      <c r="CN127" s="1267">
        <f>+CN122/CN126</f>
        <v>1.0202698434515558</v>
      </c>
      <c r="CO127" s="1267">
        <f>+CO122/CO126</f>
        <v>0.76835419108036374</v>
      </c>
      <c r="CP127" s="1268"/>
      <c r="CQ127" s="1268"/>
      <c r="CR127" s="1267">
        <f>+CR122/CR126</f>
        <v>1.2619662408235375</v>
      </c>
      <c r="CS127" s="1267">
        <f>+CS122/CS126</f>
        <v>1.1861953844800599</v>
      </c>
      <c r="CT127" s="1268"/>
      <c r="CU127" s="1268"/>
      <c r="CV127" s="1267">
        <f>+CV122/CV126</f>
        <v>0.24103865487074161</v>
      </c>
      <c r="CW127" s="1267">
        <f>+CW122/CW126</f>
        <v>1.5956240663555346</v>
      </c>
      <c r="CX127" s="1268"/>
      <c r="CY127" s="1268"/>
      <c r="CZ127" s="1267">
        <f>+CZ122/CZ126</f>
        <v>1.2032238190480808</v>
      </c>
      <c r="DA127" s="1267">
        <f>+DA122/DA126</f>
        <v>0.82738234748053818</v>
      </c>
      <c r="DB127" s="1268"/>
      <c r="DC127" s="1268"/>
      <c r="DD127" s="1267">
        <f>+DD122/DD126</f>
        <v>0.82620444904102364</v>
      </c>
      <c r="DE127" s="1267">
        <f>+DE122/DE126</f>
        <v>0.82714385670857904</v>
      </c>
      <c r="DF127" s="1268"/>
      <c r="DG127" s="1268"/>
      <c r="DH127" s="1267">
        <f>+DH122/DH126</f>
        <v>0.7142857142857143</v>
      </c>
      <c r="DI127" s="1267">
        <f>+DI122/DI126</f>
        <v>0.7142857142857143</v>
      </c>
      <c r="DJ127" s="1268"/>
      <c r="DK127" s="1268"/>
      <c r="DL127" s="1267">
        <f>+DL122/DL126</f>
        <v>0.66666666666666674</v>
      </c>
      <c r="DM127" s="1267">
        <f>+DM122/DM126</f>
        <v>0.66666666666666674</v>
      </c>
      <c r="DN127" s="1268"/>
      <c r="DO127" s="1268"/>
      <c r="DP127" s="1267">
        <f>+DP122/DP126</f>
        <v>0.6</v>
      </c>
      <c r="DQ127" s="1267">
        <f>+DQ122/DQ126</f>
        <v>0.6</v>
      </c>
      <c r="DR127" s="1268"/>
      <c r="DS127" s="1268"/>
      <c r="DT127" s="49"/>
      <c r="DU127" s="49"/>
      <c r="DV127" s="49"/>
    </row>
    <row r="128" spans="1:128" s="20" customFormat="1" ht="13.8">
      <c r="B128" s="49"/>
      <c r="BH128" s="67"/>
      <c r="BI128" s="49"/>
      <c r="BJ128" s="49"/>
      <c r="BK128" s="49"/>
      <c r="BL128" s="67"/>
      <c r="BM128" s="49"/>
      <c r="BN128" s="49"/>
      <c r="BO128" s="49"/>
      <c r="BP128" s="67"/>
      <c r="BQ128" s="49"/>
      <c r="BR128" s="49"/>
      <c r="BS128" s="49"/>
      <c r="BT128" s="67"/>
      <c r="BU128" s="49"/>
      <c r="BV128" s="49"/>
      <c r="BW128" s="49"/>
      <c r="BX128" s="67"/>
      <c r="BY128" s="49"/>
      <c r="BZ128" s="49"/>
      <c r="CA128" s="49"/>
      <c r="CB128" s="67"/>
      <c r="CC128" s="49"/>
      <c r="CD128" s="49"/>
      <c r="CE128" s="49"/>
      <c r="CF128" s="67"/>
      <c r="CG128" s="49"/>
      <c r="CH128" s="49"/>
      <c r="CI128" s="49"/>
      <c r="CJ128" s="67"/>
      <c r="CK128" s="49"/>
      <c r="CL128" s="49"/>
      <c r="CM128" s="49"/>
      <c r="CN128" s="67"/>
      <c r="CO128" s="49"/>
      <c r="CP128" s="49"/>
      <c r="CQ128" s="49"/>
      <c r="CR128" s="67"/>
      <c r="CS128" s="49"/>
      <c r="CT128" s="49"/>
      <c r="CU128" s="49"/>
      <c r="CV128" s="67"/>
      <c r="CW128" s="49"/>
      <c r="CX128" s="49"/>
      <c r="CY128" s="49"/>
      <c r="CZ128" s="67"/>
      <c r="DA128" s="49"/>
      <c r="DB128" s="49"/>
      <c r="DC128" s="49"/>
      <c r="DD128" s="67"/>
      <c r="DE128" s="49"/>
      <c r="DF128" s="49"/>
      <c r="DG128" s="49"/>
      <c r="DH128" s="49"/>
      <c r="DI128" s="49"/>
      <c r="DJ128" s="49"/>
      <c r="DK128" s="49"/>
      <c r="DL128" s="49"/>
      <c r="DM128" s="49"/>
      <c r="DN128" s="49"/>
      <c r="DO128" s="49"/>
      <c r="DP128" s="49"/>
      <c r="DQ128" s="49"/>
      <c r="DR128" s="49"/>
      <c r="DS128" s="49"/>
      <c r="DT128" s="49"/>
      <c r="DU128" s="49"/>
      <c r="DV128" s="49"/>
    </row>
    <row r="129" spans="1:128" s="20" customFormat="1" ht="13.8">
      <c r="B129" s="49"/>
      <c r="BH129" s="67"/>
      <c r="BI129" s="49"/>
      <c r="BJ129" s="49"/>
      <c r="BK129" s="49"/>
      <c r="BL129" s="67"/>
      <c r="BM129" s="49"/>
      <c r="BN129" s="49"/>
      <c r="BO129" s="49"/>
      <c r="BP129" s="67"/>
      <c r="BQ129" s="49"/>
      <c r="BR129" s="49"/>
      <c r="BS129" s="49"/>
      <c r="BT129" s="67"/>
      <c r="BU129" s="49"/>
      <c r="BV129" s="49"/>
      <c r="BW129" s="49"/>
      <c r="BX129" s="67"/>
      <c r="BY129" s="49"/>
      <c r="BZ129" s="49"/>
      <c r="CA129" s="49"/>
      <c r="CB129" s="67"/>
      <c r="CC129" s="49"/>
      <c r="CD129" s="49"/>
      <c r="CE129" s="49"/>
      <c r="CF129" s="67"/>
      <c r="CG129" s="49"/>
      <c r="CH129" s="49"/>
      <c r="CI129" s="49"/>
      <c r="CJ129" s="67"/>
      <c r="CK129" s="49"/>
      <c r="CL129" s="49"/>
      <c r="CM129" s="49"/>
      <c r="CN129" s="67"/>
      <c r="CO129" s="49"/>
      <c r="CP129" s="49"/>
      <c r="CQ129" s="49"/>
      <c r="CR129" s="67"/>
      <c r="CS129" s="49"/>
      <c r="CT129" s="49"/>
      <c r="CU129" s="49"/>
      <c r="CV129" s="67"/>
      <c r="CW129" s="49"/>
      <c r="CX129" s="49"/>
      <c r="CY129" s="49"/>
      <c r="CZ129" s="67"/>
      <c r="DA129" s="49"/>
      <c r="DB129" s="49"/>
      <c r="DC129" s="49"/>
      <c r="DD129" s="67"/>
      <c r="DE129" s="49"/>
      <c r="DF129" s="49"/>
      <c r="DG129" s="49"/>
      <c r="DH129" s="49"/>
      <c r="DI129" s="49"/>
      <c r="DJ129" s="49"/>
      <c r="DK129" s="49"/>
      <c r="DL129" s="49"/>
      <c r="DM129" s="49"/>
      <c r="DN129" s="49"/>
      <c r="DO129" s="49"/>
      <c r="DP129" s="49"/>
      <c r="DQ129" s="49"/>
      <c r="DR129" s="49"/>
      <c r="DS129" s="49"/>
      <c r="DT129" s="49"/>
      <c r="DU129" s="49"/>
      <c r="DV129" s="49"/>
    </row>
    <row r="130" spans="1:128" s="20" customFormat="1" ht="13.8">
      <c r="A130" s="21" t="s">
        <v>166</v>
      </c>
      <c r="B130" s="49"/>
      <c r="BH130" s="67"/>
      <c r="BI130" s="49"/>
      <c r="BJ130" s="49"/>
      <c r="BK130" s="49"/>
      <c r="BL130" s="67"/>
      <c r="BM130" s="49"/>
      <c r="BN130" s="49"/>
      <c r="BO130" s="49"/>
      <c r="BP130" s="67"/>
      <c r="BQ130" s="49"/>
      <c r="BR130" s="49"/>
      <c r="BS130" s="49"/>
      <c r="BT130" s="67"/>
      <c r="BU130" s="49"/>
      <c r="BV130" s="49"/>
      <c r="BW130" s="49"/>
      <c r="BX130" s="67"/>
      <c r="BY130" s="49"/>
      <c r="BZ130" s="49"/>
      <c r="CA130" s="49"/>
      <c r="CB130" s="67"/>
      <c r="CC130" s="49"/>
      <c r="CD130" s="49"/>
      <c r="CE130" s="49"/>
      <c r="CF130" s="67"/>
      <c r="CG130" s="49"/>
      <c r="CH130" s="49"/>
      <c r="CI130" s="49"/>
      <c r="CJ130" s="67"/>
      <c r="CK130" s="49"/>
      <c r="CL130" s="49"/>
      <c r="CM130" s="49"/>
      <c r="CN130" s="67"/>
      <c r="CO130" s="49"/>
      <c r="CP130" s="49"/>
      <c r="CQ130" s="49"/>
      <c r="CR130" s="67"/>
      <c r="CS130" s="49"/>
      <c r="CT130" s="49"/>
      <c r="CU130" s="49"/>
      <c r="CV130" s="67"/>
      <c r="CW130" s="49"/>
      <c r="CX130" s="49"/>
      <c r="CY130" s="49"/>
      <c r="CZ130" s="67"/>
      <c r="DA130" s="49"/>
      <c r="DB130" s="49"/>
      <c r="DC130" s="49"/>
      <c r="DD130" s="67"/>
      <c r="DE130" s="49"/>
      <c r="DF130" s="49"/>
      <c r="DG130" s="49"/>
      <c r="DH130" s="49"/>
      <c r="DI130" s="49"/>
      <c r="DJ130" s="49"/>
      <c r="DK130" s="49"/>
      <c r="DL130" s="49"/>
      <c r="DM130" s="49"/>
      <c r="DN130" s="49"/>
      <c r="DO130" s="49"/>
      <c r="DP130" s="49"/>
      <c r="DQ130" s="49"/>
      <c r="DR130" s="49"/>
      <c r="DS130" s="49"/>
      <c r="DT130" s="49"/>
      <c r="DU130" s="49"/>
      <c r="DV130" s="49"/>
    </row>
    <row r="131" spans="1:128" s="20" customFormat="1" ht="13.8">
      <c r="A131" s="20" t="s">
        <v>500</v>
      </c>
      <c r="B131" s="49" t="s">
        <v>544</v>
      </c>
      <c r="BD131" s="67">
        <v>3374</v>
      </c>
      <c r="BE131" s="67">
        <v>3981</v>
      </c>
      <c r="BF131" s="65">
        <f>BE131</f>
        <v>3981</v>
      </c>
      <c r="BH131" s="67">
        <v>4494</v>
      </c>
      <c r="BI131" s="67">
        <v>5737</v>
      </c>
      <c r="BJ131" s="65">
        <f>BI131</f>
        <v>5737</v>
      </c>
      <c r="BK131" s="49"/>
      <c r="BL131" s="67">
        <v>6063</v>
      </c>
      <c r="BM131" s="67">
        <v>6639</v>
      </c>
      <c r="BN131" s="65">
        <f>BM131</f>
        <v>6639</v>
      </c>
      <c r="BO131" s="49"/>
      <c r="BP131" s="67">
        <v>7430</v>
      </c>
      <c r="BQ131" s="67">
        <v>7846</v>
      </c>
      <c r="BR131" s="65">
        <f>BQ131</f>
        <v>7846</v>
      </c>
      <c r="BS131" s="49"/>
      <c r="BT131" s="67">
        <v>7226</v>
      </c>
      <c r="BU131" s="67">
        <v>6866</v>
      </c>
      <c r="BV131" s="65">
        <f>BU131</f>
        <v>6866</v>
      </c>
      <c r="BW131" s="75">
        <f>+BV131/BR131-1</f>
        <v>-0.12490440989038998</v>
      </c>
      <c r="BX131" s="67">
        <v>6501</v>
      </c>
      <c r="BY131" s="67">
        <v>2469</v>
      </c>
      <c r="BZ131" s="65">
        <f>BY131</f>
        <v>2469</v>
      </c>
      <c r="CA131" s="75">
        <f>+BZ131/BV131-1</f>
        <v>-0.64040198077483246</v>
      </c>
      <c r="CB131" s="67">
        <v>729</v>
      </c>
      <c r="CC131" s="67">
        <v>767</v>
      </c>
      <c r="CD131" s="65">
        <f>CC131</f>
        <v>767</v>
      </c>
      <c r="CE131" s="75">
        <f>+CD131/BZ131-1</f>
        <v>-0.68934791413527741</v>
      </c>
      <c r="CF131" s="67">
        <v>770</v>
      </c>
      <c r="CG131" s="67">
        <v>504</v>
      </c>
      <c r="CH131" s="65">
        <f>CG131</f>
        <v>504</v>
      </c>
      <c r="CI131" s="75">
        <f>+CH131/CD131-1</f>
        <v>-0.34289439374185138</v>
      </c>
      <c r="CJ131" s="67">
        <v>531</v>
      </c>
      <c r="CK131" s="67">
        <v>489</v>
      </c>
      <c r="CL131" s="65">
        <f>CK131</f>
        <v>489</v>
      </c>
      <c r="CM131" s="75">
        <f>+CL131/CH131-1</f>
        <v>-2.9761904761904767E-2</v>
      </c>
      <c r="CN131" s="67">
        <v>472</v>
      </c>
      <c r="CO131" s="67">
        <v>482</v>
      </c>
      <c r="CP131" s="65">
        <f>CO131</f>
        <v>482</v>
      </c>
      <c r="CQ131" s="75">
        <f>+CP131/CL131-1</f>
        <v>-1.4314928425357865E-2</v>
      </c>
      <c r="CR131" s="67">
        <v>464</v>
      </c>
      <c r="CS131" s="67">
        <v>490</v>
      </c>
      <c r="CT131" s="65">
        <f>CS131</f>
        <v>490</v>
      </c>
      <c r="CU131" s="75">
        <f>+CT131/CP131-1</f>
        <v>1.6597510373443924E-2</v>
      </c>
      <c r="CV131" s="67">
        <v>475</v>
      </c>
      <c r="CW131" s="67">
        <v>430</v>
      </c>
      <c r="CX131" s="65">
        <f>CW131</f>
        <v>430</v>
      </c>
      <c r="CY131" s="75">
        <f>+CX131/CT131-1</f>
        <v>-0.12244897959183676</v>
      </c>
      <c r="CZ131" s="67">
        <v>431</v>
      </c>
      <c r="DA131" s="67">
        <v>425</v>
      </c>
      <c r="DB131" s="65">
        <f>DA131</f>
        <v>425</v>
      </c>
      <c r="DC131" s="75">
        <f>+DB131/CX131-1</f>
        <v>-1.1627906976744207E-2</v>
      </c>
      <c r="DD131" s="67">
        <v>454</v>
      </c>
      <c r="DE131" s="67">
        <v>452</v>
      </c>
      <c r="DF131" s="65">
        <f>DE131</f>
        <v>452</v>
      </c>
      <c r="DG131" s="75">
        <f>+DF131/DB131-1</f>
        <v>6.3529411764705834E-2</v>
      </c>
      <c r="DH131" s="102">
        <f>+DH140/DH$138</f>
        <v>424.24210704225356</v>
      </c>
      <c r="DI131" s="102">
        <f>+DI140/DI$138</f>
        <v>428.48452811267612</v>
      </c>
      <c r="DJ131" s="102">
        <f>DI131</f>
        <v>428.48452811267612</v>
      </c>
      <c r="DK131" s="75">
        <f>+DJ131/DF131-1</f>
        <v>-5.2025380281690015E-2</v>
      </c>
      <c r="DL131" s="102">
        <f>+DL140/DL$138</f>
        <v>432.76937339380288</v>
      </c>
      <c r="DM131" s="102">
        <f>+DM140/DM$138</f>
        <v>437.0970671277409</v>
      </c>
      <c r="DN131" s="102">
        <f>DM131</f>
        <v>437.0970671277409</v>
      </c>
      <c r="DO131" s="75">
        <f>+DN131/DJ131-1</f>
        <v>2.0100000000000007E-2</v>
      </c>
      <c r="DP131" s="102">
        <f>+DP140/DP$138</f>
        <v>441.46803779901836</v>
      </c>
      <c r="DQ131" s="102">
        <f>+DQ140/DQ$138</f>
        <v>445.8827181770086</v>
      </c>
      <c r="DR131" s="102">
        <f>DQ131</f>
        <v>445.8827181770086</v>
      </c>
      <c r="DS131" s="75">
        <f>+DR131/DN131-1</f>
        <v>2.0100000000000229E-2</v>
      </c>
      <c r="DT131" s="75"/>
      <c r="DU131" s="75"/>
      <c r="DV131" s="75"/>
    </row>
    <row r="132" spans="1:128" s="20" customFormat="1" ht="13.8">
      <c r="A132" s="20" t="s">
        <v>410</v>
      </c>
      <c r="B132" s="49" t="s">
        <v>544</v>
      </c>
      <c r="BD132" s="65">
        <f>+BD133-BD131</f>
        <v>37617</v>
      </c>
      <c r="BE132" s="65">
        <f>+BE133-BE131</f>
        <v>41106</v>
      </c>
      <c r="BF132" s="65">
        <f>+BF133-BF131</f>
        <v>41106</v>
      </c>
      <c r="BH132" s="65">
        <f>+BH133-BH131</f>
        <v>56461</v>
      </c>
      <c r="BI132" s="65">
        <f>+BI133-BI131</f>
        <v>64400</v>
      </c>
      <c r="BJ132" s="65">
        <f>+BJ133-BJ131</f>
        <v>64400</v>
      </c>
      <c r="BK132" s="49"/>
      <c r="BL132" s="65">
        <f>+BL133-BL131</f>
        <v>70398</v>
      </c>
      <c r="BM132" s="65">
        <f>+BM133-BM131</f>
        <v>72443</v>
      </c>
      <c r="BN132" s="65">
        <f>+BN133-BN131</f>
        <v>72443</v>
      </c>
      <c r="BO132" s="49"/>
      <c r="BP132" s="65">
        <f>+BP133-BP131</f>
        <v>80593</v>
      </c>
      <c r="BQ132" s="65">
        <f>+BQ133-BQ131</f>
        <v>76989</v>
      </c>
      <c r="BR132" s="65">
        <f>+BR133-BR131</f>
        <v>76989</v>
      </c>
      <c r="BS132" s="49"/>
      <c r="BT132" s="65">
        <f>+BT133-BT131</f>
        <v>62337</v>
      </c>
      <c r="BU132" s="65">
        <f>+BU133-BU131</f>
        <v>60192</v>
      </c>
      <c r="BV132" s="65">
        <f>+BV133-BV131</f>
        <v>60192</v>
      </c>
      <c r="BW132" s="75">
        <f>+BV132/BR132-1</f>
        <v>-0.21817402486069437</v>
      </c>
      <c r="BX132" s="65">
        <f>+BX133-BX131</f>
        <v>54708</v>
      </c>
      <c r="BY132" s="65">
        <f>+BY133-BY131</f>
        <v>52370</v>
      </c>
      <c r="BZ132" s="65">
        <f>+BZ133-BZ131</f>
        <v>52370</v>
      </c>
      <c r="CA132" s="75">
        <f>+BZ132/BV132-1</f>
        <v>-0.12995082402977143</v>
      </c>
      <c r="CB132" s="65">
        <f>+CB133-CB131</f>
        <v>54749</v>
      </c>
      <c r="CC132" s="65">
        <f>+CC133-CC131</f>
        <v>60143</v>
      </c>
      <c r="CD132" s="65">
        <f>+CD133-CD131</f>
        <v>60143</v>
      </c>
      <c r="CE132" s="75">
        <f>+CD132/BZ132-1</f>
        <v>0.1484246706129464</v>
      </c>
      <c r="CF132" s="65">
        <f>+CF133-CF131</f>
        <v>62346</v>
      </c>
      <c r="CG132" s="65">
        <f>+CG133-CG131</f>
        <v>62332</v>
      </c>
      <c r="CH132" s="65">
        <f>+CH133-CH131</f>
        <v>62332</v>
      </c>
      <c r="CI132" s="75">
        <f>+CH132/CD132-1</f>
        <v>3.6396588131619723E-2</v>
      </c>
      <c r="CJ132" s="65">
        <f>+CJ133-CJ131</f>
        <v>79343</v>
      </c>
      <c r="CK132" s="65">
        <f>+CK133-CK131</f>
        <v>54154</v>
      </c>
      <c r="CL132" s="65">
        <f>+CL133-CL131</f>
        <v>54154</v>
      </c>
      <c r="CM132" s="75">
        <f>+CL132/CH132-1</f>
        <v>-0.13120066739395497</v>
      </c>
      <c r="CN132" s="65">
        <f>+CN133-CN131</f>
        <v>53511</v>
      </c>
      <c r="CO132" s="65">
        <f>+CO133-CO131</f>
        <v>62771</v>
      </c>
      <c r="CP132" s="65">
        <f>+CP133-CP131</f>
        <v>62771</v>
      </c>
      <c r="CQ132" s="75">
        <f>+CP132/CL132-1</f>
        <v>0.15912028659009492</v>
      </c>
      <c r="CR132" s="65">
        <f>+CR133-CR131</f>
        <v>71737</v>
      </c>
      <c r="CS132" s="65">
        <f>+CS133-CS131</f>
        <v>81461</v>
      </c>
      <c r="CT132" s="65">
        <f>+CT133-CT131</f>
        <v>81461</v>
      </c>
      <c r="CU132" s="75">
        <f>+CT132/CP132-1</f>
        <v>0.29774896050724053</v>
      </c>
      <c r="CV132" s="65">
        <f>+CV133-CV131</f>
        <v>78282</v>
      </c>
      <c r="CW132" s="65">
        <f>+CW133-CW131</f>
        <v>78998</v>
      </c>
      <c r="CX132" s="65">
        <f>+CX133-CX131</f>
        <v>78998</v>
      </c>
      <c r="CY132" s="75">
        <f>+CX132/CT132-1</f>
        <v>-3.0235327334552697E-2</v>
      </c>
      <c r="CZ132" s="65">
        <f>+CZ133-CZ131</f>
        <v>73835</v>
      </c>
      <c r="DA132" s="65">
        <f>+DA133-DA131</f>
        <v>74837</v>
      </c>
      <c r="DB132" s="65">
        <f>+DB133-DB131</f>
        <v>74837</v>
      </c>
      <c r="DC132" s="75">
        <f>+DB132/CX132-1</f>
        <v>-5.2672219549862009E-2</v>
      </c>
      <c r="DD132" s="65">
        <f>+DD133-DD131</f>
        <v>80011</v>
      </c>
      <c r="DE132" s="65">
        <f>+DE133-DE131</f>
        <v>69331</v>
      </c>
      <c r="DF132" s="65">
        <f>+DF133-DF131</f>
        <v>69331</v>
      </c>
      <c r="DG132" s="75">
        <f>+DF132/DB132-1</f>
        <v>-7.3573232491949137E-2</v>
      </c>
      <c r="DH132" s="102">
        <f>+DH141/DH$138</f>
        <v>66973.101222535217</v>
      </c>
      <c r="DI132" s="102">
        <f>+DI141/DI$138</f>
        <v>67659.695050028182</v>
      </c>
      <c r="DJ132" s="102">
        <f>DI132</f>
        <v>67659.695050028182</v>
      </c>
      <c r="DK132" s="75">
        <f>+DJ132/DF132-1</f>
        <v>-2.4106171120736986E-2</v>
      </c>
      <c r="DL132" s="102">
        <f>+DL141/DL$138</f>
        <v>68518.341291833232</v>
      </c>
      <c r="DM132" s="102">
        <f>+DM141/DM$138</f>
        <v>69421.360579730172</v>
      </c>
      <c r="DN132" s="102">
        <f>DM132</f>
        <v>69421.360579730172</v>
      </c>
      <c r="DO132" s="75">
        <f>+DN132/DJ132-1</f>
        <v>2.6037148532806587E-2</v>
      </c>
      <c r="DP132" s="102">
        <f>+DP141/DP$138</f>
        <v>70302.548802825171</v>
      </c>
      <c r="DQ132" s="102">
        <f>+DQ141/DQ$138</f>
        <v>71229.258934749552</v>
      </c>
      <c r="DR132" s="102">
        <f>DQ132</f>
        <v>71229.258934749552</v>
      </c>
      <c r="DS132" s="75">
        <f>+DR132/DN132-1</f>
        <v>2.6042393002986719E-2</v>
      </c>
      <c r="DT132" s="75"/>
      <c r="DU132" s="75"/>
      <c r="DV132" s="75"/>
    </row>
    <row r="133" spans="1:128" s="20" customFormat="1" ht="13.8">
      <c r="A133" s="21" t="s">
        <v>178</v>
      </c>
      <c r="B133" s="49" t="s">
        <v>544</v>
      </c>
      <c r="BD133" s="98">
        <v>40991</v>
      </c>
      <c r="BE133" s="98">
        <v>45087</v>
      </c>
      <c r="BF133" s="72">
        <f>BE133</f>
        <v>45087</v>
      </c>
      <c r="BH133" s="98">
        <v>60955</v>
      </c>
      <c r="BI133" s="98">
        <v>70137</v>
      </c>
      <c r="BJ133" s="72">
        <f>BI133</f>
        <v>70137</v>
      </c>
      <c r="BK133" s="49"/>
      <c r="BL133" s="98">
        <v>76461</v>
      </c>
      <c r="BM133" s="98">
        <v>79082</v>
      </c>
      <c r="BN133" s="72">
        <f>BM133</f>
        <v>79082</v>
      </c>
      <c r="BO133" s="49"/>
      <c r="BP133" s="98">
        <v>88023</v>
      </c>
      <c r="BQ133" s="98">
        <v>84835</v>
      </c>
      <c r="BR133" s="72">
        <f>BQ133</f>
        <v>84835</v>
      </c>
      <c r="BS133" s="75">
        <f>+BR133/BN133-1</f>
        <v>7.2747274980400123E-2</v>
      </c>
      <c r="BT133" s="98">
        <v>69563</v>
      </c>
      <c r="BU133" s="98">
        <v>67058</v>
      </c>
      <c r="BV133" s="72">
        <f>BU133</f>
        <v>67058</v>
      </c>
      <c r="BW133" s="75">
        <f>+BV133/BR133-1</f>
        <v>-0.20954794601284843</v>
      </c>
      <c r="BX133" s="98">
        <v>61209</v>
      </c>
      <c r="BY133" s="98">
        <v>54839</v>
      </c>
      <c r="BZ133" s="72">
        <f>BY133</f>
        <v>54839</v>
      </c>
      <c r="CA133" s="75">
        <f>+BZ133/BV133-1</f>
        <v>-0.18221539562766564</v>
      </c>
      <c r="CB133" s="98">
        <v>55478</v>
      </c>
      <c r="CC133" s="98">
        <v>60910</v>
      </c>
      <c r="CD133" s="72">
        <f>CC133</f>
        <v>60910</v>
      </c>
      <c r="CE133" s="75">
        <f>+CD133/BZ133-1</f>
        <v>0.11070588449825847</v>
      </c>
      <c r="CF133" s="98">
        <v>63116</v>
      </c>
      <c r="CG133" s="98">
        <v>62836</v>
      </c>
      <c r="CH133" s="72">
        <f>CG133</f>
        <v>62836</v>
      </c>
      <c r="CI133" s="75">
        <f>+CH133/CD133-1</f>
        <v>3.1620423575767553E-2</v>
      </c>
      <c r="CJ133" s="98">
        <v>79874</v>
      </c>
      <c r="CK133" s="98">
        <v>54643</v>
      </c>
      <c r="CL133" s="72">
        <f>CK133</f>
        <v>54643</v>
      </c>
      <c r="CM133" s="75">
        <f>+CL133/CH133-1</f>
        <v>-0.13038703927684769</v>
      </c>
      <c r="CN133" s="98">
        <v>53983</v>
      </c>
      <c r="CO133" s="98">
        <v>63253</v>
      </c>
      <c r="CP133" s="72">
        <f>CO133</f>
        <v>63253</v>
      </c>
      <c r="CQ133" s="75">
        <f>+CP133/CL133-1</f>
        <v>0.15756821550793321</v>
      </c>
      <c r="CR133" s="98">
        <v>72201</v>
      </c>
      <c r="CS133" s="98">
        <v>81951</v>
      </c>
      <c r="CT133" s="72">
        <f>CS133</f>
        <v>81951</v>
      </c>
      <c r="CU133" s="75">
        <f>+CT133/CP133-1</f>
        <v>0.29560653249648228</v>
      </c>
      <c r="CV133" s="98">
        <v>78757</v>
      </c>
      <c r="CW133" s="98">
        <v>79428</v>
      </c>
      <c r="CX133" s="72">
        <f>CW133</f>
        <v>79428</v>
      </c>
      <c r="CY133" s="75">
        <f>+CX133/CT133-1</f>
        <v>-3.0786689607204321E-2</v>
      </c>
      <c r="CZ133" s="98">
        <v>74266</v>
      </c>
      <c r="DA133" s="98">
        <v>75262</v>
      </c>
      <c r="DB133" s="72">
        <f>DA133</f>
        <v>75262</v>
      </c>
      <c r="DC133" s="75">
        <f>+DB133/CX133-1</f>
        <v>-5.245001762602608E-2</v>
      </c>
      <c r="DD133" s="98">
        <v>80465</v>
      </c>
      <c r="DE133" s="98">
        <v>69783</v>
      </c>
      <c r="DF133" s="72">
        <f>DE133</f>
        <v>69783</v>
      </c>
      <c r="DG133" s="75">
        <f>+DF133/DB133-1</f>
        <v>-7.2799022082857268E-2</v>
      </c>
      <c r="DH133" s="104">
        <f>SUM(DH131:DH132)</f>
        <v>67397.343329577474</v>
      </c>
      <c r="DI133" s="104">
        <f>SUM(DI131:DI132)</f>
        <v>68088.179578140858</v>
      </c>
      <c r="DJ133" s="104">
        <f>SUM(DJ131:DJ132)</f>
        <v>68088.179578140858</v>
      </c>
      <c r="DK133" s="75">
        <f>+DJ133/DF133-1</f>
        <v>-2.4287010043408053E-2</v>
      </c>
      <c r="DL133" s="104">
        <f>SUM(DL131:DL132)</f>
        <v>68951.110665227039</v>
      </c>
      <c r="DM133" s="104">
        <f>SUM(DM131:DM132)</f>
        <v>69858.457646857918</v>
      </c>
      <c r="DN133" s="104">
        <f>SUM(DN131:DN132)</f>
        <v>69858.457646857918</v>
      </c>
      <c r="DO133" s="75">
        <f>+DN133/DJ133-1</f>
        <v>2.599978556755822E-2</v>
      </c>
      <c r="DP133" s="104">
        <f>SUM(DP131:DP132)</f>
        <v>70744.016840624186</v>
      </c>
      <c r="DQ133" s="104">
        <f>SUM(DQ131:DQ132)</f>
        <v>71675.141652926555</v>
      </c>
      <c r="DR133" s="104">
        <f>SUM(DR131:DR132)</f>
        <v>71675.141652926555</v>
      </c>
      <c r="DS133" s="75">
        <f>+DR133/DN133-1</f>
        <v>2.6005212071130712E-2</v>
      </c>
      <c r="DT133" s="75"/>
      <c r="DU133" s="75"/>
      <c r="DV133" s="75"/>
    </row>
    <row r="134" spans="1:128" s="20" customFormat="1" ht="13.8">
      <c r="A134" s="78" t="s">
        <v>217</v>
      </c>
      <c r="B134" s="49"/>
      <c r="BD134" s="98"/>
      <c r="BE134" s="98"/>
      <c r="BF134" s="72"/>
      <c r="BH134" s="98"/>
      <c r="BI134" s="98"/>
      <c r="BJ134" s="72"/>
      <c r="BK134" s="49"/>
      <c r="BL134" s="98"/>
      <c r="BM134" s="98"/>
      <c r="BN134" s="72"/>
      <c r="BO134" s="49"/>
      <c r="BP134" s="98"/>
      <c r="BQ134" s="98"/>
      <c r="BR134" s="72"/>
      <c r="BS134" s="75">
        <f>(BR133/BF133)^(1/3)-1</f>
        <v>0.23454779560728878</v>
      </c>
      <c r="BT134" s="98"/>
      <c r="BU134" s="98"/>
      <c r="BV134" s="72"/>
      <c r="BW134" s="49"/>
      <c r="BX134" s="98"/>
      <c r="BY134" s="98"/>
      <c r="BZ134" s="72"/>
      <c r="CA134" s="49"/>
      <c r="CB134" s="98"/>
      <c r="CC134" s="98"/>
      <c r="CD134" s="72"/>
      <c r="CE134" s="49"/>
      <c r="CF134" s="98"/>
      <c r="CG134" s="98"/>
      <c r="CH134" s="72"/>
      <c r="CI134" s="49"/>
      <c r="CJ134" s="98"/>
      <c r="CK134" s="98"/>
      <c r="CL134" s="72"/>
      <c r="CM134" s="49"/>
      <c r="CN134" s="98"/>
      <c r="CO134" s="98"/>
      <c r="CP134" s="72"/>
      <c r="CQ134" s="49"/>
      <c r="CR134" s="98"/>
      <c r="CS134" s="98"/>
      <c r="CT134" s="72"/>
      <c r="CU134" s="49"/>
      <c r="CV134" s="98"/>
      <c r="CW134" s="98"/>
      <c r="CX134" s="72"/>
      <c r="CY134" s="49"/>
      <c r="CZ134" s="98"/>
      <c r="DA134" s="98"/>
      <c r="DB134" s="72"/>
      <c r="DC134" s="49"/>
      <c r="DD134" s="98"/>
      <c r="DE134" s="98"/>
      <c r="DF134" s="72"/>
      <c r="DG134" s="49"/>
      <c r="DH134" s="72"/>
      <c r="DI134" s="72"/>
      <c r="DJ134" s="72"/>
      <c r="DK134" s="49"/>
      <c r="DL134" s="72"/>
      <c r="DM134" s="72"/>
      <c r="DN134" s="72"/>
      <c r="DO134" s="49"/>
      <c r="DP134" s="72"/>
      <c r="DQ134" s="72"/>
      <c r="DR134" s="72"/>
      <c r="DS134" s="49"/>
      <c r="DT134" s="49"/>
      <c r="DU134" s="49"/>
      <c r="DV134" s="49"/>
    </row>
    <row r="135" spans="1:128" s="20" customFormat="1" ht="13.8">
      <c r="A135" s="47" t="str">
        <f>+A131</f>
        <v>Housing Loans</v>
      </c>
      <c r="B135" s="49" t="s">
        <v>546</v>
      </c>
      <c r="BD135" s="75"/>
      <c r="BE135" s="75">
        <f>+BE131/BD131-1</f>
        <v>0.17990515708358035</v>
      </c>
      <c r="BF135" s="49"/>
      <c r="BH135" s="75">
        <f>+BH131/BE131-1</f>
        <v>0.1288620949510173</v>
      </c>
      <c r="BI135" s="75">
        <f>+BI131/BH131-1</f>
        <v>0.27659101023586996</v>
      </c>
      <c r="BJ135" s="49"/>
      <c r="BK135" s="49"/>
      <c r="BL135" s="75">
        <f>+BL131/BI131-1</f>
        <v>5.6824124106676033E-2</v>
      </c>
      <c r="BM135" s="75">
        <f>+BM131/BL131-1</f>
        <v>9.5002474022761074E-2</v>
      </c>
      <c r="BN135" s="49"/>
      <c r="BO135" s="49"/>
      <c r="BP135" s="75">
        <f>+BP131/BM131-1</f>
        <v>0.11914444946528091</v>
      </c>
      <c r="BQ135" s="75">
        <f>+BQ131/BP131-1</f>
        <v>5.5989232839838587E-2</v>
      </c>
      <c r="BR135" s="49"/>
      <c r="BS135" s="49"/>
      <c r="BT135" s="75">
        <f>+BT131/BQ131-1</f>
        <v>-7.9021157277593623E-2</v>
      </c>
      <c r="BU135" s="75">
        <f>+BU131/BT131-1</f>
        <v>-4.9820094104622181E-2</v>
      </c>
      <c r="BV135" s="49"/>
      <c r="BW135" s="49"/>
      <c r="BX135" s="75">
        <f>+BX131/BU131-1</f>
        <v>-5.3160501019516415E-2</v>
      </c>
      <c r="BY135" s="75">
        <f>+BY131/BX131-1</f>
        <v>-0.62021227503461007</v>
      </c>
      <c r="BZ135" s="49"/>
      <c r="CA135" s="49"/>
      <c r="CB135" s="75">
        <f>+CB131/BY131-1</f>
        <v>-0.70473876063183472</v>
      </c>
      <c r="CC135" s="75">
        <f>+CC131/CB131-1</f>
        <v>5.2126200274348333E-2</v>
      </c>
      <c r="CD135" s="49"/>
      <c r="CE135" s="49"/>
      <c r="CF135" s="75">
        <f>+CF131/CC131-1</f>
        <v>3.9113428943937656E-3</v>
      </c>
      <c r="CG135" s="75">
        <f>+CG131/CF131-1</f>
        <v>-0.34545454545454546</v>
      </c>
      <c r="CH135" s="49"/>
      <c r="CI135" s="49"/>
      <c r="CJ135" s="75">
        <f>+CJ131/CG131-1</f>
        <v>5.3571428571428603E-2</v>
      </c>
      <c r="CK135" s="75">
        <f>+CK131/CJ131-1</f>
        <v>-7.9096045197740161E-2</v>
      </c>
      <c r="CL135" s="49"/>
      <c r="CM135" s="49"/>
      <c r="CN135" s="75">
        <f>+CN131/CK131-1</f>
        <v>-3.4764826175869068E-2</v>
      </c>
      <c r="CO135" s="75">
        <f>+CO131/CN131-1</f>
        <v>2.1186440677966045E-2</v>
      </c>
      <c r="CP135" s="49"/>
      <c r="CQ135" s="49"/>
      <c r="CR135" s="75">
        <f>+CR131/CO131-1</f>
        <v>-3.7344398340248941E-2</v>
      </c>
      <c r="CS135" s="75">
        <f>+CS131/CR131-1</f>
        <v>5.6034482758620774E-2</v>
      </c>
      <c r="CT135" s="49"/>
      <c r="CU135" s="49"/>
      <c r="CV135" s="75">
        <f>+CV131/CS131-1</f>
        <v>-3.0612244897959218E-2</v>
      </c>
      <c r="CW135" s="75">
        <f>+CW131/CV131-1</f>
        <v>-9.4736842105263119E-2</v>
      </c>
      <c r="CX135" s="49"/>
      <c r="CY135" s="49"/>
      <c r="CZ135" s="75">
        <f>+CZ131/CW131-1</f>
        <v>2.3255813953488857E-3</v>
      </c>
      <c r="DA135" s="75">
        <f>+DA131/CZ131-1</f>
        <v>-1.3921113689095099E-2</v>
      </c>
      <c r="DB135" s="49"/>
      <c r="DC135" s="49"/>
      <c r="DD135" s="75">
        <f>+DD131/DA131-1</f>
        <v>6.823529411764695E-2</v>
      </c>
      <c r="DE135" s="75">
        <f>+DE131/DD131-1</f>
        <v>-4.405286343612369E-3</v>
      </c>
      <c r="DF135" s="49"/>
      <c r="DG135" s="49"/>
      <c r="DH135" s="96">
        <f>+DH131/DE131-1</f>
        <v>-6.1411267605633757E-2</v>
      </c>
      <c r="DI135" s="96">
        <f>+DI131/DH131-1</f>
        <v>1.0000000000000009E-2</v>
      </c>
      <c r="DJ135" s="49"/>
      <c r="DK135" s="49"/>
      <c r="DL135" s="96">
        <f>+DL131/DI131-1</f>
        <v>1.0000000000000009E-2</v>
      </c>
      <c r="DM135" s="96">
        <f>+DM131/DL131-1</f>
        <v>1.0000000000000009E-2</v>
      </c>
      <c r="DN135" s="49"/>
      <c r="DO135" s="49"/>
      <c r="DP135" s="96">
        <f>+DP131/DM131-1</f>
        <v>1.0000000000000231E-2</v>
      </c>
      <c r="DQ135" s="96">
        <f>+DQ131/DP131-1</f>
        <v>1.0000000000000231E-2</v>
      </c>
      <c r="DR135" s="49"/>
      <c r="DS135" s="49"/>
      <c r="DT135" s="49"/>
      <c r="DU135" s="49"/>
      <c r="DV135" s="49"/>
    </row>
    <row r="136" spans="1:128" s="20" customFormat="1" ht="13.8">
      <c r="A136" s="47" t="str">
        <f>+A132</f>
        <v>Non Housing Loans</v>
      </c>
      <c r="B136" s="49" t="s">
        <v>546</v>
      </c>
      <c r="BD136" s="75"/>
      <c r="BE136" s="75">
        <f>+BE132/BD132-1</f>
        <v>9.2750618071616664E-2</v>
      </c>
      <c r="BF136" s="49"/>
      <c r="BH136" s="75">
        <f>+BH132/BE132-1</f>
        <v>0.37354644090886979</v>
      </c>
      <c r="BI136" s="75">
        <f>+BI132/BH132-1</f>
        <v>0.14061033279608925</v>
      </c>
      <c r="BJ136" s="49"/>
      <c r="BK136" s="49"/>
      <c r="BL136" s="75">
        <f>+BL132/BI132-1</f>
        <v>9.3136645962732967E-2</v>
      </c>
      <c r="BM136" s="75">
        <f>+BM132/BL132-1</f>
        <v>2.9049120713656729E-2</v>
      </c>
      <c r="BN136" s="49"/>
      <c r="BO136" s="49"/>
      <c r="BP136" s="75">
        <f>+BP132/BM132-1</f>
        <v>0.11250224314288482</v>
      </c>
      <c r="BQ136" s="75">
        <f>+BQ132/BP132-1</f>
        <v>-4.4718523941285171E-2</v>
      </c>
      <c r="BR136" s="49"/>
      <c r="BS136" s="49"/>
      <c r="BT136" s="75">
        <f>+BT132/BQ132-1</f>
        <v>-0.19031290184312044</v>
      </c>
      <c r="BU136" s="75">
        <f>+BU132/BT132-1</f>
        <v>-3.4409740603493888E-2</v>
      </c>
      <c r="BV136" s="49"/>
      <c r="BW136" s="49"/>
      <c r="BX136" s="75">
        <f>+BX132/BU132-1</f>
        <v>-9.110845295055825E-2</v>
      </c>
      <c r="BY136" s="75">
        <f>+BY132/BX132-1</f>
        <v>-4.2735980112597827E-2</v>
      </c>
      <c r="BZ136" s="49"/>
      <c r="CA136" s="49"/>
      <c r="CB136" s="75">
        <f>+CB132/BY132-1</f>
        <v>4.5426771052129E-2</v>
      </c>
      <c r="CC136" s="75">
        <f>+CC132/CB132-1</f>
        <v>9.8522347440135993E-2</v>
      </c>
      <c r="CD136" s="49"/>
      <c r="CE136" s="49"/>
      <c r="CF136" s="75">
        <f>+CF132/CC132-1</f>
        <v>3.6629366676088626E-2</v>
      </c>
      <c r="CG136" s="75">
        <f>+CG132/CF132-1</f>
        <v>-2.2455329932957735E-4</v>
      </c>
      <c r="CH136" s="49"/>
      <c r="CI136" s="49"/>
      <c r="CJ136" s="75">
        <f>+CJ132/CG132-1</f>
        <v>0.27290958095360329</v>
      </c>
      <c r="CK136" s="75">
        <f>+CK132/CJ132-1</f>
        <v>-0.31746972007612517</v>
      </c>
      <c r="CL136" s="49"/>
      <c r="CM136" s="49"/>
      <c r="CN136" s="75">
        <f>+CN132/CK132-1</f>
        <v>-1.1873545813790298E-2</v>
      </c>
      <c r="CO136" s="75">
        <f>+CO132/CN132-1</f>
        <v>0.1730485320775168</v>
      </c>
      <c r="CP136" s="49"/>
      <c r="CQ136" s="49"/>
      <c r="CR136" s="75">
        <f>+CR132/CO132-1</f>
        <v>0.14283666024119412</v>
      </c>
      <c r="CS136" s="75">
        <f>+CS132/CR132-1</f>
        <v>0.13555069211146265</v>
      </c>
      <c r="CT136" s="49"/>
      <c r="CU136" s="49"/>
      <c r="CV136" s="75">
        <f>+CV132/CS132-1</f>
        <v>-3.9024809418003681E-2</v>
      </c>
      <c r="CW136" s="75">
        <f>+CW132/CV132-1</f>
        <v>9.1464193556629603E-3</v>
      </c>
      <c r="CX136" s="49"/>
      <c r="CY136" s="49"/>
      <c r="CZ136" s="75">
        <f>+CZ132/CW132-1</f>
        <v>-6.5356084964176331E-2</v>
      </c>
      <c r="DA136" s="75">
        <f>+DA132/CZ132-1</f>
        <v>1.3570799756213114E-2</v>
      </c>
      <c r="DB136" s="49"/>
      <c r="DC136" s="49"/>
      <c r="DD136" s="75">
        <f>+DD132/DA132-1</f>
        <v>6.9136924248700549E-2</v>
      </c>
      <c r="DE136" s="75">
        <f>+DE132/DD132-1</f>
        <v>-0.13348164627363734</v>
      </c>
      <c r="DF136" s="49"/>
      <c r="DG136" s="49"/>
      <c r="DH136" s="96">
        <f>+DH132/DE132-1</f>
        <v>-3.4009299987953212E-2</v>
      </c>
      <c r="DI136" s="96">
        <f>+DI132/DH132-1</f>
        <v>1.0251784895126459E-2</v>
      </c>
      <c r="DJ136" s="49"/>
      <c r="DK136" s="49"/>
      <c r="DL136" s="96">
        <f>+DL132/DI132-1</f>
        <v>1.2690660830944722E-2</v>
      </c>
      <c r="DM136" s="96">
        <f>+DM132/DL132-1</f>
        <v>1.3179234506725646E-2</v>
      </c>
      <c r="DN136" s="49"/>
      <c r="DO136" s="49"/>
      <c r="DP136" s="96">
        <f>+DP132/DM132-1</f>
        <v>1.2693329772512252E-2</v>
      </c>
      <c r="DQ136" s="96">
        <f>+DQ132/DP132-1</f>
        <v>1.3181743019353265E-2</v>
      </c>
      <c r="DR136" s="49"/>
      <c r="DS136" s="49"/>
      <c r="DT136" s="49"/>
      <c r="DU136" s="49"/>
      <c r="DV136" s="49"/>
    </row>
    <row r="137" spans="1:128" s="20" customFormat="1" ht="13.8">
      <c r="A137" s="78" t="str">
        <f>+A133</f>
        <v>Total Loans</v>
      </c>
      <c r="B137" s="49" t="s">
        <v>546</v>
      </c>
      <c r="BD137" s="79"/>
      <c r="BE137" s="79">
        <f>+BE133/BD133-1</f>
        <v>9.992437364299489E-2</v>
      </c>
      <c r="BF137" s="49"/>
      <c r="BH137" s="79">
        <f>+BH133/BE133-1</f>
        <v>0.35194180140617037</v>
      </c>
      <c r="BI137" s="79">
        <f>+BI133/BH133-1</f>
        <v>0.15063571487162664</v>
      </c>
      <c r="BJ137" s="49"/>
      <c r="BK137" s="49"/>
      <c r="BL137" s="79">
        <f>+BL133/BI133-1</f>
        <v>9.0166388639377315E-2</v>
      </c>
      <c r="BM137" s="79">
        <f>+BM133/BL133-1</f>
        <v>3.4278913432991942E-2</v>
      </c>
      <c r="BN137" s="49"/>
      <c r="BO137" s="49"/>
      <c r="BP137" s="79">
        <f>+BP133/BM133-1</f>
        <v>0.11305986191548012</v>
      </c>
      <c r="BQ137" s="79">
        <f>+BQ133/BP133-1</f>
        <v>-3.6217806709609945E-2</v>
      </c>
      <c r="BR137" s="49"/>
      <c r="BS137" s="49"/>
      <c r="BT137" s="79">
        <f>+BT133/BQ133-1</f>
        <v>-0.18002003889903928</v>
      </c>
      <c r="BU137" s="79">
        <f>+BU133/BT133-1</f>
        <v>-3.6010522835415393E-2</v>
      </c>
      <c r="BV137" s="49"/>
      <c r="BW137" s="49"/>
      <c r="BX137" s="79">
        <f>+BX133/BU133-1</f>
        <v>-8.7223000984222643E-2</v>
      </c>
      <c r="BY137" s="79">
        <f>+BY133/BX133-1</f>
        <v>-0.10406966295806175</v>
      </c>
      <c r="BZ137" s="49"/>
      <c r="CA137" s="49"/>
      <c r="CB137" s="79">
        <f>+CB133/BY133-1</f>
        <v>1.165229125257583E-2</v>
      </c>
      <c r="CC137" s="79">
        <f>+CC133/CB133-1</f>
        <v>9.7912686109809188E-2</v>
      </c>
      <c r="CD137" s="49"/>
      <c r="CE137" s="49"/>
      <c r="CF137" s="79">
        <f>+CF133/CC133-1</f>
        <v>3.6217369890001683E-2</v>
      </c>
      <c r="CG137" s="79">
        <f>+CG133/CF133-1</f>
        <v>-4.4362760631219134E-3</v>
      </c>
      <c r="CH137" s="49"/>
      <c r="CI137" s="49"/>
      <c r="CJ137" s="79">
        <f>+CJ133/CG133-1</f>
        <v>0.27115029600865737</v>
      </c>
      <c r="CK137" s="79">
        <f>+CK133/CJ133-1</f>
        <v>-0.31588501890477505</v>
      </c>
      <c r="CL137" s="49"/>
      <c r="CM137" s="49"/>
      <c r="CN137" s="79">
        <f>+CN133/CK133-1</f>
        <v>-1.2078399795033223E-2</v>
      </c>
      <c r="CO137" s="79">
        <f>+CO133/CN133-1</f>
        <v>0.17172072689550411</v>
      </c>
      <c r="CP137" s="49"/>
      <c r="CQ137" s="49"/>
      <c r="CR137" s="79">
        <f>+CR133/CO133-1</f>
        <v>0.14146364599307537</v>
      </c>
      <c r="CS137" s="79">
        <f>+CS133/CR133-1</f>
        <v>0.13503968089084628</v>
      </c>
      <c r="CT137" s="49"/>
      <c r="CU137" s="49"/>
      <c r="CV137" s="79">
        <f>+CV133/CS133-1</f>
        <v>-3.8974509157911452E-2</v>
      </c>
      <c r="CW137" s="79">
        <f>+CW133/CV133-1</f>
        <v>8.5198775981818464E-3</v>
      </c>
      <c r="CX137" s="49"/>
      <c r="CY137" s="49"/>
      <c r="CZ137" s="79">
        <f>+CZ133/CW133-1</f>
        <v>-6.4989676184720735E-2</v>
      </c>
      <c r="DA137" s="79">
        <f>+DA133/CZ133-1</f>
        <v>1.341125144749955E-2</v>
      </c>
      <c r="DB137" s="49"/>
      <c r="DC137" s="49"/>
      <c r="DD137" s="79">
        <f>+DD133/DA133-1</f>
        <v>6.9131832797427739E-2</v>
      </c>
      <c r="DE137" s="79">
        <f>+DE133/DD133-1</f>
        <v>-0.13275337103088303</v>
      </c>
      <c r="DF137" s="49"/>
      <c r="DG137" s="49"/>
      <c r="DH137" s="97">
        <f>+DH133/DE133-1</f>
        <v>-3.4186788622193487E-2</v>
      </c>
      <c r="DI137" s="97">
        <f>+DI133/DH133-1</f>
        <v>1.0250199999503717E-2</v>
      </c>
      <c r="DJ137" s="49"/>
      <c r="DK137" s="49"/>
      <c r="DL137" s="97">
        <f>+DL133/DI133-1</f>
        <v>1.2673728280484298E-2</v>
      </c>
      <c r="DM137" s="97">
        <f>+DM133/DL133-1</f>
        <v>1.3159280146135099E-2</v>
      </c>
      <c r="DN137" s="49"/>
      <c r="DO137" s="49"/>
      <c r="DP137" s="97">
        <f>+DP133/DM133-1</f>
        <v>1.2676477889661752E-2</v>
      </c>
      <c r="DQ137" s="97">
        <f>+DQ133/DP133-1</f>
        <v>1.3161887801763639E-2</v>
      </c>
      <c r="DR137" s="49"/>
      <c r="DS137" s="49"/>
      <c r="DT137" s="49"/>
      <c r="DU137" s="49"/>
      <c r="DV137" s="49"/>
    </row>
    <row r="138" spans="1:128" s="20" customFormat="1" ht="13.8">
      <c r="A138" s="47" t="s">
        <v>558</v>
      </c>
      <c r="B138" s="92"/>
      <c r="BD138" s="340">
        <f>BD79</f>
        <v>1.0401</v>
      </c>
      <c r="BE138" s="340">
        <f>BE79</f>
        <v>1.0462</v>
      </c>
      <c r="BF138" s="340">
        <f>BF79</f>
        <v>1.0462</v>
      </c>
      <c r="BG138" s="47"/>
      <c r="BH138" s="340">
        <f>BH79</f>
        <v>1.0424</v>
      </c>
      <c r="BI138" s="340">
        <f>BI79</f>
        <v>0.93120000000000003</v>
      </c>
      <c r="BJ138" s="340">
        <f>BJ79</f>
        <v>0.93120000000000003</v>
      </c>
      <c r="BK138" s="47"/>
      <c r="BL138" s="340">
        <f>BL79</f>
        <v>0.92330000000000001</v>
      </c>
      <c r="BM138" s="340">
        <f>BM79</f>
        <v>0.87519999999999998</v>
      </c>
      <c r="BN138" s="340">
        <f>BN79</f>
        <v>0.87519999999999998</v>
      </c>
      <c r="BO138" s="47"/>
      <c r="BP138" s="340">
        <f>BP79</f>
        <v>0.76339999999999997</v>
      </c>
      <c r="BQ138" s="340">
        <f>BQ79</f>
        <v>0.70130000000000003</v>
      </c>
      <c r="BR138" s="340">
        <f>BR79</f>
        <v>0.70130000000000003</v>
      </c>
      <c r="BS138" s="47"/>
      <c r="BT138" s="340">
        <f>BT79</f>
        <v>0.7651</v>
      </c>
      <c r="BU138" s="340">
        <f>BU79</f>
        <v>0.76170000000000004</v>
      </c>
      <c r="BV138" s="340">
        <f>BV79</f>
        <v>0.76170000000000004</v>
      </c>
      <c r="BW138" s="47"/>
      <c r="BX138" s="340">
        <f>BX79</f>
        <v>0.76439999999999997</v>
      </c>
      <c r="BY138" s="340">
        <f>BY79</f>
        <v>0.78449999999999998</v>
      </c>
      <c r="BZ138" s="340">
        <f>BZ79</f>
        <v>0.78449999999999998</v>
      </c>
      <c r="CA138" s="47"/>
      <c r="CB138" s="340">
        <f>CB79</f>
        <v>0.7671</v>
      </c>
      <c r="CC138" s="340">
        <f>CC79</f>
        <v>0.72160000000000002</v>
      </c>
      <c r="CD138" s="340">
        <f>CD79</f>
        <v>0.72160000000000002</v>
      </c>
      <c r="CE138" s="47"/>
      <c r="CF138" s="340">
        <f>CF79</f>
        <v>0.70940000000000003</v>
      </c>
      <c r="CG138" s="340">
        <f>CG79</f>
        <v>0.6754</v>
      </c>
      <c r="CH138" s="340">
        <f>CH79</f>
        <v>0.6754</v>
      </c>
      <c r="CI138" s="47"/>
      <c r="CJ138" s="340">
        <f>CJ79</f>
        <v>0.61890000000000001</v>
      </c>
      <c r="CK138" s="340">
        <f>CK79</f>
        <v>0.71099999999999997</v>
      </c>
      <c r="CL138" s="340">
        <f>CL79</f>
        <v>0.71099999999999997</v>
      </c>
      <c r="CM138" s="47"/>
      <c r="CN138" s="340">
        <f>CN79</f>
        <v>0.76</v>
      </c>
      <c r="CO138" s="340">
        <f>CO79</f>
        <v>0.72019999999999995</v>
      </c>
      <c r="CP138" s="340">
        <f>CP79</f>
        <v>0.72019999999999995</v>
      </c>
      <c r="CQ138" s="47"/>
      <c r="CR138" s="340">
        <f>CR79</f>
        <v>0.74829999999999997</v>
      </c>
      <c r="CS138" s="340">
        <f>CS79</f>
        <v>0.64890000000000003</v>
      </c>
      <c r="CT138" s="340">
        <f>CT79</f>
        <v>0.64890000000000003</v>
      </c>
      <c r="CU138" s="47"/>
      <c r="CV138" s="340">
        <f>CV79</f>
        <v>0.67120000000000002</v>
      </c>
      <c r="CW138" s="340">
        <f>CW79</f>
        <v>0.64680000000000004</v>
      </c>
      <c r="CX138" s="340">
        <f>CX79</f>
        <v>0.64680000000000004</v>
      </c>
      <c r="CY138" s="47"/>
      <c r="CZ138" s="340">
        <f>CZ79</f>
        <v>0.65080000000000005</v>
      </c>
      <c r="DA138" s="340">
        <f>DA79</f>
        <v>0.69330000000000003</v>
      </c>
      <c r="DB138" s="340">
        <f>DB79</f>
        <v>0.69330000000000003</v>
      </c>
      <c r="DC138" s="47"/>
      <c r="DD138" s="340">
        <f>DD79</f>
        <v>0.62829999999999997</v>
      </c>
      <c r="DE138" s="340">
        <f>DE79</f>
        <v>0.65980000000000005</v>
      </c>
      <c r="DF138" s="340">
        <f>DF79</f>
        <v>0.65980000000000005</v>
      </c>
      <c r="DG138" s="47"/>
      <c r="DH138" s="340">
        <f>DH79</f>
        <v>0.71</v>
      </c>
      <c r="DI138" s="340">
        <f>DI79</f>
        <v>0.71</v>
      </c>
      <c r="DJ138" s="340">
        <f>DJ79</f>
        <v>0.71</v>
      </c>
      <c r="DK138" s="47"/>
      <c r="DL138" s="340">
        <f>DL79</f>
        <v>0.71</v>
      </c>
      <c r="DM138" s="340">
        <f>DM79</f>
        <v>0.71</v>
      </c>
      <c r="DN138" s="340">
        <f>DN79</f>
        <v>0.71</v>
      </c>
      <c r="DO138" s="47"/>
      <c r="DP138" s="340">
        <f>DP79</f>
        <v>0.71</v>
      </c>
      <c r="DQ138" s="340">
        <f>DQ79</f>
        <v>0.71</v>
      </c>
      <c r="DR138" s="340">
        <f>DR79</f>
        <v>0.71</v>
      </c>
      <c r="DS138" s="47"/>
      <c r="DT138" s="47"/>
      <c r="DU138" s="47"/>
      <c r="DV138" s="47"/>
    </row>
    <row r="139" spans="1:128" s="20" customFormat="1" ht="13.8">
      <c r="A139" s="21" t="s">
        <v>366</v>
      </c>
      <c r="B139" s="49"/>
      <c r="BD139" s="98"/>
      <c r="BE139" s="98"/>
      <c r="BF139" s="72"/>
      <c r="BH139" s="98"/>
      <c r="BI139" s="98"/>
      <c r="BJ139" s="72"/>
      <c r="BK139" s="49"/>
      <c r="BL139" s="98"/>
      <c r="BM139" s="98"/>
      <c r="BN139" s="72"/>
      <c r="BO139" s="49"/>
      <c r="BP139" s="98"/>
      <c r="BQ139" s="98"/>
      <c r="BR139" s="72"/>
      <c r="BS139" s="49"/>
      <c r="BT139" s="98"/>
      <c r="BU139" s="98"/>
      <c r="BV139" s="72"/>
      <c r="BW139" s="49"/>
      <c r="BX139" s="98"/>
      <c r="BY139" s="98"/>
      <c r="BZ139" s="72"/>
      <c r="CA139" s="49"/>
      <c r="CB139" s="98"/>
      <c r="CC139" s="98"/>
      <c r="CD139" s="72"/>
      <c r="CE139" s="49"/>
      <c r="CF139" s="98"/>
      <c r="CG139" s="98"/>
      <c r="CH139" s="72"/>
      <c r="CI139" s="49"/>
      <c r="CJ139" s="98"/>
      <c r="CK139" s="98"/>
      <c r="CL139" s="72"/>
      <c r="CM139" s="49"/>
      <c r="CN139" s="98"/>
      <c r="CO139" s="98"/>
      <c r="CP139" s="72"/>
      <c r="CQ139" s="49"/>
      <c r="CR139" s="98"/>
      <c r="CS139" s="98"/>
      <c r="CT139" s="72"/>
      <c r="CU139" s="49"/>
      <c r="CV139" s="98"/>
      <c r="CW139" s="98"/>
      <c r="CX139" s="72"/>
      <c r="CY139" s="49"/>
      <c r="CZ139" s="98"/>
      <c r="DA139" s="98"/>
      <c r="DB139" s="72"/>
      <c r="DC139" s="49"/>
      <c r="DD139" s="98"/>
      <c r="DE139" s="98"/>
      <c r="DF139" s="72"/>
      <c r="DG139" s="49"/>
      <c r="DH139" s="72"/>
      <c r="DI139" s="72"/>
      <c r="DJ139" s="72"/>
      <c r="DK139" s="49"/>
      <c r="DL139" s="72"/>
      <c r="DM139" s="72"/>
      <c r="DN139" s="72"/>
      <c r="DO139" s="49"/>
      <c r="DP139" s="72"/>
      <c r="DQ139" s="72"/>
      <c r="DR139" s="72"/>
      <c r="DS139" s="49"/>
      <c r="DT139" s="49"/>
      <c r="DU139" s="49"/>
      <c r="DV139" s="49"/>
    </row>
    <row r="140" spans="1:128" s="20" customFormat="1" ht="13.8">
      <c r="A140" s="20" t="s">
        <v>500</v>
      </c>
      <c r="B140" s="49" t="s">
        <v>367</v>
      </c>
      <c r="BD140" s="65">
        <f>+BD131*BD$138</f>
        <v>3509.2973999999999</v>
      </c>
      <c r="BE140" s="65">
        <f>+BE131*BE$138</f>
        <v>4164.9222</v>
      </c>
      <c r="BF140" s="65">
        <f>+BF131*BF$138</f>
        <v>4164.9222</v>
      </c>
      <c r="BH140" s="65">
        <f>+BH131*BH$138</f>
        <v>4684.5456000000004</v>
      </c>
      <c r="BI140" s="65">
        <f>+BI131*BI$138</f>
        <v>5342.2943999999998</v>
      </c>
      <c r="BJ140" s="65">
        <f>+BJ131*BJ$138</f>
        <v>5342.2943999999998</v>
      </c>
      <c r="BK140" s="49"/>
      <c r="BL140" s="65">
        <f>+BL131*BL$138</f>
        <v>5597.9678999999996</v>
      </c>
      <c r="BM140" s="65">
        <f>+BM131*BM$138</f>
        <v>5810.4528</v>
      </c>
      <c r="BN140" s="65">
        <f>+BN131*BN$138</f>
        <v>5810.4528</v>
      </c>
      <c r="BO140" s="49"/>
      <c r="BP140" s="65">
        <f>+BP131*BP$138</f>
        <v>5672.0619999999999</v>
      </c>
      <c r="BQ140" s="65">
        <f>+BQ131*BQ$138</f>
        <v>5502.3998000000001</v>
      </c>
      <c r="BR140" s="65">
        <f>+BR131*BR$138</f>
        <v>5502.3998000000001</v>
      </c>
      <c r="BS140" s="49"/>
      <c r="BT140" s="65">
        <f>+BT131*BT$138</f>
        <v>5528.6126000000004</v>
      </c>
      <c r="BU140" s="65">
        <f>+BU131*BU$138</f>
        <v>5229.8322000000007</v>
      </c>
      <c r="BV140" s="65">
        <f>+BV131*BV$138</f>
        <v>5229.8322000000007</v>
      </c>
      <c r="BW140" s="49"/>
      <c r="BX140" s="65">
        <f>+BX131*BX$138</f>
        <v>4969.3643999999995</v>
      </c>
      <c r="BY140" s="65">
        <f>+BY131*BY$138</f>
        <v>1936.9304999999999</v>
      </c>
      <c r="BZ140" s="65">
        <f>+BZ131*BZ$138</f>
        <v>1936.9304999999999</v>
      </c>
      <c r="CA140" s="49"/>
      <c r="CB140" s="65">
        <f>+CB131*CB$138</f>
        <v>559.21590000000003</v>
      </c>
      <c r="CC140" s="65">
        <f>+CC131*CC$138</f>
        <v>553.46720000000005</v>
      </c>
      <c r="CD140" s="65">
        <f>+CD131*CD$138</f>
        <v>553.46720000000005</v>
      </c>
      <c r="CE140" s="49"/>
      <c r="CF140" s="65">
        <f>+CF131*CF$138</f>
        <v>546.23800000000006</v>
      </c>
      <c r="CG140" s="65">
        <f>+CG131*CG$138</f>
        <v>340.40159999999997</v>
      </c>
      <c r="CH140" s="65">
        <f>+CH131*CH$138</f>
        <v>340.40159999999997</v>
      </c>
      <c r="CI140" s="49"/>
      <c r="CJ140" s="65">
        <f>+CJ131*CJ$138</f>
        <v>328.63589999999999</v>
      </c>
      <c r="CK140" s="65">
        <f>+CK131*CK$138</f>
        <v>347.67899999999997</v>
      </c>
      <c r="CL140" s="65">
        <f>+CL131*CL$138</f>
        <v>347.67899999999997</v>
      </c>
      <c r="CM140" s="75">
        <f t="shared" ref="CM140:CM141" si="246">+CL140/CH140-1</f>
        <v>2.1378865434239946E-2</v>
      </c>
      <c r="CN140" s="65">
        <f>+CN131*CN$138</f>
        <v>358.72</v>
      </c>
      <c r="CO140" s="65">
        <f>+CO131*CO$138</f>
        <v>347.13639999999998</v>
      </c>
      <c r="CP140" s="65">
        <f>+CP131*CP$138</f>
        <v>347.13639999999998</v>
      </c>
      <c r="CQ140" s="75">
        <f t="shared" ref="CQ140:CQ141" si="247">+CP140/CL140-1</f>
        <v>-1.5606349535058905E-3</v>
      </c>
      <c r="CR140" s="65">
        <f>+CR131*CR$138</f>
        <v>347.21119999999996</v>
      </c>
      <c r="CS140" s="65">
        <f>+CS131*CS$138</f>
        <v>317.96100000000001</v>
      </c>
      <c r="CT140" s="65">
        <f>+CT131*CT$138</f>
        <v>317.96100000000001</v>
      </c>
      <c r="CU140" s="75">
        <f t="shared" ref="CU140:CU141" si="248">+CT140/CP140-1</f>
        <v>-8.4045925463304805E-2</v>
      </c>
      <c r="CV140" s="65">
        <f>+CV131*CV$138</f>
        <v>318.82</v>
      </c>
      <c r="CW140" s="65">
        <f>+CW131*CW$138</f>
        <v>278.12400000000002</v>
      </c>
      <c r="CX140" s="65">
        <f>+CX131*CX$138</f>
        <v>278.12400000000002</v>
      </c>
      <c r="CY140" s="75">
        <f t="shared" ref="CY140:CY141" si="249">+CX140/CT140-1</f>
        <v>-0.12528895053166889</v>
      </c>
      <c r="CZ140" s="65">
        <f>+CZ131*CZ$138</f>
        <v>280.4948</v>
      </c>
      <c r="DA140" s="65">
        <f>+DA131*DA$138</f>
        <v>294.65250000000003</v>
      </c>
      <c r="DB140" s="65">
        <f>+DB131*DB$138</f>
        <v>294.65250000000003</v>
      </c>
      <c r="DC140" s="75">
        <f t="shared" ref="DC140:DC141" si="250">+DB140/CX140-1</f>
        <v>5.9428528282349014E-2</v>
      </c>
      <c r="DD140" s="65">
        <f>+DD131*DD$138</f>
        <v>285.2482</v>
      </c>
      <c r="DE140" s="65">
        <f>+DE131*DE$138</f>
        <v>298.2296</v>
      </c>
      <c r="DF140" s="65">
        <f>+DF131*DF$138</f>
        <v>298.2296</v>
      </c>
      <c r="DG140" s="75">
        <f t="shared" ref="DG140:DG141" si="251">+DF140/DB140-1</f>
        <v>1.2140063294898029E-2</v>
      </c>
      <c r="DH140" s="65">
        <f>+DF140*(1+DH144)</f>
        <v>301.21189600000002</v>
      </c>
      <c r="DI140" s="65">
        <f>+DH140*(1+DI144)</f>
        <v>304.22401496000003</v>
      </c>
      <c r="DJ140" s="65">
        <f>DI140</f>
        <v>304.22401496000003</v>
      </c>
      <c r="DK140" s="75">
        <f t="shared" ref="DK140:DK141" si="252">+DJ140/DF140-1</f>
        <v>2.0100000000000007E-2</v>
      </c>
      <c r="DL140" s="65">
        <f>+DJ140*(1+DL144)</f>
        <v>307.26625510960002</v>
      </c>
      <c r="DM140" s="65">
        <f>+DL140*(1+DM144)</f>
        <v>310.33891766069604</v>
      </c>
      <c r="DN140" s="65">
        <f>DM140</f>
        <v>310.33891766069604</v>
      </c>
      <c r="DO140" s="75">
        <f t="shared" ref="DO140:DO141" si="253">+DN140/DJ140-1</f>
        <v>2.0100000000000007E-2</v>
      </c>
      <c r="DP140" s="65">
        <f>+DN140*(1+DP144)</f>
        <v>313.44230683730302</v>
      </c>
      <c r="DQ140" s="65">
        <f>+DP140*(1+DQ144)</f>
        <v>316.57672990567607</v>
      </c>
      <c r="DR140" s="65">
        <f>DQ140</f>
        <v>316.57672990567607</v>
      </c>
      <c r="DS140" s="75">
        <f t="shared" ref="DS140:DS141" si="254">+DR140/DN140-1</f>
        <v>2.0100000000000229E-2</v>
      </c>
      <c r="DT140" s="49"/>
      <c r="DU140" s="49"/>
      <c r="DV140" s="49"/>
    </row>
    <row r="141" spans="1:128" s="20" customFormat="1" ht="13.8">
      <c r="A141" s="20" t="s">
        <v>410</v>
      </c>
      <c r="B141" s="49" t="s">
        <v>367</v>
      </c>
      <c r="BD141" s="65">
        <f>+BD142-BD140</f>
        <v>39125.441699999996</v>
      </c>
      <c r="BE141" s="65">
        <f>+BE142-BE140</f>
        <v>43005.097199999997</v>
      </c>
      <c r="BF141" s="65">
        <f>+BF142-BF140</f>
        <v>43005.097199999997</v>
      </c>
      <c r="BH141" s="65">
        <f>+BH142-BH140</f>
        <v>58854.946400000001</v>
      </c>
      <c r="BI141" s="65">
        <f>+BI142-BI140</f>
        <v>59969.280000000006</v>
      </c>
      <c r="BJ141" s="65">
        <f>+BJ142-BJ140</f>
        <v>59969.280000000006</v>
      </c>
      <c r="BK141" s="49"/>
      <c r="BL141" s="65">
        <f>+BL142-BL140</f>
        <v>64998.473400000003</v>
      </c>
      <c r="BM141" s="65">
        <f>+BM142-BM140</f>
        <v>63402.113599999997</v>
      </c>
      <c r="BN141" s="65">
        <f>+BN142-BN140</f>
        <v>63402.113599999997</v>
      </c>
      <c r="BO141" s="49"/>
      <c r="BP141" s="65">
        <f>+BP142-BP140</f>
        <v>61524.696199999998</v>
      </c>
      <c r="BQ141" s="65">
        <f>+BQ142-BQ140</f>
        <v>53992.385700000006</v>
      </c>
      <c r="BR141" s="65">
        <f>+BR142-BR140</f>
        <v>53992.385700000006</v>
      </c>
      <c r="BS141" s="49"/>
      <c r="BT141" s="65">
        <f>+BT142-BT140</f>
        <v>47694.038699999997</v>
      </c>
      <c r="BU141" s="65">
        <f>+BU142-BU140</f>
        <v>45848.246400000004</v>
      </c>
      <c r="BV141" s="65">
        <f>+BV142-BV140</f>
        <v>45848.246400000004</v>
      </c>
      <c r="BW141" s="49"/>
      <c r="BX141" s="65">
        <f>+BX142-BX140</f>
        <v>41818.7952</v>
      </c>
      <c r="BY141" s="65">
        <f>+BY142-BY140</f>
        <v>41084.264999999999</v>
      </c>
      <c r="BZ141" s="65">
        <f>+BZ142-BZ140</f>
        <v>41084.264999999999</v>
      </c>
      <c r="CA141" s="49"/>
      <c r="CB141" s="65">
        <f>+CB142-CB140</f>
        <v>41997.957899999994</v>
      </c>
      <c r="CC141" s="65">
        <f>+CC142-CC140</f>
        <v>43399.188800000004</v>
      </c>
      <c r="CD141" s="65">
        <f>+CD142-CD140</f>
        <v>43399.188800000004</v>
      </c>
      <c r="CE141" s="49"/>
      <c r="CF141" s="65">
        <f>+CF142-CF140</f>
        <v>44228.252400000005</v>
      </c>
      <c r="CG141" s="65">
        <f>+CG142-CG140</f>
        <v>42099.032800000001</v>
      </c>
      <c r="CH141" s="65">
        <f>+CH142-CH140</f>
        <v>42099.032800000001</v>
      </c>
      <c r="CI141" s="49"/>
      <c r="CJ141" s="65">
        <f>+CJ142-CJ140</f>
        <v>49105.382700000002</v>
      </c>
      <c r="CK141" s="65">
        <f>+CK142-CK140</f>
        <v>38503.493999999999</v>
      </c>
      <c r="CL141" s="65">
        <f>+CL142-CL140</f>
        <v>38503.493999999999</v>
      </c>
      <c r="CM141" s="75">
        <f t="shared" si="246"/>
        <v>-8.5406684212469663E-2</v>
      </c>
      <c r="CN141" s="65">
        <f>+CN142-CN140</f>
        <v>40668.36</v>
      </c>
      <c r="CO141" s="65">
        <f>+CO142-CO140</f>
        <v>45207.674199999994</v>
      </c>
      <c r="CP141" s="65">
        <f>+CP142-CP140</f>
        <v>45207.674199999994</v>
      </c>
      <c r="CQ141" s="75">
        <f t="shared" si="247"/>
        <v>0.17411874880757572</v>
      </c>
      <c r="CR141" s="65">
        <f>+CR142-CR140</f>
        <v>53680.797099999996</v>
      </c>
      <c r="CS141" s="65">
        <f>+CS142-CS140</f>
        <v>52860.0429</v>
      </c>
      <c r="CT141" s="65">
        <f>+CT142-CT140</f>
        <v>52860.0429</v>
      </c>
      <c r="CU141" s="75">
        <f t="shared" si="248"/>
        <v>0.16927145303130864</v>
      </c>
      <c r="CV141" s="65">
        <f>+CV142-CV140</f>
        <v>52542.878400000001</v>
      </c>
      <c r="CW141" s="65">
        <f>+CW142-CW140</f>
        <v>51095.9064</v>
      </c>
      <c r="CX141" s="65">
        <f>+CX142-CX140</f>
        <v>51095.9064</v>
      </c>
      <c r="CY141" s="75">
        <f t="shared" si="249"/>
        <v>-3.3373724333470078E-2</v>
      </c>
      <c r="CZ141" s="65">
        <f>+CZ142-CZ140</f>
        <v>48051.818000000007</v>
      </c>
      <c r="DA141" s="65">
        <f>+DA142-DA140</f>
        <v>51884.492100000003</v>
      </c>
      <c r="DB141" s="65">
        <f>+DB142-DB140</f>
        <v>51884.492100000003</v>
      </c>
      <c r="DC141" s="75">
        <f t="shared" si="250"/>
        <v>1.5433441846135931E-2</v>
      </c>
      <c r="DD141" s="65">
        <f>+DD142-DD140</f>
        <v>50270.911299999992</v>
      </c>
      <c r="DE141" s="65">
        <f>+DE142-DE140</f>
        <v>45744.593800000002</v>
      </c>
      <c r="DF141" s="65">
        <f>+DF142-DF140</f>
        <v>45744.593800000002</v>
      </c>
      <c r="DG141" s="75">
        <f t="shared" si="251"/>
        <v>-0.11833783181622393</v>
      </c>
      <c r="DH141" s="65">
        <f>DH196</f>
        <v>47550.901868000001</v>
      </c>
      <c r="DI141" s="65">
        <f>DI196</f>
        <v>48038.383485520004</v>
      </c>
      <c r="DJ141" s="65">
        <f>DI141</f>
        <v>48038.383485520004</v>
      </c>
      <c r="DK141" s="75">
        <f t="shared" si="252"/>
        <v>5.0143404826124005E-2</v>
      </c>
      <c r="DL141" s="65">
        <f>DL196</f>
        <v>48648.022317201598</v>
      </c>
      <c r="DM141" s="65">
        <f>DM196</f>
        <v>49289.166011608417</v>
      </c>
      <c r="DN141" s="65">
        <f>DM141</f>
        <v>49289.166011608417</v>
      </c>
      <c r="DO141" s="75">
        <f t="shared" si="253"/>
        <v>2.6037148532806809E-2</v>
      </c>
      <c r="DP141" s="65">
        <f>DP196</f>
        <v>49914.809650005867</v>
      </c>
      <c r="DQ141" s="65">
        <f>DQ196</f>
        <v>50572.773843672177</v>
      </c>
      <c r="DR141" s="65">
        <f>DQ141</f>
        <v>50572.773843672177</v>
      </c>
      <c r="DS141" s="75">
        <f t="shared" si="254"/>
        <v>2.6042393002986719E-2</v>
      </c>
      <c r="DT141" s="49"/>
      <c r="DU141" s="49"/>
      <c r="DV141" s="49"/>
    </row>
    <row r="142" spans="1:128" s="20" customFormat="1" ht="13.8">
      <c r="A142" s="21" t="s">
        <v>178</v>
      </c>
      <c r="B142" s="49" t="s">
        <v>367</v>
      </c>
      <c r="BD142" s="72">
        <f>+BD133*BD$138</f>
        <v>42634.739099999999</v>
      </c>
      <c r="BE142" s="72">
        <f>+BE133*BE$138</f>
        <v>47170.019399999997</v>
      </c>
      <c r="BF142" s="72">
        <f>+BF133*BF$138</f>
        <v>47170.019399999997</v>
      </c>
      <c r="BH142" s="72">
        <f>+BH133*BH$138</f>
        <v>63539.491999999998</v>
      </c>
      <c r="BI142" s="72">
        <f>+BI133*BI$138</f>
        <v>65311.574400000005</v>
      </c>
      <c r="BJ142" s="72">
        <f>+BJ133*BJ$138</f>
        <v>65311.574400000005</v>
      </c>
      <c r="BK142" s="49"/>
      <c r="BL142" s="72">
        <f>+BL133*BL$138</f>
        <v>70596.441300000006</v>
      </c>
      <c r="BM142" s="72">
        <f>+BM133*BM$138</f>
        <v>69212.566399999996</v>
      </c>
      <c r="BN142" s="72">
        <f>+BN133*BN$138</f>
        <v>69212.566399999996</v>
      </c>
      <c r="BO142" s="49"/>
      <c r="BP142" s="72">
        <f>+BP133*BP$138</f>
        <v>67196.758199999997</v>
      </c>
      <c r="BQ142" s="72">
        <f>+BQ133*BQ$138</f>
        <v>59494.785500000005</v>
      </c>
      <c r="BR142" s="72">
        <f>+BR133*BR$138</f>
        <v>59494.785500000005</v>
      </c>
      <c r="BS142" s="75">
        <f>+BR142/BN142-1</f>
        <v>-0.14040486295274834</v>
      </c>
      <c r="BT142" s="72">
        <f>+BT133*BT$138</f>
        <v>53222.651299999998</v>
      </c>
      <c r="BU142" s="72">
        <f>+BU133*BU$138</f>
        <v>51078.078600000001</v>
      </c>
      <c r="BV142" s="72">
        <f>+BV133*BV$138</f>
        <v>51078.078600000001</v>
      </c>
      <c r="BW142" s="75">
        <f>+BV142/BR142-1</f>
        <v>-0.14146965703406067</v>
      </c>
      <c r="BX142" s="72">
        <f>+BX133*BX$138</f>
        <v>46788.159599999999</v>
      </c>
      <c r="BY142" s="72">
        <f>+BY133*BY$138</f>
        <v>43021.195500000002</v>
      </c>
      <c r="BZ142" s="72">
        <f>+BZ133*BZ$138</f>
        <v>43021.195500000002</v>
      </c>
      <c r="CA142" s="75">
        <f>+BZ142/BV142-1</f>
        <v>-0.15773661266890326</v>
      </c>
      <c r="CB142" s="72">
        <f>+CB133*CB$138</f>
        <v>42557.173799999997</v>
      </c>
      <c r="CC142" s="72">
        <f>+CC133*CC$138</f>
        <v>43952.656000000003</v>
      </c>
      <c r="CD142" s="72">
        <f>+CD133*CD$138</f>
        <v>43952.656000000003</v>
      </c>
      <c r="CE142" s="75">
        <f>+CD142/BZ142-1</f>
        <v>2.165119981382202E-2</v>
      </c>
      <c r="CF142" s="72">
        <f>+CF133*CF$138</f>
        <v>44774.490400000002</v>
      </c>
      <c r="CG142" s="72">
        <f>+CG133*CG$138</f>
        <v>42439.434399999998</v>
      </c>
      <c r="CH142" s="72">
        <f>+CH133*CH$138</f>
        <v>42439.434399999998</v>
      </c>
      <c r="CI142" s="75">
        <f>+CH142/CD142-1</f>
        <v>-3.4428445006827402E-2</v>
      </c>
      <c r="CJ142" s="72">
        <f>+CJ133*CJ$138</f>
        <v>49434.018600000003</v>
      </c>
      <c r="CK142" s="72">
        <f>+CK133*CK$138</f>
        <v>38851.172999999995</v>
      </c>
      <c r="CL142" s="72">
        <f>+CL133*CL$138</f>
        <v>38851.172999999995</v>
      </c>
      <c r="CM142" s="75">
        <f>+CL142/CH142-1</f>
        <v>-8.4550170159666482E-2</v>
      </c>
      <c r="CN142" s="72">
        <f>+CN133*CN$138</f>
        <v>41027.08</v>
      </c>
      <c r="CO142" s="72">
        <f>+CO133*CO$138</f>
        <v>45554.810599999997</v>
      </c>
      <c r="CP142" s="72">
        <f>+CP133*CP$138</f>
        <v>45554.810599999997</v>
      </c>
      <c r="CQ142" s="75">
        <f>+CP142/CL142-1</f>
        <v>0.17254659466781108</v>
      </c>
      <c r="CR142" s="72">
        <f>+CR133*CR$138</f>
        <v>54028.008299999994</v>
      </c>
      <c r="CS142" s="72">
        <f>+CS133*CS$138</f>
        <v>53178.003900000003</v>
      </c>
      <c r="CT142" s="72">
        <f>+CT133*CT$138</f>
        <v>53178.003900000003</v>
      </c>
      <c r="CU142" s="75">
        <f>+CT142/CP142-1</f>
        <v>0.16734112598856909</v>
      </c>
      <c r="CV142" s="72">
        <f>+CV133*CV$138</f>
        <v>52861.698400000001</v>
      </c>
      <c r="CW142" s="72">
        <f>+CW133*CW$138</f>
        <v>51374.030400000003</v>
      </c>
      <c r="CX142" s="72">
        <f>+CX133*CX$138</f>
        <v>51374.030400000003</v>
      </c>
      <c r="CY142" s="75">
        <f>+CX142/CT142-1</f>
        <v>-3.3923302262197197E-2</v>
      </c>
      <c r="CZ142" s="72">
        <f>+CZ133*CZ$138</f>
        <v>48332.312800000007</v>
      </c>
      <c r="DA142" s="72">
        <f>+DA133*DA$138</f>
        <v>52179.1446</v>
      </c>
      <c r="DB142" s="72">
        <f>+DB133*DB$138</f>
        <v>52179.1446</v>
      </c>
      <c r="DC142" s="75">
        <f>+DB142/CX142-1</f>
        <v>1.5671618398076737E-2</v>
      </c>
      <c r="DD142" s="72">
        <f>+DD133*DD$138</f>
        <v>50556.159499999994</v>
      </c>
      <c r="DE142" s="72">
        <f>+DE133*DE$138</f>
        <v>46042.823400000001</v>
      </c>
      <c r="DF142" s="72">
        <f>+DF133*DF$138</f>
        <v>46042.823400000001</v>
      </c>
      <c r="DG142" s="75">
        <f>+DF142/DB142-1</f>
        <v>-0.11760103096822327</v>
      </c>
      <c r="DH142" s="72">
        <f>SUM(DH140:DH141)</f>
        <v>47852.113764000002</v>
      </c>
      <c r="DI142" s="72">
        <f>SUM(DI140:DI141)</f>
        <v>48342.60750048</v>
      </c>
      <c r="DJ142" s="72">
        <f>SUM(DJ140:DJ141)</f>
        <v>48342.60750048</v>
      </c>
      <c r="DK142" s="75">
        <f>+DJ142/DF142-1</f>
        <v>4.9948807016035435E-2</v>
      </c>
      <c r="DL142" s="72">
        <f>SUM(DL140:DL141)</f>
        <v>48955.288572311198</v>
      </c>
      <c r="DM142" s="72">
        <f>SUM(DM140:DM141)</f>
        <v>49599.504929269111</v>
      </c>
      <c r="DN142" s="72">
        <f>SUM(DN140:DN141)</f>
        <v>49599.504929269111</v>
      </c>
      <c r="DO142" s="75">
        <f>+DN142/DJ142-1</f>
        <v>2.599978556755822E-2</v>
      </c>
      <c r="DP142" s="72">
        <f>SUM(DP140:DP141)</f>
        <v>50228.251956843167</v>
      </c>
      <c r="DQ142" s="72">
        <f>SUM(DQ140:DQ141)</f>
        <v>50889.350573577853</v>
      </c>
      <c r="DR142" s="72">
        <f>SUM(DR140:DR141)</f>
        <v>50889.350573577853</v>
      </c>
      <c r="DS142" s="75">
        <f>+DR142/DN142-1</f>
        <v>2.6005212071130712E-2</v>
      </c>
      <c r="DT142" s="75"/>
      <c r="DU142" s="75"/>
      <c r="DV142" s="75"/>
    </row>
    <row r="143" spans="1:128" s="20" customFormat="1" ht="13.8">
      <c r="A143" s="78" t="s">
        <v>217</v>
      </c>
      <c r="B143" s="49"/>
      <c r="BD143" s="67"/>
      <c r="BE143" s="49"/>
      <c r="BF143" s="49"/>
      <c r="BH143" s="67"/>
      <c r="BI143" s="49"/>
      <c r="BJ143" s="49"/>
      <c r="BK143" s="49"/>
      <c r="BL143" s="67"/>
      <c r="BM143" s="49"/>
      <c r="BN143" s="49"/>
      <c r="BO143" s="49"/>
      <c r="BP143" s="67"/>
      <c r="BQ143" s="49"/>
      <c r="BR143" s="49"/>
      <c r="BS143" s="49"/>
      <c r="BT143" s="67"/>
      <c r="BU143" s="49"/>
      <c r="BV143" s="49"/>
      <c r="BW143" s="49"/>
      <c r="BX143" s="67"/>
      <c r="BY143" s="49"/>
      <c r="BZ143" s="49"/>
      <c r="CA143" s="49"/>
      <c r="CB143" s="67"/>
      <c r="CC143" s="49"/>
      <c r="CD143" s="49"/>
      <c r="CE143" s="49"/>
      <c r="CF143" s="67"/>
      <c r="CG143" s="49"/>
      <c r="CH143" s="49"/>
      <c r="CI143" s="49"/>
      <c r="CJ143" s="67"/>
      <c r="CK143" s="49"/>
      <c r="CL143" s="49"/>
      <c r="CM143" s="49"/>
      <c r="CN143" s="67"/>
      <c r="CO143" s="49"/>
      <c r="CP143" s="49"/>
      <c r="CQ143" s="49"/>
      <c r="CR143" s="67"/>
      <c r="CS143" s="49"/>
      <c r="CT143" s="49"/>
      <c r="CU143" s="49"/>
      <c r="CV143" s="67"/>
      <c r="CW143" s="49"/>
      <c r="CX143" s="49"/>
      <c r="CY143" s="49"/>
      <c r="CZ143" s="67"/>
      <c r="DA143" s="49"/>
      <c r="DB143" s="49"/>
      <c r="DC143" s="49"/>
      <c r="DD143" s="67"/>
      <c r="DE143" s="49"/>
      <c r="DF143" s="49"/>
      <c r="DG143" s="49"/>
      <c r="DH143" s="49"/>
      <c r="DI143" s="49"/>
      <c r="DJ143" s="49"/>
      <c r="DK143" s="49"/>
      <c r="DL143" s="49"/>
      <c r="DM143" s="49"/>
      <c r="DN143" s="49"/>
      <c r="DO143" s="49"/>
      <c r="DP143" s="49"/>
      <c r="DQ143" s="49"/>
      <c r="DR143" s="49"/>
      <c r="DS143" s="49"/>
      <c r="DT143" s="49"/>
      <c r="DU143" s="49"/>
      <c r="DV143" s="49"/>
    </row>
    <row r="144" spans="1:128" s="325" customFormat="1" ht="13.8">
      <c r="A144" s="335" t="str">
        <f>+A131</f>
        <v>Housing Loans</v>
      </c>
      <c r="B144" s="336" t="s">
        <v>556</v>
      </c>
      <c r="BD144" s="327"/>
      <c r="BE144" s="345">
        <f>+BE140/BD140-1</f>
        <v>0.18682508926145736</v>
      </c>
      <c r="BF144" s="324"/>
      <c r="BH144" s="345">
        <f>+BH140/BE140-1</f>
        <v>0.12476185029338605</v>
      </c>
      <c r="BI144" s="345">
        <f>+BI140/BH140-1</f>
        <v>0.14040823938185154</v>
      </c>
      <c r="BJ144" s="324"/>
      <c r="BK144" s="324"/>
      <c r="BL144" s="345">
        <f>+BL140/BI140-1</f>
        <v>4.785836961736889E-2</v>
      </c>
      <c r="BM144" s="345">
        <f>+BM140/BL140-1</f>
        <v>3.7957505972837202E-2</v>
      </c>
      <c r="BN144" s="324"/>
      <c r="BO144" s="324"/>
      <c r="BP144" s="345">
        <f>+BP140/BM140-1</f>
        <v>-2.3817558590270349E-2</v>
      </c>
      <c r="BQ144" s="345">
        <f>+BQ140/BP140-1</f>
        <v>-2.9911908579278501E-2</v>
      </c>
      <c r="BR144" s="324"/>
      <c r="BS144" s="324"/>
      <c r="BT144" s="345">
        <f>+BT140/BQ140-1</f>
        <v>4.7638850234037466E-3</v>
      </c>
      <c r="BU144" s="345">
        <f>+BU140/BT140-1</f>
        <v>-5.4042563951758771E-2</v>
      </c>
      <c r="BV144" s="324"/>
      <c r="BW144" s="324"/>
      <c r="BX144" s="345">
        <f>+BX140/BU140-1</f>
        <v>-4.9804236548928182E-2</v>
      </c>
      <c r="BY144" s="345">
        <f>+BY140/BX140-1</f>
        <v>-0.61022570612853422</v>
      </c>
      <c r="BZ144" s="324"/>
      <c r="CA144" s="324"/>
      <c r="CB144" s="345">
        <f>+CB140/BY140-1</f>
        <v>-0.71128757588359526</v>
      </c>
      <c r="CC144" s="345">
        <f>+CC140/CB140-1</f>
        <v>-1.0279929451219028E-2</v>
      </c>
      <c r="CD144" s="324"/>
      <c r="CE144" s="324"/>
      <c r="CF144" s="345">
        <f>+CF140/CC140-1</f>
        <v>-1.3061659299774209E-2</v>
      </c>
      <c r="CG144" s="345">
        <f>+CG140/CF140-1</f>
        <v>-0.37682548632647317</v>
      </c>
      <c r="CH144" s="324"/>
      <c r="CI144" s="324"/>
      <c r="CJ144" s="345">
        <f>+CJ140/CG140-1</f>
        <v>-3.4564173611404847E-2</v>
      </c>
      <c r="CK144" s="345">
        <f>+CK140/CJ140-1</f>
        <v>5.7945890878020379E-2</v>
      </c>
      <c r="CL144" s="324"/>
      <c r="CM144" s="324"/>
      <c r="CN144" s="345">
        <f>+CN140/CK140-1</f>
        <v>3.1756303947031661E-2</v>
      </c>
      <c r="CO144" s="345">
        <f>+CO140/CN140-1</f>
        <v>-3.2291480820695884E-2</v>
      </c>
      <c r="CP144" s="324"/>
      <c r="CQ144" s="324"/>
      <c r="CR144" s="345">
        <f>+CR140/CO140-1</f>
        <v>2.154772590832188E-4</v>
      </c>
      <c r="CS144" s="345">
        <f>+CS140/CR140-1</f>
        <v>-8.4243250217734822E-2</v>
      </c>
      <c r="CT144" s="324"/>
      <c r="CU144" s="324"/>
      <c r="CV144" s="345">
        <f>+CV140/CS140-1</f>
        <v>2.7015891886110754E-3</v>
      </c>
      <c r="CW144" s="345">
        <f>+CW140/CV140-1</f>
        <v>-0.12764569349476185</v>
      </c>
      <c r="CX144" s="324"/>
      <c r="CY144" s="324"/>
      <c r="CZ144" s="345">
        <f>+CZ140/CW140-1</f>
        <v>8.5242553681090794E-3</v>
      </c>
      <c r="DA144" s="345">
        <f>+DA140/CZ140-1</f>
        <v>5.0474019482714239E-2</v>
      </c>
      <c r="DB144" s="324"/>
      <c r="DC144" s="324"/>
      <c r="DD144" s="345">
        <f>+DD140/DA140-1</f>
        <v>-3.1916579699815983E-2</v>
      </c>
      <c r="DE144" s="345">
        <f>+DE140/DD140-1</f>
        <v>4.5509139058546255E-2</v>
      </c>
      <c r="DF144" s="324"/>
      <c r="DG144" s="324"/>
      <c r="DH144" s="346">
        <v>0.01</v>
      </c>
      <c r="DI144" s="346">
        <v>0.01</v>
      </c>
      <c r="DJ144" s="324"/>
      <c r="DK144" s="324"/>
      <c r="DL144" s="346">
        <v>0.01</v>
      </c>
      <c r="DM144" s="346">
        <v>0.01</v>
      </c>
      <c r="DN144" s="324"/>
      <c r="DO144" s="324"/>
      <c r="DP144" s="346">
        <v>0.01</v>
      </c>
      <c r="DQ144" s="346">
        <v>0.01</v>
      </c>
      <c r="DR144" s="324"/>
      <c r="DS144" s="324"/>
      <c r="DT144" s="324"/>
      <c r="DU144" s="324"/>
      <c r="DV144" s="324"/>
      <c r="DW144" s="20"/>
      <c r="DX144" s="347"/>
    </row>
    <row r="145" spans="1:128" s="325" customFormat="1" ht="13.8">
      <c r="A145" s="47" t="str">
        <f>+A132</f>
        <v>Non Housing Loans</v>
      </c>
      <c r="B145" s="92" t="s">
        <v>556</v>
      </c>
      <c r="C145" s="20"/>
      <c r="D145" s="20"/>
      <c r="E145" s="20"/>
      <c r="F145" s="20"/>
      <c r="G145" s="20"/>
      <c r="H145" s="20"/>
      <c r="I145" s="20"/>
      <c r="J145" s="20"/>
      <c r="K145" s="20"/>
      <c r="L145" s="20"/>
      <c r="M145" s="20"/>
      <c r="N145" s="20"/>
      <c r="O145" s="20"/>
      <c r="P145" s="20"/>
      <c r="Q145" s="20"/>
      <c r="R145" s="20"/>
      <c r="S145" s="20"/>
      <c r="T145" s="20"/>
      <c r="U145" s="20"/>
      <c r="V145" s="20"/>
      <c r="W145" s="20"/>
      <c r="X145" s="20"/>
      <c r="Y145" s="20"/>
      <c r="Z145" s="20"/>
      <c r="AA145" s="20"/>
      <c r="AB145" s="20"/>
      <c r="AC145" s="20"/>
      <c r="AD145" s="20"/>
      <c r="AE145" s="20"/>
      <c r="AF145" s="20"/>
      <c r="AG145" s="20"/>
      <c r="AH145" s="20"/>
      <c r="AI145" s="20"/>
      <c r="AJ145" s="20"/>
      <c r="AK145" s="20"/>
      <c r="AL145" s="20"/>
      <c r="AM145" s="20"/>
      <c r="AN145" s="20"/>
      <c r="AO145" s="20"/>
      <c r="AP145" s="20"/>
      <c r="AQ145" s="20"/>
      <c r="AR145" s="20"/>
      <c r="AS145" s="20"/>
      <c r="AT145" s="20"/>
      <c r="AU145" s="20"/>
      <c r="AV145" s="20"/>
      <c r="AW145" s="20"/>
      <c r="AX145" s="20"/>
      <c r="AY145" s="20"/>
      <c r="AZ145" s="20"/>
      <c r="BA145" s="20"/>
      <c r="BB145" s="20"/>
      <c r="BC145" s="20"/>
      <c r="BD145" s="67"/>
      <c r="BE145" s="96">
        <f>+BE141/BD141-1</f>
        <v>9.9159404505841042E-2</v>
      </c>
      <c r="BF145" s="49"/>
      <c r="BG145" s="20"/>
      <c r="BH145" s="96">
        <f>+BH141/BE141-1</f>
        <v>0.36855745555668706</v>
      </c>
      <c r="BI145" s="96">
        <f>+BI141/BH141-1</f>
        <v>1.8933558998194933E-2</v>
      </c>
      <c r="BJ145" s="49"/>
      <c r="BK145" s="49"/>
      <c r="BL145" s="96">
        <f>+BL141/BI141-1</f>
        <v>8.3862827767817061E-2</v>
      </c>
      <c r="BM145" s="96">
        <f>+BM141/BL141-1</f>
        <v>-2.4559958357422085E-2</v>
      </c>
      <c r="BN145" s="49"/>
      <c r="BO145" s="49"/>
      <c r="BP145" s="96">
        <f>+BP141/BM141-1</f>
        <v>-2.961127466261626E-2</v>
      </c>
      <c r="BQ145" s="96">
        <f>+BQ141/BP141-1</f>
        <v>-0.12242743101915543</v>
      </c>
      <c r="BR145" s="49"/>
      <c r="BS145" s="49"/>
      <c r="BT145" s="96">
        <f>+BT141/BQ141-1</f>
        <v>-0.11665250420671835</v>
      </c>
      <c r="BU145" s="96">
        <f>+BU141/BT141-1</f>
        <v>-3.8700691958804323E-2</v>
      </c>
      <c r="BV145" s="49"/>
      <c r="BW145" s="49"/>
      <c r="BX145" s="96">
        <f>+BX141/BU141-1</f>
        <v>-8.7886702685318063E-2</v>
      </c>
      <c r="BY145" s="96">
        <f>+BY141/BX141-1</f>
        <v>-1.7564594974271319E-2</v>
      </c>
      <c r="BZ145" s="49"/>
      <c r="CA145" s="49"/>
      <c r="CB145" s="96">
        <f>+CB141/BY141-1</f>
        <v>2.2239485116747115E-2</v>
      </c>
      <c r="CC145" s="96">
        <f>+CC141/CB141-1</f>
        <v>3.3364262694306035E-2</v>
      </c>
      <c r="CD145" s="49"/>
      <c r="CE145" s="49"/>
      <c r="CF145" s="96">
        <f>+CF141/CC141-1</f>
        <v>1.9103204988937472E-2</v>
      </c>
      <c r="CG145" s="96">
        <f>+CG141/CF141-1</f>
        <v>-4.8141617279908733E-2</v>
      </c>
      <c r="CH145" s="49"/>
      <c r="CI145" s="49"/>
      <c r="CJ145" s="96">
        <f>+CJ141/CG141-1</f>
        <v>0.16642543626322936</v>
      </c>
      <c r="CK145" s="96">
        <f>+CK141/CJ141-1</f>
        <v>-0.21590074482812249</v>
      </c>
      <c r="CL145" s="49"/>
      <c r="CM145" s="49"/>
      <c r="CN145" s="96">
        <f>+CN141/CK141-1</f>
        <v>5.6225183096370479E-2</v>
      </c>
      <c r="CO145" s="96">
        <f>+CO141/CN141-1</f>
        <v>0.11161783263450986</v>
      </c>
      <c r="CP145" s="49"/>
      <c r="CQ145" s="49"/>
      <c r="CR145" s="96">
        <f>+CR141/CO141-1</f>
        <v>0.18742664934530073</v>
      </c>
      <c r="CS145" s="96">
        <f>+CS141/CR141-1</f>
        <v>-1.5289530788282546E-2</v>
      </c>
      <c r="CT145" s="49"/>
      <c r="CU145" s="49"/>
      <c r="CV145" s="96">
        <f>+CV141/CS141-1</f>
        <v>-6.00008026100185E-3</v>
      </c>
      <c r="CW145" s="96">
        <f>+CW141/CV141-1</f>
        <v>-2.7538879560127016E-2</v>
      </c>
      <c r="CX145" s="49"/>
      <c r="CY145" s="49"/>
      <c r="CZ145" s="96">
        <f>+CZ141/CW141-1</f>
        <v>-5.9575974172365265E-2</v>
      </c>
      <c r="DA145" s="96">
        <f>+DA141/CZ141-1</f>
        <v>7.9761271467397865E-2</v>
      </c>
      <c r="DB145" s="49"/>
      <c r="DC145" s="49"/>
      <c r="DD145" s="96">
        <f>+DD141/DA141-1</f>
        <v>-3.1099481457582012E-2</v>
      </c>
      <c r="DE145" s="96">
        <f>+DE141/DD141-1</f>
        <v>-9.0038501052595588E-2</v>
      </c>
      <c r="DF145" s="49"/>
      <c r="DG145" s="49"/>
      <c r="DH145" s="96">
        <f>+DH141/DE141-1</f>
        <v>3.9486809652247823E-2</v>
      </c>
      <c r="DI145" s="96">
        <f>+DI141/DH141-1</f>
        <v>1.0251784895126459E-2</v>
      </c>
      <c r="DJ145" s="49"/>
      <c r="DK145" s="49"/>
      <c r="DL145" s="96">
        <f>+DL141/DI141-1</f>
        <v>1.2690660830944722E-2</v>
      </c>
      <c r="DM145" s="96">
        <f>+DM141/DL141-1</f>
        <v>1.3179234506725646E-2</v>
      </c>
      <c r="DN145" s="49"/>
      <c r="DO145" s="49"/>
      <c r="DP145" s="96">
        <f>+DP141/DM141-1</f>
        <v>1.2693329772512252E-2</v>
      </c>
      <c r="DQ145" s="96">
        <f>+DQ141/DP141-1</f>
        <v>1.3181743019353265E-2</v>
      </c>
      <c r="DR145" s="49"/>
      <c r="DS145" s="49"/>
      <c r="DT145" s="49"/>
      <c r="DU145" s="49"/>
      <c r="DV145" s="49"/>
      <c r="DW145" s="20"/>
      <c r="DX145" s="347"/>
    </row>
    <row r="146" spans="1:128" s="20" customFormat="1" ht="13.8">
      <c r="A146" s="78" t="str">
        <f>+A133</f>
        <v>Total Loans</v>
      </c>
      <c r="B146" s="49" t="s">
        <v>546</v>
      </c>
      <c r="BD146" s="67"/>
      <c r="BE146" s="97">
        <f>+BE142/BD142-1</f>
        <v>0.10637523286732153</v>
      </c>
      <c r="BF146" s="49"/>
      <c r="BH146" s="97">
        <f>+BH142/BE142-1</f>
        <v>0.34703128826781882</v>
      </c>
      <c r="BI146" s="97">
        <f>+BI142/BH142-1</f>
        <v>2.7889464397984343E-2</v>
      </c>
      <c r="BJ146" s="49"/>
      <c r="BK146" s="49"/>
      <c r="BL146" s="97">
        <f>+BL142/BI142-1</f>
        <v>8.0917769148128205E-2</v>
      </c>
      <c r="BM146" s="97">
        <f>+BM142/BL142-1</f>
        <v>-1.960261557830123E-2</v>
      </c>
      <c r="BN146" s="49"/>
      <c r="BO146" s="49"/>
      <c r="BP146" s="97">
        <f>+BP142/BM142-1</f>
        <v>-2.9124887355715834E-2</v>
      </c>
      <c r="BQ146" s="97">
        <f>+BQ142/BP142-1</f>
        <v>-0.11461821829375085</v>
      </c>
      <c r="BR146" s="49"/>
      <c r="BS146" s="49"/>
      <c r="BT146" s="97">
        <f>+BT142/BQ142-1</f>
        <v>-0.10542325932076868</v>
      </c>
      <c r="BU146" s="97">
        <f>+BU142/BT142-1</f>
        <v>-4.029436053291835E-2</v>
      </c>
      <c r="BV146" s="49"/>
      <c r="BW146" s="49"/>
      <c r="BX146" s="97">
        <f>+BX142/BU142-1</f>
        <v>-8.3987477947144229E-2</v>
      </c>
      <c r="BY146" s="97">
        <f>+BY142/BX142-1</f>
        <v>-8.051105519440005E-2</v>
      </c>
      <c r="BZ146" s="49"/>
      <c r="CA146" s="49"/>
      <c r="CB146" s="97">
        <f>+CB142/BY142-1</f>
        <v>-1.0785885761821823E-2</v>
      </c>
      <c r="CC146" s="97">
        <f>+CC142/CB142-1</f>
        <v>3.2790762999398426E-2</v>
      </c>
      <c r="CD146" s="49"/>
      <c r="CE146" s="49"/>
      <c r="CF146" s="97">
        <f>+CF142/CC142-1</f>
        <v>1.8698173780442362E-2</v>
      </c>
      <c r="CG146" s="97">
        <f>+CG142/CF142-1</f>
        <v>-5.2151481326519034E-2</v>
      </c>
      <c r="CH146" s="49"/>
      <c r="CI146" s="49"/>
      <c r="CJ146" s="97">
        <f>+CJ142/CG142-1</f>
        <v>0.16481332277133287</v>
      </c>
      <c r="CK146" s="97">
        <f>+CK142/CJ142-1</f>
        <v>-0.21408022045773978</v>
      </c>
      <c r="CL146" s="49"/>
      <c r="CM146" s="49"/>
      <c r="CN146" s="97">
        <f>+CN142/CK142-1</f>
        <v>5.6006211189556732E-2</v>
      </c>
      <c r="CO146" s="97">
        <f>+CO142/CN142-1</f>
        <v>0.11035956251334467</v>
      </c>
      <c r="CP146" s="49"/>
      <c r="CQ146" s="49"/>
      <c r="CR146" s="97">
        <f>+CR142/CO142-1</f>
        <v>0.18600006428300242</v>
      </c>
      <c r="CS146" s="97">
        <f>+CS142/CR142-1</f>
        <v>-1.5732662127394992E-2</v>
      </c>
      <c r="CT146" s="49"/>
      <c r="CU146" s="49"/>
      <c r="CV146" s="97">
        <f>+CV142/CS142-1</f>
        <v>-5.9480513897213205E-3</v>
      </c>
      <c r="CW146" s="97">
        <f>+CW142/CV142-1</f>
        <v>-2.8142644769809322E-2</v>
      </c>
      <c r="CX146" s="49"/>
      <c r="CY146" s="49"/>
      <c r="CZ146" s="97">
        <f>+CZ142/CW142-1</f>
        <v>-5.9207299414063441E-2</v>
      </c>
      <c r="DA146" s="97">
        <f>+DA142/CZ142-1</f>
        <v>7.9591303977491368E-2</v>
      </c>
      <c r="DB146" s="49"/>
      <c r="DC146" s="49"/>
      <c r="DD146" s="97">
        <f>+DD142/DA142-1</f>
        <v>-3.110409556234861E-2</v>
      </c>
      <c r="DE146" s="97">
        <f>+DE142/DD142-1</f>
        <v>-8.92737135224837E-2</v>
      </c>
      <c r="DF146" s="49"/>
      <c r="DG146" s="49"/>
      <c r="DH146" s="97">
        <f>+DH142/DE142-1</f>
        <v>3.9295817032801716E-2</v>
      </c>
      <c r="DI146" s="97">
        <f>+DI142/DH142-1</f>
        <v>1.0250199999503495E-2</v>
      </c>
      <c r="DJ146" s="49"/>
      <c r="DK146" s="49"/>
      <c r="DL146" s="97">
        <f>+DL142/DI142-1</f>
        <v>1.267372828048452E-2</v>
      </c>
      <c r="DM146" s="97">
        <f>+DM142/DL142-1</f>
        <v>1.3159280146134877E-2</v>
      </c>
      <c r="DN146" s="49"/>
      <c r="DO146" s="49"/>
      <c r="DP146" s="97">
        <f>+DP142/DM142-1</f>
        <v>1.2676477889661975E-2</v>
      </c>
      <c r="DQ146" s="97">
        <f>+DQ142/DP142-1</f>
        <v>1.3161887801763639E-2</v>
      </c>
      <c r="DR146" s="49"/>
      <c r="DS146" s="49"/>
      <c r="DT146" s="49"/>
      <c r="DU146" s="49"/>
      <c r="DV146" s="49"/>
    </row>
    <row r="147" spans="1:128" s="20" customFormat="1" ht="13.8">
      <c r="B147" s="49"/>
      <c r="BH147" s="67"/>
      <c r="BI147" s="49"/>
      <c r="BJ147" s="49"/>
      <c r="BK147" s="49"/>
      <c r="BL147" s="49"/>
      <c r="BM147" s="49"/>
      <c r="BN147" s="49"/>
      <c r="BO147" s="49"/>
      <c r="BP147" s="49"/>
      <c r="BQ147" s="49"/>
      <c r="BR147" s="49"/>
      <c r="BS147" s="49"/>
      <c r="BT147" s="49"/>
      <c r="BU147" s="49"/>
      <c r="BV147" s="49"/>
      <c r="BW147" s="49"/>
      <c r="BX147" s="49"/>
      <c r="BY147" s="49"/>
      <c r="BZ147" s="49"/>
      <c r="CA147" s="49"/>
      <c r="CB147" s="49"/>
      <c r="CC147" s="49"/>
      <c r="CD147" s="49"/>
      <c r="CE147" s="49"/>
      <c r="CF147" s="49"/>
      <c r="CG147" s="49"/>
      <c r="CH147" s="49"/>
      <c r="CI147" s="49"/>
      <c r="CJ147" s="49"/>
      <c r="CK147" s="49"/>
      <c r="CL147" s="49"/>
      <c r="CM147" s="49"/>
      <c r="CN147" s="49"/>
      <c r="CO147" s="49"/>
      <c r="CP147" s="49"/>
      <c r="CQ147" s="49"/>
      <c r="CR147" s="49"/>
      <c r="CS147" s="49"/>
      <c r="CT147" s="49"/>
      <c r="CU147" s="49"/>
      <c r="CV147" s="49"/>
      <c r="CW147" s="49"/>
      <c r="CX147" s="49"/>
      <c r="CY147" s="49"/>
      <c r="CZ147" s="49"/>
      <c r="DA147" s="49"/>
      <c r="DB147" s="49"/>
      <c r="DC147" s="49"/>
      <c r="DD147" s="49"/>
      <c r="DE147" s="49"/>
      <c r="DF147" s="49"/>
      <c r="DG147" s="49"/>
      <c r="DH147" s="49"/>
      <c r="DI147" s="49"/>
      <c r="DJ147" s="49"/>
      <c r="DK147" s="49"/>
      <c r="DL147" s="49"/>
      <c r="DM147" s="49"/>
      <c r="DN147" s="49"/>
      <c r="DO147" s="49"/>
      <c r="DP147" s="49"/>
      <c r="DQ147" s="49"/>
      <c r="DR147" s="49"/>
      <c r="DS147" s="49"/>
      <c r="DT147" s="49"/>
      <c r="DU147" s="49"/>
      <c r="DV147" s="49"/>
    </row>
    <row r="148" spans="1:128" s="20" customFormat="1" ht="13.8">
      <c r="A148" s="21" t="s">
        <v>0</v>
      </c>
      <c r="B148" s="49"/>
      <c r="BH148" s="49"/>
      <c r="BI148" s="49"/>
      <c r="BJ148" s="49"/>
      <c r="BK148" s="49"/>
      <c r="BL148" s="49"/>
      <c r="BM148" s="49"/>
      <c r="BN148" s="49"/>
      <c r="BO148" s="49"/>
      <c r="BP148" s="49"/>
      <c r="BQ148" s="49"/>
      <c r="BR148" s="49"/>
      <c r="BS148" s="49"/>
      <c r="BT148" s="49"/>
      <c r="BU148" s="49"/>
      <c r="BV148" s="49"/>
      <c r="BW148" s="49"/>
      <c r="BX148" s="49"/>
      <c r="BY148" s="49"/>
      <c r="BZ148" s="49"/>
      <c r="CA148" s="49"/>
      <c r="CB148" s="49"/>
      <c r="CC148" s="49"/>
      <c r="CD148" s="49"/>
      <c r="CE148" s="49"/>
      <c r="CF148" s="49"/>
      <c r="CG148" s="49"/>
      <c r="CH148" s="49"/>
      <c r="CI148" s="49"/>
      <c r="CJ148" s="49"/>
      <c r="CK148" s="49"/>
      <c r="CL148" s="49"/>
      <c r="CM148" s="49"/>
      <c r="CN148" s="49"/>
      <c r="CO148" s="22"/>
      <c r="CP148" s="49"/>
      <c r="CQ148" s="49"/>
      <c r="CR148" s="49"/>
      <c r="CS148" s="22"/>
      <c r="CT148" s="49"/>
      <c r="CU148" s="49"/>
      <c r="CV148" s="49"/>
      <c r="CW148" s="22"/>
      <c r="CX148" s="49"/>
      <c r="CY148" s="49"/>
      <c r="CZ148" s="65"/>
      <c r="DA148" s="65"/>
      <c r="DB148" s="68"/>
      <c r="DC148" s="49"/>
      <c r="DD148" s="49"/>
      <c r="DE148" s="65"/>
      <c r="DF148" s="68"/>
      <c r="DG148" s="49"/>
      <c r="DH148" s="49"/>
      <c r="DI148" s="49"/>
      <c r="DJ148" s="49"/>
      <c r="DK148" s="49"/>
      <c r="DL148" s="49"/>
      <c r="DM148" s="49"/>
      <c r="DN148" s="49"/>
      <c r="DO148" s="49"/>
      <c r="DP148" s="49"/>
      <c r="DQ148" s="49"/>
      <c r="DR148" s="49"/>
      <c r="DS148" s="49"/>
      <c r="DT148" s="49"/>
      <c r="DU148" s="49"/>
      <c r="DV148" s="49"/>
    </row>
    <row r="149" spans="1:128" s="20" customFormat="1" ht="13.8">
      <c r="A149" s="20" t="s">
        <v>500</v>
      </c>
      <c r="B149" s="49"/>
      <c r="BD149" s="65">
        <f t="shared" ref="BD149:BF151" si="255">+BD87+BD109+BD131</f>
        <v>224541</v>
      </c>
      <c r="BE149" s="65">
        <f t="shared" si="255"/>
        <v>230706</v>
      </c>
      <c r="BF149" s="65">
        <f t="shared" si="255"/>
        <v>230706</v>
      </c>
      <c r="BH149" s="65">
        <f t="shared" ref="BH149:BJ151" si="256">+BH87+BH109+BH131</f>
        <v>238282</v>
      </c>
      <c r="BI149" s="65">
        <f t="shared" si="256"/>
        <v>253277</v>
      </c>
      <c r="BJ149" s="65">
        <f t="shared" si="256"/>
        <v>253277</v>
      </c>
      <c r="BK149" s="49"/>
      <c r="BL149" s="65">
        <f t="shared" ref="BL149:BN151" si="257">+BL87+BL109+BL131</f>
        <v>264713</v>
      </c>
      <c r="BM149" s="65">
        <f t="shared" si="257"/>
        <v>271388</v>
      </c>
      <c r="BN149" s="65">
        <f t="shared" si="257"/>
        <v>271388</v>
      </c>
      <c r="BO149" s="49"/>
      <c r="BP149" s="65">
        <f t="shared" ref="BP149:BR151" si="258">+BP87+BP109+BP131</f>
        <v>288497</v>
      </c>
      <c r="BQ149" s="65">
        <f t="shared" si="258"/>
        <v>300468</v>
      </c>
      <c r="BR149" s="65">
        <f t="shared" si="258"/>
        <v>300468</v>
      </c>
      <c r="BS149" s="75">
        <f>+BR149/BN149-1</f>
        <v>0.10715285863781743</v>
      </c>
      <c r="BT149" s="65">
        <f t="shared" ref="BT149:BV151" si="259">+BT87+BT109+BT131</f>
        <v>313301</v>
      </c>
      <c r="BU149" s="65">
        <f t="shared" si="259"/>
        <v>323144</v>
      </c>
      <c r="BV149" s="65">
        <f t="shared" si="259"/>
        <v>323144</v>
      </c>
      <c r="BW149" s="75">
        <f>+BV149/BR149-1</f>
        <v>7.5468935127867232E-2</v>
      </c>
      <c r="BX149" s="65">
        <f t="shared" ref="BX149:BZ151" si="260">+BX87+BX109+BX131</f>
        <v>330814</v>
      </c>
      <c r="BY149" s="65">
        <f t="shared" si="260"/>
        <v>337309</v>
      </c>
      <c r="BZ149" s="65">
        <f t="shared" si="260"/>
        <v>337309</v>
      </c>
      <c r="CA149" s="75">
        <f>+BZ149/BV149-1</f>
        <v>4.3834946649171869E-2</v>
      </c>
      <c r="CB149" s="65">
        <f t="shared" ref="CB149:CD151" si="261">+CB87+CB109+CB131</f>
        <v>345111</v>
      </c>
      <c r="CC149" s="65">
        <f t="shared" si="261"/>
        <v>346154</v>
      </c>
      <c r="CD149" s="65">
        <f t="shared" si="261"/>
        <v>346154</v>
      </c>
      <c r="CE149" s="75">
        <f>+CD149/BZ149-1</f>
        <v>2.6222247256966202E-2</v>
      </c>
      <c r="CF149" s="65">
        <f t="shared" ref="CF149:CH151" si="262">+CF87+CF109+CF131</f>
        <v>348946</v>
      </c>
      <c r="CG149" s="65">
        <f t="shared" si="262"/>
        <v>343808</v>
      </c>
      <c r="CH149" s="65">
        <f t="shared" si="262"/>
        <v>343808</v>
      </c>
      <c r="CI149" s="75">
        <f>+CH149/CD149-1</f>
        <v>-6.7773303211865477E-3</v>
      </c>
      <c r="CJ149" s="65">
        <f t="shared" ref="CJ149:CL151" si="263">+CJ87+CJ109+CJ131</f>
        <v>349428</v>
      </c>
      <c r="CK149" s="65">
        <f t="shared" si="263"/>
        <v>358350</v>
      </c>
      <c r="CL149" s="65">
        <f t="shared" si="263"/>
        <v>358350</v>
      </c>
      <c r="CM149" s="75">
        <f>+CL149/CH149-1</f>
        <v>4.2296863365599346E-2</v>
      </c>
      <c r="CN149" s="65">
        <f t="shared" ref="CN149:CP151" si="264">+CN87+CN109+CN131</f>
        <v>368578</v>
      </c>
      <c r="CO149" s="65">
        <f t="shared" si="264"/>
        <v>372572</v>
      </c>
      <c r="CP149" s="65">
        <f t="shared" si="264"/>
        <v>372572</v>
      </c>
      <c r="CQ149" s="75">
        <f>+CP149/CL149-1</f>
        <v>3.9687456397376808E-2</v>
      </c>
      <c r="CR149" s="65">
        <f t="shared" ref="CR149:CT151" si="265">+CR87+CR109+CR131</f>
        <v>374152</v>
      </c>
      <c r="CS149" s="65">
        <f t="shared" si="265"/>
        <v>374625</v>
      </c>
      <c r="CT149" s="65">
        <f t="shared" si="265"/>
        <v>374625</v>
      </c>
      <c r="CU149" s="75">
        <f>+CT149/CP149-1</f>
        <v>5.5103443092878734E-3</v>
      </c>
      <c r="CV149" s="65">
        <f t="shared" ref="CV149:CW149" si="266">+CV87+CV109+CV131</f>
        <v>391011</v>
      </c>
      <c r="CW149" s="65">
        <f t="shared" si="266"/>
        <v>404491</v>
      </c>
      <c r="CX149" s="65">
        <f>CW149</f>
        <v>404491</v>
      </c>
      <c r="CY149" s="75">
        <f>+CX149/CT149-1</f>
        <v>7.9722389055722376E-2</v>
      </c>
      <c r="CZ149" s="65">
        <f t="shared" ref="CZ149:DA149" si="267">+CZ87+CZ109+CZ131</f>
        <v>414941</v>
      </c>
      <c r="DA149" s="65">
        <f t="shared" si="267"/>
        <v>484554</v>
      </c>
      <c r="DB149" s="65">
        <f>DA149</f>
        <v>484554</v>
      </c>
      <c r="DC149" s="75">
        <f>+DB149/CX149-1</f>
        <v>0.19793518273583333</v>
      </c>
      <c r="DD149" s="65">
        <f t="shared" ref="DD149:DE149" si="268">+DD87+DD109+DD131</f>
        <v>495263</v>
      </c>
      <c r="DE149" s="65">
        <f t="shared" si="268"/>
        <v>503997</v>
      </c>
      <c r="DF149" s="65">
        <f>DE149</f>
        <v>503997</v>
      </c>
      <c r="DG149" s="75">
        <f>+DF149/DB149-1</f>
        <v>4.0125558761252567E-2</v>
      </c>
      <c r="DH149" s="65">
        <f t="shared" ref="DH149:DJ149" si="269">+DH87+DH109+DH131</f>
        <v>509709.54213481996</v>
      </c>
      <c r="DI149" s="65">
        <f t="shared" si="269"/>
        <v>522445.91705658485</v>
      </c>
      <c r="DJ149" s="65">
        <f t="shared" si="269"/>
        <v>522445.91705658485</v>
      </c>
      <c r="DK149" s="75">
        <f>+DJ149/DF149-1</f>
        <v>3.6605212048057556E-2</v>
      </c>
      <c r="DL149" s="65">
        <f t="shared" ref="DL149:DN149" si="270">+DL87+DL109+DL131</f>
        <v>537068.00990493549</v>
      </c>
      <c r="DM149" s="65">
        <f t="shared" si="270"/>
        <v>552107.82554237521</v>
      </c>
      <c r="DN149" s="65">
        <f t="shared" si="270"/>
        <v>552107.82554237521</v>
      </c>
      <c r="DO149" s="75">
        <f>+DN149/DJ149-1</f>
        <v>5.6775079520006599E-2</v>
      </c>
      <c r="DP149" s="65">
        <f t="shared" ref="DP149:DR149" si="271">+DP87+DP109+DP131</f>
        <v>564819.12406724237</v>
      </c>
      <c r="DQ149" s="65">
        <f t="shared" si="271"/>
        <v>577831.86688080593</v>
      </c>
      <c r="DR149" s="65">
        <f t="shared" si="271"/>
        <v>577831.86688080593</v>
      </c>
      <c r="DS149" s="75">
        <f>+DR149/DN149-1</f>
        <v>4.6592422980348269E-2</v>
      </c>
      <c r="DT149" s="75"/>
      <c r="DU149" s="75"/>
      <c r="DV149" s="75"/>
    </row>
    <row r="150" spans="1:128" s="20" customFormat="1" ht="13.8">
      <c r="A150" s="20" t="s">
        <v>410</v>
      </c>
      <c r="B150" s="49"/>
      <c r="BD150" s="65">
        <f t="shared" si="255"/>
        <v>193705</v>
      </c>
      <c r="BE150" s="65">
        <f t="shared" si="255"/>
        <v>201854</v>
      </c>
      <c r="BF150" s="65">
        <f t="shared" si="255"/>
        <v>201854</v>
      </c>
      <c r="BH150" s="65">
        <f t="shared" si="256"/>
        <v>219295</v>
      </c>
      <c r="BI150" s="65">
        <f t="shared" si="256"/>
        <v>233540</v>
      </c>
      <c r="BJ150" s="65">
        <f t="shared" si="256"/>
        <v>233540</v>
      </c>
      <c r="BK150" s="49"/>
      <c r="BL150" s="65">
        <f t="shared" si="257"/>
        <v>247587</v>
      </c>
      <c r="BM150" s="65">
        <f t="shared" si="257"/>
        <v>252995</v>
      </c>
      <c r="BN150" s="65">
        <f t="shared" si="257"/>
        <v>252995</v>
      </c>
      <c r="BO150" s="49"/>
      <c r="BP150" s="65">
        <f t="shared" si="258"/>
        <v>271988</v>
      </c>
      <c r="BQ150" s="65">
        <f t="shared" si="258"/>
        <v>271902</v>
      </c>
      <c r="BR150" s="65">
        <f t="shared" si="258"/>
        <v>271902</v>
      </c>
      <c r="BS150" s="75">
        <f>+BR150/BN150-1</f>
        <v>7.4732702227316761E-2</v>
      </c>
      <c r="BT150" s="65">
        <f t="shared" si="259"/>
        <v>251390</v>
      </c>
      <c r="BU150" s="65">
        <f t="shared" si="259"/>
        <v>255800</v>
      </c>
      <c r="BV150" s="65">
        <f t="shared" si="259"/>
        <v>255800</v>
      </c>
      <c r="BW150" s="75">
        <f>+BV150/BR150-1</f>
        <v>-5.9219865981125608E-2</v>
      </c>
      <c r="BX150" s="65">
        <f t="shared" si="260"/>
        <v>248397</v>
      </c>
      <c r="BY150" s="65">
        <f t="shared" si="260"/>
        <v>246135</v>
      </c>
      <c r="BZ150" s="65">
        <f t="shared" si="260"/>
        <v>246135</v>
      </c>
      <c r="CA150" s="75">
        <f>+BZ150/BV150-1</f>
        <v>-3.7783424550430045E-2</v>
      </c>
      <c r="CB150" s="65">
        <f t="shared" si="261"/>
        <v>249828</v>
      </c>
      <c r="CC150" s="65">
        <f t="shared" si="261"/>
        <v>261659</v>
      </c>
      <c r="CD150" s="65">
        <f t="shared" si="261"/>
        <v>261659</v>
      </c>
      <c r="CE150" s="75">
        <f>+CD150/BZ150-1</f>
        <v>6.3071078879476605E-2</v>
      </c>
      <c r="CF150" s="65">
        <f t="shared" si="262"/>
        <v>264323</v>
      </c>
      <c r="CG150" s="65">
        <f t="shared" si="262"/>
        <v>274487</v>
      </c>
      <c r="CH150" s="65">
        <f t="shared" si="262"/>
        <v>274487</v>
      </c>
      <c r="CI150" s="75">
        <f>+CH150/CD150-1</f>
        <v>4.9025640241688651E-2</v>
      </c>
      <c r="CJ150" s="65">
        <f t="shared" si="263"/>
        <v>311353</v>
      </c>
      <c r="CK150" s="65">
        <f t="shared" si="263"/>
        <v>262922</v>
      </c>
      <c r="CL150" s="65">
        <f t="shared" si="263"/>
        <v>262922</v>
      </c>
      <c r="CM150" s="75">
        <f>+CL150/CH150-1</f>
        <v>-4.2133142917515243E-2</v>
      </c>
      <c r="CN150" s="65">
        <f t="shared" si="264"/>
        <v>249090</v>
      </c>
      <c r="CO150" s="65">
        <f t="shared" si="264"/>
        <v>260192</v>
      </c>
      <c r="CP150" s="65">
        <f t="shared" si="264"/>
        <v>260192</v>
      </c>
      <c r="CQ150" s="75">
        <f>+CP150/CL150-1</f>
        <v>-1.0383307596929847E-2</v>
      </c>
      <c r="CR150" s="65">
        <f t="shared" si="265"/>
        <v>279821</v>
      </c>
      <c r="CS150" s="65">
        <f t="shared" si="265"/>
        <v>299000</v>
      </c>
      <c r="CT150" s="65">
        <f t="shared" si="265"/>
        <v>299000</v>
      </c>
      <c r="CU150" s="75">
        <f>+CT150/CP150-1</f>
        <v>0.14915139589226412</v>
      </c>
      <c r="CV150" s="65">
        <f t="shared" ref="CV150:CW150" si="272">+CV88+CV110+CV132</f>
        <v>300095</v>
      </c>
      <c r="CW150" s="65">
        <f t="shared" si="272"/>
        <v>303139</v>
      </c>
      <c r="CX150" s="65">
        <f t="shared" ref="CX150:CX157" si="273">CW150</f>
        <v>303139</v>
      </c>
      <c r="CY150" s="75">
        <f>+CX150/CT150-1</f>
        <v>1.3842809364548403E-2</v>
      </c>
      <c r="CZ150" s="65">
        <f t="shared" ref="CZ150:DA150" si="274">+CZ88+CZ110+CZ132</f>
        <v>300571</v>
      </c>
      <c r="DA150" s="65">
        <f t="shared" si="274"/>
        <v>318781</v>
      </c>
      <c r="DB150" s="65">
        <f t="shared" ref="DB150:DB155" si="275">DA150</f>
        <v>318781</v>
      </c>
      <c r="DC150" s="75">
        <f>+DB150/CX150-1</f>
        <v>5.1600091047341312E-2</v>
      </c>
      <c r="DD150" s="65">
        <f t="shared" ref="DD150:DE150" si="276">+DD88+DD110+DD132</f>
        <v>324949</v>
      </c>
      <c r="DE150" s="65">
        <f t="shared" si="276"/>
        <v>325474</v>
      </c>
      <c r="DF150" s="65">
        <f t="shared" ref="DF150:DF155" si="277">DE150</f>
        <v>325474</v>
      </c>
      <c r="DG150" s="75">
        <f>+DF150/DB150-1</f>
        <v>2.0995605133304673E-2</v>
      </c>
      <c r="DH150" s="65">
        <f t="shared" ref="DH150:DJ150" si="278">+DH88+DH110+DH132</f>
        <v>325537.4904494583</v>
      </c>
      <c r="DI150" s="65">
        <f t="shared" si="278"/>
        <v>330969.70355331025</v>
      </c>
      <c r="DJ150" s="65">
        <f t="shared" si="278"/>
        <v>330969.70355331025</v>
      </c>
      <c r="DK150" s="75">
        <f>+DJ150/DF150-1</f>
        <v>1.6885230627669889E-2</v>
      </c>
      <c r="DL150" s="65">
        <f t="shared" ref="DL150:DN150" si="279">+DL88+DL110+DL132</f>
        <v>335390.72625279636</v>
      </c>
      <c r="DM150" s="65">
        <f t="shared" si="279"/>
        <v>341557.3390005409</v>
      </c>
      <c r="DN150" s="65">
        <f t="shared" si="279"/>
        <v>341557.3390005409</v>
      </c>
      <c r="DO150" s="75">
        <f>+DN150/DJ150-1</f>
        <v>3.1989742062675797E-2</v>
      </c>
      <c r="DP150" s="65">
        <f t="shared" ref="DP150:DR150" si="280">+DP88+DP110+DP132</f>
        <v>346862.82535438251</v>
      </c>
      <c r="DQ150" s="65">
        <f t="shared" si="280"/>
        <v>353638.34457398031</v>
      </c>
      <c r="DR150" s="65">
        <f t="shared" si="280"/>
        <v>353638.34457398031</v>
      </c>
      <c r="DS150" s="75">
        <f>+DR150/DN150-1</f>
        <v>3.5370358630824938E-2</v>
      </c>
      <c r="DT150" s="75"/>
      <c r="DU150" s="75"/>
      <c r="DV150" s="75"/>
    </row>
    <row r="151" spans="1:128" s="20" customFormat="1" ht="13.8">
      <c r="A151" s="21" t="s">
        <v>1178</v>
      </c>
      <c r="B151" s="49"/>
      <c r="BD151" s="72">
        <f t="shared" si="255"/>
        <v>418246</v>
      </c>
      <c r="BE151" s="72">
        <f t="shared" si="255"/>
        <v>432560</v>
      </c>
      <c r="BF151" s="72">
        <f t="shared" si="255"/>
        <v>432560</v>
      </c>
      <c r="BH151" s="72">
        <f t="shared" si="256"/>
        <v>457577</v>
      </c>
      <c r="BI151" s="72">
        <f t="shared" si="256"/>
        <v>486817</v>
      </c>
      <c r="BJ151" s="72">
        <f t="shared" si="256"/>
        <v>486817</v>
      </c>
      <c r="BK151" s="49"/>
      <c r="BL151" s="72">
        <f t="shared" si="257"/>
        <v>512300</v>
      </c>
      <c r="BM151" s="72">
        <f t="shared" si="257"/>
        <v>524383</v>
      </c>
      <c r="BN151" s="72">
        <f t="shared" si="257"/>
        <v>524383</v>
      </c>
      <c r="BO151" s="49"/>
      <c r="BP151" s="72">
        <f t="shared" si="258"/>
        <v>560485</v>
      </c>
      <c r="BQ151" s="72">
        <f t="shared" si="258"/>
        <v>572370</v>
      </c>
      <c r="BR151" s="72">
        <f t="shared" si="258"/>
        <v>572370</v>
      </c>
      <c r="BT151" s="72">
        <f t="shared" si="259"/>
        <v>564691</v>
      </c>
      <c r="BU151" s="72">
        <f t="shared" si="259"/>
        <v>578944</v>
      </c>
      <c r="BV151" s="72">
        <f t="shared" si="259"/>
        <v>578944</v>
      </c>
      <c r="BX151" s="72">
        <f t="shared" si="260"/>
        <v>579211</v>
      </c>
      <c r="BY151" s="72">
        <f t="shared" si="260"/>
        <v>583444</v>
      </c>
      <c r="BZ151" s="72">
        <f t="shared" si="260"/>
        <v>583444</v>
      </c>
      <c r="CB151" s="72">
        <f t="shared" si="261"/>
        <v>594939</v>
      </c>
      <c r="CC151" s="72">
        <f t="shared" si="261"/>
        <v>607813</v>
      </c>
      <c r="CD151" s="72">
        <f t="shared" si="261"/>
        <v>607813</v>
      </c>
      <c r="CF151" s="72">
        <f t="shared" si="262"/>
        <v>613269</v>
      </c>
      <c r="CG151" s="72">
        <f t="shared" si="262"/>
        <v>618295</v>
      </c>
      <c r="CH151" s="72">
        <f t="shared" si="262"/>
        <v>618295</v>
      </c>
      <c r="CI151" s="75">
        <f>+CH151/CD151-1</f>
        <v>1.7245435684988708E-2</v>
      </c>
      <c r="CJ151" s="72">
        <f t="shared" si="263"/>
        <v>660781</v>
      </c>
      <c r="CK151" s="72">
        <f t="shared" si="263"/>
        <v>621272</v>
      </c>
      <c r="CL151" s="72">
        <f t="shared" si="263"/>
        <v>621272</v>
      </c>
      <c r="CM151" s="75">
        <f>+CL151/CH151-1</f>
        <v>4.8148537510410705E-3</v>
      </c>
      <c r="CN151" s="72">
        <f t="shared" si="264"/>
        <v>617668</v>
      </c>
      <c r="CO151" s="72">
        <f t="shared" si="264"/>
        <v>632764</v>
      </c>
      <c r="CP151" s="72">
        <f t="shared" si="264"/>
        <v>632764</v>
      </c>
      <c r="CQ151" s="75">
        <f>+CP151/CL151-1</f>
        <v>1.8497534091348022E-2</v>
      </c>
      <c r="CR151" s="72">
        <f t="shared" si="265"/>
        <v>653973</v>
      </c>
      <c r="CS151" s="72">
        <f t="shared" si="265"/>
        <v>673625</v>
      </c>
      <c r="CT151" s="72">
        <f t="shared" si="265"/>
        <v>673625</v>
      </c>
      <c r="CU151" s="75">
        <f>+CT151/CP151-1</f>
        <v>6.4575418323419065E-2</v>
      </c>
      <c r="CV151" s="72">
        <f t="shared" ref="CV151:CW151" si="281">+CV89+CV111+CV133</f>
        <v>691106</v>
      </c>
      <c r="CW151" s="72">
        <f t="shared" si="281"/>
        <v>707630</v>
      </c>
      <c r="CX151" s="72">
        <f t="shared" si="273"/>
        <v>707630</v>
      </c>
      <c r="CY151" s="75">
        <f>+CX151/CT151-1</f>
        <v>5.0480608647244463E-2</v>
      </c>
      <c r="CZ151" s="72">
        <f t="shared" ref="CZ151:DA151" si="282">+CZ89+CZ111+CZ133</f>
        <v>715512</v>
      </c>
      <c r="DA151" s="72">
        <f t="shared" si="282"/>
        <v>803335</v>
      </c>
      <c r="DB151" s="72">
        <f t="shared" si="275"/>
        <v>803335</v>
      </c>
      <c r="DC151" s="75">
        <f>+DB151/CX151-1</f>
        <v>0.13524723372383862</v>
      </c>
      <c r="DD151" s="72">
        <f t="shared" ref="DD151:DE151" si="283">+DD89+DD111+DD133</f>
        <v>820212</v>
      </c>
      <c r="DE151" s="72">
        <f t="shared" si="283"/>
        <v>829471</v>
      </c>
      <c r="DF151" s="72">
        <f t="shared" si="277"/>
        <v>829471</v>
      </c>
      <c r="DG151" s="75">
        <f>+DF151/DB151-1</f>
        <v>3.2534372335327078E-2</v>
      </c>
      <c r="DH151" s="72">
        <f t="shared" ref="DH151:DJ151" si="284">+DH89+DH111+DH133</f>
        <v>835247.03258427838</v>
      </c>
      <c r="DI151" s="72">
        <f t="shared" si="284"/>
        <v>853415.62060989509</v>
      </c>
      <c r="DJ151" s="72">
        <f t="shared" si="284"/>
        <v>853415.62060989509</v>
      </c>
      <c r="DK151" s="75">
        <f>+DJ151/DF151-1</f>
        <v>2.8867339075018927E-2</v>
      </c>
      <c r="DL151" s="72">
        <f t="shared" ref="DL151:DN151" si="285">+DL89+DL111+DL133</f>
        <v>872458.73615773174</v>
      </c>
      <c r="DM151" s="72">
        <f t="shared" si="285"/>
        <v>893665.16454291611</v>
      </c>
      <c r="DN151" s="72">
        <f t="shared" si="285"/>
        <v>893665.16454291611</v>
      </c>
      <c r="DO151" s="75">
        <f>+DN151/DJ151-1</f>
        <v>4.7162886360407441E-2</v>
      </c>
      <c r="DP151" s="72">
        <f t="shared" ref="DP151:DR151" si="286">+DP89+DP111+DP133</f>
        <v>911681.94942162489</v>
      </c>
      <c r="DQ151" s="72">
        <f t="shared" si="286"/>
        <v>931470.21145478624</v>
      </c>
      <c r="DR151" s="72">
        <f t="shared" si="286"/>
        <v>931470.21145478624</v>
      </c>
      <c r="DS151" s="75">
        <f>+DR151/DN151-1</f>
        <v>4.2303368657327312E-2</v>
      </c>
      <c r="DT151" s="75"/>
      <c r="DU151" s="75"/>
    </row>
    <row r="152" spans="1:128" s="20" customFormat="1" ht="13.8">
      <c r="A152" s="20" t="s">
        <v>444</v>
      </c>
      <c r="B152" s="49"/>
      <c r="BD152" s="67">
        <v>697</v>
      </c>
      <c r="BE152" s="67">
        <v>797</v>
      </c>
      <c r="BF152" s="65">
        <f>BE152</f>
        <v>797</v>
      </c>
      <c r="BH152" s="67">
        <v>869</v>
      </c>
      <c r="BI152" s="67">
        <v>942</v>
      </c>
      <c r="BJ152" s="65">
        <f>BI152</f>
        <v>942</v>
      </c>
      <c r="BK152" s="49"/>
      <c r="BL152" s="67">
        <v>1000</v>
      </c>
      <c r="BM152" s="67">
        <v>1043</v>
      </c>
      <c r="BN152" s="65">
        <f>BM152</f>
        <v>1043</v>
      </c>
      <c r="BO152" s="49"/>
      <c r="BP152" s="67">
        <v>1127</v>
      </c>
      <c r="BQ152" s="67">
        <v>1253</v>
      </c>
      <c r="BR152" s="65">
        <f>BQ152</f>
        <v>1253</v>
      </c>
      <c r="BT152" s="67">
        <v>1013</v>
      </c>
      <c r="BU152" s="67">
        <v>1064</v>
      </c>
      <c r="BV152" s="65">
        <f>BU152</f>
        <v>1064</v>
      </c>
      <c r="BX152" s="67">
        <v>1040</v>
      </c>
      <c r="BY152" s="67">
        <v>1058</v>
      </c>
      <c r="BZ152" s="65">
        <f>BY152</f>
        <v>1058</v>
      </c>
      <c r="CB152" s="67">
        <v>1044</v>
      </c>
      <c r="CC152" s="67">
        <v>997</v>
      </c>
      <c r="CD152" s="65">
        <f>CC152</f>
        <v>997</v>
      </c>
      <c r="CF152" s="67">
        <v>947</v>
      </c>
      <c r="CG152" s="67">
        <v>870</v>
      </c>
      <c r="CH152" s="65">
        <f>CG152</f>
        <v>870</v>
      </c>
      <c r="CJ152" s="67">
        <v>1158</v>
      </c>
      <c r="CK152" s="67">
        <v>1262</v>
      </c>
      <c r="CL152" s="65">
        <f>CK152</f>
        <v>1262</v>
      </c>
      <c r="CN152" s="67">
        <v>1378</v>
      </c>
      <c r="CO152" s="67">
        <v>1434</v>
      </c>
      <c r="CP152" s="65">
        <f>CO152</f>
        <v>1434</v>
      </c>
      <c r="CR152" s="67">
        <v>1482</v>
      </c>
      <c r="CS152" s="67">
        <v>2882</v>
      </c>
      <c r="CT152" s="65">
        <f>CS152</f>
        <v>2882</v>
      </c>
      <c r="CV152" s="67">
        <v>3165</v>
      </c>
      <c r="CW152" s="67">
        <v>3475</v>
      </c>
      <c r="CX152" s="65">
        <f t="shared" si="273"/>
        <v>3475</v>
      </c>
      <c r="CZ152" s="67">
        <v>3642</v>
      </c>
      <c r="DA152" s="67">
        <v>4237</v>
      </c>
      <c r="DB152" s="65">
        <f t="shared" si="275"/>
        <v>4237</v>
      </c>
      <c r="DD152" s="67">
        <v>4335</v>
      </c>
      <c r="DE152" s="67">
        <v>4500</v>
      </c>
      <c r="DF152" s="65">
        <f t="shared" si="277"/>
        <v>4500</v>
      </c>
      <c r="DH152" s="65">
        <f>+DE152*(1+DH164)</f>
        <v>4567.5</v>
      </c>
      <c r="DI152" s="65">
        <f>+DH152*(1+DI164)</f>
        <v>4636.0124999999998</v>
      </c>
      <c r="DJ152" s="65">
        <f>DI152</f>
        <v>4636.0124999999998</v>
      </c>
      <c r="DL152" s="65">
        <f>+DI152*(1+DL164)</f>
        <v>4705.5526874999996</v>
      </c>
      <c r="DM152" s="65">
        <f>+DL152*(1+DM164)</f>
        <v>4776.1359778124988</v>
      </c>
      <c r="DN152" s="65">
        <f>DM152</f>
        <v>4776.1359778124988</v>
      </c>
      <c r="DP152" s="65">
        <f>+DM152*(1+DP164)</f>
        <v>4847.7780174796862</v>
      </c>
      <c r="DQ152" s="65">
        <f>+DP152*(1+DQ164)</f>
        <v>4920.4946877418806</v>
      </c>
      <c r="DR152" s="65">
        <f>DQ152</f>
        <v>4920.4946877418806</v>
      </c>
    </row>
    <row r="153" spans="1:128" s="20" customFormat="1" ht="13.8">
      <c r="A153" s="20" t="s">
        <v>445</v>
      </c>
      <c r="B153" s="49"/>
      <c r="BD153" s="67">
        <v>676</v>
      </c>
      <c r="BE153" s="67">
        <v>1239</v>
      </c>
      <c r="BF153" s="65">
        <f>BE153</f>
        <v>1239</v>
      </c>
      <c r="BH153" s="67">
        <v>1269</v>
      </c>
      <c r="BI153" s="67">
        <v>812</v>
      </c>
      <c r="BJ153" s="65">
        <f>BI153</f>
        <v>812</v>
      </c>
      <c r="BK153" s="49"/>
      <c r="BL153" s="67">
        <v>1185</v>
      </c>
      <c r="BM153" s="67">
        <v>1151</v>
      </c>
      <c r="BN153" s="65">
        <f>BM153</f>
        <v>1151</v>
      </c>
      <c r="BO153" s="49"/>
      <c r="BP153" s="67">
        <v>1422</v>
      </c>
      <c r="BQ153" s="67">
        <v>1371</v>
      </c>
      <c r="BR153" s="65">
        <f>BQ153</f>
        <v>1371</v>
      </c>
      <c r="BT153" s="67">
        <v>760</v>
      </c>
      <c r="BU153" s="67">
        <v>571</v>
      </c>
      <c r="BV153" s="65">
        <f>BU153</f>
        <v>571</v>
      </c>
      <c r="BX153" s="67">
        <v>565</v>
      </c>
      <c r="BY153" s="67">
        <v>0</v>
      </c>
      <c r="BZ153" s="65">
        <f>BY153</f>
        <v>0</v>
      </c>
      <c r="CB153" s="67">
        <v>0</v>
      </c>
      <c r="CC153" s="67">
        <v>0</v>
      </c>
      <c r="CD153" s="65">
        <f>CC153</f>
        <v>0</v>
      </c>
      <c r="CF153" s="67">
        <v>0</v>
      </c>
      <c r="CG153" s="67">
        <v>0</v>
      </c>
      <c r="CH153" s="65">
        <f>CG153</f>
        <v>0</v>
      </c>
      <c r="CJ153" s="67">
        <v>0</v>
      </c>
      <c r="CK153" s="67">
        <v>0</v>
      </c>
      <c r="CL153" s="65">
        <f>CK153</f>
        <v>0</v>
      </c>
      <c r="CN153" s="67">
        <v>0</v>
      </c>
      <c r="CO153" s="67">
        <v>0</v>
      </c>
      <c r="CP153" s="65">
        <f>CO153</f>
        <v>0</v>
      </c>
      <c r="CR153" s="67">
        <v>0</v>
      </c>
      <c r="CS153" s="67">
        <v>0</v>
      </c>
      <c r="CT153" s="65">
        <f>CS153</f>
        <v>0</v>
      </c>
      <c r="CV153" s="67">
        <v>0</v>
      </c>
      <c r="CW153" s="67">
        <v>0</v>
      </c>
      <c r="CX153" s="65">
        <f t="shared" si="273"/>
        <v>0</v>
      </c>
      <c r="CZ153" s="67">
        <v>0</v>
      </c>
      <c r="DA153" s="67">
        <v>0</v>
      </c>
      <c r="DB153" s="65">
        <f t="shared" si="275"/>
        <v>0</v>
      </c>
      <c r="DD153" s="67">
        <v>0</v>
      </c>
      <c r="DE153" s="67">
        <v>0</v>
      </c>
      <c r="DF153" s="65">
        <f t="shared" si="277"/>
        <v>0</v>
      </c>
      <c r="DH153" s="65">
        <f>+DE153*(1+DH165)</f>
        <v>0</v>
      </c>
      <c r="DI153" s="65">
        <f>+DH153*(1+DI165)</f>
        <v>0</v>
      </c>
      <c r="DJ153" s="65">
        <f>DI153</f>
        <v>0</v>
      </c>
      <c r="DL153" s="65">
        <f>+DI153*(1+DL165)</f>
        <v>0</v>
      </c>
      <c r="DM153" s="65">
        <f>+DL153*(1+DM165)</f>
        <v>0</v>
      </c>
      <c r="DN153" s="65">
        <f>DM153</f>
        <v>0</v>
      </c>
      <c r="DP153" s="65">
        <f>+DM153*(1+DP165)</f>
        <v>0</v>
      </c>
      <c r="DQ153" s="65">
        <f>+DP153*(1+DQ165)</f>
        <v>0</v>
      </c>
      <c r="DR153" s="65">
        <f>DQ153</f>
        <v>0</v>
      </c>
    </row>
    <row r="154" spans="1:128" s="20" customFormat="1" ht="13.8">
      <c r="A154" s="21" t="s">
        <v>1178</v>
      </c>
      <c r="B154" s="49"/>
      <c r="BD154" s="72">
        <f>SUM(BD151:BD153)</f>
        <v>419619</v>
      </c>
      <c r="BE154" s="72">
        <f>SUM(BE151:BE153)</f>
        <v>434596</v>
      </c>
      <c r="BF154" s="72">
        <f>SUM(BF151:BF153)</f>
        <v>434596</v>
      </c>
      <c r="BH154" s="72">
        <f>SUM(BH151:BH153)</f>
        <v>459715</v>
      </c>
      <c r="BI154" s="72">
        <f>SUM(BI151:BI153)</f>
        <v>488571</v>
      </c>
      <c r="BJ154" s="72">
        <f>SUM(BJ151:BJ153)</f>
        <v>488571</v>
      </c>
      <c r="BK154" s="49"/>
      <c r="BL154" s="72">
        <f>SUM(BL151:BL153)</f>
        <v>514485</v>
      </c>
      <c r="BM154" s="72">
        <f>SUM(BM151:BM153)</f>
        <v>526577</v>
      </c>
      <c r="BN154" s="72">
        <f>SUM(BN151:BN153)</f>
        <v>526577</v>
      </c>
      <c r="BO154" s="49"/>
      <c r="BP154" s="72">
        <f>SUM(BP151:BP153)</f>
        <v>563034</v>
      </c>
      <c r="BQ154" s="72">
        <f>SUM(BQ151:BQ153)</f>
        <v>574994</v>
      </c>
      <c r="BR154" s="72">
        <f>SUM(BR151:BR153)</f>
        <v>574994</v>
      </c>
      <c r="BS154" s="75">
        <f>+BR154/BN154-1</f>
        <v>9.1946666869232807E-2</v>
      </c>
      <c r="BT154" s="72">
        <f>SUM(BT151:BT153)</f>
        <v>566464</v>
      </c>
      <c r="BU154" s="72">
        <f>SUM(BU151:BU153)</f>
        <v>580579</v>
      </c>
      <c r="BV154" s="72">
        <f>SUM(BV151:BV153)</f>
        <v>580579</v>
      </c>
      <c r="BW154" s="75">
        <f>+BV154/BR154-1</f>
        <v>9.7131448328156011E-3</v>
      </c>
      <c r="BX154" s="72">
        <f>SUM(BX151:BX153)</f>
        <v>580816</v>
      </c>
      <c r="BY154" s="72">
        <f>SUM(BY151:BY153)</f>
        <v>584502</v>
      </c>
      <c r="BZ154" s="72">
        <f>SUM(BZ151:BZ153)</f>
        <v>584502</v>
      </c>
      <c r="CA154" s="75">
        <f>+BZ154/BV154-1</f>
        <v>6.757047705824748E-3</v>
      </c>
      <c r="CB154" s="72">
        <f>SUM(CB151:CB153)</f>
        <v>595983</v>
      </c>
      <c r="CC154" s="72">
        <f>SUM(CC151:CC153)</f>
        <v>608810</v>
      </c>
      <c r="CD154" s="72">
        <f>SUM(CD151:CD153)</f>
        <v>608810</v>
      </c>
      <c r="CE154" s="75">
        <f>+CD154/BZ154-1</f>
        <v>4.1587539478051383E-2</v>
      </c>
      <c r="CF154" s="72">
        <f>SUM(CF151:CF153)</f>
        <v>614216</v>
      </c>
      <c r="CG154" s="72">
        <f>SUM(CG151:CG153)</f>
        <v>619165</v>
      </c>
      <c r="CH154" s="72">
        <f>SUM(CH151:CH153)</f>
        <v>619165</v>
      </c>
      <c r="CI154" s="75">
        <f>+CH154/CD154-1</f>
        <v>1.7008590529064893E-2</v>
      </c>
      <c r="CJ154" s="72">
        <f>SUM(CJ151:CJ153)</f>
        <v>661939</v>
      </c>
      <c r="CK154" s="72">
        <f>SUM(CK151:CK153)</f>
        <v>622534</v>
      </c>
      <c r="CL154" s="72">
        <f>SUM(CL151:CL153)</f>
        <v>622534</v>
      </c>
      <c r="CM154" s="75">
        <f>+CL154/CH154-1</f>
        <v>5.441199034183164E-3</v>
      </c>
      <c r="CN154" s="72">
        <f>SUM(CN151:CN153)</f>
        <v>619046</v>
      </c>
      <c r="CO154" s="72">
        <f>SUM(CO151:CO153)</f>
        <v>634198</v>
      </c>
      <c r="CP154" s="72">
        <f>SUM(CP151:CP153)</f>
        <v>634198</v>
      </c>
      <c r="CQ154" s="75">
        <f>+CP154/CL154-1</f>
        <v>1.8736326048055307E-2</v>
      </c>
      <c r="CR154" s="72">
        <f>SUM(CR151:CR153)</f>
        <v>655455</v>
      </c>
      <c r="CS154" s="72">
        <f>SUM(CS151:CS153)</f>
        <v>676507</v>
      </c>
      <c r="CT154" s="72">
        <f>SUM(CT151:CT153)</f>
        <v>676507</v>
      </c>
      <c r="CU154" s="75">
        <f>+CT154/CP154-1</f>
        <v>6.6712603950185967E-2</v>
      </c>
      <c r="CV154" s="72">
        <f>SUM(CV151:CV153)</f>
        <v>694271</v>
      </c>
      <c r="CW154" s="72">
        <f>SUM(CW151:CW153)</f>
        <v>711105</v>
      </c>
      <c r="CX154" s="72">
        <f t="shared" si="273"/>
        <v>711105</v>
      </c>
      <c r="CY154" s="75">
        <f>+CX154/CT154-1</f>
        <v>5.1142116785192204E-2</v>
      </c>
      <c r="CZ154" s="72">
        <f>SUM(CZ151:CZ153)</f>
        <v>719154</v>
      </c>
      <c r="DA154" s="72">
        <f>SUM(DA151:DA153)</f>
        <v>807572</v>
      </c>
      <c r="DB154" s="72">
        <f t="shared" si="275"/>
        <v>807572</v>
      </c>
      <c r="DC154" s="75">
        <f>+DB154/CX154-1</f>
        <v>0.13565788455994543</v>
      </c>
      <c r="DD154" s="72">
        <f>SUM(DD151:DD153)</f>
        <v>824547</v>
      </c>
      <c r="DE154" s="72">
        <f>SUM(DE151:DE153)</f>
        <v>833971</v>
      </c>
      <c r="DF154" s="72">
        <f t="shared" si="277"/>
        <v>833971</v>
      </c>
      <c r="DG154" s="75">
        <f>+DF154/DB154-1</f>
        <v>3.2689345346297305E-2</v>
      </c>
      <c r="DH154" s="72">
        <f>SUM(DH151:DH153)</f>
        <v>839814.53258427838</v>
      </c>
      <c r="DI154" s="72">
        <f>SUM(DI151:DI153)</f>
        <v>858051.63310989505</v>
      </c>
      <c r="DJ154" s="72">
        <f>SUM(DJ151:DJ153)</f>
        <v>858051.63310989505</v>
      </c>
      <c r="DK154" s="75">
        <f>+DJ154/DF154-1</f>
        <v>2.8874664838339781E-2</v>
      </c>
      <c r="DL154" s="72">
        <f>SUM(DL151:DL153)</f>
        <v>877164.28884523176</v>
      </c>
      <c r="DM154" s="72">
        <f>SUM(DM151:DM153)</f>
        <v>898441.30052072858</v>
      </c>
      <c r="DN154" s="72">
        <f>SUM(DN151:DN153)</f>
        <v>898441.30052072858</v>
      </c>
      <c r="DO154" s="75">
        <f>+DN154/DJ154-1</f>
        <v>4.7071371759350278E-2</v>
      </c>
      <c r="DP154" s="72">
        <f>SUM(DP151:DP153)</f>
        <v>916529.72743910458</v>
      </c>
      <c r="DQ154" s="72">
        <f>SUM(DQ151:DQ153)</f>
        <v>936390.7061425281</v>
      </c>
      <c r="DR154" s="72">
        <f>SUM(DR151:DR153)</f>
        <v>936390.7061425281</v>
      </c>
      <c r="DS154" s="75">
        <f>+DR154/DN154-1</f>
        <v>4.2239159753457933E-2</v>
      </c>
      <c r="DT154" s="75"/>
      <c r="DU154" s="75"/>
      <c r="DV154" s="75"/>
    </row>
    <row r="155" spans="1:128" s="20" customFormat="1" ht="13.8">
      <c r="A155" s="20" t="s">
        <v>757</v>
      </c>
      <c r="B155" s="420" t="s">
        <v>472</v>
      </c>
      <c r="BD155" s="67">
        <v>-2283</v>
      </c>
      <c r="BE155" s="67">
        <v>-1241</v>
      </c>
      <c r="BF155" s="65">
        <f>BE155</f>
        <v>-1241</v>
      </c>
      <c r="BH155" s="67">
        <v>-1087</v>
      </c>
      <c r="BI155" s="67">
        <v>-954</v>
      </c>
      <c r="BJ155" s="65">
        <f>BI155</f>
        <v>-954</v>
      </c>
      <c r="BK155" s="49"/>
      <c r="BL155" s="67">
        <v>-922</v>
      </c>
      <c r="BM155" s="67">
        <v>-892</v>
      </c>
      <c r="BN155" s="65">
        <f>BM155</f>
        <v>-892</v>
      </c>
      <c r="BO155" s="49"/>
      <c r="BP155" s="67">
        <v>-803</v>
      </c>
      <c r="BQ155" s="67">
        <v>-739</v>
      </c>
      <c r="BR155" s="65">
        <f>BQ155</f>
        <v>-739</v>
      </c>
      <c r="BT155" s="67">
        <v>-596</v>
      </c>
      <c r="BU155" s="67">
        <v>-544</v>
      </c>
      <c r="BV155" s="65">
        <f>BU155</f>
        <v>-544</v>
      </c>
      <c r="BX155" s="67">
        <v>-458</v>
      </c>
      <c r="BY155" s="67">
        <v>-411</v>
      </c>
      <c r="BZ155" s="65">
        <f>BY155</f>
        <v>-411</v>
      </c>
      <c r="CB155" s="67">
        <v>-441</v>
      </c>
      <c r="CC155" s="67">
        <v>-430</v>
      </c>
      <c r="CD155" s="65">
        <f>CC155</f>
        <v>-430</v>
      </c>
      <c r="CF155" s="67">
        <v>-446</v>
      </c>
      <c r="CG155" s="67">
        <v>-398</v>
      </c>
      <c r="CH155" s="65">
        <f>CG155</f>
        <v>-398</v>
      </c>
      <c r="CJ155" s="67">
        <v>-661</v>
      </c>
      <c r="CK155" s="67">
        <v>-460</v>
      </c>
      <c r="CL155" s="65">
        <f>CK155</f>
        <v>-460</v>
      </c>
      <c r="CN155" s="67">
        <v>-437</v>
      </c>
      <c r="CO155" s="67">
        <v>-434</v>
      </c>
      <c r="CP155" s="65">
        <f>CO155</f>
        <v>-434</v>
      </c>
      <c r="CR155" s="67">
        <v>-460</v>
      </c>
      <c r="CS155" s="67">
        <v>-518</v>
      </c>
      <c r="CT155" s="65">
        <f>CS155</f>
        <v>-518</v>
      </c>
      <c r="CV155" s="67">
        <v>-526</v>
      </c>
      <c r="CW155" s="67">
        <v>-515</v>
      </c>
      <c r="CX155" s="65">
        <f t="shared" si="273"/>
        <v>-515</v>
      </c>
      <c r="CZ155" s="67">
        <v>-494</v>
      </c>
      <c r="DA155" s="67">
        <v>-515</v>
      </c>
      <c r="DB155" s="65">
        <f t="shared" si="275"/>
        <v>-515</v>
      </c>
      <c r="DD155" s="67">
        <v>-584</v>
      </c>
      <c r="DE155" s="67">
        <v>-641</v>
      </c>
      <c r="DF155" s="65">
        <f t="shared" si="277"/>
        <v>-641</v>
      </c>
      <c r="DH155" s="65">
        <f>+DE155*(1+DH167)</f>
        <v>-650.6149999999999</v>
      </c>
      <c r="DI155" s="65">
        <f>+DH155*(1+DI167)</f>
        <v>-660.3742249999998</v>
      </c>
      <c r="DJ155" s="65">
        <f>DI155</f>
        <v>-660.3742249999998</v>
      </c>
      <c r="DL155" s="65">
        <f>+DI155*(1+DL167)</f>
        <v>-670.27983837499971</v>
      </c>
      <c r="DM155" s="65">
        <f>+DL155*(1+DM167)</f>
        <v>-680.33403595062464</v>
      </c>
      <c r="DN155" s="65">
        <f>DM155</f>
        <v>-680.33403595062464</v>
      </c>
      <c r="DP155" s="65">
        <f>+DM155*(1+DP167)</f>
        <v>-690.53904648988396</v>
      </c>
      <c r="DQ155" s="65">
        <f>+DP155*(1+DQ167)</f>
        <v>-700.89713218723216</v>
      </c>
      <c r="DR155" s="65">
        <f>DQ155</f>
        <v>-700.89713218723216</v>
      </c>
    </row>
    <row r="156" spans="1:128" s="20" customFormat="1" ht="13.8">
      <c r="A156" s="21" t="s">
        <v>736</v>
      </c>
      <c r="B156" s="420"/>
      <c r="BD156" s="72">
        <f>SUM(BD154:BD155)</f>
        <v>417336</v>
      </c>
      <c r="BE156" s="72">
        <f t="shared" ref="BE156" si="287">SUM(BE154:BE155)</f>
        <v>433355</v>
      </c>
      <c r="BF156" s="72">
        <f t="shared" ref="BF156" si="288">SUM(BF154:BF155)</f>
        <v>433355</v>
      </c>
      <c r="BH156" s="72">
        <f>SUM(BH154:BH155)</f>
        <v>458628</v>
      </c>
      <c r="BI156" s="72">
        <f t="shared" ref="BI156" si="289">SUM(BI154:BI155)</f>
        <v>487617</v>
      </c>
      <c r="BJ156" s="72">
        <f t="shared" ref="BJ156" si="290">SUM(BJ154:BJ155)</f>
        <v>487617</v>
      </c>
      <c r="BK156" s="49"/>
      <c r="BL156" s="72">
        <f>SUM(BL154:BL155)</f>
        <v>513563</v>
      </c>
      <c r="BM156" s="72">
        <f t="shared" ref="BM156" si="291">SUM(BM154:BM155)</f>
        <v>525685</v>
      </c>
      <c r="BN156" s="72">
        <f t="shared" ref="BN156" si="292">SUM(BN154:BN155)</f>
        <v>525685</v>
      </c>
      <c r="BO156" s="49"/>
      <c r="BP156" s="72">
        <f>SUM(BP154:BP155)</f>
        <v>562231</v>
      </c>
      <c r="BQ156" s="72">
        <f t="shared" ref="BQ156" si="293">SUM(BQ154:BQ155)</f>
        <v>574255</v>
      </c>
      <c r="BR156" s="72">
        <f t="shared" ref="BR156" si="294">SUM(BR154:BR155)</f>
        <v>574255</v>
      </c>
      <c r="BT156" s="72">
        <f>SUM(BT154:BT155)</f>
        <v>565868</v>
      </c>
      <c r="BU156" s="72">
        <f t="shared" ref="BU156" si="295">SUM(BU154:BU155)</f>
        <v>580035</v>
      </c>
      <c r="BV156" s="72">
        <f t="shared" ref="BV156" si="296">SUM(BV154:BV155)</f>
        <v>580035</v>
      </c>
      <c r="BX156" s="72">
        <f>SUM(BX154:BX155)</f>
        <v>580358</v>
      </c>
      <c r="BY156" s="72">
        <f t="shared" ref="BY156" si="297">SUM(BY154:BY155)</f>
        <v>584091</v>
      </c>
      <c r="BZ156" s="72">
        <f t="shared" ref="BZ156" si="298">SUM(BZ154:BZ155)</f>
        <v>584091</v>
      </c>
      <c r="CB156" s="72">
        <f>SUM(CB154:CB155)</f>
        <v>595542</v>
      </c>
      <c r="CC156" s="72">
        <f t="shared" ref="CC156" si="299">SUM(CC154:CC155)</f>
        <v>608380</v>
      </c>
      <c r="CD156" s="72">
        <f t="shared" ref="CD156" si="300">SUM(CD154:CD155)</f>
        <v>608380</v>
      </c>
      <c r="CF156" s="72">
        <f>SUM(CF154:CF155)</f>
        <v>613770</v>
      </c>
      <c r="CG156" s="72">
        <f t="shared" ref="CG156" si="301">SUM(CG154:CG155)</f>
        <v>618767</v>
      </c>
      <c r="CH156" s="72">
        <f t="shared" ref="CH156" si="302">SUM(CH154:CH155)</f>
        <v>618767</v>
      </c>
      <c r="CJ156" s="72">
        <f>SUM(CJ154:CJ155)</f>
        <v>661278</v>
      </c>
      <c r="CK156" s="72">
        <f t="shared" ref="CK156" si="303">SUM(CK154:CK155)</f>
        <v>622074</v>
      </c>
      <c r="CL156" s="72">
        <f t="shared" ref="CL156" si="304">SUM(CL154:CL155)</f>
        <v>622074</v>
      </c>
      <c r="CN156" s="72">
        <f>SUM(CN154:CN155)</f>
        <v>618609</v>
      </c>
      <c r="CO156" s="72">
        <f t="shared" ref="CO156" si="305">SUM(CO154:CO155)</f>
        <v>633764</v>
      </c>
      <c r="CP156" s="72">
        <f t="shared" ref="CP156" si="306">SUM(CP154:CP155)</f>
        <v>633764</v>
      </c>
      <c r="CR156" s="72">
        <f>SUM(CR154:CR155)</f>
        <v>654995</v>
      </c>
      <c r="CS156" s="72">
        <f t="shared" ref="CS156" si="307">SUM(CS154:CS155)</f>
        <v>675989</v>
      </c>
      <c r="CT156" s="72">
        <f t="shared" ref="CT156" si="308">SUM(CT154:CT155)</f>
        <v>675989</v>
      </c>
      <c r="CV156" s="72">
        <f>CV154+CV155</f>
        <v>693745</v>
      </c>
      <c r="CW156" s="72">
        <f>CW154+CW155</f>
        <v>710590</v>
      </c>
      <c r="CX156" s="72">
        <f>CX154+CX155</f>
        <v>710590</v>
      </c>
      <c r="CZ156" s="72">
        <f>CZ154+CZ155</f>
        <v>718660</v>
      </c>
      <c r="DA156" s="72">
        <f>DA154+DA155</f>
        <v>807057</v>
      </c>
      <c r="DB156" s="72">
        <f>DB154+DB155</f>
        <v>807057</v>
      </c>
      <c r="DD156" s="72">
        <f>DD154+DD155</f>
        <v>823963</v>
      </c>
      <c r="DE156" s="72">
        <f>DE154+DE155</f>
        <v>833330</v>
      </c>
      <c r="DF156" s="72">
        <f>DF154+DF155</f>
        <v>833330</v>
      </c>
      <c r="DH156" s="72">
        <f>DH154+DH155</f>
        <v>839163.91758427839</v>
      </c>
      <c r="DI156" s="72">
        <f t="shared" ref="DI156" si="309">DI154+DI155</f>
        <v>857391.25888489501</v>
      </c>
      <c r="DJ156" s="72">
        <f t="shared" ref="DJ156" si="310">DJ154+DJ155</f>
        <v>857391.25888489501</v>
      </c>
      <c r="DL156" s="72">
        <f>DL154+DL155</f>
        <v>876494.00900685671</v>
      </c>
      <c r="DM156" s="72">
        <f t="shared" ref="DM156:DN156" si="311">DM154+DM155</f>
        <v>897760.96648477798</v>
      </c>
      <c r="DN156" s="72">
        <f t="shared" si="311"/>
        <v>897760.96648477798</v>
      </c>
      <c r="DP156" s="72">
        <f>DP154+DP155</f>
        <v>915839.18839261471</v>
      </c>
      <c r="DQ156" s="72">
        <f t="shared" ref="DQ156:DR156" si="312">DQ154+DQ155</f>
        <v>935689.80901034083</v>
      </c>
      <c r="DR156" s="72">
        <f t="shared" si="312"/>
        <v>935689.80901034083</v>
      </c>
    </row>
    <row r="157" spans="1:128" s="20" customFormat="1" ht="13.8">
      <c r="A157" s="20" t="s">
        <v>561</v>
      </c>
      <c r="B157" s="422"/>
      <c r="BD157" s="65">
        <f>BD256</f>
        <v>-4708</v>
      </c>
      <c r="BE157" s="65">
        <f>BE256</f>
        <v>-4538</v>
      </c>
      <c r="BF157" s="65">
        <f>BE157</f>
        <v>-4538</v>
      </c>
      <c r="BH157" s="65">
        <f>BH256</f>
        <v>-4312</v>
      </c>
      <c r="BI157" s="65">
        <f>BI256</f>
        <v>-4354</v>
      </c>
      <c r="BJ157" s="65">
        <f>BI157</f>
        <v>-4354</v>
      </c>
      <c r="BK157" s="49"/>
      <c r="BL157" s="65">
        <f>BL256</f>
        <v>-4313</v>
      </c>
      <c r="BM157" s="65">
        <f>BM256</f>
        <v>-3933</v>
      </c>
      <c r="BN157" s="65">
        <f>BM157</f>
        <v>-3933</v>
      </c>
      <c r="BO157" s="49"/>
      <c r="BP157" s="65">
        <f>BP256</f>
        <v>-4028</v>
      </c>
      <c r="BQ157" s="65">
        <f>BQ256</f>
        <v>-4017</v>
      </c>
      <c r="BR157" s="65">
        <f>BQ157</f>
        <v>-4017</v>
      </c>
      <c r="BT157" s="65">
        <f>BT256</f>
        <v>-4100</v>
      </c>
      <c r="BU157" s="65">
        <f>BU256</f>
        <v>-4183</v>
      </c>
      <c r="BV157" s="65">
        <f>BU157</f>
        <v>-4183</v>
      </c>
      <c r="BX157" s="65">
        <f>BX256</f>
        <v>-4054</v>
      </c>
      <c r="BY157" s="65">
        <f>BY256</f>
        <v>-3798</v>
      </c>
      <c r="BZ157" s="65">
        <f>BY157</f>
        <v>-3798</v>
      </c>
      <c r="CB157" s="65">
        <f>CB256</f>
        <v>-3595</v>
      </c>
      <c r="CC157" s="65">
        <f>CC256</f>
        <v>-3443</v>
      </c>
      <c r="CD157" s="65">
        <f>CC157</f>
        <v>-3443</v>
      </c>
      <c r="CF157" s="67">
        <v>-3601</v>
      </c>
      <c r="CG157" s="67">
        <v>-3509</v>
      </c>
      <c r="CH157" s="65">
        <f>CG157</f>
        <v>-3509</v>
      </c>
      <c r="CJ157" s="67">
        <v>-4669</v>
      </c>
      <c r="CK157" s="67">
        <v>-4981</v>
      </c>
      <c r="CL157" s="65">
        <f>CK157</f>
        <v>-4981</v>
      </c>
      <c r="CN157" s="67">
        <v>-4250</v>
      </c>
      <c r="CO157" s="67">
        <v>-4045</v>
      </c>
      <c r="CP157" s="65">
        <f>CO157</f>
        <v>-4045</v>
      </c>
      <c r="CR157" s="67">
        <v>-3559</v>
      </c>
      <c r="CS157" s="67">
        <v>-3582</v>
      </c>
      <c r="CT157" s="65">
        <f>CS157</f>
        <v>-3582</v>
      </c>
      <c r="CV157" s="67">
        <v>-3658</v>
      </c>
      <c r="CW157" s="67">
        <v>-3546</v>
      </c>
      <c r="CX157" s="65">
        <f t="shared" si="273"/>
        <v>-3546</v>
      </c>
      <c r="CZ157" s="67">
        <v>-3489</v>
      </c>
      <c r="DA157" s="67">
        <v>-3675</v>
      </c>
      <c r="DB157" s="65">
        <f t="shared" ref="DB157" si="313">DA157</f>
        <v>-3675</v>
      </c>
      <c r="DD157" s="67">
        <v>-3761</v>
      </c>
      <c r="DE157" s="67">
        <v>-3874</v>
      </c>
      <c r="DF157" s="65">
        <f t="shared" ref="DF157" si="314">DE157</f>
        <v>-3874</v>
      </c>
      <c r="DH157" s="65">
        <f ca="1">DH254</f>
        <v>-4304.6882169809523</v>
      </c>
      <c r="DI157" s="65">
        <f ca="1">DI254</f>
        <v>-4347.4317040426695</v>
      </c>
      <c r="DJ157" s="65">
        <f ca="1">DI157</f>
        <v>-4347.4317040426695</v>
      </c>
      <c r="DL157" s="65">
        <f ca="1">DL254</f>
        <v>-4350.2709312479928</v>
      </c>
      <c r="DM157" s="65">
        <f ca="1">DM254</f>
        <v>-4481.6281715299037</v>
      </c>
      <c r="DN157" s="65">
        <f ca="1">DM157</f>
        <v>-4481.6281715299037</v>
      </c>
      <c r="DP157" s="65">
        <f ca="1">DP254</f>
        <v>-4599.4379993270168</v>
      </c>
      <c r="DQ157" s="65">
        <f ca="1">DQ254</f>
        <v>-4729.8251491393185</v>
      </c>
      <c r="DR157" s="65">
        <f ca="1">DQ157</f>
        <v>-4729.8251491393185</v>
      </c>
    </row>
    <row r="158" spans="1:128" s="20" customFormat="1" ht="13.8">
      <c r="A158" s="21" t="s">
        <v>181</v>
      </c>
      <c r="B158" s="49"/>
      <c r="BD158" s="72">
        <f>SUM(BD156:BD157)</f>
        <v>412628</v>
      </c>
      <c r="BE158" s="72">
        <f t="shared" ref="BE158" si="315">SUM(BE156:BE157)</f>
        <v>428817</v>
      </c>
      <c r="BF158" s="72">
        <f t="shared" ref="BF158" si="316">SUM(BF156:BF157)</f>
        <v>428817</v>
      </c>
      <c r="BH158" s="72">
        <f>SUM(BH156:BH157)</f>
        <v>454316</v>
      </c>
      <c r="BI158" s="72">
        <f t="shared" ref="BI158" si="317">SUM(BI156:BI157)</f>
        <v>483263</v>
      </c>
      <c r="BJ158" s="72">
        <f t="shared" ref="BJ158" si="318">SUM(BJ156:BJ157)</f>
        <v>483263</v>
      </c>
      <c r="BK158" s="49"/>
      <c r="BL158" s="72">
        <f>SUM(BL156:BL157)</f>
        <v>509250</v>
      </c>
      <c r="BM158" s="72">
        <f t="shared" ref="BM158" si="319">SUM(BM156:BM157)</f>
        <v>521752</v>
      </c>
      <c r="BN158" s="72">
        <f t="shared" ref="BN158" si="320">SUM(BN156:BN157)</f>
        <v>521752</v>
      </c>
      <c r="BO158" s="49"/>
      <c r="BP158" s="72">
        <f>SUM(BP156:BP157)</f>
        <v>558203</v>
      </c>
      <c r="BQ158" s="72">
        <f t="shared" ref="BQ158" si="321">SUM(BQ156:BQ157)</f>
        <v>570238</v>
      </c>
      <c r="BR158" s="72">
        <f t="shared" ref="BR158" si="322">SUM(BR156:BR157)</f>
        <v>570238</v>
      </c>
      <c r="BS158" s="75">
        <f>+BR158/BN158-1</f>
        <v>9.2929207746208942E-2</v>
      </c>
      <c r="BT158" s="72">
        <f>SUM(BT156:BT157)</f>
        <v>561768</v>
      </c>
      <c r="BU158" s="72">
        <f t="shared" ref="BU158" si="323">SUM(BU156:BU157)</f>
        <v>575852</v>
      </c>
      <c r="BV158" s="72">
        <f t="shared" ref="BV158" si="324">SUM(BV156:BV157)</f>
        <v>575852</v>
      </c>
      <c r="BW158" s="75">
        <f>+BV158/BR158-1</f>
        <v>9.8450120826742982E-3</v>
      </c>
      <c r="BX158" s="72">
        <f>SUM(BX156:BX157)</f>
        <v>576304</v>
      </c>
      <c r="BY158" s="72">
        <f t="shared" ref="BY158" si="325">SUM(BY156:BY157)</f>
        <v>580293</v>
      </c>
      <c r="BZ158" s="72">
        <f t="shared" ref="BZ158" si="326">SUM(BZ156:BZ157)</f>
        <v>580293</v>
      </c>
      <c r="CA158" s="75">
        <f>+BZ158/BV158-1</f>
        <v>7.7120510131074571E-3</v>
      </c>
      <c r="CB158" s="72">
        <f>SUM(CB156:CB157)</f>
        <v>591947</v>
      </c>
      <c r="CC158" s="72">
        <f t="shared" ref="CC158" si="327">SUM(CC156:CC157)</f>
        <v>604937</v>
      </c>
      <c r="CD158" s="72">
        <f t="shared" ref="CD158" si="328">SUM(CD156:CD157)</f>
        <v>604937</v>
      </c>
      <c r="CE158" s="75">
        <f>+CD158/BZ158-1</f>
        <v>4.246820140859886E-2</v>
      </c>
      <c r="CF158" s="72">
        <f>SUM(CF156:CF157)</f>
        <v>610169</v>
      </c>
      <c r="CG158" s="72">
        <f t="shared" ref="CG158" si="329">SUM(CG156:CG157)</f>
        <v>615258</v>
      </c>
      <c r="CH158" s="72">
        <f t="shared" ref="CH158" si="330">SUM(CH156:CH157)</f>
        <v>615258</v>
      </c>
      <c r="CI158" s="96">
        <f>+CH158/CD158-1</f>
        <v>1.7061280761467623E-2</v>
      </c>
      <c r="CJ158" s="72">
        <f>SUM(CJ156:CJ157)</f>
        <v>656609</v>
      </c>
      <c r="CK158" s="72">
        <f t="shared" ref="CK158" si="331">SUM(CK156:CK157)</f>
        <v>617093</v>
      </c>
      <c r="CL158" s="72">
        <f t="shared" ref="CL158" si="332">SUM(CL156:CL157)</f>
        <v>617093</v>
      </c>
      <c r="CM158" s="75">
        <f>+CL158/CH158-1</f>
        <v>2.9824886470390943E-3</v>
      </c>
      <c r="CN158" s="72">
        <f t="shared" ref="CN158:CP158" si="333">SUM(CN156:CN157)</f>
        <v>614359</v>
      </c>
      <c r="CO158" s="72">
        <f t="shared" si="333"/>
        <v>629719</v>
      </c>
      <c r="CP158" s="72">
        <f t="shared" si="333"/>
        <v>629719</v>
      </c>
      <c r="CQ158" s="75">
        <f>+CP158/CL158-1</f>
        <v>2.0460449235366385E-2</v>
      </c>
      <c r="CR158" s="72">
        <f t="shared" ref="CR158:CT158" si="334">SUM(CR156:CR157)</f>
        <v>651436</v>
      </c>
      <c r="CS158" s="72">
        <f t="shared" si="334"/>
        <v>672407</v>
      </c>
      <c r="CT158" s="72">
        <f t="shared" si="334"/>
        <v>672407</v>
      </c>
      <c r="CU158" s="75">
        <f>+CT158/CP158-1</f>
        <v>6.7788966189681332E-2</v>
      </c>
      <c r="CV158" s="72">
        <f t="shared" ref="CV158:CX158" si="335">SUM(CV156:CV157)</f>
        <v>690087</v>
      </c>
      <c r="CW158" s="72">
        <f t="shared" si="335"/>
        <v>707044</v>
      </c>
      <c r="CX158" s="72">
        <f t="shared" si="335"/>
        <v>707044</v>
      </c>
      <c r="CY158" s="75">
        <f>+CX158/CT158-1</f>
        <v>5.1511956300276385E-2</v>
      </c>
      <c r="CZ158" s="72">
        <f t="shared" ref="CZ158:DB158" si="336">SUM(CZ156:CZ157)</f>
        <v>715171</v>
      </c>
      <c r="DA158" s="72">
        <f t="shared" si="336"/>
        <v>803382</v>
      </c>
      <c r="DB158" s="72">
        <f t="shared" si="336"/>
        <v>803382</v>
      </c>
      <c r="DC158" s="75">
        <f>+DB158/CX158-1</f>
        <v>0.13625460367388742</v>
      </c>
      <c r="DD158" s="72">
        <f t="shared" ref="DD158:DF158" si="337">SUM(DD156:DD157)</f>
        <v>820202</v>
      </c>
      <c r="DE158" s="72">
        <f t="shared" si="337"/>
        <v>829456</v>
      </c>
      <c r="DF158" s="72">
        <f t="shared" si="337"/>
        <v>829456</v>
      </c>
      <c r="DG158" s="75">
        <f>+DF158/DB158-1</f>
        <v>3.2455295239375515E-2</v>
      </c>
      <c r="DH158" s="72">
        <f t="shared" ref="DH158:DJ158" ca="1" si="338">SUM(DH156:DH157)</f>
        <v>834859.22936729749</v>
      </c>
      <c r="DI158" s="72">
        <f t="shared" ca="1" si="338"/>
        <v>853043.8271808523</v>
      </c>
      <c r="DJ158" s="72">
        <f t="shared" ca="1" si="338"/>
        <v>853043.8271808523</v>
      </c>
      <c r="DK158" s="75">
        <f ca="1">+DJ158/DF158-1</f>
        <v>2.8437707582864347E-2</v>
      </c>
      <c r="DL158" s="72">
        <f t="shared" ref="DL158:DN158" ca="1" si="339">SUM(DL156:DL157)</f>
        <v>872143.73807560874</v>
      </c>
      <c r="DM158" s="72">
        <f t="shared" ca="1" si="339"/>
        <v>893279.33831324812</v>
      </c>
      <c r="DN158" s="72">
        <f t="shared" ca="1" si="339"/>
        <v>893279.33831324812</v>
      </c>
      <c r="DO158" s="75">
        <f ca="1">+DN158/DJ158-1</f>
        <v>4.7166991718780249E-2</v>
      </c>
      <c r="DP158" s="72">
        <f t="shared" ref="DP158:DR158" ca="1" si="340">SUM(DP156:DP157)</f>
        <v>911239.75039328774</v>
      </c>
      <c r="DQ158" s="72">
        <f t="shared" ca="1" si="340"/>
        <v>930959.98386120156</v>
      </c>
      <c r="DR158" s="72">
        <f t="shared" ca="1" si="340"/>
        <v>930959.98386120156</v>
      </c>
      <c r="DS158" s="75">
        <f ca="1">+DR158/DN158-1</f>
        <v>4.2182376701004554E-2</v>
      </c>
      <c r="DT158" s="75"/>
      <c r="DU158" s="75"/>
      <c r="DV158" s="75"/>
    </row>
    <row r="159" spans="1:128" s="20" customFormat="1" ht="13.8">
      <c r="A159" s="21"/>
      <c r="B159" s="49"/>
      <c r="BD159" s="72"/>
      <c r="BE159" s="72"/>
      <c r="BF159" s="72"/>
      <c r="BH159" s="72"/>
      <c r="BI159" s="72"/>
      <c r="BJ159" s="72"/>
      <c r="BK159" s="49"/>
      <c r="BL159" s="72"/>
      <c r="BM159" s="72"/>
      <c r="BN159" s="72"/>
      <c r="BO159" s="49"/>
      <c r="BP159" s="72"/>
      <c r="BQ159" s="72"/>
      <c r="BR159" s="72"/>
      <c r="BS159" s="75"/>
      <c r="BT159" s="72"/>
      <c r="BU159" s="72"/>
      <c r="BV159" s="72"/>
      <c r="BW159" s="75"/>
      <c r="BX159" s="72"/>
      <c r="BY159" s="72"/>
      <c r="BZ159" s="72"/>
      <c r="CA159" s="75"/>
      <c r="CB159" s="72"/>
      <c r="CC159" s="72"/>
      <c r="CD159" s="72"/>
      <c r="CE159" s="75"/>
      <c r="CF159" s="72"/>
      <c r="CG159" s="72"/>
      <c r="CH159" s="72"/>
      <c r="CI159" s="75"/>
      <c r="CJ159" s="608"/>
      <c r="CK159" s="72"/>
      <c r="CL159" s="72"/>
      <c r="CM159" s="75"/>
      <c r="CN159" s="608"/>
      <c r="CO159" s="72"/>
      <c r="CP159" s="72"/>
      <c r="CQ159" s="75"/>
      <c r="CR159" s="608"/>
      <c r="CS159" s="72"/>
      <c r="CT159" s="72"/>
      <c r="CU159" s="75"/>
      <c r="CV159" s="608"/>
      <c r="CW159" s="968">
        <v>704044</v>
      </c>
      <c r="CX159" s="72"/>
      <c r="CY159" s="75"/>
      <c r="CZ159" s="608"/>
      <c r="DA159" s="968"/>
      <c r="DB159" s="72"/>
      <c r="DC159" s="75"/>
      <c r="DD159" s="608"/>
      <c r="DE159" s="968"/>
      <c r="DF159" s="72"/>
      <c r="DH159" s="65"/>
      <c r="DI159" s="65"/>
      <c r="DJ159" s="65"/>
      <c r="DL159" s="65"/>
      <c r="DM159" s="65"/>
      <c r="DN159" s="65"/>
      <c r="DP159" s="65"/>
      <c r="DQ159" s="65"/>
      <c r="DR159" s="65"/>
      <c r="DT159" s="75"/>
      <c r="DU159" s="75"/>
      <c r="DV159" s="75"/>
    </row>
    <row r="160" spans="1:128" s="20" customFormat="1" ht="13.8">
      <c r="A160" s="78" t="s">
        <v>217</v>
      </c>
      <c r="B160" s="49"/>
      <c r="BH160" s="67"/>
      <c r="BI160" s="65"/>
      <c r="BJ160" s="72"/>
      <c r="BK160" s="49"/>
      <c r="BL160" s="67"/>
      <c r="BM160" s="65"/>
      <c r="BN160" s="72"/>
      <c r="BO160" s="49"/>
      <c r="BP160" s="67"/>
      <c r="BQ160" s="65"/>
      <c r="BR160" s="72"/>
      <c r="BT160" s="67"/>
      <c r="BU160" s="65"/>
      <c r="BV160" s="72"/>
      <c r="BX160" s="67"/>
      <c r="BY160" s="65"/>
      <c r="BZ160" s="72"/>
      <c r="CB160" s="67"/>
      <c r="CC160" s="65"/>
      <c r="CD160" s="72"/>
      <c r="CF160" s="49"/>
      <c r="CG160" s="65"/>
      <c r="CH160" s="72"/>
      <c r="CK160" s="65"/>
      <c r="CL160" s="72"/>
      <c r="CO160" s="65"/>
      <c r="CP160" s="72"/>
      <c r="CS160" s="65"/>
      <c r="CT160" s="72"/>
      <c r="CW160" s="65"/>
      <c r="CX160" s="72"/>
      <c r="DA160" s="65"/>
      <c r="DB160" s="72"/>
      <c r="DE160" s="65"/>
      <c r="DF160" s="72"/>
      <c r="DH160" s="49"/>
      <c r="DI160" s="49"/>
      <c r="DJ160" s="72"/>
      <c r="DL160" s="49"/>
      <c r="DM160" s="49"/>
      <c r="DN160" s="72"/>
      <c r="DP160" s="49"/>
      <c r="DQ160" s="49"/>
      <c r="DR160" s="72"/>
    </row>
    <row r="161" spans="1:128" s="20" customFormat="1" ht="13.8">
      <c r="A161" s="47" t="str">
        <f t="shared" ref="A161:A170" si="341">+A149</f>
        <v>Housing Loans</v>
      </c>
      <c r="B161" s="49"/>
      <c r="BE161" s="75">
        <f>+BE149/BD149-1</f>
        <v>2.7456010260932251E-2</v>
      </c>
      <c r="BH161" s="75">
        <f t="shared" ref="BH161:BH170" si="342">+BH149/BE149-1</f>
        <v>3.2838331036037172E-2</v>
      </c>
      <c r="BI161" s="75">
        <f t="shared" ref="BI161:BI170" si="343">+BI149/BH149-1</f>
        <v>6.2929637991959053E-2</v>
      </c>
      <c r="BJ161" s="72"/>
      <c r="BK161" s="49"/>
      <c r="BL161" s="75">
        <f t="shared" ref="BL161:BL170" si="344">+BL149/BI149-1</f>
        <v>4.5152145674498767E-2</v>
      </c>
      <c r="BM161" s="75">
        <f t="shared" ref="BM161:BM170" si="345">+BM149/BL149-1</f>
        <v>2.5215988636750009E-2</v>
      </c>
      <c r="BN161" s="72"/>
      <c r="BO161" s="49"/>
      <c r="BP161" s="75">
        <f t="shared" ref="BP161:BP170" si="346">+BP149/BM149-1</f>
        <v>6.3042581101596218E-2</v>
      </c>
      <c r="BQ161" s="75">
        <f t="shared" ref="BQ161:BQ170" si="347">+BQ149/BP149-1</f>
        <v>4.149436562598563E-2</v>
      </c>
      <c r="BR161" s="72"/>
      <c r="BT161" s="75">
        <f t="shared" ref="BT161:BT170" si="348">+BT149/BQ149-1</f>
        <v>4.2710039005817491E-2</v>
      </c>
      <c r="BU161" s="75">
        <f t="shared" ref="BU161:BU170" si="349">+BU149/BT149-1</f>
        <v>3.141707176166042E-2</v>
      </c>
      <c r="BV161" s="72"/>
      <c r="BX161" s="75">
        <f t="shared" ref="BX161:BX170" si="350">+BX149/BU149-1</f>
        <v>2.373554823855617E-2</v>
      </c>
      <c r="BY161" s="75">
        <f t="shared" ref="BY161:BY170" si="351">+BY149/BX149-1</f>
        <v>1.9633389155235159E-2</v>
      </c>
      <c r="BZ161" s="72"/>
      <c r="CB161" s="75">
        <f>+CB149/BY149-1</f>
        <v>2.3130126975562382E-2</v>
      </c>
      <c r="CC161" s="75">
        <f>+CC149/CB149-1</f>
        <v>3.0222160406361276E-3</v>
      </c>
      <c r="CD161" s="72"/>
      <c r="CF161" s="75">
        <f>+CF149/CC149-1</f>
        <v>8.0657741929892612E-3</v>
      </c>
      <c r="CG161" s="75">
        <f>+CG149/CF149-1</f>
        <v>-1.4724341302092547E-2</v>
      </c>
      <c r="CH161" s="72"/>
      <c r="CJ161" s="75">
        <f>+CJ149/CG149-1</f>
        <v>1.6346332836932209E-2</v>
      </c>
      <c r="CK161" s="75">
        <f>+CK149/CJ149-1</f>
        <v>2.5533157045228183E-2</v>
      </c>
      <c r="CL161" s="72"/>
      <c r="CN161" s="75">
        <f>+CN149/CK149-1</f>
        <v>2.8541928282405538E-2</v>
      </c>
      <c r="CO161" s="75">
        <f>+CO149/CN149-1</f>
        <v>1.0836240904231964E-2</v>
      </c>
      <c r="CP161" s="72"/>
      <c r="CR161" s="75">
        <f>+CR149/CO149-1</f>
        <v>4.2407910417314731E-3</v>
      </c>
      <c r="CS161" s="75">
        <f>+CS149/CR149-1</f>
        <v>1.2641920930531736E-3</v>
      </c>
      <c r="CT161" s="72"/>
      <c r="CV161" s="75">
        <f>+CV149/CS149-1</f>
        <v>4.3739739739739658E-2</v>
      </c>
      <c r="CW161" s="75">
        <f>+CW149/CV149-1</f>
        <v>3.447473344739671E-2</v>
      </c>
      <c r="CX161" s="72"/>
      <c r="CZ161" s="75">
        <f>+CZ149/CW149-1</f>
        <v>2.583493823101124E-2</v>
      </c>
      <c r="DA161" s="75">
        <f>+DA149/CZ149-1</f>
        <v>0.16776601974738581</v>
      </c>
      <c r="DB161" s="72"/>
      <c r="DD161" s="75">
        <f>+DD149/DA149-1</f>
        <v>2.2100735934488247E-2</v>
      </c>
      <c r="DE161" s="75">
        <f>+DE149/DD149-1</f>
        <v>1.7635074697685882E-2</v>
      </c>
      <c r="DF161" s="72"/>
      <c r="DH161" s="75">
        <f>+DH149/DE149-1</f>
        <v>1.1334476464780474E-2</v>
      </c>
      <c r="DI161" s="75">
        <f>+DI149/DH149-1</f>
        <v>2.4987515180549869E-2</v>
      </c>
      <c r="DJ161" s="72"/>
      <c r="DL161" s="75">
        <f>+DL149/DI149-1</f>
        <v>2.7987763653566811E-2</v>
      </c>
      <c r="DM161" s="75">
        <f>+DM149/DL149-1</f>
        <v>2.8003558879073465E-2</v>
      </c>
      <c r="DN161" s="72"/>
      <c r="DP161" s="75">
        <f>+DP149/DM149-1</f>
        <v>2.3023217452822653E-2</v>
      </c>
      <c r="DQ161" s="75">
        <f>+DQ149/DP149-1</f>
        <v>2.3038778715315456E-2</v>
      </c>
      <c r="DR161" s="72"/>
    </row>
    <row r="162" spans="1:128" s="20" customFormat="1" ht="13.8">
      <c r="A162" s="47" t="str">
        <f t="shared" si="341"/>
        <v>Non Housing Loans</v>
      </c>
      <c r="B162" s="49"/>
      <c r="BE162" s="75">
        <f>+BE150/BD150-1</f>
        <v>4.2069125732428159E-2</v>
      </c>
      <c r="BH162" s="75">
        <f t="shared" si="342"/>
        <v>8.6404034599264712E-2</v>
      </c>
      <c r="BI162" s="75">
        <f t="shared" si="343"/>
        <v>6.495816138078836E-2</v>
      </c>
      <c r="BJ162" s="72"/>
      <c r="BK162" s="49"/>
      <c r="BL162" s="75">
        <f t="shared" si="344"/>
        <v>6.0148154491735939E-2</v>
      </c>
      <c r="BM162" s="75">
        <f t="shared" si="345"/>
        <v>2.1842826965874584E-2</v>
      </c>
      <c r="BN162" s="72"/>
      <c r="BO162" s="49"/>
      <c r="BP162" s="75">
        <f t="shared" si="346"/>
        <v>7.5072629893871312E-2</v>
      </c>
      <c r="BQ162" s="75">
        <f t="shared" si="347"/>
        <v>-3.1619042016561849E-4</v>
      </c>
      <c r="BR162" s="72"/>
      <c r="BT162" s="75">
        <f t="shared" si="348"/>
        <v>-7.5438944913976402E-2</v>
      </c>
      <c r="BU162" s="75">
        <f t="shared" si="349"/>
        <v>1.7542463900712013E-2</v>
      </c>
      <c r="BV162" s="72"/>
      <c r="BX162" s="75">
        <f t="shared" si="350"/>
        <v>-2.8940578577013265E-2</v>
      </c>
      <c r="BY162" s="75">
        <f t="shared" si="351"/>
        <v>-9.106390173794332E-3</v>
      </c>
      <c r="BZ162" s="72"/>
      <c r="CB162" s="75">
        <f>+CB150/BY150-1</f>
        <v>1.5003961240782404E-2</v>
      </c>
      <c r="CC162" s="75">
        <f>+CC150/CB150-1</f>
        <v>4.7356581327953728E-2</v>
      </c>
      <c r="CD162" s="72"/>
      <c r="CF162" s="75">
        <f>+CF150/CC150-1</f>
        <v>1.0181190022128028E-2</v>
      </c>
      <c r="CG162" s="75">
        <f>+CG150/CF150-1</f>
        <v>3.8452953394142675E-2</v>
      </c>
      <c r="CH162" s="72"/>
      <c r="CJ162" s="75">
        <f>+CJ150/CG150-1</f>
        <v>0.13430872864652965</v>
      </c>
      <c r="CK162" s="75">
        <f>+CK150/CJ150-1</f>
        <v>-0.15555013120156225</v>
      </c>
      <c r="CL162" s="72"/>
      <c r="CN162" s="75">
        <f>+CN150/CK150-1</f>
        <v>-5.2608758491111463E-2</v>
      </c>
      <c r="CO162" s="75">
        <f>+CO150/CN150-1</f>
        <v>4.4570235657794388E-2</v>
      </c>
      <c r="CP162" s="72"/>
      <c r="CR162" s="75">
        <f>+CR150/CO150-1</f>
        <v>7.5440443979830185E-2</v>
      </c>
      <c r="CS162" s="75">
        <f>+CS150/CR150-1</f>
        <v>6.854024537114789E-2</v>
      </c>
      <c r="CT162" s="72"/>
      <c r="CV162" s="75">
        <f>+CV150/CS150-1</f>
        <v>3.6622073578596037E-3</v>
      </c>
      <c r="CW162" s="75">
        <f>+CW150/CV150-1</f>
        <v>1.0143454572718591E-2</v>
      </c>
      <c r="CX162" s="72"/>
      <c r="CZ162" s="75">
        <f>+CZ150/CW150-1</f>
        <v>-8.4713613226935491E-3</v>
      </c>
      <c r="DA162" s="75">
        <f>+DA150/CZ150-1</f>
        <v>6.0584687145466498E-2</v>
      </c>
      <c r="DB162" s="72"/>
      <c r="DD162" s="75">
        <f>+DD150/DA150-1</f>
        <v>1.9348706478742539E-2</v>
      </c>
      <c r="DE162" s="75">
        <f>+DE150/DD150-1</f>
        <v>1.6156381462937297E-3</v>
      </c>
      <c r="DF162" s="72"/>
      <c r="DH162" s="75">
        <f>+DH150/DE150-1</f>
        <v>1.95070725951485E-4</v>
      </c>
      <c r="DI162" s="75">
        <f>+DI150/DH150-1</f>
        <v>1.6686904775090161E-2</v>
      </c>
      <c r="DJ162" s="72"/>
      <c r="DL162" s="75">
        <f>+DL150/DI150-1</f>
        <v>1.3357786685674666E-2</v>
      </c>
      <c r="DM162" s="75">
        <f>+DM150/DL150-1</f>
        <v>1.8386354377301739E-2</v>
      </c>
      <c r="DN162" s="72"/>
      <c r="DP162" s="75">
        <f>+DP150/DM150-1</f>
        <v>1.5533223116699579E-2</v>
      </c>
      <c r="DQ162" s="75">
        <f>+DQ150/DP150-1</f>
        <v>1.953371397662873E-2</v>
      </c>
      <c r="DR162" s="72"/>
    </row>
    <row r="163" spans="1:128" s="20" customFormat="1" ht="13.8">
      <c r="A163" s="78" t="str">
        <f t="shared" si="341"/>
        <v>Subtotal</v>
      </c>
      <c r="B163" s="49"/>
      <c r="BE163" s="75"/>
      <c r="BH163" s="79">
        <f t="shared" si="342"/>
        <v>5.7834751248381666E-2</v>
      </c>
      <c r="BI163" s="79">
        <f t="shared" si="343"/>
        <v>6.3901813246732164E-2</v>
      </c>
      <c r="BJ163" s="72"/>
      <c r="BK163" s="27"/>
      <c r="BL163" s="79">
        <f t="shared" si="344"/>
        <v>5.2346158823541433E-2</v>
      </c>
      <c r="BM163" s="79">
        <f t="shared" si="345"/>
        <v>2.3585789576419991E-2</v>
      </c>
      <c r="BN163" s="72"/>
      <c r="BO163" s="27"/>
      <c r="BP163" s="79">
        <f t="shared" si="346"/>
        <v>6.8846625462686717E-2</v>
      </c>
      <c r="BQ163" s="79">
        <f t="shared" si="347"/>
        <v>2.1204849371526446E-2</v>
      </c>
      <c r="BR163" s="72"/>
      <c r="BS163" s="27"/>
      <c r="BT163" s="79">
        <f t="shared" si="348"/>
        <v>-1.3416146897985537E-2</v>
      </c>
      <c r="BU163" s="79">
        <f t="shared" si="349"/>
        <v>2.5240352688461476E-2</v>
      </c>
      <c r="BV163" s="72"/>
      <c r="BX163" s="79">
        <f t="shared" si="350"/>
        <v>4.6118450143706191E-4</v>
      </c>
      <c r="BY163" s="79">
        <f t="shared" si="351"/>
        <v>7.3082175580228004E-3</v>
      </c>
      <c r="BZ163" s="72"/>
      <c r="CA163" s="27"/>
      <c r="CB163" s="79">
        <f>+CB151/BY151-1</f>
        <v>1.9701976539308053E-2</v>
      </c>
      <c r="CC163" s="79">
        <f>+CC151/CB151-1</f>
        <v>2.1639193261830281E-2</v>
      </c>
      <c r="CD163" s="72"/>
      <c r="CE163" s="27"/>
      <c r="CF163" s="79">
        <f>+CF151/CC151-1</f>
        <v>8.9764450579372657E-3</v>
      </c>
      <c r="CG163" s="79">
        <f>+CG151/CF151-1</f>
        <v>8.1954248461930668E-3</v>
      </c>
      <c r="CH163" s="72"/>
      <c r="CI163" s="27"/>
      <c r="CJ163" s="79">
        <f>+CJ151/CG151-1</f>
        <v>6.8714772074818686E-2</v>
      </c>
      <c r="CK163" s="79">
        <f>+CK151/CJ151-1</f>
        <v>-5.979136809321095E-2</v>
      </c>
      <c r="CL163" s="72"/>
      <c r="CM163" s="27"/>
      <c r="CN163" s="79">
        <f>+CN151/CK151-1</f>
        <v>-5.8010018156298138E-3</v>
      </c>
      <c r="CO163" s="79">
        <f>+CO151/CN151-1</f>
        <v>2.4440314214108527E-2</v>
      </c>
      <c r="CP163" s="72"/>
      <c r="CQ163" s="27"/>
      <c r="CR163" s="79">
        <f>+CR151/CO151-1</f>
        <v>3.3518025677819807E-2</v>
      </c>
      <c r="CS163" s="79">
        <f>+CS151/CR151-1</f>
        <v>3.0050170266968212E-2</v>
      </c>
      <c r="CT163" s="72"/>
      <c r="CU163" s="27"/>
      <c r="CV163" s="79">
        <f>+CV151/CS151-1</f>
        <v>2.5950640192985652E-2</v>
      </c>
      <c r="CW163" s="79">
        <f>+CW151/CV151-1</f>
        <v>2.3909501581522941E-2</v>
      </c>
      <c r="CX163" s="72"/>
      <c r="CY163" s="27"/>
      <c r="CZ163" s="79">
        <f>+CZ151/CW151-1</f>
        <v>1.1138589375803809E-2</v>
      </c>
      <c r="DA163" s="79">
        <f>+DA151/CZ151-1</f>
        <v>0.12274147743154562</v>
      </c>
      <c r="DB163" s="72"/>
      <c r="DC163" s="27"/>
      <c r="DD163" s="79">
        <f>+DD151/DA151-1</f>
        <v>2.1008670106493543E-2</v>
      </c>
      <c r="DE163" s="79">
        <f>+DE151/DD151-1</f>
        <v>1.1288544912778642E-2</v>
      </c>
      <c r="DF163" s="72"/>
      <c r="DG163" s="27"/>
      <c r="DH163" s="79">
        <f>+DH151/DE151-1</f>
        <v>6.9635135939392079E-3</v>
      </c>
      <c r="DI163" s="79">
        <f>+DI151/DH151-1</f>
        <v>2.1752352677509856E-2</v>
      </c>
      <c r="DJ163" s="72"/>
      <c r="DK163" s="27"/>
      <c r="DL163" s="79">
        <f>+DL151/DI151-1</f>
        <v>2.2313999284694797E-2</v>
      </c>
      <c r="DM163" s="79">
        <f>+DM151/DL151-1</f>
        <v>2.4306511593403801E-2</v>
      </c>
      <c r="DN163" s="72"/>
      <c r="DO163" s="27"/>
      <c r="DP163" s="79">
        <f>+DP151/DM151-1</f>
        <v>2.0160554079473147E-2</v>
      </c>
      <c r="DQ163" s="79">
        <f>+DQ151/DP151-1</f>
        <v>2.1705225211177126E-2</v>
      </c>
      <c r="DR163" s="72"/>
      <c r="DS163" s="27"/>
      <c r="DT163" s="27"/>
      <c r="DU163" s="27"/>
      <c r="DV163" s="27"/>
    </row>
    <row r="164" spans="1:128" s="20" customFormat="1" ht="13.8">
      <c r="A164" s="335" t="str">
        <f t="shared" si="341"/>
        <v>Add: Capitalised brokerage/ mortgage origination fees</v>
      </c>
      <c r="B164" s="336" t="s">
        <v>556</v>
      </c>
      <c r="C164" s="325"/>
      <c r="D164" s="325"/>
      <c r="E164" s="325"/>
      <c r="F164" s="325"/>
      <c r="G164" s="325"/>
      <c r="H164" s="325"/>
      <c r="I164" s="325"/>
      <c r="J164" s="325"/>
      <c r="K164" s="325"/>
      <c r="L164" s="325"/>
      <c r="M164" s="325"/>
      <c r="N164" s="325"/>
      <c r="O164" s="325"/>
      <c r="P164" s="325"/>
      <c r="Q164" s="325"/>
      <c r="R164" s="325"/>
      <c r="S164" s="325"/>
      <c r="T164" s="325"/>
      <c r="U164" s="325"/>
      <c r="V164" s="325"/>
      <c r="W164" s="325"/>
      <c r="X164" s="325"/>
      <c r="Y164" s="325"/>
      <c r="Z164" s="325"/>
      <c r="AA164" s="325"/>
      <c r="AB164" s="325"/>
      <c r="AC164" s="325"/>
      <c r="AD164" s="325"/>
      <c r="AE164" s="325"/>
      <c r="AF164" s="325"/>
      <c r="AG164" s="325"/>
      <c r="AH164" s="325"/>
      <c r="AI164" s="325"/>
      <c r="AJ164" s="325"/>
      <c r="AK164" s="325"/>
      <c r="AL164" s="325"/>
      <c r="AM164" s="325"/>
      <c r="AN164" s="325"/>
      <c r="AO164" s="325"/>
      <c r="AP164" s="325"/>
      <c r="AQ164" s="325"/>
      <c r="AR164" s="325"/>
      <c r="AS164" s="325"/>
      <c r="AT164" s="325"/>
      <c r="AU164" s="325"/>
      <c r="AV164" s="325"/>
      <c r="AW164" s="325"/>
      <c r="AX164" s="325"/>
      <c r="AY164" s="325"/>
      <c r="AZ164" s="325"/>
      <c r="BA164" s="325"/>
      <c r="BB164" s="325"/>
      <c r="BC164" s="325"/>
      <c r="BD164" s="325"/>
      <c r="BE164" s="345"/>
      <c r="BF164" s="325"/>
      <c r="BG164" s="325"/>
      <c r="BH164" s="345">
        <f t="shared" si="342"/>
        <v>9.0338770388958656E-2</v>
      </c>
      <c r="BI164" s="345">
        <f t="shared" si="343"/>
        <v>8.4004602991944788E-2</v>
      </c>
      <c r="BJ164" s="378"/>
      <c r="BK164" s="324"/>
      <c r="BL164" s="345">
        <f t="shared" si="344"/>
        <v>6.1571125265392768E-2</v>
      </c>
      <c r="BM164" s="345">
        <f t="shared" si="345"/>
        <v>4.2999999999999927E-2</v>
      </c>
      <c r="BN164" s="378"/>
      <c r="BO164" s="324"/>
      <c r="BP164" s="345">
        <f t="shared" si="346"/>
        <v>8.0536912751677958E-2</v>
      </c>
      <c r="BQ164" s="345">
        <f t="shared" si="347"/>
        <v>0.11180124223602483</v>
      </c>
      <c r="BR164" s="378"/>
      <c r="BS164" s="325"/>
      <c r="BT164" s="345">
        <f t="shared" si="348"/>
        <v>-0.19154030327214688</v>
      </c>
      <c r="BU164" s="345">
        <f t="shared" si="349"/>
        <v>5.0345508390918114E-2</v>
      </c>
      <c r="BV164" s="378"/>
      <c r="BW164" s="325"/>
      <c r="BX164" s="345">
        <f t="shared" si="350"/>
        <v>-2.2556390977443663E-2</v>
      </c>
      <c r="BY164" s="345">
        <f t="shared" si="351"/>
        <v>1.7307692307692246E-2</v>
      </c>
      <c r="BZ164" s="378"/>
      <c r="CA164" s="325"/>
      <c r="CB164" s="345">
        <f>+CB152/BY152-1</f>
        <v>-1.3232514177693777E-2</v>
      </c>
      <c r="CC164" s="345">
        <f>+CC152/CB152-1</f>
        <v>-4.5019157088122652E-2</v>
      </c>
      <c r="CD164" s="378"/>
      <c r="CE164" s="325"/>
      <c r="CF164" s="345">
        <f>+CF152/CC152-1</f>
        <v>-5.0150451354062153E-2</v>
      </c>
      <c r="CG164" s="345">
        <f>+CG152/CF152-1</f>
        <v>-8.1309398099260854E-2</v>
      </c>
      <c r="CH164" s="378"/>
      <c r="CI164" s="325"/>
      <c r="CJ164" s="345">
        <f>+CJ152/CG152-1</f>
        <v>0.33103448275862069</v>
      </c>
      <c r="CK164" s="345">
        <f>+CK152/CJ152-1</f>
        <v>8.9810017271157117E-2</v>
      </c>
      <c r="CL164" s="378"/>
      <c r="CM164" s="325"/>
      <c r="CN164" s="345">
        <f>+CN152/CK152-1</f>
        <v>9.191759112519815E-2</v>
      </c>
      <c r="CO164" s="345">
        <f>+CO152/CN152-1</f>
        <v>4.0638606676342448E-2</v>
      </c>
      <c r="CP164" s="378"/>
      <c r="CQ164" s="325"/>
      <c r="CR164" s="345">
        <f>+CR152/CO152-1</f>
        <v>3.3472803347280422E-2</v>
      </c>
      <c r="CS164" s="345">
        <f>+CS152/CR152-1</f>
        <v>0.94466936572199733</v>
      </c>
      <c r="CT164" s="378"/>
      <c r="CU164" s="325"/>
      <c r="CV164" s="345">
        <f>+CV152/CS152-1</f>
        <v>9.819569743233858E-2</v>
      </c>
      <c r="CW164" s="345">
        <f>+CW152/CV152-1</f>
        <v>9.794628751974721E-2</v>
      </c>
      <c r="CX164" s="378"/>
      <c r="CY164" s="325"/>
      <c r="CZ164" s="345">
        <f>+CZ152/CW152-1</f>
        <v>4.8057553956834642E-2</v>
      </c>
      <c r="DA164" s="345">
        <f>+DA152/CZ152-1</f>
        <v>0.16337177375068634</v>
      </c>
      <c r="DB164" s="378"/>
      <c r="DC164" s="325"/>
      <c r="DD164" s="345">
        <f>+DD152/DA152-1</f>
        <v>2.3129572810951071E-2</v>
      </c>
      <c r="DE164" s="345">
        <f>+DE152/DD152-1</f>
        <v>3.8062283737024138E-2</v>
      </c>
      <c r="DF164" s="378"/>
      <c r="DG164" s="325"/>
      <c r="DH164" s="346">
        <v>1.4999999999999999E-2</v>
      </c>
      <c r="DI164" s="346">
        <v>1.4999999999999999E-2</v>
      </c>
      <c r="DJ164" s="326"/>
      <c r="DK164" s="325"/>
      <c r="DL164" s="346">
        <v>1.4999999999999999E-2</v>
      </c>
      <c r="DM164" s="346">
        <v>1.4999999999999999E-2</v>
      </c>
      <c r="DN164" s="326"/>
      <c r="DO164" s="325"/>
      <c r="DP164" s="346">
        <v>1.4999999999999999E-2</v>
      </c>
      <c r="DQ164" s="346">
        <v>1.4999999999999999E-2</v>
      </c>
      <c r="DR164" s="326"/>
      <c r="DS164" s="325"/>
      <c r="DT164" s="325"/>
      <c r="DU164" s="325"/>
      <c r="DV164" s="325"/>
    </row>
    <row r="165" spans="1:128" s="20" customFormat="1" ht="13.8">
      <c r="A165" s="335" t="str">
        <f t="shared" si="341"/>
        <v>Add: Customers' liability for acceptances</v>
      </c>
      <c r="B165" s="336" t="s">
        <v>556</v>
      </c>
      <c r="C165" s="325"/>
      <c r="D165" s="325"/>
      <c r="E165" s="325"/>
      <c r="F165" s="325"/>
      <c r="G165" s="325"/>
      <c r="H165" s="325"/>
      <c r="I165" s="325"/>
      <c r="J165" s="325"/>
      <c r="K165" s="325"/>
      <c r="L165" s="325"/>
      <c r="M165" s="325"/>
      <c r="N165" s="325"/>
      <c r="O165" s="325"/>
      <c r="P165" s="325"/>
      <c r="Q165" s="325"/>
      <c r="R165" s="325"/>
      <c r="S165" s="325"/>
      <c r="T165" s="325"/>
      <c r="U165" s="325"/>
      <c r="V165" s="325"/>
      <c r="W165" s="325"/>
      <c r="X165" s="325"/>
      <c r="Y165" s="325"/>
      <c r="Z165" s="325"/>
      <c r="AA165" s="325"/>
      <c r="AB165" s="325"/>
      <c r="AC165" s="325"/>
      <c r="AD165" s="325"/>
      <c r="AE165" s="325"/>
      <c r="AF165" s="325"/>
      <c r="AG165" s="325"/>
      <c r="AH165" s="325"/>
      <c r="AI165" s="325"/>
      <c r="AJ165" s="325"/>
      <c r="AK165" s="325"/>
      <c r="AL165" s="325"/>
      <c r="AM165" s="325"/>
      <c r="AN165" s="325"/>
      <c r="AO165" s="325"/>
      <c r="AP165" s="325"/>
      <c r="AQ165" s="325"/>
      <c r="AR165" s="325"/>
      <c r="AS165" s="325"/>
      <c r="AT165" s="325"/>
      <c r="AU165" s="325"/>
      <c r="AV165" s="325"/>
      <c r="AW165" s="325"/>
      <c r="AX165" s="325"/>
      <c r="AY165" s="325"/>
      <c r="AZ165" s="325"/>
      <c r="BA165" s="325"/>
      <c r="BB165" s="325"/>
      <c r="BC165" s="325"/>
      <c r="BD165" s="325"/>
      <c r="BE165" s="345"/>
      <c r="BF165" s="325"/>
      <c r="BG165" s="325"/>
      <c r="BH165" s="345">
        <f t="shared" si="342"/>
        <v>2.4213075060532718E-2</v>
      </c>
      <c r="BI165" s="345">
        <f t="shared" si="343"/>
        <v>-0.36012608353033881</v>
      </c>
      <c r="BJ165" s="378"/>
      <c r="BK165" s="324"/>
      <c r="BL165" s="345">
        <f t="shared" si="344"/>
        <v>0.45935960591133007</v>
      </c>
      <c r="BM165" s="345">
        <f t="shared" si="345"/>
        <v>-2.8691983122362874E-2</v>
      </c>
      <c r="BN165" s="378"/>
      <c r="BO165" s="324"/>
      <c r="BP165" s="345">
        <f t="shared" si="346"/>
        <v>0.23544743701129445</v>
      </c>
      <c r="BQ165" s="345">
        <f t="shared" si="347"/>
        <v>-3.5864978902953593E-2</v>
      </c>
      <c r="BR165" s="378"/>
      <c r="BS165" s="325"/>
      <c r="BT165" s="345">
        <f t="shared" si="348"/>
        <v>-0.44566010211524432</v>
      </c>
      <c r="BU165" s="345">
        <f t="shared" si="349"/>
        <v>-0.24868421052631584</v>
      </c>
      <c r="BV165" s="378"/>
      <c r="BW165" s="325"/>
      <c r="BX165" s="345">
        <f t="shared" si="350"/>
        <v>-1.0507880910682998E-2</v>
      </c>
      <c r="BY165" s="345">
        <f t="shared" si="351"/>
        <v>-1</v>
      </c>
      <c r="BZ165" s="378"/>
      <c r="CA165" s="325"/>
      <c r="CB165" s="345"/>
      <c r="CC165" s="345"/>
      <c r="CD165" s="378"/>
      <c r="CE165" s="325"/>
      <c r="CF165" s="345"/>
      <c r="CG165" s="345"/>
      <c r="CH165" s="378"/>
      <c r="CI165" s="325"/>
      <c r="CJ165" s="345"/>
      <c r="CK165" s="345"/>
      <c r="CL165" s="378"/>
      <c r="CM165" s="325"/>
      <c r="CN165" s="345"/>
      <c r="CO165" s="345"/>
      <c r="CP165" s="378"/>
      <c r="CQ165" s="325"/>
      <c r="CR165" s="345"/>
      <c r="CS165" s="345"/>
      <c r="CT165" s="378"/>
      <c r="CU165" s="325"/>
      <c r="CV165" s="345"/>
      <c r="CW165" s="345"/>
      <c r="CX165" s="378"/>
      <c r="CY165" s="325"/>
      <c r="CZ165" s="345"/>
      <c r="DA165" s="345"/>
      <c r="DB165" s="378"/>
      <c r="DC165" s="325"/>
      <c r="DD165" s="345"/>
      <c r="DE165" s="345"/>
      <c r="DF165" s="378"/>
      <c r="DG165" s="325"/>
      <c r="DH165" s="346"/>
      <c r="DI165" s="346"/>
      <c r="DJ165" s="326"/>
      <c r="DK165" s="325"/>
      <c r="DL165" s="346"/>
      <c r="DM165" s="346"/>
      <c r="DN165" s="326"/>
      <c r="DO165" s="325"/>
      <c r="DP165" s="346"/>
      <c r="DQ165" s="346"/>
      <c r="DR165" s="326"/>
      <c r="DS165" s="325"/>
      <c r="DT165" s="325"/>
      <c r="DU165" s="325"/>
      <c r="DV165" s="325"/>
    </row>
    <row r="166" spans="1:128" s="20" customFormat="1" ht="13.8">
      <c r="A166" s="78" t="str">
        <f t="shared" si="341"/>
        <v>Subtotal</v>
      </c>
      <c r="B166" s="49"/>
      <c r="BE166" s="79">
        <f>+BE154/BD154-1</f>
        <v>3.5691901462993725E-2</v>
      </c>
      <c r="BH166" s="79">
        <f t="shared" si="342"/>
        <v>5.7798507119255493E-2</v>
      </c>
      <c r="BI166" s="79">
        <f t="shared" si="343"/>
        <v>6.2769324472771171E-2</v>
      </c>
      <c r="BJ166" s="72"/>
      <c r="BK166" s="49"/>
      <c r="BL166" s="79">
        <f t="shared" si="344"/>
        <v>5.3040397403857353E-2</v>
      </c>
      <c r="BM166" s="79">
        <f t="shared" si="345"/>
        <v>2.3503114765250688E-2</v>
      </c>
      <c r="BN166" s="72"/>
      <c r="BO166" s="49"/>
      <c r="BP166" s="79">
        <f t="shared" si="346"/>
        <v>6.923393919597709E-2</v>
      </c>
      <c r="BQ166" s="79">
        <f t="shared" si="347"/>
        <v>2.1242056429984668E-2</v>
      </c>
      <c r="BR166" s="72"/>
      <c r="BT166" s="79">
        <f t="shared" si="348"/>
        <v>-1.4834937408042537E-2</v>
      </c>
      <c r="BU166" s="79">
        <f t="shared" si="349"/>
        <v>2.4917735284148756E-2</v>
      </c>
      <c r="BV166" s="72"/>
      <c r="BX166" s="79">
        <f t="shared" si="350"/>
        <v>4.082131802907174E-4</v>
      </c>
      <c r="BY166" s="79">
        <f t="shared" si="351"/>
        <v>6.3462439051265029E-3</v>
      </c>
      <c r="BZ166" s="72"/>
      <c r="CB166" s="79">
        <f>+CB154/BY154-1</f>
        <v>1.9642362216040432E-2</v>
      </c>
      <c r="CC166" s="79">
        <f>+CC154/CB154-1</f>
        <v>2.1522425975237569E-2</v>
      </c>
      <c r="CD166" s="72"/>
      <c r="CF166" s="79">
        <f>+CF154/CC154-1</f>
        <v>8.8796176146910266E-3</v>
      </c>
      <c r="CG166" s="79">
        <f>+CG154/CF154-1</f>
        <v>8.0574260520729357E-3</v>
      </c>
      <c r="CH166" s="72"/>
      <c r="CJ166" s="79">
        <f>+CJ154/CG154-1</f>
        <v>6.9083362270154103E-2</v>
      </c>
      <c r="CK166" s="79">
        <f>+CK154/CJ154-1</f>
        <v>-5.9529654545207311E-2</v>
      </c>
      <c r="CL166" s="72"/>
      <c r="CN166" s="79">
        <f>+CN154/CK154-1</f>
        <v>-5.6029068291851836E-3</v>
      </c>
      <c r="CO166" s="79">
        <f>+CO154/CN154-1</f>
        <v>2.4476371707433664E-2</v>
      </c>
      <c r="CP166" s="72"/>
      <c r="CR166" s="79">
        <f>+CR154/CO154-1</f>
        <v>3.3517923424545737E-2</v>
      </c>
      <c r="CS166" s="79">
        <f>+CS154/CR154-1</f>
        <v>3.2118146936097824E-2</v>
      </c>
      <c r="CT166" s="72"/>
      <c r="CV166" s="79">
        <f>+CV154/CS154-1</f>
        <v>2.6258412699351252E-2</v>
      </c>
      <c r="CW166" s="79">
        <f>+CW154/CV154-1</f>
        <v>2.4247015934699911E-2</v>
      </c>
      <c r="CX166" s="72"/>
      <c r="CZ166" s="79">
        <f>+CZ154/CW154-1</f>
        <v>1.1319003522686444E-2</v>
      </c>
      <c r="DA166" s="79">
        <f>+DA154/CZ154-1</f>
        <v>0.12294724078570107</v>
      </c>
      <c r="DB166" s="72"/>
      <c r="DD166" s="79">
        <f>+DD154/DA154-1</f>
        <v>2.1019797615568603E-2</v>
      </c>
      <c r="DE166" s="79">
        <f>+DE154/DD154-1</f>
        <v>1.1429306031069286E-2</v>
      </c>
      <c r="DF166" s="72"/>
      <c r="DH166" s="79">
        <f>+DH154/DE154-1</f>
        <v>7.0068774385181332E-3</v>
      </c>
      <c r="DI166" s="79">
        <f>+DI154/DH154-1</f>
        <v>2.1715628651361119E-2</v>
      </c>
      <c r="DJ166" s="72"/>
      <c r="DL166" s="79">
        <f>+DL154/DI154-1</f>
        <v>2.2274482091555914E-2</v>
      </c>
      <c r="DM166" s="79">
        <f>+DM154/DL154-1</f>
        <v>2.4256586760397658E-2</v>
      </c>
      <c r="DN166" s="72"/>
      <c r="DP166" s="79">
        <f>+DP154/DM154-1</f>
        <v>2.0133120447481723E-2</v>
      </c>
      <c r="DQ166" s="79">
        <f>+DQ154/DP154-1</f>
        <v>2.1669759429317592E-2</v>
      </c>
      <c r="DR166" s="72"/>
    </row>
    <row r="167" spans="1:128" s="325" customFormat="1" ht="13.8">
      <c r="A167" s="335" t="str">
        <f t="shared" si="341"/>
        <v>Less: Unearned income</v>
      </c>
      <c r="B167" s="336" t="s">
        <v>556</v>
      </c>
      <c r="BE167" s="345">
        <f>+BE155/BD155-1</f>
        <v>-0.45641699518177836</v>
      </c>
      <c r="BH167" s="345">
        <f t="shared" si="342"/>
        <v>-0.12409347300564066</v>
      </c>
      <c r="BI167" s="345">
        <f t="shared" si="343"/>
        <v>-0.12235510579576814</v>
      </c>
      <c r="BJ167" s="324"/>
      <c r="BK167" s="324"/>
      <c r="BL167" s="345">
        <f t="shared" si="344"/>
        <v>-3.3542976939203384E-2</v>
      </c>
      <c r="BM167" s="345">
        <f t="shared" si="345"/>
        <v>-3.2537960954446832E-2</v>
      </c>
      <c r="BN167" s="324"/>
      <c r="BO167" s="324"/>
      <c r="BP167" s="345">
        <f t="shared" si="346"/>
        <v>-9.9775784753363239E-2</v>
      </c>
      <c r="BQ167" s="345">
        <f t="shared" si="347"/>
        <v>-7.9701120797011193E-2</v>
      </c>
      <c r="BR167" s="324"/>
      <c r="BT167" s="345">
        <f t="shared" si="348"/>
        <v>-0.19350473612990526</v>
      </c>
      <c r="BU167" s="345">
        <f t="shared" si="349"/>
        <v>-8.7248322147650992E-2</v>
      </c>
      <c r="BV167" s="324"/>
      <c r="BX167" s="345">
        <f t="shared" si="350"/>
        <v>-0.15808823529411764</v>
      </c>
      <c r="BY167" s="345">
        <f t="shared" si="351"/>
        <v>-0.1026200873362445</v>
      </c>
      <c r="BZ167" s="324"/>
      <c r="CB167" s="345">
        <f>+CB155/BY155-1</f>
        <v>7.2992700729926918E-2</v>
      </c>
      <c r="CC167" s="345">
        <f>+CC155/CB155-1</f>
        <v>-2.4943310657596363E-2</v>
      </c>
      <c r="CD167" s="324"/>
      <c r="CF167" s="345">
        <f>+CF155/CC155-1</f>
        <v>3.7209302325581506E-2</v>
      </c>
      <c r="CG167" s="345">
        <f>+CG155/CF155-1</f>
        <v>-0.1076233183856502</v>
      </c>
      <c r="CH167" s="324"/>
      <c r="CJ167" s="345">
        <f>+CJ155/CG155-1</f>
        <v>0.66080402010050254</v>
      </c>
      <c r="CK167" s="345">
        <f>+CK155/CJ155-1</f>
        <v>-0.30408472012102872</v>
      </c>
      <c r="CL167" s="324"/>
      <c r="CN167" s="345">
        <f>+CN155/CK155-1</f>
        <v>-5.0000000000000044E-2</v>
      </c>
      <c r="CO167" s="345">
        <f>+CO155/CN155-1</f>
        <v>-6.8649885583523806E-3</v>
      </c>
      <c r="CP167" s="324"/>
      <c r="CR167" s="345">
        <f>+CR155/CO155-1</f>
        <v>5.9907834101382562E-2</v>
      </c>
      <c r="CS167" s="345">
        <f>+CS155/CR155-1</f>
        <v>0.12608695652173907</v>
      </c>
      <c r="CT167" s="324"/>
      <c r="CV167" s="345">
        <f>+CV155/CS155-1</f>
        <v>1.5444015444015413E-2</v>
      </c>
      <c r="CW167" s="345">
        <f>+CW155/CV155-1</f>
        <v>-2.0912547528517123E-2</v>
      </c>
      <c r="CX167" s="324"/>
      <c r="CZ167" s="345">
        <f>+CZ155/CW155-1</f>
        <v>-4.0776699029126173E-2</v>
      </c>
      <c r="DA167" s="345">
        <f>+DA155/CZ155-1</f>
        <v>4.2510121457489891E-2</v>
      </c>
      <c r="DB167" s="324"/>
      <c r="DD167" s="345">
        <f>+DD155/DA155-1</f>
        <v>0.13398058252427192</v>
      </c>
      <c r="DE167" s="345">
        <f>+DE155/DD155-1</f>
        <v>9.7602739726027288E-2</v>
      </c>
      <c r="DF167" s="324"/>
      <c r="DH167" s="346">
        <v>1.4999999999999999E-2</v>
      </c>
      <c r="DI167" s="346">
        <v>1.4999999999999999E-2</v>
      </c>
      <c r="DJ167" s="326"/>
      <c r="DL167" s="346">
        <v>1.4999999999999999E-2</v>
      </c>
      <c r="DM167" s="346">
        <v>1.4999999999999999E-2</v>
      </c>
      <c r="DN167" s="326"/>
      <c r="DP167" s="346">
        <v>1.4999999999999999E-2</v>
      </c>
      <c r="DQ167" s="346">
        <v>1.4999999999999999E-2</v>
      </c>
      <c r="DR167" s="326"/>
      <c r="DW167" s="20"/>
      <c r="DX167" s="20"/>
    </row>
    <row r="168" spans="1:128" s="20" customFormat="1" ht="13.8">
      <c r="A168" s="78" t="str">
        <f t="shared" si="341"/>
        <v>Gross Loans &amp; Acceptances</v>
      </c>
      <c r="B168" s="49"/>
      <c r="BE168" s="79">
        <f>+BE156/BD156-1</f>
        <v>3.8383940038721809E-2</v>
      </c>
      <c r="BH168" s="79">
        <f t="shared" si="342"/>
        <v>5.8319391722721603E-2</v>
      </c>
      <c r="BI168" s="79">
        <f t="shared" si="343"/>
        <v>6.3208090216907875E-2</v>
      </c>
      <c r="BJ168" s="72"/>
      <c r="BK168" s="49"/>
      <c r="BL168" s="79">
        <f t="shared" si="344"/>
        <v>5.3209793752063694E-2</v>
      </c>
      <c r="BM168" s="79">
        <f t="shared" si="345"/>
        <v>2.360372534625732E-2</v>
      </c>
      <c r="BN168" s="72"/>
      <c r="BO168" s="49"/>
      <c r="BP168" s="79">
        <f t="shared" si="346"/>
        <v>6.9520720583619466E-2</v>
      </c>
      <c r="BQ168" s="79">
        <f t="shared" si="347"/>
        <v>2.1386227369177391E-2</v>
      </c>
      <c r="BR168" s="72"/>
      <c r="BT168" s="79">
        <f t="shared" si="348"/>
        <v>-1.4605009969438698E-2</v>
      </c>
      <c r="BU168" s="79">
        <f t="shared" si="349"/>
        <v>2.5035874090777455E-2</v>
      </c>
      <c r="BV168" s="72"/>
      <c r="BX168" s="79">
        <f t="shared" si="350"/>
        <v>5.5686294792556268E-4</v>
      </c>
      <c r="BY168" s="79">
        <f t="shared" si="351"/>
        <v>6.4322366539273368E-3</v>
      </c>
      <c r="BZ168" s="72"/>
      <c r="CB168" s="79">
        <f>+CB156/BY156-1</f>
        <v>1.9604821851389564E-2</v>
      </c>
      <c r="CC168" s="79">
        <f>+CC156/CB156-1</f>
        <v>2.155683394286223E-2</v>
      </c>
      <c r="CD168" s="72"/>
      <c r="CF168" s="79">
        <f>+CF156/CC156-1</f>
        <v>8.8595943324896176E-3</v>
      </c>
      <c r="CG168" s="79">
        <f>+CG156/CF156-1</f>
        <v>8.14148622448152E-3</v>
      </c>
      <c r="CH168" s="72"/>
      <c r="CJ168" s="79">
        <f>+CJ156/CG156-1</f>
        <v>6.8702758873695702E-2</v>
      </c>
      <c r="CK168" s="79">
        <f>+CK156/CJ156-1</f>
        <v>-5.9285202290110917E-2</v>
      </c>
      <c r="CL168" s="72"/>
      <c r="CN168" s="79">
        <f>+CN156/CK156-1</f>
        <v>-5.5700768718833782E-3</v>
      </c>
      <c r="CO168" s="79">
        <f>+CO156/CN156-1</f>
        <v>2.4498511984144988E-2</v>
      </c>
      <c r="CP168" s="72"/>
      <c r="CR168" s="79">
        <f>+CR156/CO156-1</f>
        <v>3.3499851679805071E-2</v>
      </c>
      <c r="CS168" s="79">
        <f>+CS156/CR156-1</f>
        <v>3.2052153069870748E-2</v>
      </c>
      <c r="CT168" s="72"/>
      <c r="CV168" s="79">
        <f>+CV156/CS156-1</f>
        <v>2.6266699606058763E-2</v>
      </c>
      <c r="CW168" s="79">
        <f>+CW156/CV156-1</f>
        <v>2.4281256081124969E-2</v>
      </c>
      <c r="CX168" s="72"/>
      <c r="CZ168" s="79">
        <f>+CZ156/CW156-1</f>
        <v>1.1356759875596367E-2</v>
      </c>
      <c r="DA168" s="79">
        <f>+DA156/CZ156-1</f>
        <v>0.12300253249102489</v>
      </c>
      <c r="DB168" s="72"/>
      <c r="DD168" s="79">
        <f>+DD156/DA156-1</f>
        <v>2.0947714969326903E-2</v>
      </c>
      <c r="DE168" s="79">
        <f>+DE156/DD156-1</f>
        <v>1.1368228913191558E-2</v>
      </c>
      <c r="DF168" s="72"/>
      <c r="DH168" s="79">
        <f>+DH156/DE156-1</f>
        <v>7.0007291040505848E-3</v>
      </c>
      <c r="DI168" s="79">
        <f>+DI156/DH156-1</f>
        <v>2.1720835368003177E-2</v>
      </c>
      <c r="DJ168" s="72"/>
      <c r="DL168" s="79">
        <f>+DL156/DI156-1</f>
        <v>2.2280084995042193E-2</v>
      </c>
      <c r="DM168" s="79">
        <f>+DM156/DL156-1</f>
        <v>2.4263665534940193E-2</v>
      </c>
      <c r="DN168" s="72"/>
      <c r="DP168" s="79">
        <f>+DP156/DM156-1</f>
        <v>2.0137010387768051E-2</v>
      </c>
      <c r="DQ168" s="79">
        <f>+DQ156/DP156-1</f>
        <v>2.1674788400970035E-2</v>
      </c>
      <c r="DR168" s="72"/>
    </row>
    <row r="169" spans="1:128" s="20" customFormat="1" ht="13.8">
      <c r="A169" s="47" t="str">
        <f t="shared" si="341"/>
        <v>Less: Provisions for doubtful debts</v>
      </c>
      <c r="B169" s="92"/>
      <c r="BE169" s="96">
        <f>+BE157/BD157-1</f>
        <v>-3.6108751062022049E-2</v>
      </c>
      <c r="BH169" s="96">
        <f t="shared" si="342"/>
        <v>-4.9801674746584368E-2</v>
      </c>
      <c r="BI169" s="96">
        <f t="shared" si="343"/>
        <v>9.7402597402598268E-3</v>
      </c>
      <c r="BJ169" s="49"/>
      <c r="BK169" s="49"/>
      <c r="BL169" s="96">
        <f t="shared" si="344"/>
        <v>-9.4166283876895296E-3</v>
      </c>
      <c r="BM169" s="96">
        <f t="shared" si="345"/>
        <v>-8.8105726872246715E-2</v>
      </c>
      <c r="BN169" s="49"/>
      <c r="BO169" s="49"/>
      <c r="BP169" s="96">
        <f t="shared" si="346"/>
        <v>2.4154589371980784E-2</v>
      </c>
      <c r="BQ169" s="96">
        <f t="shared" si="347"/>
        <v>-2.7308838133068836E-3</v>
      </c>
      <c r="BR169" s="49"/>
      <c r="BT169" s="96">
        <f t="shared" si="348"/>
        <v>2.0662185710729419E-2</v>
      </c>
      <c r="BU169" s="96">
        <f t="shared" si="349"/>
        <v>2.0243902439024408E-2</v>
      </c>
      <c r="BV169" s="49"/>
      <c r="BX169" s="96">
        <f t="shared" si="350"/>
        <v>-3.0839110686110449E-2</v>
      </c>
      <c r="BY169" s="96">
        <f t="shared" si="351"/>
        <v>-6.3147508633448424E-2</v>
      </c>
      <c r="BZ169" s="49"/>
      <c r="CB169" s="96">
        <f>+CB157/BY157-1</f>
        <v>-5.3449183780937326E-2</v>
      </c>
      <c r="CC169" s="96">
        <f>+CC157/CB157-1</f>
        <v>-4.2280945757997235E-2</v>
      </c>
      <c r="CD169" s="49"/>
      <c r="CF169" s="96">
        <f>+CF157/CC157-1</f>
        <v>4.5890212024397359E-2</v>
      </c>
      <c r="CG169" s="96">
        <f>+CG157/CF157-1</f>
        <v>-2.5548458761455173E-2</v>
      </c>
      <c r="CH169" s="49"/>
      <c r="CJ169" s="96">
        <f>+CJ157/CG157-1</f>
        <v>0.33057851239669422</v>
      </c>
      <c r="CK169" s="96">
        <f>+CK157/CJ157-1</f>
        <v>6.6823730991647068E-2</v>
      </c>
      <c r="CL169" s="49"/>
      <c r="CN169" s="96">
        <f>+CN157/CK157-1</f>
        <v>-0.14675767918088733</v>
      </c>
      <c r="CO169" s="96">
        <f>+CO157/CN157-1</f>
        <v>-4.8235294117647043E-2</v>
      </c>
      <c r="CP169" s="49"/>
      <c r="CR169" s="96">
        <f>+CR157/CO157-1</f>
        <v>-0.12014833127317681</v>
      </c>
      <c r="CS169" s="96">
        <f>+CS157/CR157-1</f>
        <v>6.4624894633324992E-3</v>
      </c>
      <c r="CT169" s="49"/>
      <c r="CV169" s="96">
        <f>+CV157/CS157-1</f>
        <v>2.1217197096593976E-2</v>
      </c>
      <c r="CW169" s="96">
        <f>+CW157/CV157-1</f>
        <v>-3.0617823947512335E-2</v>
      </c>
      <c r="CX169" s="49"/>
      <c r="CZ169" s="96">
        <f>+CZ157/CW157-1</f>
        <v>-1.6074450084602399E-2</v>
      </c>
      <c r="DA169" s="96">
        <f>+DA157/CZ157-1</f>
        <v>5.3310404127257183E-2</v>
      </c>
      <c r="DB169" s="49"/>
      <c r="DD169" s="96">
        <f>+DD157/DA157-1</f>
        <v>2.3401360544217598E-2</v>
      </c>
      <c r="DE169" s="96">
        <f>+DE157/DD157-1</f>
        <v>3.0045200744482914E-2</v>
      </c>
      <c r="DF169" s="49"/>
      <c r="DH169" s="96">
        <f ca="1">+DH157/DE157-1</f>
        <v>0.11117403639157253</v>
      </c>
      <c r="DI169" s="96">
        <f ca="1">+DI157/DH157-1</f>
        <v>9.9295198414381947E-3</v>
      </c>
      <c r="DJ169" s="65"/>
      <c r="DL169" s="96">
        <f ca="1">+DL157/DI157-1</f>
        <v>6.5308149698672935E-4</v>
      </c>
      <c r="DM169" s="96">
        <f ca="1">+DM157/DL157-1</f>
        <v>3.0195186083324499E-2</v>
      </c>
      <c r="DN169" s="65"/>
      <c r="DP169" s="96">
        <f ca="1">+DP157/DM157-1</f>
        <v>2.6287282944514434E-2</v>
      </c>
      <c r="DQ169" s="96">
        <f ca="1">+DQ157/DP157-1</f>
        <v>2.8348496018726577E-2</v>
      </c>
      <c r="DR169" s="65"/>
    </row>
    <row r="170" spans="1:128" s="20" customFormat="1" ht="13.8">
      <c r="A170" s="78" t="str">
        <f t="shared" si="341"/>
        <v>Net Loans &amp; Acceptances</v>
      </c>
      <c r="B170" s="49"/>
      <c r="BE170" s="79">
        <f>+BE158/BD158-1</f>
        <v>3.9233886212278302E-2</v>
      </c>
      <c r="BH170" s="79">
        <f t="shared" si="342"/>
        <v>5.9463594027288957E-2</v>
      </c>
      <c r="BI170" s="79">
        <f t="shared" si="343"/>
        <v>6.3715563616513649E-2</v>
      </c>
      <c r="BJ170" s="72"/>
      <c r="BK170" s="49"/>
      <c r="BL170" s="79">
        <f t="shared" si="344"/>
        <v>5.3774031945338363E-2</v>
      </c>
      <c r="BM170" s="79">
        <f t="shared" si="345"/>
        <v>2.4549828178694222E-2</v>
      </c>
      <c r="BN170" s="72"/>
      <c r="BO170" s="49"/>
      <c r="BP170" s="79">
        <f t="shared" si="346"/>
        <v>6.9862693386896435E-2</v>
      </c>
      <c r="BQ170" s="79">
        <f t="shared" si="347"/>
        <v>2.1560256752471751E-2</v>
      </c>
      <c r="BR170" s="72"/>
      <c r="BT170" s="79">
        <f t="shared" si="348"/>
        <v>-1.4853447157151978E-2</v>
      </c>
      <c r="BU170" s="79">
        <f t="shared" si="349"/>
        <v>2.5070847752096892E-2</v>
      </c>
      <c r="BV170" s="72"/>
      <c r="BX170" s="79">
        <f t="shared" si="350"/>
        <v>7.8492390405870971E-4</v>
      </c>
      <c r="BY170" s="79">
        <f t="shared" si="351"/>
        <v>6.9216941058884984E-3</v>
      </c>
      <c r="BZ170" s="72"/>
      <c r="CB170" s="79">
        <f>+CB158/BY158-1</f>
        <v>2.0082958091860448E-2</v>
      </c>
      <c r="CC170" s="79">
        <f>+CC158/CB158-1</f>
        <v>2.1944532196294553E-2</v>
      </c>
      <c r="CD170" s="72"/>
      <c r="CF170" s="79">
        <f>+CF158/CC158-1</f>
        <v>8.6488345067337047E-3</v>
      </c>
      <c r="CG170" s="79">
        <f>+CG158/CF158-1</f>
        <v>8.3403122741403379E-3</v>
      </c>
      <c r="CH170" s="72"/>
      <c r="CJ170" s="79">
        <f>+CJ158/CG158-1</f>
        <v>6.7209203293577602E-2</v>
      </c>
      <c r="CK170" s="79">
        <f>+CK158/CJ158-1</f>
        <v>-6.0181934758737676E-2</v>
      </c>
      <c r="CL170" s="72"/>
      <c r="CN170" s="79">
        <f>+CN158/CK158-1</f>
        <v>-4.4304505155624563E-3</v>
      </c>
      <c r="CO170" s="79">
        <f>+CO158/CN158-1</f>
        <v>2.500166840560647E-2</v>
      </c>
      <c r="CP170" s="72"/>
      <c r="CR170" s="79">
        <f>+CR158/CO158-1</f>
        <v>3.4486810783857624E-2</v>
      </c>
      <c r="CS170" s="79">
        <f>+CS158/CR158-1</f>
        <v>3.2191957460134146E-2</v>
      </c>
      <c r="CT170" s="72"/>
      <c r="CV170" s="79">
        <f>+CV158/CS158-1</f>
        <v>2.6293598966102394E-2</v>
      </c>
      <c r="CW170" s="79">
        <f>+CW158/CV158-1</f>
        <v>2.4572264076848205E-2</v>
      </c>
      <c r="CX170" s="72"/>
      <c r="CZ170" s="79">
        <f>+CZ158/CW158-1</f>
        <v>1.1494334157421626E-2</v>
      </c>
      <c r="DA170" s="79">
        <f>+DA158/CZ158-1</f>
        <v>0.12334252926922362</v>
      </c>
      <c r="DB170" s="72"/>
      <c r="DD170" s="79">
        <f>+DD158/DA158-1</f>
        <v>2.0936490984363676E-2</v>
      </c>
      <c r="DE170" s="79">
        <f>+DE158/DD158-1</f>
        <v>1.1282586484792745E-2</v>
      </c>
      <c r="DF170" s="72"/>
      <c r="DH170" s="79">
        <f ca="1">+DH158/DE158-1</f>
        <v>6.5141844381106928E-3</v>
      </c>
      <c r="DI170" s="79">
        <f ca="1">+DI158/DH158-1</f>
        <v>2.178163356633922E-2</v>
      </c>
      <c r="DJ170" s="72"/>
      <c r="DL170" s="79">
        <f ca="1">+DL158/DI158-1</f>
        <v>2.2390304326892485E-2</v>
      </c>
      <c r="DM170" s="79">
        <f ca="1">+DM158/DL158-1</f>
        <v>2.4234078988258467E-2</v>
      </c>
      <c r="DN170" s="72"/>
      <c r="DP170" s="79">
        <f ca="1">+DP158/DM158-1</f>
        <v>2.010615415548922E-2</v>
      </c>
      <c r="DQ170" s="79">
        <f ca="1">+DQ158/DP158-1</f>
        <v>2.1641103188708266E-2</v>
      </c>
      <c r="DR170" s="72"/>
    </row>
    <row r="171" spans="1:128" s="20" customFormat="1" ht="13.8">
      <c r="A171" s="78"/>
      <c r="B171" s="49"/>
      <c r="BH171" s="67"/>
      <c r="BI171" s="79"/>
      <c r="BJ171" s="72"/>
      <c r="BK171" s="49"/>
      <c r="BL171" s="67"/>
      <c r="BM171" s="79"/>
      <c r="BN171" s="72"/>
      <c r="BO171" s="49"/>
      <c r="BP171" s="67"/>
      <c r="BQ171" s="49"/>
      <c r="BR171" s="49"/>
      <c r="BT171" s="49"/>
      <c r="BU171" s="49"/>
      <c r="BV171" s="49"/>
      <c r="BX171" s="49"/>
      <c r="BY171" s="49"/>
      <c r="BZ171" s="49"/>
      <c r="CB171" s="49"/>
      <c r="CC171" s="49"/>
      <c r="CD171" s="49"/>
      <c r="CF171" s="49"/>
      <c r="CG171" s="49"/>
      <c r="CH171" s="49"/>
      <c r="CJ171" s="49"/>
      <c r="CK171" s="49"/>
      <c r="CL171" s="49"/>
      <c r="CN171" s="49"/>
      <c r="CO171" s="49"/>
      <c r="CP171" s="49"/>
      <c r="CR171" s="49"/>
      <c r="CS171" s="49"/>
      <c r="CT171" s="49"/>
      <c r="CV171" s="49"/>
      <c r="CW171" s="49"/>
      <c r="CX171" s="49"/>
      <c r="CZ171" s="49"/>
      <c r="DA171" s="49"/>
      <c r="DB171" s="49"/>
      <c r="DD171" s="49"/>
      <c r="DE171" s="49"/>
      <c r="DF171" s="49"/>
      <c r="DH171" s="49"/>
      <c r="DI171" s="49"/>
      <c r="DJ171" s="49"/>
      <c r="DL171" s="49"/>
      <c r="DM171" s="49"/>
      <c r="DN171" s="49"/>
      <c r="DP171" s="49"/>
      <c r="DQ171" s="49"/>
      <c r="DR171" s="49"/>
    </row>
    <row r="172" spans="1:128" s="20" customFormat="1" ht="13.8">
      <c r="A172" s="78" t="s">
        <v>1145</v>
      </c>
      <c r="B172" s="49"/>
      <c r="BH172" s="76">
        <f>BH152/BH149</f>
        <v>3.6469393407810914E-3</v>
      </c>
      <c r="BI172" s="76">
        <f>BI152/BI149</f>
        <v>3.7192480959581803E-3</v>
      </c>
      <c r="BJ172" s="72"/>
      <c r="BK172" s="49"/>
      <c r="BL172" s="76">
        <f t="shared" ref="BL172:BM172" si="352">BL152/BL149</f>
        <v>3.7776762002621708E-3</v>
      </c>
      <c r="BM172" s="76">
        <f t="shared" si="352"/>
        <v>3.8432060371129157E-3</v>
      </c>
      <c r="BN172" s="72"/>
      <c r="BO172" s="49"/>
      <c r="BP172" s="76">
        <f t="shared" ref="BP172:BQ172" si="353">BP152/BP149</f>
        <v>3.9064531000322358E-3</v>
      </c>
      <c r="BQ172" s="76">
        <f t="shared" si="353"/>
        <v>4.1701612151710003E-3</v>
      </c>
      <c r="BR172" s="49"/>
      <c r="BT172" s="76">
        <f t="shared" ref="BT172:BU172" si="354">BT152/BT149</f>
        <v>3.2333123737236713E-3</v>
      </c>
      <c r="BU172" s="76">
        <f t="shared" si="354"/>
        <v>3.292649716535043E-3</v>
      </c>
      <c r="BV172" s="49"/>
      <c r="BX172" s="76">
        <f t="shared" ref="BX172:BY172" si="355">BX152/BX149</f>
        <v>3.1437605421777795E-3</v>
      </c>
      <c r="BY172" s="76">
        <f t="shared" si="355"/>
        <v>3.1365898923538952E-3</v>
      </c>
      <c r="BZ172" s="49"/>
      <c r="CB172" s="76">
        <f t="shared" ref="CB172:CC172" si="356">CB152/CB149</f>
        <v>3.0251136590835992E-3</v>
      </c>
      <c r="CC172" s="76">
        <f t="shared" si="356"/>
        <v>2.8802209421240257E-3</v>
      </c>
      <c r="CD172" s="49"/>
      <c r="CF172" s="76">
        <f t="shared" ref="CF172:CG172" si="357">CF152/CF149</f>
        <v>2.7138869624526432E-3</v>
      </c>
      <c r="CG172" s="76">
        <f t="shared" si="357"/>
        <v>2.5304821295606852E-3</v>
      </c>
      <c r="CH172" s="49"/>
      <c r="CJ172" s="76">
        <f t="shared" ref="CJ172:CK172" si="358">CJ152/CJ149</f>
        <v>3.3139874308870496E-3</v>
      </c>
      <c r="CK172" s="76">
        <f t="shared" si="358"/>
        <v>3.5216966652713826E-3</v>
      </c>
      <c r="CL172" s="49"/>
      <c r="CN172" s="76">
        <f t="shared" ref="CN172:CO172" si="359">CN152/CN149</f>
        <v>3.7386930310544849E-3</v>
      </c>
      <c r="CO172" s="76">
        <f t="shared" si="359"/>
        <v>3.8489204771158326E-3</v>
      </c>
      <c r="CP172" s="49"/>
      <c r="CR172" s="76">
        <f t="shared" ref="CR172:CS172" si="360">CR152/CR149</f>
        <v>3.9609570441959414E-3</v>
      </c>
      <c r="CS172" s="76">
        <f t="shared" si="360"/>
        <v>7.6930263596930266E-3</v>
      </c>
      <c r="CT172" s="49"/>
      <c r="CV172" s="76">
        <f t="shared" ref="CV172:CW172" si="361">CV152/CV149</f>
        <v>8.0944014362767294E-3</v>
      </c>
      <c r="CW172" s="76">
        <f t="shared" si="361"/>
        <v>8.5910440528961084E-3</v>
      </c>
      <c r="CX172" s="49"/>
      <c r="CZ172" s="76">
        <f t="shared" ref="CZ172:DA172" si="362">CZ152/CZ149</f>
        <v>8.7771514504471713E-3</v>
      </c>
      <c r="DA172" s="76">
        <f t="shared" si="362"/>
        <v>8.7441234619877253E-3</v>
      </c>
      <c r="DB172" s="49"/>
      <c r="DD172" s="76">
        <f t="shared" ref="DD172:DE172" si="363">DD152/DD149</f>
        <v>8.7529252134724376E-3</v>
      </c>
      <c r="DE172" s="76">
        <f t="shared" si="363"/>
        <v>8.9286245751462809E-3</v>
      </c>
      <c r="DF172" s="49"/>
      <c r="DH172" s="76">
        <f t="shared" ref="DH172:DI172" si="364">DH152/DH149</f>
        <v>8.9609858604371203E-3</v>
      </c>
      <c r="DI172" s="76">
        <f t="shared" si="364"/>
        <v>8.8736696922025807E-3</v>
      </c>
      <c r="DJ172" s="49"/>
      <c r="DL172" s="76">
        <f t="shared" ref="DL172:DM172" si="365">DL152/DL149</f>
        <v>8.7615583142494607E-3</v>
      </c>
      <c r="DM172" s="76">
        <f t="shared" si="365"/>
        <v>8.6507304494743524E-3</v>
      </c>
      <c r="DN172" s="49"/>
      <c r="DP172" s="76">
        <f t="shared" ref="DP172:DQ172" si="366">DP152/DP149</f>
        <v>8.5828857609689443E-3</v>
      </c>
      <c r="DQ172" s="76">
        <f t="shared" si="366"/>
        <v>8.5154436260208386E-3</v>
      </c>
      <c r="DR172" s="49"/>
    </row>
    <row r="173" spans="1:128" s="20" customFormat="1" ht="13.8">
      <c r="A173" s="78"/>
      <c r="B173" s="49"/>
      <c r="BH173" s="67"/>
      <c r="BI173" s="79"/>
      <c r="BJ173" s="72"/>
      <c r="BK173" s="49"/>
      <c r="BL173" s="67"/>
      <c r="BM173" s="79"/>
      <c r="BN173" s="72"/>
      <c r="BO173" s="49"/>
      <c r="BP173" s="67"/>
      <c r="BQ173" s="49"/>
      <c r="BR173" s="49"/>
      <c r="BT173" s="49"/>
      <c r="BU173" s="49"/>
      <c r="BV173" s="49"/>
      <c r="BX173" s="49"/>
      <c r="BY173" s="49"/>
      <c r="BZ173" s="49"/>
      <c r="CB173" s="49"/>
      <c r="CC173" s="49"/>
      <c r="CD173" s="49"/>
      <c r="CF173" s="49"/>
      <c r="CG173" s="49"/>
      <c r="CH173" s="49"/>
      <c r="CJ173" s="49"/>
      <c r="CK173" s="49"/>
      <c r="CL173" s="49"/>
      <c r="CN173" s="49"/>
      <c r="CO173" s="49"/>
      <c r="CP173" s="49"/>
      <c r="CR173" s="49"/>
      <c r="CS173" s="49"/>
      <c r="CT173" s="49"/>
      <c r="CV173" s="49"/>
      <c r="CW173" s="49"/>
      <c r="CX173" s="49"/>
      <c r="CZ173" s="49"/>
      <c r="DA173" s="49"/>
      <c r="DB173" s="49"/>
      <c r="DD173" s="49"/>
      <c r="DE173" s="49"/>
      <c r="DF173" s="49"/>
      <c r="DH173" s="49"/>
      <c r="DI173" s="49"/>
      <c r="DJ173" s="49"/>
      <c r="DL173" s="49"/>
      <c r="DM173" s="49"/>
      <c r="DN173" s="49"/>
      <c r="DP173" s="49"/>
      <c r="DQ173" s="49"/>
      <c r="DR173" s="49"/>
    </row>
    <row r="174" spans="1:128" s="20" customFormat="1" ht="13.8">
      <c r="A174" s="21" t="s">
        <v>1227</v>
      </c>
      <c r="B174" s="49"/>
      <c r="BH174" s="67"/>
      <c r="BI174" s="79"/>
      <c r="BJ174" s="72"/>
      <c r="BK174" s="49"/>
      <c r="BL174" s="67"/>
      <c r="BM174" s="79"/>
      <c r="BN174" s="72"/>
      <c r="BO174" s="49"/>
      <c r="BP174" s="67"/>
      <c r="BQ174" s="49"/>
      <c r="BR174" s="49"/>
      <c r="BT174" s="49"/>
      <c r="BU174" s="49"/>
      <c r="BV174" s="49"/>
      <c r="BX174" s="49"/>
      <c r="BY174" s="49"/>
      <c r="BZ174" s="49"/>
      <c r="CB174" s="49"/>
      <c r="CC174" s="49"/>
      <c r="CD174" s="49"/>
      <c r="CF174" s="49"/>
      <c r="CG174" s="49"/>
      <c r="CH174" s="49"/>
      <c r="CJ174" s="49"/>
      <c r="CK174" s="49"/>
      <c r="CL174" s="49"/>
      <c r="CN174" s="49"/>
      <c r="CO174" s="49"/>
      <c r="CP174" s="49"/>
      <c r="CR174" s="49"/>
      <c r="CS174" s="49"/>
      <c r="CT174" s="49"/>
      <c r="CV174" s="49"/>
      <c r="CW174" s="49"/>
      <c r="CX174" s="49"/>
      <c r="CZ174" s="49"/>
      <c r="DA174" s="49"/>
      <c r="DB174" s="49"/>
      <c r="DD174" s="49"/>
      <c r="DE174" s="49"/>
      <c r="DF174" s="49"/>
      <c r="DH174" s="49"/>
      <c r="DI174" s="49"/>
      <c r="DJ174" s="49"/>
      <c r="DL174" s="49"/>
      <c r="DM174" s="49"/>
      <c r="DN174" s="49"/>
      <c r="DP174" s="49"/>
      <c r="DQ174" s="49"/>
      <c r="DR174" s="49"/>
    </row>
    <row r="175" spans="1:128" s="20" customFormat="1" ht="13.8">
      <c r="A175" s="20" t="s">
        <v>7</v>
      </c>
      <c r="B175" s="49" t="s">
        <v>544</v>
      </c>
      <c r="BH175" s="67"/>
      <c r="BI175" s="79"/>
      <c r="BJ175" s="72"/>
      <c r="BK175" s="49"/>
      <c r="BL175" s="67"/>
      <c r="BM175" s="79"/>
      <c r="BN175" s="72"/>
      <c r="BO175" s="49"/>
      <c r="BP175" s="67"/>
      <c r="BQ175" s="49"/>
      <c r="BR175" s="49"/>
      <c r="BT175" s="49"/>
      <c r="BU175" s="49"/>
      <c r="BV175" s="49"/>
      <c r="BX175" s="49"/>
      <c r="BY175" s="49"/>
      <c r="BZ175" s="49"/>
      <c r="CB175" s="49"/>
      <c r="CC175" s="49"/>
      <c r="CD175" s="49"/>
      <c r="CF175" s="49"/>
      <c r="CG175" s="49"/>
      <c r="CH175" s="49"/>
      <c r="CJ175" s="49"/>
      <c r="CK175" s="49"/>
      <c r="CL175" s="49"/>
      <c r="CN175" s="49"/>
      <c r="CO175" s="49"/>
      <c r="CP175" s="49"/>
      <c r="CR175" s="49"/>
      <c r="CS175" s="49"/>
      <c r="CT175" s="49"/>
      <c r="CV175" s="573"/>
      <c r="CW175" s="573">
        <v>115569</v>
      </c>
      <c r="CX175" s="65">
        <f t="shared" ref="CX175:CX178" si="367">+CW175</f>
        <v>115569</v>
      </c>
      <c r="CY175" s="75"/>
      <c r="CZ175" s="573">
        <v>117157</v>
      </c>
      <c r="DA175" s="573">
        <v>121203</v>
      </c>
      <c r="DB175" s="65">
        <f t="shared" ref="DB175:DB180" si="368">+DA175</f>
        <v>121203</v>
      </c>
      <c r="DC175" s="75">
        <f t="shared" ref="DC175:DC178" si="369">+DB175/CX175-1</f>
        <v>4.8750097344443688E-2</v>
      </c>
      <c r="DD175" s="573">
        <v>122516</v>
      </c>
      <c r="DE175" s="573">
        <v>131864</v>
      </c>
      <c r="DF175" s="65">
        <f t="shared" ref="DF175:DF180" si="370">+DE175</f>
        <v>131864</v>
      </c>
      <c r="DG175" s="75">
        <f>+DF175/DB175-1</f>
        <v>8.7959868980140854E-2</v>
      </c>
      <c r="DH175" s="65">
        <f t="shared" ref="DH175:DI175" si="371">DH182</f>
        <v>133182.64000000001</v>
      </c>
      <c r="DI175" s="65">
        <f t="shared" si="371"/>
        <v>135846.29280000002</v>
      </c>
      <c r="DJ175" s="65">
        <f t="shared" ref="DJ175:DJ180" si="372">+DI175</f>
        <v>135846.29280000002</v>
      </c>
      <c r="DK175" s="75">
        <f t="shared" ref="DK175:DK180" si="373">+DJ175/DF175-1</f>
        <v>3.0200000000000227E-2</v>
      </c>
      <c r="DL175" s="65">
        <f t="shared" ref="DL175:DM175" si="374">DL182</f>
        <v>137204.75572800002</v>
      </c>
      <c r="DM175" s="65">
        <f t="shared" si="374"/>
        <v>139948.85084256003</v>
      </c>
      <c r="DN175" s="65">
        <f t="shared" ref="DN175:DN180" si="375">+DM175</f>
        <v>139948.85084256003</v>
      </c>
      <c r="DO175" s="75">
        <f t="shared" ref="DO175:DO180" si="376">+DN175/DJ175-1</f>
        <v>3.0200000000000005E-2</v>
      </c>
      <c r="DP175" s="65">
        <f t="shared" ref="DP175:DQ175" si="377">DP182</f>
        <v>141348.33935098563</v>
      </c>
      <c r="DQ175" s="65">
        <f t="shared" si="377"/>
        <v>144175.30613800534</v>
      </c>
      <c r="DR175" s="65">
        <f t="shared" ref="DR175:DR180" si="378">+DQ175</f>
        <v>144175.30613800534</v>
      </c>
      <c r="DS175" s="75">
        <f t="shared" ref="DS175:DS180" si="379">+DR175/DN175-1</f>
        <v>3.0200000000000005E-2</v>
      </c>
    </row>
    <row r="176" spans="1:128" s="20" customFormat="1" ht="13.8">
      <c r="A176" s="20" t="s">
        <v>533</v>
      </c>
      <c r="B176" s="49" t="s">
        <v>544</v>
      </c>
      <c r="BH176" s="67"/>
      <c r="BI176" s="79"/>
      <c r="BJ176" s="72"/>
      <c r="BK176" s="49"/>
      <c r="BL176" s="67"/>
      <c r="BM176" s="79"/>
      <c r="BN176" s="72"/>
      <c r="BO176" s="49"/>
      <c r="BP176" s="67"/>
      <c r="BQ176" s="49"/>
      <c r="BR176" s="49"/>
      <c r="BT176" s="49"/>
      <c r="BU176" s="49"/>
      <c r="BV176" s="49"/>
      <c r="BX176" s="49"/>
      <c r="BY176" s="49"/>
      <c r="BZ176" s="49"/>
      <c r="CB176" s="49"/>
      <c r="CC176" s="49"/>
      <c r="CD176" s="49"/>
      <c r="CF176" s="49"/>
      <c r="CG176" s="49"/>
      <c r="CH176" s="49"/>
      <c r="CJ176" s="49"/>
      <c r="CK176" s="49"/>
      <c r="CL176" s="49"/>
      <c r="CN176" s="49"/>
      <c r="CO176" s="49"/>
      <c r="CP176" s="49"/>
      <c r="CR176" s="49"/>
      <c r="CS176" s="49"/>
      <c r="CT176" s="49"/>
      <c r="CV176" s="573"/>
      <c r="CW176" s="573">
        <v>17463</v>
      </c>
      <c r="CX176" s="65">
        <f t="shared" si="367"/>
        <v>17463</v>
      </c>
      <c r="CY176" s="75"/>
      <c r="CZ176" s="573">
        <v>17022</v>
      </c>
      <c r="DA176" s="573">
        <v>16140</v>
      </c>
      <c r="DB176" s="65">
        <f t="shared" si="368"/>
        <v>16140</v>
      </c>
      <c r="DC176" s="75">
        <f t="shared" si="369"/>
        <v>-7.5760178663459854E-2</v>
      </c>
      <c r="DD176" s="573">
        <v>15871</v>
      </c>
      <c r="DE176" s="573">
        <v>16729</v>
      </c>
      <c r="DF176" s="65">
        <f t="shared" si="370"/>
        <v>16729</v>
      </c>
      <c r="DG176" s="75">
        <f t="shared" ref="DG176:DG180" si="380">+DF176/DB176-1</f>
        <v>3.6493184634448506E-2</v>
      </c>
      <c r="DH176" s="65">
        <f>DH183/DH77</f>
        <v>16357.122908974361</v>
      </c>
      <c r="DI176" s="65">
        <f>DI183/DI77</f>
        <v>16357.122908974361</v>
      </c>
      <c r="DJ176" s="65">
        <f t="shared" si="372"/>
        <v>16357.122908974361</v>
      </c>
      <c r="DK176" s="75">
        <f t="shared" si="373"/>
        <v>-2.2229487179487029E-2</v>
      </c>
      <c r="DL176" s="65">
        <f>DL183/DL77</f>
        <v>16438.908523519229</v>
      </c>
      <c r="DM176" s="65">
        <f>DM183/DM77</f>
        <v>16438.908523519229</v>
      </c>
      <c r="DN176" s="65">
        <f t="shared" si="375"/>
        <v>16438.908523519229</v>
      </c>
      <c r="DO176" s="75">
        <f t="shared" si="376"/>
        <v>4.9999999999996714E-3</v>
      </c>
      <c r="DP176" s="65">
        <f>DP183/DP77</f>
        <v>16521.103066136824</v>
      </c>
      <c r="DQ176" s="65">
        <f>DQ183/DQ77</f>
        <v>16521.103066136824</v>
      </c>
      <c r="DR176" s="65">
        <f t="shared" si="378"/>
        <v>16521.103066136824</v>
      </c>
      <c r="DS176" s="75">
        <f t="shared" si="379"/>
        <v>4.9999999999998934E-3</v>
      </c>
    </row>
    <row r="177" spans="1:126" s="20" customFormat="1" ht="13.8">
      <c r="A177" s="20" t="s">
        <v>1228</v>
      </c>
      <c r="B177" s="49" t="s">
        <v>544</v>
      </c>
      <c r="BH177" s="67"/>
      <c r="BI177" s="79"/>
      <c r="BJ177" s="72"/>
      <c r="BK177" s="49"/>
      <c r="BL177" s="67"/>
      <c r="BM177" s="79"/>
      <c r="BN177" s="72"/>
      <c r="BO177" s="49"/>
      <c r="BP177" s="67"/>
      <c r="BQ177" s="49"/>
      <c r="BR177" s="49"/>
      <c r="BT177" s="49"/>
      <c r="BU177" s="49"/>
      <c r="BV177" s="49"/>
      <c r="BX177" s="49"/>
      <c r="BY177" s="49"/>
      <c r="BZ177" s="49"/>
      <c r="CB177" s="49"/>
      <c r="CC177" s="49"/>
      <c r="CD177" s="49"/>
      <c r="CF177" s="49"/>
      <c r="CG177" s="49"/>
      <c r="CH177" s="49"/>
      <c r="CJ177" s="49"/>
      <c r="CK177" s="49"/>
      <c r="CL177" s="49"/>
      <c r="CN177" s="49"/>
      <c r="CO177" s="49"/>
      <c r="CP177" s="49"/>
      <c r="CR177" s="49"/>
      <c r="CS177" s="49"/>
      <c r="CT177" s="49"/>
      <c r="CV177" s="573"/>
      <c r="CW177" s="573">
        <v>77202</v>
      </c>
      <c r="CX177" s="65">
        <f t="shared" si="367"/>
        <v>77202</v>
      </c>
      <c r="CY177" s="75"/>
      <c r="CZ177" s="573">
        <v>72089</v>
      </c>
      <c r="DA177" s="573">
        <v>73121</v>
      </c>
      <c r="DB177" s="65">
        <f t="shared" si="368"/>
        <v>73121</v>
      </c>
      <c r="DC177" s="75">
        <f t="shared" si="369"/>
        <v>-5.2861324836144141E-2</v>
      </c>
      <c r="DD177" s="573">
        <v>78194</v>
      </c>
      <c r="DE177" s="573">
        <v>67552</v>
      </c>
      <c r="DF177" s="65">
        <f t="shared" si="370"/>
        <v>67552</v>
      </c>
      <c r="DG177" s="75">
        <f t="shared" si="380"/>
        <v>-7.6161431052638728E-2</v>
      </c>
      <c r="DH177" s="65">
        <f>DH184/DH79</f>
        <v>65286.819695774655</v>
      </c>
      <c r="DI177" s="65">
        <f>DI184/DI79</f>
        <v>65939.6878927324</v>
      </c>
      <c r="DJ177" s="65">
        <f t="shared" si="372"/>
        <v>65939.6878927324</v>
      </c>
      <c r="DK177" s="75">
        <f t="shared" si="373"/>
        <v>-2.3867718309859121E-2</v>
      </c>
      <c r="DL177" s="65">
        <f>DL184/DL79</f>
        <v>66763.933991391546</v>
      </c>
      <c r="DM177" s="65">
        <f>DM184/DM79</f>
        <v>67631.865133279643</v>
      </c>
      <c r="DN177" s="65">
        <f t="shared" si="375"/>
        <v>67631.865133279643</v>
      </c>
      <c r="DO177" s="75">
        <f t="shared" si="376"/>
        <v>2.5662499999999921E-2</v>
      </c>
      <c r="DP177" s="65">
        <f>DP184/DP79</f>
        <v>68477.263447445628</v>
      </c>
      <c r="DQ177" s="65">
        <f>DQ184/DQ79</f>
        <v>69367.467872262423</v>
      </c>
      <c r="DR177" s="65">
        <f t="shared" si="378"/>
        <v>69367.467872262423</v>
      </c>
      <c r="DS177" s="75">
        <f t="shared" si="379"/>
        <v>2.5662499999999921E-2</v>
      </c>
    </row>
    <row r="178" spans="1:126" s="20" customFormat="1" ht="13.8">
      <c r="A178" s="21" t="s">
        <v>1241</v>
      </c>
      <c r="B178" s="49" t="s">
        <v>544</v>
      </c>
      <c r="BH178" s="67"/>
      <c r="BI178" s="79"/>
      <c r="BJ178" s="72"/>
      <c r="BK178" s="49"/>
      <c r="BL178" s="67"/>
      <c r="BM178" s="79"/>
      <c r="BN178" s="72"/>
      <c r="BO178" s="49"/>
      <c r="BP178" s="67"/>
      <c r="BQ178" s="49"/>
      <c r="BR178" s="49"/>
      <c r="BT178" s="49"/>
      <c r="BU178" s="49"/>
      <c r="BV178" s="49"/>
      <c r="BX178" s="49"/>
      <c r="BY178" s="49"/>
      <c r="BZ178" s="49"/>
      <c r="CB178" s="49"/>
      <c r="CC178" s="49"/>
      <c r="CD178" s="49"/>
      <c r="CF178" s="49"/>
      <c r="CG178" s="49"/>
      <c r="CH178" s="49"/>
      <c r="CJ178" s="49"/>
      <c r="CK178" s="49"/>
      <c r="CL178" s="49"/>
      <c r="CN178" s="49"/>
      <c r="CO178" s="49"/>
      <c r="CP178" s="49"/>
      <c r="CR178" s="49"/>
      <c r="CS178" s="49"/>
      <c r="CT178" s="49"/>
      <c r="CV178" s="72">
        <f t="shared" ref="CV178:CW178" si="381">SUM(CV175:CV177)</f>
        <v>0</v>
      </c>
      <c r="CW178" s="72">
        <f t="shared" si="381"/>
        <v>210234</v>
      </c>
      <c r="CX178" s="72">
        <f t="shared" si="367"/>
        <v>210234</v>
      </c>
      <c r="CY178" s="75"/>
      <c r="CZ178" s="72">
        <f>SUM(CZ175:CZ177)</f>
        <v>206268</v>
      </c>
      <c r="DA178" s="72">
        <f>SUM(DA175:DA177)</f>
        <v>210464</v>
      </c>
      <c r="DB178" s="72">
        <f t="shared" si="368"/>
        <v>210464</v>
      </c>
      <c r="DC178" s="79">
        <f t="shared" si="369"/>
        <v>1.0940190454447052E-3</v>
      </c>
      <c r="DD178" s="72">
        <f>SUM(DD175:DD177)</f>
        <v>216581</v>
      </c>
      <c r="DE178" s="72">
        <f>SUM(DE175:DE177)</f>
        <v>216145</v>
      </c>
      <c r="DF178" s="72">
        <f t="shared" si="370"/>
        <v>216145</v>
      </c>
      <c r="DG178" s="79">
        <f t="shared" si="380"/>
        <v>2.6992739850995928E-2</v>
      </c>
      <c r="DH178" s="72">
        <f t="shared" ref="DH178" si="382">SUM(DH175:DH177)</f>
        <v>214826.58260474901</v>
      </c>
      <c r="DI178" s="72">
        <f t="shared" ref="DI178" si="383">SUM(DI175:DI177)</f>
        <v>218143.1036017068</v>
      </c>
      <c r="DJ178" s="72">
        <f t="shared" si="372"/>
        <v>218143.1036017068</v>
      </c>
      <c r="DK178" s="79">
        <f t="shared" si="373"/>
        <v>9.2442739906395399E-3</v>
      </c>
      <c r="DL178" s="72">
        <f t="shared" ref="DL178" si="384">SUM(DL175:DL177)</f>
        <v>220407.59824291081</v>
      </c>
      <c r="DM178" s="72">
        <f t="shared" ref="DM178" si="385">SUM(DM175:DM177)</f>
        <v>224019.62449935891</v>
      </c>
      <c r="DN178" s="72">
        <f t="shared" si="375"/>
        <v>224019.62449935891</v>
      </c>
      <c r="DO178" s="79">
        <f t="shared" si="376"/>
        <v>2.6938834190154637E-2</v>
      </c>
      <c r="DP178" s="72">
        <f t="shared" ref="DP178:DQ178" si="386">SUM(DP175:DP177)</f>
        <v>226346.70586456807</v>
      </c>
      <c r="DQ178" s="72">
        <f t="shared" si="386"/>
        <v>230063.87707640458</v>
      </c>
      <c r="DR178" s="72">
        <f t="shared" si="378"/>
        <v>230063.87707640458</v>
      </c>
      <c r="DS178" s="79">
        <f t="shared" si="379"/>
        <v>2.6980906652948056E-2</v>
      </c>
    </row>
    <row r="179" spans="1:126" s="20" customFormat="1" ht="13.8">
      <c r="A179" s="20" t="s">
        <v>704</v>
      </c>
      <c r="B179" s="49" t="s">
        <v>544</v>
      </c>
      <c r="BH179" s="67"/>
      <c r="BI179" s="79"/>
      <c r="BJ179" s="72"/>
      <c r="BK179" s="49"/>
      <c r="BL179" s="67"/>
      <c r="BM179" s="79"/>
      <c r="BN179" s="72"/>
      <c r="BO179" s="49"/>
      <c r="BP179" s="67"/>
      <c r="BQ179" s="49"/>
      <c r="BR179" s="49"/>
      <c r="BT179" s="49"/>
      <c r="BU179" s="49"/>
      <c r="BV179" s="49"/>
      <c r="BX179" s="49"/>
      <c r="BY179" s="49"/>
      <c r="BZ179" s="49"/>
      <c r="CB179" s="49"/>
      <c r="CC179" s="49"/>
      <c r="CD179" s="49"/>
      <c r="CF179" s="49"/>
      <c r="CG179" s="49"/>
      <c r="CH179" s="49"/>
      <c r="CJ179" s="49"/>
      <c r="CK179" s="49"/>
      <c r="CL179" s="49"/>
      <c r="CN179" s="49"/>
      <c r="CO179" s="49"/>
      <c r="CP179" s="49"/>
      <c r="CR179" s="49"/>
      <c r="CS179" s="49"/>
      <c r="CT179" s="49"/>
      <c r="CV179" s="72"/>
      <c r="CW179" s="72"/>
      <c r="CX179" s="72"/>
      <c r="CY179" s="75"/>
      <c r="CZ179" s="573">
        <v>45150</v>
      </c>
      <c r="DA179" s="573">
        <v>47563</v>
      </c>
      <c r="DB179" s="65">
        <f t="shared" si="368"/>
        <v>47563</v>
      </c>
      <c r="DC179" s="79"/>
      <c r="DD179" s="573">
        <v>40942</v>
      </c>
      <c r="DE179" s="573">
        <v>47675</v>
      </c>
      <c r="DF179" s="65">
        <f t="shared" si="370"/>
        <v>47675</v>
      </c>
      <c r="DG179" s="75">
        <f t="shared" si="380"/>
        <v>2.3547715661333957E-3</v>
      </c>
      <c r="DH179" s="65">
        <f>+DE179*(1+DH190)</f>
        <v>48151.75</v>
      </c>
      <c r="DI179" s="65">
        <f>+DH179*(1+DI190)</f>
        <v>48633.267500000002</v>
      </c>
      <c r="DJ179" s="65">
        <f t="shared" si="372"/>
        <v>48633.267500000002</v>
      </c>
      <c r="DK179" s="75">
        <f t="shared" si="373"/>
        <v>2.0100000000000007E-2</v>
      </c>
      <c r="DL179" s="65">
        <f>+DI179*(1+DL190)</f>
        <v>49119.600175</v>
      </c>
      <c r="DM179" s="65">
        <f>+DL179*(1+DM190)</f>
        <v>49610.796176750002</v>
      </c>
      <c r="DN179" s="65">
        <f t="shared" si="375"/>
        <v>49610.796176750002</v>
      </c>
      <c r="DO179" s="75">
        <f t="shared" si="376"/>
        <v>2.0100000000000007E-2</v>
      </c>
      <c r="DP179" s="65">
        <f>+DM179*(1+DP190)</f>
        <v>50106.904138517501</v>
      </c>
      <c r="DQ179" s="65">
        <f>+DP179*(1+DQ190)</f>
        <v>50607.973179902678</v>
      </c>
      <c r="DR179" s="65">
        <f t="shared" si="378"/>
        <v>50607.973179902678</v>
      </c>
      <c r="DS179" s="75">
        <f t="shared" si="379"/>
        <v>2.0100000000000007E-2</v>
      </c>
    </row>
    <row r="180" spans="1:126" s="20" customFormat="1" ht="13.8">
      <c r="A180" s="21" t="s">
        <v>1242</v>
      </c>
      <c r="B180" s="49" t="s">
        <v>544</v>
      </c>
      <c r="BH180" s="67"/>
      <c r="BI180" s="79"/>
      <c r="BJ180" s="72"/>
      <c r="BK180" s="49"/>
      <c r="BL180" s="67"/>
      <c r="BM180" s="79"/>
      <c r="BN180" s="72"/>
      <c r="BO180" s="49"/>
      <c r="BP180" s="67"/>
      <c r="BQ180" s="49"/>
      <c r="BR180" s="49"/>
      <c r="BT180" s="49"/>
      <c r="BU180" s="49"/>
      <c r="BV180" s="49"/>
      <c r="BX180" s="49"/>
      <c r="BY180" s="49"/>
      <c r="BZ180" s="49"/>
      <c r="CB180" s="49"/>
      <c r="CC180" s="49"/>
      <c r="CD180" s="49"/>
      <c r="CF180" s="49"/>
      <c r="CG180" s="49"/>
      <c r="CH180" s="49"/>
      <c r="CJ180" s="49"/>
      <c r="CK180" s="49"/>
      <c r="CL180" s="49"/>
      <c r="CN180" s="49"/>
      <c r="CO180" s="49"/>
      <c r="CP180" s="49"/>
      <c r="CR180" s="49"/>
      <c r="CS180" s="49"/>
      <c r="CT180" s="49"/>
      <c r="CV180" s="72"/>
      <c r="CW180" s="72"/>
      <c r="CX180" s="72"/>
      <c r="CY180" s="75"/>
      <c r="CZ180" s="72">
        <f t="shared" ref="CZ180:DA180" si="387">+CZ178-CZ179</f>
        <v>161118</v>
      </c>
      <c r="DA180" s="72">
        <f t="shared" si="387"/>
        <v>162901</v>
      </c>
      <c r="DB180" s="72">
        <f t="shared" si="368"/>
        <v>162901</v>
      </c>
      <c r="DC180" s="79"/>
      <c r="DD180" s="72">
        <f>+DD178-DD179</f>
        <v>175639</v>
      </c>
      <c r="DE180" s="72">
        <f t="shared" ref="DE180" si="388">+DE178-DE179</f>
        <v>168470</v>
      </c>
      <c r="DF180" s="72">
        <f t="shared" si="370"/>
        <v>168470</v>
      </c>
      <c r="DG180" s="79">
        <f t="shared" si="380"/>
        <v>3.4186407695471432E-2</v>
      </c>
      <c r="DH180" s="72">
        <f t="shared" ref="DH180:DI180" si="389">+DH178-DH179</f>
        <v>166674.83260474901</v>
      </c>
      <c r="DI180" s="72">
        <f t="shared" si="389"/>
        <v>169509.83610170678</v>
      </c>
      <c r="DJ180" s="72">
        <f t="shared" si="372"/>
        <v>169509.83610170678</v>
      </c>
      <c r="DK180" s="79">
        <f t="shared" si="373"/>
        <v>6.1722330486542187E-3</v>
      </c>
      <c r="DL180" s="72">
        <f t="shared" ref="DL180" si="390">+DL178-DL179</f>
        <v>171287.99806791081</v>
      </c>
      <c r="DM180" s="72">
        <f t="shared" ref="DM180" si="391">+DM178-DM179</f>
        <v>174408.8283226089</v>
      </c>
      <c r="DN180" s="72">
        <f t="shared" si="375"/>
        <v>174408.8283226089</v>
      </c>
      <c r="DO180" s="79">
        <f t="shared" si="376"/>
        <v>2.8900931848949929E-2</v>
      </c>
      <c r="DP180" s="72">
        <f t="shared" ref="DP180:DQ180" si="392">+DP178-DP179</f>
        <v>176239.80172605056</v>
      </c>
      <c r="DQ180" s="72">
        <f t="shared" si="392"/>
        <v>179455.9038965019</v>
      </c>
      <c r="DR180" s="72">
        <f t="shared" si="378"/>
        <v>179455.9038965019</v>
      </c>
      <c r="DS180" s="79">
        <f t="shared" si="379"/>
        <v>2.8938188636628448E-2</v>
      </c>
    </row>
    <row r="181" spans="1:126" s="20" customFormat="1" ht="13.8">
      <c r="A181" s="21"/>
      <c r="B181" s="49"/>
      <c r="BH181" s="67"/>
      <c r="BI181" s="79"/>
      <c r="BJ181" s="72"/>
      <c r="BK181" s="49"/>
      <c r="BL181" s="67"/>
      <c r="BM181" s="79"/>
      <c r="BN181" s="72"/>
      <c r="BO181" s="49"/>
      <c r="BP181" s="67"/>
      <c r="BQ181" s="49"/>
      <c r="BR181" s="49"/>
      <c r="BT181" s="49"/>
      <c r="BU181" s="49"/>
      <c r="BV181" s="49"/>
      <c r="BX181" s="49"/>
      <c r="BY181" s="49"/>
      <c r="BZ181" s="49"/>
      <c r="CB181" s="49"/>
      <c r="CC181" s="49"/>
      <c r="CD181" s="49"/>
      <c r="CF181" s="49"/>
      <c r="CG181" s="49"/>
      <c r="CH181" s="49"/>
      <c r="CJ181" s="49"/>
      <c r="CK181" s="49"/>
      <c r="CL181" s="49"/>
      <c r="CN181" s="49"/>
      <c r="CO181" s="49"/>
      <c r="CP181" s="49"/>
      <c r="CR181" s="49"/>
      <c r="CS181" s="49"/>
      <c r="CT181" s="49"/>
      <c r="CV181" s="72"/>
      <c r="CW181" s="72"/>
      <c r="CX181" s="72"/>
      <c r="CY181" s="75"/>
      <c r="CZ181" s="72"/>
      <c r="DA181" s="72"/>
      <c r="DB181" s="72"/>
      <c r="DC181" s="79"/>
      <c r="DD181" s="72"/>
      <c r="DE181" s="72"/>
      <c r="DF181" s="72"/>
      <c r="DG181" s="79"/>
      <c r="DH181" s="72"/>
      <c r="DI181" s="72"/>
      <c r="DJ181" s="72"/>
      <c r="DK181" s="79"/>
      <c r="DL181" s="72"/>
      <c r="DM181" s="72"/>
      <c r="DN181" s="72"/>
      <c r="DO181" s="79"/>
      <c r="DP181" s="72"/>
      <c r="DQ181" s="72"/>
      <c r="DR181" s="72"/>
      <c r="DS181" s="79"/>
    </row>
    <row r="182" spans="1:126" s="20" customFormat="1" ht="13.8">
      <c r="A182" s="20" t="s">
        <v>1124</v>
      </c>
      <c r="B182" s="49"/>
      <c r="BH182" s="67"/>
      <c r="BI182" s="79"/>
      <c r="BJ182" s="72"/>
      <c r="BK182" s="49"/>
      <c r="BL182" s="67"/>
      <c r="BM182" s="79"/>
      <c r="BN182" s="72"/>
      <c r="BO182" s="49"/>
      <c r="BP182" s="67"/>
      <c r="BQ182" s="49"/>
      <c r="BR182" s="49"/>
      <c r="BT182" s="49"/>
      <c r="BU182" s="49"/>
      <c r="BV182" s="49"/>
      <c r="BX182" s="49"/>
      <c r="BY182" s="49"/>
      <c r="BZ182" s="49"/>
      <c r="CB182" s="49"/>
      <c r="CC182" s="49"/>
      <c r="CD182" s="49"/>
      <c r="CF182" s="49"/>
      <c r="CG182" s="49"/>
      <c r="CH182" s="49"/>
      <c r="CJ182" s="49"/>
      <c r="CK182" s="49"/>
      <c r="CL182" s="49"/>
      <c r="CN182" s="49"/>
      <c r="CO182" s="49"/>
      <c r="CP182" s="49"/>
      <c r="CR182" s="49"/>
      <c r="CS182" s="49"/>
      <c r="CT182" s="49"/>
      <c r="CV182" s="72"/>
      <c r="CW182" s="65">
        <f>CW99</f>
        <v>115569</v>
      </c>
      <c r="CX182" s="49"/>
      <c r="CZ182" s="65">
        <f t="shared" ref="CZ182:DA182" si="393">CZ99</f>
        <v>117157</v>
      </c>
      <c r="DA182" s="65">
        <f t="shared" si="393"/>
        <v>121203</v>
      </c>
      <c r="DB182" s="49"/>
      <c r="DD182" s="65">
        <f t="shared" ref="DD182:DE182" si="394">DD99</f>
        <v>122516</v>
      </c>
      <c r="DE182" s="65">
        <f t="shared" si="394"/>
        <v>131864</v>
      </c>
      <c r="DF182" s="49"/>
      <c r="DH182" s="65">
        <f>+DE182*(1+DH192)</f>
        <v>133182.64000000001</v>
      </c>
      <c r="DI182" s="65">
        <f>+DH182*(1+DI192)</f>
        <v>135846.29280000002</v>
      </c>
      <c r="DJ182" s="49"/>
      <c r="DL182" s="65">
        <f>+DI182*(1+DL192)</f>
        <v>137204.75572800002</v>
      </c>
      <c r="DM182" s="65">
        <f>+DL182*(1+DM192)</f>
        <v>139948.85084256003</v>
      </c>
      <c r="DN182" s="49"/>
      <c r="DP182" s="65">
        <f>+DM182*(1+DP192)</f>
        <v>141348.33935098563</v>
      </c>
      <c r="DQ182" s="65">
        <f>+DP182*(1+DQ192)</f>
        <v>144175.30613800534</v>
      </c>
      <c r="DR182" s="49"/>
    </row>
    <row r="183" spans="1:126" s="20" customFormat="1" ht="13.8">
      <c r="A183" s="20" t="s">
        <v>1125</v>
      </c>
      <c r="B183" s="49"/>
      <c r="BH183" s="67"/>
      <c r="BI183" s="79"/>
      <c r="BJ183" s="72"/>
      <c r="BK183" s="49"/>
      <c r="BL183" s="67"/>
      <c r="BM183" s="79"/>
      <c r="BN183" s="72"/>
      <c r="BO183" s="49"/>
      <c r="BP183" s="67"/>
      <c r="BQ183" s="49"/>
      <c r="BR183" s="49"/>
      <c r="BT183" s="49"/>
      <c r="BU183" s="49"/>
      <c r="BV183" s="49"/>
      <c r="BX183" s="49"/>
      <c r="BY183" s="49"/>
      <c r="BZ183" s="49"/>
      <c r="CB183" s="49"/>
      <c r="CC183" s="49"/>
      <c r="CD183" s="49"/>
      <c r="CF183" s="49"/>
      <c r="CG183" s="49"/>
      <c r="CH183" s="49"/>
      <c r="CJ183" s="49"/>
      <c r="CK183" s="49"/>
      <c r="CL183" s="49"/>
      <c r="CN183" s="49"/>
      <c r="CO183" s="49"/>
      <c r="CP183" s="49"/>
      <c r="CR183" s="49"/>
      <c r="CS183" s="49"/>
      <c r="CT183" s="49"/>
      <c r="CV183" s="49"/>
      <c r="CW183" s="65">
        <f>+CW176*CW77</f>
        <v>18758.7546</v>
      </c>
      <c r="CX183" s="49"/>
      <c r="CZ183" s="65">
        <f t="shared" ref="CZ183" si="395">+CZ176*CZ77</f>
        <v>18559.086600000002</v>
      </c>
      <c r="DA183" s="65">
        <f>+DA176*DA77</f>
        <v>17563.548000000003</v>
      </c>
      <c r="DB183" s="49"/>
      <c r="DD183" s="65">
        <f t="shared" ref="DD183" si="396">+DD176*DD77</f>
        <v>17458.100000000002</v>
      </c>
      <c r="DE183" s="65">
        <f>+DE176*DE77</f>
        <v>19042.620700000003</v>
      </c>
      <c r="DF183" s="49"/>
      <c r="DH183" s="65">
        <f>DH205</f>
        <v>19137.833803500002</v>
      </c>
      <c r="DI183" s="65">
        <f>DI205</f>
        <v>19137.833803500002</v>
      </c>
      <c r="DJ183" s="49"/>
      <c r="DL183" s="65">
        <f>DL205</f>
        <v>19233.522972517498</v>
      </c>
      <c r="DM183" s="65">
        <f>DM205</f>
        <v>19233.522972517498</v>
      </c>
      <c r="DN183" s="49"/>
      <c r="DP183" s="65">
        <f>DP205</f>
        <v>19329.690587380082</v>
      </c>
      <c r="DQ183" s="65">
        <f>DQ205</f>
        <v>19329.690587380082</v>
      </c>
      <c r="DR183" s="49"/>
    </row>
    <row r="184" spans="1:126" s="20" customFormat="1" ht="13.8">
      <c r="A184" s="20" t="s">
        <v>1229</v>
      </c>
      <c r="B184" s="49"/>
      <c r="BH184" s="67"/>
      <c r="BI184" s="79"/>
      <c r="BJ184" s="72"/>
      <c r="BK184" s="49"/>
      <c r="BL184" s="67"/>
      <c r="BM184" s="79"/>
      <c r="BN184" s="72"/>
      <c r="BO184" s="49"/>
      <c r="BP184" s="67"/>
      <c r="BQ184" s="49"/>
      <c r="BR184" s="49"/>
      <c r="BT184" s="49"/>
      <c r="BU184" s="49"/>
      <c r="BV184" s="49"/>
      <c r="BX184" s="49"/>
      <c r="BY184" s="49"/>
      <c r="BZ184" s="49"/>
      <c r="CB184" s="49"/>
      <c r="CC184" s="49"/>
      <c r="CD184" s="49"/>
      <c r="CF184" s="49"/>
      <c r="CG184" s="49"/>
      <c r="CH184" s="49"/>
      <c r="CJ184" s="49"/>
      <c r="CK184" s="49"/>
      <c r="CL184" s="49"/>
      <c r="CN184" s="49"/>
      <c r="CO184" s="49"/>
      <c r="CP184" s="49"/>
      <c r="CR184" s="49"/>
      <c r="CS184" s="49"/>
      <c r="CT184" s="49"/>
      <c r="CV184" s="49"/>
      <c r="CW184" s="65">
        <f>+CW177*CW79</f>
        <v>49934.253600000004</v>
      </c>
      <c r="CX184" s="49"/>
      <c r="CZ184" s="65">
        <f t="shared" ref="CZ184" si="397">+CZ177*CZ79</f>
        <v>46915.521200000003</v>
      </c>
      <c r="DA184" s="65">
        <f>+DA177*DA79</f>
        <v>50694.789300000004</v>
      </c>
      <c r="DB184" s="49"/>
      <c r="DD184" s="65">
        <f t="shared" ref="DD184" si="398">+DD177*DD79</f>
        <v>49129.290199999996</v>
      </c>
      <c r="DE184" s="65">
        <f>+DE177*DE79</f>
        <v>44570.809600000001</v>
      </c>
      <c r="DF184" s="49"/>
      <c r="DH184" s="65">
        <f>DH197</f>
        <v>46353.641984000002</v>
      </c>
      <c r="DI184" s="65">
        <f>DI197</f>
        <v>46817.17840384</v>
      </c>
      <c r="DJ184" s="49"/>
      <c r="DL184" s="65">
        <f>DL197</f>
        <v>47402.393133887999</v>
      </c>
      <c r="DM184" s="65">
        <f>DM197</f>
        <v>48018.62424462854</v>
      </c>
      <c r="DN184" s="49"/>
      <c r="DP184" s="65">
        <f>DP197</f>
        <v>48618.857047686397</v>
      </c>
      <c r="DQ184" s="65">
        <f>DQ197</f>
        <v>49250.902189306318</v>
      </c>
      <c r="DR184" s="49"/>
    </row>
    <row r="185" spans="1:126" s="20" customFormat="1" ht="13.8">
      <c r="A185" s="78" t="s">
        <v>217</v>
      </c>
      <c r="B185" s="49"/>
      <c r="BH185" s="67"/>
      <c r="BI185" s="79"/>
      <c r="BJ185" s="72"/>
      <c r="BK185" s="49"/>
      <c r="BL185" s="67"/>
      <c r="BM185" s="79"/>
      <c r="BN185" s="72"/>
      <c r="BO185" s="49"/>
      <c r="BP185" s="67"/>
      <c r="BQ185" s="49"/>
      <c r="BR185" s="49"/>
      <c r="BT185" s="49"/>
      <c r="BU185" s="49"/>
      <c r="BV185" s="49"/>
      <c r="BX185" s="49"/>
      <c r="BY185" s="49"/>
      <c r="BZ185" s="49"/>
      <c r="CB185" s="49"/>
      <c r="CC185" s="49"/>
      <c r="CD185" s="49"/>
      <c r="CF185" s="49"/>
      <c r="CG185" s="49"/>
      <c r="CH185" s="49"/>
      <c r="CJ185" s="49"/>
      <c r="CK185" s="49"/>
      <c r="CL185" s="49"/>
      <c r="CN185" s="49"/>
      <c r="CO185" s="49"/>
      <c r="CP185" s="49"/>
      <c r="CR185" s="49"/>
      <c r="CS185" s="49"/>
      <c r="CT185" s="49"/>
      <c r="CV185" s="49"/>
      <c r="CW185" s="49"/>
      <c r="CX185" s="49"/>
      <c r="CZ185" s="49"/>
      <c r="DA185" s="49"/>
      <c r="DB185" s="49"/>
      <c r="DD185" s="49"/>
      <c r="DE185" s="49"/>
      <c r="DF185" s="49"/>
      <c r="DH185" s="49"/>
      <c r="DI185" s="49"/>
      <c r="DJ185" s="49"/>
      <c r="DL185" s="49"/>
      <c r="DM185" s="49"/>
      <c r="DN185" s="49"/>
      <c r="DP185" s="49"/>
      <c r="DQ185" s="49"/>
      <c r="DR185" s="49"/>
    </row>
    <row r="186" spans="1:126" s="20" customFormat="1" ht="13.8">
      <c r="A186" s="47" t="str">
        <f>+A175</f>
        <v>Australia</v>
      </c>
      <c r="B186" s="49"/>
      <c r="BH186" s="67"/>
      <c r="BI186" s="79"/>
      <c r="BJ186" s="72"/>
      <c r="BK186" s="49"/>
      <c r="BL186" s="67"/>
      <c r="BM186" s="79"/>
      <c r="BN186" s="72"/>
      <c r="BO186" s="49"/>
      <c r="BP186" s="67"/>
      <c r="BQ186" s="49"/>
      <c r="BR186" s="49"/>
      <c r="BT186" s="49"/>
      <c r="BU186" s="49"/>
      <c r="BV186" s="49"/>
      <c r="BX186" s="49"/>
      <c r="BY186" s="49"/>
      <c r="BZ186" s="49"/>
      <c r="CB186" s="49"/>
      <c r="CC186" s="49"/>
      <c r="CD186" s="49"/>
      <c r="CF186" s="49"/>
      <c r="CG186" s="49"/>
      <c r="CH186" s="49"/>
      <c r="CJ186" s="49"/>
      <c r="CK186" s="49"/>
      <c r="CL186" s="49"/>
      <c r="CN186" s="49"/>
      <c r="CO186" s="49"/>
      <c r="CP186" s="49"/>
      <c r="CR186" s="49"/>
      <c r="CS186" s="49"/>
      <c r="CT186" s="49"/>
      <c r="CV186" s="49"/>
      <c r="CW186" s="49"/>
      <c r="CX186" s="49"/>
      <c r="CZ186" s="75">
        <f>+CZ175/CW175-1</f>
        <v>1.3740709013662755E-2</v>
      </c>
      <c r="DA186" s="75">
        <f>+DA175/CZ175-1</f>
        <v>3.4534854938245152E-2</v>
      </c>
      <c r="DB186" s="49"/>
      <c r="DD186" s="75">
        <f>+DD175/DA175-1</f>
        <v>1.0833065188155411E-2</v>
      </c>
      <c r="DE186" s="75">
        <f>+DE175/DD175-1</f>
        <v>7.6300238336217241E-2</v>
      </c>
      <c r="DF186" s="49"/>
      <c r="DH186" s="75">
        <f>+DH175/DE175-1</f>
        <v>1.0000000000000009E-2</v>
      </c>
      <c r="DI186" s="75">
        <f>+DI175/DH175-1</f>
        <v>2.0000000000000018E-2</v>
      </c>
      <c r="DJ186" s="49"/>
      <c r="DL186" s="75">
        <f>+DL175/DI175-1</f>
        <v>1.0000000000000009E-2</v>
      </c>
      <c r="DM186" s="75">
        <f>+DM175/DL175-1</f>
        <v>2.0000000000000018E-2</v>
      </c>
      <c r="DN186" s="49"/>
      <c r="DP186" s="75">
        <f>+DP175/DM175-1</f>
        <v>1.0000000000000009E-2</v>
      </c>
      <c r="DQ186" s="75">
        <f>+DQ175/DP175-1</f>
        <v>2.0000000000000018E-2</v>
      </c>
      <c r="DR186" s="49"/>
    </row>
    <row r="187" spans="1:126" s="20" customFormat="1" ht="13.8">
      <c r="A187" s="47" t="str">
        <f>+A176</f>
        <v>New Zealand</v>
      </c>
      <c r="B187" s="49"/>
      <c r="BH187" s="67"/>
      <c r="BI187" s="79"/>
      <c r="BJ187" s="72"/>
      <c r="BK187" s="49"/>
      <c r="BL187" s="67"/>
      <c r="BM187" s="79"/>
      <c r="BN187" s="72"/>
      <c r="BO187" s="49"/>
      <c r="BP187" s="67"/>
      <c r="BQ187" s="49"/>
      <c r="BR187" s="49"/>
      <c r="BT187" s="49"/>
      <c r="BU187" s="49"/>
      <c r="BV187" s="49"/>
      <c r="BX187" s="49"/>
      <c r="BY187" s="49"/>
      <c r="BZ187" s="49"/>
      <c r="CB187" s="49"/>
      <c r="CC187" s="49"/>
      <c r="CD187" s="49"/>
      <c r="CF187" s="49"/>
      <c r="CG187" s="49"/>
      <c r="CH187" s="49"/>
      <c r="CJ187" s="49"/>
      <c r="CK187" s="49"/>
      <c r="CL187" s="49"/>
      <c r="CN187" s="49"/>
      <c r="CO187" s="49"/>
      <c r="CP187" s="49"/>
      <c r="CR187" s="49"/>
      <c r="CS187" s="49"/>
      <c r="CT187" s="49"/>
      <c r="CV187" s="49"/>
      <c r="CW187" s="49"/>
      <c r="CX187" s="49"/>
      <c r="CZ187" s="75">
        <f>+CZ176/CW176-1</f>
        <v>-2.5253392887819914E-2</v>
      </c>
      <c r="DA187" s="75">
        <f>+DA176/CZ176-1</f>
        <v>-5.1815297849841402E-2</v>
      </c>
      <c r="DB187" s="49"/>
      <c r="DD187" s="75">
        <f>+DD176/DA176-1</f>
        <v>-1.6666666666666718E-2</v>
      </c>
      <c r="DE187" s="75">
        <f>+DE176/DD176-1</f>
        <v>5.4060865729947727E-2</v>
      </c>
      <c r="DF187" s="49"/>
      <c r="DH187" s="75">
        <f>+DH176/DE176-1</f>
        <v>-2.2229487179487029E-2</v>
      </c>
      <c r="DI187" s="75">
        <f>+DI176/DH176-1</f>
        <v>0</v>
      </c>
      <c r="DJ187" s="49"/>
      <c r="DL187" s="75">
        <f>+DL176/DI176-1</f>
        <v>4.9999999999996714E-3</v>
      </c>
      <c r="DM187" s="75">
        <f>+DM176/DL176-1</f>
        <v>0</v>
      </c>
      <c r="DN187" s="49"/>
      <c r="DP187" s="75">
        <f>+DP176/DM176-1</f>
        <v>4.9999999999998934E-3</v>
      </c>
      <c r="DQ187" s="75">
        <f>+DQ176/DP176-1</f>
        <v>0</v>
      </c>
      <c r="DR187" s="49"/>
    </row>
    <row r="188" spans="1:126" s="20" customFormat="1" ht="13.8">
      <c r="A188" s="47" t="str">
        <f>+A177</f>
        <v>International</v>
      </c>
      <c r="B188" s="49"/>
      <c r="BH188" s="67"/>
      <c r="BI188" s="79"/>
      <c r="BJ188" s="72"/>
      <c r="BK188" s="49"/>
      <c r="BL188" s="67"/>
      <c r="BM188" s="79"/>
      <c r="BN188" s="72"/>
      <c r="BO188" s="49"/>
      <c r="BP188" s="67"/>
      <c r="BQ188" s="49"/>
      <c r="BR188" s="49"/>
      <c r="BT188" s="49"/>
      <c r="BU188" s="49"/>
      <c r="BV188" s="49"/>
      <c r="BX188" s="49"/>
      <c r="BY188" s="49"/>
      <c r="BZ188" s="49"/>
      <c r="CB188" s="49"/>
      <c r="CC188" s="49"/>
      <c r="CD188" s="49"/>
      <c r="CF188" s="49"/>
      <c r="CG188" s="49"/>
      <c r="CH188" s="49"/>
      <c r="CJ188" s="49"/>
      <c r="CK188" s="49"/>
      <c r="CL188" s="49"/>
      <c r="CN188" s="49"/>
      <c r="CO188" s="49"/>
      <c r="CP188" s="49"/>
      <c r="CR188" s="49"/>
      <c r="CS188" s="49"/>
      <c r="CT188" s="49"/>
      <c r="CV188" s="49"/>
      <c r="CW188" s="49"/>
      <c r="CX188" s="49"/>
      <c r="CZ188" s="75">
        <f>+CZ177/CW177-1</f>
        <v>-6.6228854174762319E-2</v>
      </c>
      <c r="DA188" s="75">
        <f>+DA177/CZ177-1</f>
        <v>1.4315637614615184E-2</v>
      </c>
      <c r="DB188" s="49"/>
      <c r="DD188" s="75">
        <f>+DD177/DA177-1</f>
        <v>6.9378154018681304E-2</v>
      </c>
      <c r="DE188" s="75">
        <f>+DE177/DD177-1</f>
        <v>-0.13609739877739979</v>
      </c>
      <c r="DF188" s="49"/>
      <c r="DH188" s="75">
        <f>+DH177/DE177-1</f>
        <v>-3.3532394366197038E-2</v>
      </c>
      <c r="DI188" s="75">
        <f>+DI177/DH177-1</f>
        <v>1.0000000000000009E-2</v>
      </c>
      <c r="DJ188" s="49"/>
      <c r="DL188" s="75">
        <f>+DL177/DI177-1</f>
        <v>1.2499999999999956E-2</v>
      </c>
      <c r="DM188" s="75">
        <f>+DM177/DL177-1</f>
        <v>1.3000000000000123E-2</v>
      </c>
      <c r="DN188" s="49"/>
      <c r="DP188" s="75">
        <f>+DP177/DM177-1</f>
        <v>1.2499999999999734E-2</v>
      </c>
      <c r="DQ188" s="75">
        <f>+DQ177/DP177-1</f>
        <v>1.3000000000000123E-2</v>
      </c>
      <c r="DR188" s="49"/>
    </row>
    <row r="189" spans="1:126" s="21" customFormat="1" ht="13.8">
      <c r="A189" s="78" t="str">
        <f>+A178</f>
        <v>Total Institutional</v>
      </c>
      <c r="B189" s="27"/>
      <c r="BH189" s="98"/>
      <c r="BI189" s="79"/>
      <c r="BJ189" s="72"/>
      <c r="BK189" s="27"/>
      <c r="BL189" s="98"/>
      <c r="BM189" s="79"/>
      <c r="BN189" s="72"/>
      <c r="BO189" s="27"/>
      <c r="BP189" s="98"/>
      <c r="BQ189" s="27"/>
      <c r="BR189" s="27"/>
      <c r="BT189" s="27"/>
      <c r="BU189" s="27"/>
      <c r="BV189" s="27"/>
      <c r="BX189" s="27"/>
      <c r="BY189" s="27"/>
      <c r="BZ189" s="27"/>
      <c r="CB189" s="27"/>
      <c r="CC189" s="27"/>
      <c r="CD189" s="27"/>
      <c r="CF189" s="27"/>
      <c r="CG189" s="27"/>
      <c r="CH189" s="27"/>
      <c r="CJ189" s="27"/>
      <c r="CK189" s="27"/>
      <c r="CL189" s="27"/>
      <c r="CN189" s="27"/>
      <c r="CO189" s="27"/>
      <c r="CP189" s="27"/>
      <c r="CR189" s="27"/>
      <c r="CS189" s="27"/>
      <c r="CT189" s="27"/>
      <c r="CV189" s="27"/>
      <c r="CW189" s="27"/>
      <c r="CX189" s="27"/>
      <c r="CZ189" s="79">
        <f>+CZ178/CW178-1</f>
        <v>-1.8864693627101192E-2</v>
      </c>
      <c r="DA189" s="79">
        <f>+DA178/CZ178-1</f>
        <v>2.0342467081660764E-2</v>
      </c>
      <c r="DB189" s="27"/>
      <c r="DD189" s="79">
        <f>+DD178/DA178-1</f>
        <v>2.9064353048502412E-2</v>
      </c>
      <c r="DE189" s="79">
        <f>+DE178/DD178-1</f>
        <v>-2.0131036425171667E-3</v>
      </c>
      <c r="DF189" s="27"/>
      <c r="DH189" s="79">
        <f>+DH178/DE178-1</f>
        <v>-6.0996895382774419E-3</v>
      </c>
      <c r="DI189" s="79">
        <f>+DI178/DH178-1</f>
        <v>1.5438131337124794E-2</v>
      </c>
      <c r="DJ189" s="27"/>
      <c r="DL189" s="79">
        <f>+DL178/DI178-1</f>
        <v>1.0380775755985505E-2</v>
      </c>
      <c r="DM189" s="79">
        <f>+DM178/DL178-1</f>
        <v>1.6387938915187972E-2</v>
      </c>
      <c r="DN189" s="27"/>
      <c r="DP189" s="79">
        <f>+DP178/DM178-1</f>
        <v>1.0387846022015923E-2</v>
      </c>
      <c r="DQ189" s="79">
        <f>+DQ178/DP178-1</f>
        <v>1.6422466576830219E-2</v>
      </c>
      <c r="DR189" s="27"/>
    </row>
    <row r="190" spans="1:126" s="20" customFormat="1" ht="13.8">
      <c r="A190" s="574" t="s">
        <v>704</v>
      </c>
      <c r="B190" s="547"/>
      <c r="C190" s="533"/>
      <c r="D190" s="533"/>
      <c r="E190" s="533"/>
      <c r="F190" s="533"/>
      <c r="G190" s="533"/>
      <c r="H190" s="533"/>
      <c r="I190" s="533"/>
      <c r="J190" s="533"/>
      <c r="K190" s="533"/>
      <c r="L190" s="533"/>
      <c r="M190" s="533"/>
      <c r="N190" s="533"/>
      <c r="O190" s="533"/>
      <c r="P190" s="533"/>
      <c r="Q190" s="533"/>
      <c r="R190" s="533"/>
      <c r="S190" s="533"/>
      <c r="T190" s="533"/>
      <c r="U190" s="533"/>
      <c r="V190" s="533"/>
      <c r="W190" s="533"/>
      <c r="X190" s="533"/>
      <c r="Y190" s="533"/>
      <c r="Z190" s="533"/>
      <c r="AA190" s="533"/>
      <c r="AB190" s="533"/>
      <c r="AC190" s="533"/>
      <c r="AD190" s="533"/>
      <c r="AE190" s="533"/>
      <c r="AF190" s="533"/>
      <c r="AG190" s="533"/>
      <c r="AH190" s="533"/>
      <c r="AI190" s="533"/>
      <c r="AJ190" s="533"/>
      <c r="AK190" s="533"/>
      <c r="AL190" s="533"/>
      <c r="AM190" s="533"/>
      <c r="AN190" s="533"/>
      <c r="AO190" s="533"/>
      <c r="AP190" s="533"/>
      <c r="AQ190" s="533"/>
      <c r="AR190" s="533"/>
      <c r="AS190" s="533"/>
      <c r="AT190" s="533"/>
      <c r="AU190" s="533"/>
      <c r="AV190" s="533"/>
      <c r="AW190" s="533"/>
      <c r="AX190" s="533"/>
      <c r="AY190" s="533"/>
      <c r="AZ190" s="533"/>
      <c r="BA190" s="533"/>
      <c r="BB190" s="533"/>
      <c r="BC190" s="533"/>
      <c r="BD190" s="533"/>
      <c r="BE190" s="533"/>
      <c r="BF190" s="533"/>
      <c r="BG190" s="533"/>
      <c r="BH190" s="599"/>
      <c r="BI190" s="612"/>
      <c r="BJ190" s="580"/>
      <c r="BK190" s="547"/>
      <c r="BL190" s="599"/>
      <c r="BM190" s="612"/>
      <c r="BN190" s="580"/>
      <c r="BO190" s="547"/>
      <c r="BP190" s="599"/>
      <c r="BQ190" s="547"/>
      <c r="BR190" s="547"/>
      <c r="BS190" s="533"/>
      <c r="BT190" s="547"/>
      <c r="BU190" s="547"/>
      <c r="BV190" s="547"/>
      <c r="BW190" s="533"/>
      <c r="BX190" s="547"/>
      <c r="BY190" s="547"/>
      <c r="BZ190" s="547"/>
      <c r="CA190" s="533"/>
      <c r="CB190" s="547"/>
      <c r="CC190" s="547"/>
      <c r="CD190" s="547"/>
      <c r="CE190" s="533"/>
      <c r="CF190" s="547"/>
      <c r="CG190" s="547"/>
      <c r="CH190" s="547"/>
      <c r="CI190" s="533"/>
      <c r="CJ190" s="547"/>
      <c r="CK190" s="547"/>
      <c r="CL190" s="547"/>
      <c r="CM190" s="533"/>
      <c r="CN190" s="547"/>
      <c r="CO190" s="547"/>
      <c r="CP190" s="547"/>
      <c r="CQ190" s="533"/>
      <c r="CR190" s="547"/>
      <c r="CS190" s="547"/>
      <c r="CT190" s="547"/>
      <c r="CU190" s="533"/>
      <c r="CV190" s="547"/>
      <c r="CW190" s="547"/>
      <c r="CX190" s="547"/>
      <c r="CY190" s="533"/>
      <c r="CZ190" s="577"/>
      <c r="DA190" s="577">
        <f>+DA180/CZ180-1</f>
        <v>1.1066423366725031E-2</v>
      </c>
      <c r="DB190" s="547"/>
      <c r="DC190" s="533"/>
      <c r="DD190" s="577">
        <f>+DD180/DA180-1</f>
        <v>7.8194731769602344E-2</v>
      </c>
      <c r="DE190" s="577">
        <f>+DE180/DD180-1</f>
        <v>-4.0816675112019585E-2</v>
      </c>
      <c r="DF190" s="547"/>
      <c r="DG190" s="547"/>
      <c r="DH190" s="936">
        <v>0.01</v>
      </c>
      <c r="DI190" s="936">
        <v>0.01</v>
      </c>
      <c r="DJ190" s="547"/>
      <c r="DK190" s="547"/>
      <c r="DL190" s="936">
        <v>0.01</v>
      </c>
      <c r="DM190" s="936">
        <v>0.01</v>
      </c>
      <c r="DN190" s="547"/>
      <c r="DO190" s="547"/>
      <c r="DP190" s="936">
        <v>0.01</v>
      </c>
      <c r="DQ190" s="936">
        <v>0.01</v>
      </c>
      <c r="DR190" s="547"/>
      <c r="DS190" s="547"/>
      <c r="DT190" s="49"/>
      <c r="DU190" s="49"/>
      <c r="DV190" s="49"/>
    </row>
    <row r="191" spans="1:126" s="21" customFormat="1" ht="13.8">
      <c r="A191" s="78" t="str">
        <f>A180</f>
        <v>Institutional (ex Markets)</v>
      </c>
      <c r="B191" s="27"/>
      <c r="BH191" s="98"/>
      <c r="BI191" s="79"/>
      <c r="BJ191" s="72"/>
      <c r="BK191" s="27"/>
      <c r="BL191" s="98"/>
      <c r="BM191" s="79"/>
      <c r="BN191" s="72"/>
      <c r="BO191" s="27"/>
      <c r="BP191" s="98"/>
      <c r="BQ191" s="27"/>
      <c r="BR191" s="27"/>
      <c r="BT191" s="27"/>
      <c r="BU191" s="27"/>
      <c r="BV191" s="27"/>
      <c r="BX191" s="27"/>
      <c r="BY191" s="27"/>
      <c r="BZ191" s="27"/>
      <c r="CB191" s="27"/>
      <c r="CC191" s="27"/>
      <c r="CD191" s="27"/>
      <c r="CF191" s="27"/>
      <c r="CG191" s="27"/>
      <c r="CH191" s="27"/>
      <c r="CJ191" s="27"/>
      <c r="CK191" s="27"/>
      <c r="CL191" s="27"/>
      <c r="CN191" s="27"/>
      <c r="CO191" s="27"/>
      <c r="CP191" s="27"/>
      <c r="CR191" s="27"/>
      <c r="CS191" s="27"/>
      <c r="CT191" s="27"/>
      <c r="CV191" s="27"/>
      <c r="CW191" s="27"/>
      <c r="CX191" s="27"/>
      <c r="CZ191" s="79"/>
      <c r="DA191" s="79"/>
      <c r="DB191" s="27"/>
      <c r="DD191" s="79">
        <f>+DD180/DA180-1</f>
        <v>7.8194731769602344E-2</v>
      </c>
      <c r="DE191" s="79"/>
      <c r="DF191" s="27"/>
      <c r="DH191" s="79">
        <f>+DH180/DE180-1</f>
        <v>-1.0655709593702101E-2</v>
      </c>
      <c r="DI191" s="79">
        <f>+DI180/DH180-1</f>
        <v>1.7009187605909748E-2</v>
      </c>
      <c r="DJ191" s="27"/>
      <c r="DL191" s="79">
        <f>+DL180/DI180-1</f>
        <v>1.0490022332020565E-2</v>
      </c>
      <c r="DM191" s="79">
        <f>+DM180/DL180-1</f>
        <v>1.8219783580287752E-2</v>
      </c>
      <c r="DN191" s="27"/>
      <c r="DP191" s="79">
        <f>+DP180/DM180-1</f>
        <v>1.0498169278764236E-2</v>
      </c>
      <c r="DQ191" s="79">
        <f>+DQ180/DP180-1</f>
        <v>1.824844410260118E-2</v>
      </c>
      <c r="DR191" s="27"/>
    </row>
    <row r="192" spans="1:126" s="20" customFormat="1" ht="13.8">
      <c r="A192" s="574" t="str">
        <f>A182</f>
        <v>Australia (A$)</v>
      </c>
      <c r="B192" s="547"/>
      <c r="C192" s="533"/>
      <c r="D192" s="533"/>
      <c r="E192" s="533"/>
      <c r="F192" s="533"/>
      <c r="G192" s="533"/>
      <c r="H192" s="533"/>
      <c r="I192" s="533"/>
      <c r="J192" s="533"/>
      <c r="K192" s="533"/>
      <c r="L192" s="533"/>
      <c r="M192" s="533"/>
      <c r="N192" s="533"/>
      <c r="O192" s="533"/>
      <c r="P192" s="533"/>
      <c r="Q192" s="533"/>
      <c r="R192" s="533"/>
      <c r="S192" s="533"/>
      <c r="T192" s="533"/>
      <c r="U192" s="533"/>
      <c r="V192" s="533"/>
      <c r="W192" s="533"/>
      <c r="X192" s="533"/>
      <c r="Y192" s="533"/>
      <c r="Z192" s="533"/>
      <c r="AA192" s="533"/>
      <c r="AB192" s="533"/>
      <c r="AC192" s="533"/>
      <c r="AD192" s="533"/>
      <c r="AE192" s="533"/>
      <c r="AF192" s="533"/>
      <c r="AG192" s="533"/>
      <c r="AH192" s="533"/>
      <c r="AI192" s="533"/>
      <c r="AJ192" s="533"/>
      <c r="AK192" s="533"/>
      <c r="AL192" s="533"/>
      <c r="AM192" s="533"/>
      <c r="AN192" s="533"/>
      <c r="AO192" s="533"/>
      <c r="AP192" s="533"/>
      <c r="AQ192" s="533"/>
      <c r="AR192" s="533"/>
      <c r="AS192" s="533"/>
      <c r="AT192" s="533"/>
      <c r="AU192" s="533"/>
      <c r="AV192" s="533"/>
      <c r="AW192" s="533"/>
      <c r="AX192" s="533"/>
      <c r="AY192" s="533"/>
      <c r="AZ192" s="533"/>
      <c r="BA192" s="533"/>
      <c r="BB192" s="533"/>
      <c r="BC192" s="533"/>
      <c r="BD192" s="533"/>
      <c r="BE192" s="533"/>
      <c r="BF192" s="533"/>
      <c r="BG192" s="533"/>
      <c r="BH192" s="599"/>
      <c r="BI192" s="612"/>
      <c r="BJ192" s="580"/>
      <c r="BK192" s="547"/>
      <c r="BL192" s="599"/>
      <c r="BM192" s="612"/>
      <c r="BN192" s="580"/>
      <c r="BO192" s="547"/>
      <c r="BP192" s="599"/>
      <c r="BQ192" s="547"/>
      <c r="BR192" s="547"/>
      <c r="BS192" s="533"/>
      <c r="BT192" s="547"/>
      <c r="BU192" s="547"/>
      <c r="BV192" s="547"/>
      <c r="BW192" s="533"/>
      <c r="BX192" s="547"/>
      <c r="BY192" s="547"/>
      <c r="BZ192" s="547"/>
      <c r="CA192" s="533"/>
      <c r="CB192" s="547"/>
      <c r="CC192" s="547"/>
      <c r="CD192" s="547"/>
      <c r="CE192" s="533"/>
      <c r="CF192" s="547"/>
      <c r="CG192" s="547"/>
      <c r="CH192" s="547"/>
      <c r="CI192" s="533"/>
      <c r="CJ192" s="547"/>
      <c r="CK192" s="547"/>
      <c r="CL192" s="547"/>
      <c r="CM192" s="533"/>
      <c r="CN192" s="547"/>
      <c r="CO192" s="547"/>
      <c r="CP192" s="547"/>
      <c r="CQ192" s="533"/>
      <c r="CR192" s="547"/>
      <c r="CS192" s="547"/>
      <c r="CT192" s="547"/>
      <c r="CU192" s="533"/>
      <c r="CV192" s="547"/>
      <c r="CW192" s="547"/>
      <c r="CX192" s="547"/>
      <c r="CY192" s="533"/>
      <c r="CZ192" s="577">
        <f>+CZ182/CW182-1</f>
        <v>1.3740709013662755E-2</v>
      </c>
      <c r="DA192" s="577">
        <f>+DA182/CZ182-1</f>
        <v>3.4534854938245152E-2</v>
      </c>
      <c r="DB192" s="547"/>
      <c r="DC192" s="533"/>
      <c r="DD192" s="577">
        <f>+DD182/DA182-1</f>
        <v>1.0833065188155411E-2</v>
      </c>
      <c r="DE192" s="577">
        <f>+DE182/DD182-1</f>
        <v>7.6300238336217241E-2</v>
      </c>
      <c r="DF192" s="547"/>
      <c r="DG192" s="547"/>
      <c r="DH192" s="936">
        <v>0.01</v>
      </c>
      <c r="DI192" s="936">
        <v>0.02</v>
      </c>
      <c r="DJ192" s="547"/>
      <c r="DK192" s="547"/>
      <c r="DL192" s="936">
        <v>0.01</v>
      </c>
      <c r="DM192" s="936">
        <v>0.02</v>
      </c>
      <c r="DN192" s="547"/>
      <c r="DO192" s="547"/>
      <c r="DP192" s="936">
        <v>0.01</v>
      </c>
      <c r="DQ192" s="936">
        <v>0.02</v>
      </c>
      <c r="DR192" s="547"/>
      <c r="DS192" s="547"/>
      <c r="DT192" s="49"/>
      <c r="DU192" s="49"/>
      <c r="DV192" s="49"/>
    </row>
    <row r="193" spans="1:123" s="20" customFormat="1" ht="13.8">
      <c r="A193" s="47" t="str">
        <f>+A183</f>
        <v>New Zealand (NZ$)</v>
      </c>
      <c r="B193" s="49"/>
      <c r="BH193" s="67"/>
      <c r="BI193" s="97"/>
      <c r="BJ193" s="72"/>
      <c r="BK193" s="49"/>
      <c r="BL193" s="67"/>
      <c r="BM193" s="97"/>
      <c r="BN193" s="72"/>
      <c r="BO193" s="49"/>
      <c r="BP193" s="67"/>
      <c r="BQ193" s="49"/>
      <c r="BR193" s="49"/>
      <c r="BT193" s="49"/>
      <c r="BU193" s="49"/>
      <c r="BV193" s="49"/>
      <c r="BX193" s="49"/>
      <c r="BY193" s="49"/>
      <c r="BZ193" s="49"/>
      <c r="CB193" s="49"/>
      <c r="CC193" s="49"/>
      <c r="CD193" s="49"/>
      <c r="CF193" s="49"/>
      <c r="CG193" s="49"/>
      <c r="CH193" s="49"/>
      <c r="CJ193" s="49"/>
      <c r="CK193" s="49"/>
      <c r="CL193" s="49"/>
      <c r="CN193" s="49"/>
      <c r="CO193" s="49"/>
      <c r="CP193" s="49"/>
      <c r="CR193" s="49"/>
      <c r="CS193" s="49"/>
      <c r="CT193" s="49"/>
      <c r="CV193" s="49"/>
      <c r="CW193" s="49"/>
      <c r="CX193" s="49"/>
      <c r="CZ193" s="96">
        <f>+CZ183/CW183-1</f>
        <v>-1.0643990193250796E-2</v>
      </c>
      <c r="DA193" s="96">
        <f>+DA183/CZ183-1</f>
        <v>-5.364157307181272E-2</v>
      </c>
      <c r="DB193" s="49"/>
      <c r="DD193" s="96">
        <f>+DD183/DA183-1</f>
        <v>-6.0037983213869772E-3</v>
      </c>
      <c r="DE193" s="96">
        <f>+DE183/DD183-1</f>
        <v>9.0761348600363112E-2</v>
      </c>
      <c r="DF193" s="49"/>
      <c r="DH193" s="96">
        <f>+DH183/DE183-1</f>
        <v>4.9999999999998934E-3</v>
      </c>
      <c r="DI193" s="96">
        <f>+DI183/DH183-1</f>
        <v>0</v>
      </c>
      <c r="DJ193" s="49"/>
      <c r="DL193" s="96">
        <f>+DL183/DI183-1</f>
        <v>4.9999999999998934E-3</v>
      </c>
      <c r="DM193" s="96">
        <f>+DM183/DL183-1</f>
        <v>0</v>
      </c>
      <c r="DN193" s="49"/>
      <c r="DP193" s="96">
        <f>+DP183/DM183-1</f>
        <v>4.9999999999998934E-3</v>
      </c>
      <c r="DQ193" s="96">
        <f>+DQ183/DP183-1</f>
        <v>0</v>
      </c>
      <c r="DR193" s="49"/>
    </row>
    <row r="194" spans="1:123" s="20" customFormat="1" ht="13.8">
      <c r="A194" s="47" t="str">
        <f>+A184</f>
        <v>International (US$)</v>
      </c>
      <c r="B194" s="49"/>
      <c r="BH194" s="67"/>
      <c r="BI194" s="97"/>
      <c r="BJ194" s="72"/>
      <c r="BK194" s="49"/>
      <c r="BL194" s="67"/>
      <c r="BM194" s="97"/>
      <c r="BN194" s="72"/>
      <c r="BO194" s="49"/>
      <c r="BP194" s="67"/>
      <c r="BQ194" s="49"/>
      <c r="BR194" s="49"/>
      <c r="BT194" s="49"/>
      <c r="BU194" s="49"/>
      <c r="BV194" s="49"/>
      <c r="BX194" s="49"/>
      <c r="BY194" s="49"/>
      <c r="BZ194" s="49"/>
      <c r="CB194" s="49"/>
      <c r="CC194" s="49"/>
      <c r="CD194" s="49"/>
      <c r="CF194" s="49"/>
      <c r="CG194" s="49"/>
      <c r="CH194" s="49"/>
      <c r="CJ194" s="49"/>
      <c r="CK194" s="49"/>
      <c r="CL194" s="49"/>
      <c r="CN194" s="49"/>
      <c r="CO194" s="49"/>
      <c r="CP194" s="49"/>
      <c r="CR194" s="49"/>
      <c r="CS194" s="49"/>
      <c r="CT194" s="49"/>
      <c r="CV194" s="49"/>
      <c r="CW194" s="49"/>
      <c r="CX194" s="49"/>
      <c r="CZ194" s="96">
        <f>+CZ184/CW184-1</f>
        <v>-6.0454140842509774E-2</v>
      </c>
      <c r="DA194" s="96">
        <f>+DA184/CZ184-1</f>
        <v>8.0554750396762076E-2</v>
      </c>
      <c r="DB194" s="49"/>
      <c r="DD194" s="96">
        <f>+DD184/DA184-1</f>
        <v>-3.0880868065862654E-2</v>
      </c>
      <c r="DE194" s="96">
        <f>+DE184/DD184-1</f>
        <v>-9.2785395055432596E-2</v>
      </c>
      <c r="DF194" s="49"/>
      <c r="DH194" s="96">
        <f>+DH184/DE184-1</f>
        <v>4.0000000000000036E-2</v>
      </c>
      <c r="DI194" s="96">
        <f>+DI184/DH184-1</f>
        <v>1.0000000000000009E-2</v>
      </c>
      <c r="DJ194" s="49"/>
      <c r="DL194" s="96">
        <f>+DL184/DI184-1</f>
        <v>1.2499999999999956E-2</v>
      </c>
      <c r="DM194" s="96">
        <f>+DM184/DL184-1</f>
        <v>1.2999999999999901E-2</v>
      </c>
      <c r="DN194" s="49"/>
      <c r="DP194" s="96">
        <f>+DP184/DM184-1</f>
        <v>1.2499999999999956E-2</v>
      </c>
      <c r="DQ194" s="96">
        <f>+DQ184/DP184-1</f>
        <v>1.2999999999999901E-2</v>
      </c>
      <c r="DR194" s="49"/>
    </row>
    <row r="195" spans="1:123" s="20" customFormat="1" ht="13.8">
      <c r="A195" s="47"/>
      <c r="B195" s="49"/>
      <c r="BH195" s="67"/>
      <c r="BI195" s="97"/>
      <c r="BJ195" s="72"/>
      <c r="BK195" s="49"/>
      <c r="BL195" s="67"/>
      <c r="BM195" s="97"/>
      <c r="BN195" s="72"/>
      <c r="BO195" s="49"/>
      <c r="BP195" s="67"/>
      <c r="BQ195" s="49"/>
      <c r="BR195" s="49"/>
      <c r="BT195" s="49"/>
      <c r="BU195" s="49"/>
      <c r="BV195" s="49"/>
      <c r="BX195" s="49"/>
      <c r="BY195" s="49"/>
      <c r="BZ195" s="49"/>
      <c r="CB195" s="49"/>
      <c r="CC195" s="49"/>
      <c r="CD195" s="49"/>
      <c r="CF195" s="49"/>
      <c r="CG195" s="49"/>
      <c r="CH195" s="49"/>
      <c r="CJ195" s="49"/>
      <c r="CK195" s="49"/>
      <c r="CL195" s="49"/>
      <c r="CN195" s="49"/>
      <c r="CO195" s="49"/>
      <c r="CP195" s="49"/>
      <c r="CR195" s="49"/>
      <c r="CS195" s="49"/>
      <c r="CT195" s="49"/>
      <c r="CV195" s="49"/>
      <c r="CW195" s="49"/>
      <c r="CX195" s="49"/>
      <c r="CZ195" s="49"/>
      <c r="DA195" s="49"/>
      <c r="DB195" s="49"/>
      <c r="DD195" s="49"/>
      <c r="DE195" s="49"/>
      <c r="DF195" s="49"/>
      <c r="DH195" s="49"/>
      <c r="DI195" s="49"/>
      <c r="DJ195" s="49"/>
      <c r="DL195" s="49"/>
      <c r="DM195" s="49"/>
      <c r="DN195" s="49"/>
      <c r="DP195" s="49"/>
      <c r="DQ195" s="49"/>
      <c r="DR195" s="49"/>
    </row>
    <row r="196" spans="1:123" s="20" customFormat="1" ht="13.8">
      <c r="A196" s="20" t="s">
        <v>1230</v>
      </c>
      <c r="B196" s="49" t="s">
        <v>367</v>
      </c>
      <c r="BH196" s="67"/>
      <c r="BI196" s="79"/>
      <c r="BJ196" s="72"/>
      <c r="BK196" s="49"/>
      <c r="BL196" s="67"/>
      <c r="BM196" s="79"/>
      <c r="BN196" s="72"/>
      <c r="BO196" s="49"/>
      <c r="BP196" s="67"/>
      <c r="BQ196" s="49"/>
      <c r="BR196" s="49"/>
      <c r="BT196" s="49"/>
      <c r="BU196" s="49"/>
      <c r="BV196" s="49"/>
      <c r="BX196" s="49"/>
      <c r="BY196" s="49"/>
      <c r="BZ196" s="49"/>
      <c r="CB196" s="49"/>
      <c r="CC196" s="49"/>
      <c r="CD196" s="49"/>
      <c r="CF196" s="49"/>
      <c r="CG196" s="49"/>
      <c r="CH196" s="49"/>
      <c r="CJ196" s="49"/>
      <c r="CK196" s="49"/>
      <c r="CL196" s="49"/>
      <c r="CN196" s="49"/>
      <c r="CO196" s="49"/>
      <c r="CP196" s="49"/>
      <c r="CR196" s="49"/>
      <c r="CS196" s="49"/>
      <c r="CT196" s="49"/>
      <c r="CV196" s="65"/>
      <c r="CW196" s="65">
        <f>+CW141</f>
        <v>51095.9064</v>
      </c>
      <c r="CX196" s="65">
        <f t="shared" ref="CX196:CX197" si="399">+CW196</f>
        <v>51095.9064</v>
      </c>
      <c r="CY196" s="75"/>
      <c r="CZ196" s="65">
        <f>+CZ141</f>
        <v>48051.818000000007</v>
      </c>
      <c r="DA196" s="65">
        <f>+DA141</f>
        <v>51884.492100000003</v>
      </c>
      <c r="DB196" s="65">
        <f t="shared" ref="DB196:DB197" si="400">+DA196</f>
        <v>51884.492100000003</v>
      </c>
      <c r="DC196" s="75">
        <f t="shared" ref="DC196:DC197" si="401">+DB196/CX196-1</f>
        <v>1.5433441846135931E-2</v>
      </c>
      <c r="DD196" s="65">
        <f>+DD141</f>
        <v>50270.911299999992</v>
      </c>
      <c r="DE196" s="65">
        <f>+DE141</f>
        <v>45744.593800000002</v>
      </c>
      <c r="DF196" s="65">
        <f t="shared" ref="DF196:DF197" si="402">+DE196</f>
        <v>45744.593800000002</v>
      </c>
      <c r="DG196" s="75">
        <f t="shared" ref="DG196:DG197" si="403">+DF196/DB196-1</f>
        <v>-0.11833783181622393</v>
      </c>
      <c r="DH196" s="65">
        <f>+DH197+DH198</f>
        <v>47550.901868000001</v>
      </c>
      <c r="DI196" s="65">
        <f>+DI197+DI198</f>
        <v>48038.383485520004</v>
      </c>
      <c r="DJ196" s="65">
        <f t="shared" ref="DJ196:DJ197" si="404">+DI196</f>
        <v>48038.383485520004</v>
      </c>
      <c r="DK196" s="75">
        <f t="shared" ref="DK196:DK197" si="405">+DJ196/DF196-1</f>
        <v>5.0143404826124005E-2</v>
      </c>
      <c r="DL196" s="65">
        <f>+DL197+DL198</f>
        <v>48648.022317201598</v>
      </c>
      <c r="DM196" s="65">
        <f>+DM197+DM198</f>
        <v>49289.166011608417</v>
      </c>
      <c r="DN196" s="65">
        <f t="shared" ref="DN196:DN197" si="406">+DM196</f>
        <v>49289.166011608417</v>
      </c>
      <c r="DO196" s="75">
        <f t="shared" ref="DO196:DO197" si="407">+DN196/DJ196-1</f>
        <v>2.6037148532806809E-2</v>
      </c>
      <c r="DP196" s="65">
        <f>+DP197+DP198</f>
        <v>49914.809650005867</v>
      </c>
      <c r="DQ196" s="65">
        <f>+DQ197+DQ198</f>
        <v>50572.773843672177</v>
      </c>
      <c r="DR196" s="65">
        <f t="shared" ref="DR196:DR197" si="408">+DQ196</f>
        <v>50572.773843672177</v>
      </c>
      <c r="DS196" s="75">
        <f t="shared" ref="DS196:DS197" si="409">+DR196/DN196-1</f>
        <v>2.6042393002986719E-2</v>
      </c>
    </row>
    <row r="197" spans="1:123" s="20" customFormat="1" ht="13.8">
      <c r="A197" s="20" t="s">
        <v>1232</v>
      </c>
      <c r="B197" s="49" t="s">
        <v>367</v>
      </c>
      <c r="BH197" s="67"/>
      <c r="BI197" s="79"/>
      <c r="BJ197" s="72"/>
      <c r="BK197" s="49"/>
      <c r="BL197" s="67"/>
      <c r="BM197" s="79"/>
      <c r="BN197" s="72"/>
      <c r="BO197" s="49"/>
      <c r="BP197" s="67"/>
      <c r="BQ197" s="49"/>
      <c r="BR197" s="49"/>
      <c r="BT197" s="49"/>
      <c r="BU197" s="49"/>
      <c r="BV197" s="49"/>
      <c r="BX197" s="49"/>
      <c r="BY197" s="49"/>
      <c r="BZ197" s="49"/>
      <c r="CB197" s="49"/>
      <c r="CC197" s="49"/>
      <c r="CD197" s="49"/>
      <c r="CF197" s="49"/>
      <c r="CG197" s="49"/>
      <c r="CH197" s="49"/>
      <c r="CJ197" s="49"/>
      <c r="CK197" s="49"/>
      <c r="CL197" s="49"/>
      <c r="CN197" s="49"/>
      <c r="CO197" s="49"/>
      <c r="CP197" s="49"/>
      <c r="CR197" s="49"/>
      <c r="CS197" s="49"/>
      <c r="CT197" s="49"/>
      <c r="CV197" s="65"/>
      <c r="CW197" s="65">
        <f>CW184</f>
        <v>49934.253600000004</v>
      </c>
      <c r="CX197" s="65">
        <f t="shared" si="399"/>
        <v>49934.253600000004</v>
      </c>
      <c r="CY197" s="75"/>
      <c r="CZ197" s="65">
        <f>CZ184</f>
        <v>46915.521200000003</v>
      </c>
      <c r="DA197" s="65">
        <f>DA184</f>
        <v>50694.789300000004</v>
      </c>
      <c r="DB197" s="65">
        <f t="shared" si="400"/>
        <v>50694.789300000004</v>
      </c>
      <c r="DC197" s="75">
        <f t="shared" si="401"/>
        <v>1.5230741328233321E-2</v>
      </c>
      <c r="DD197" s="65">
        <f>DD184</f>
        <v>49129.290199999996</v>
      </c>
      <c r="DE197" s="65">
        <f>DE184</f>
        <v>44570.809600000001</v>
      </c>
      <c r="DF197" s="65">
        <f t="shared" si="402"/>
        <v>44570.809600000001</v>
      </c>
      <c r="DG197" s="75">
        <f t="shared" si="403"/>
        <v>-0.12080096957814956</v>
      </c>
      <c r="DH197" s="65">
        <f>+DE197*(1+DH201)</f>
        <v>46353.641984000002</v>
      </c>
      <c r="DI197" s="65">
        <f>+DH197*(1+DI201)</f>
        <v>46817.17840384</v>
      </c>
      <c r="DJ197" s="65">
        <f t="shared" si="404"/>
        <v>46817.17840384</v>
      </c>
      <c r="DK197" s="75">
        <f t="shared" si="405"/>
        <v>5.04E-2</v>
      </c>
      <c r="DL197" s="65">
        <f>+DI197*(1+DL201)</f>
        <v>47402.393133887999</v>
      </c>
      <c r="DM197" s="65">
        <f>+DL197*(1+DM201)</f>
        <v>48018.62424462854</v>
      </c>
      <c r="DN197" s="65">
        <f t="shared" si="406"/>
        <v>48018.62424462854</v>
      </c>
      <c r="DO197" s="75">
        <f t="shared" si="407"/>
        <v>2.5662499999999921E-2</v>
      </c>
      <c r="DP197" s="65">
        <f>+DM197*(1+DP201)</f>
        <v>48618.857047686397</v>
      </c>
      <c r="DQ197" s="65">
        <f>+DP197*(1+DQ201)</f>
        <v>49250.902189306318</v>
      </c>
      <c r="DR197" s="65">
        <f t="shared" si="408"/>
        <v>49250.902189306318</v>
      </c>
      <c r="DS197" s="75">
        <f t="shared" si="409"/>
        <v>2.5662499999999921E-2</v>
      </c>
    </row>
    <row r="198" spans="1:123" s="20" customFormat="1" ht="13.8">
      <c r="A198" s="20" t="s">
        <v>1235</v>
      </c>
      <c r="B198" s="49" t="s">
        <v>367</v>
      </c>
      <c r="BH198" s="67"/>
      <c r="BI198" s="79"/>
      <c r="BJ198" s="72"/>
      <c r="BK198" s="49"/>
      <c r="BL198" s="67"/>
      <c r="BM198" s="79"/>
      <c r="BN198" s="72"/>
      <c r="BO198" s="49"/>
      <c r="BP198" s="67"/>
      <c r="BQ198" s="49"/>
      <c r="BR198" s="49"/>
      <c r="BT198" s="49"/>
      <c r="BU198" s="49"/>
      <c r="BV198" s="49"/>
      <c r="BX198" s="49"/>
      <c r="BY198" s="49"/>
      <c r="BZ198" s="49"/>
      <c r="CB198" s="49"/>
      <c r="CC198" s="49"/>
      <c r="CD198" s="49"/>
      <c r="CF198" s="49"/>
      <c r="CG198" s="49"/>
      <c r="CH198" s="49"/>
      <c r="CJ198" s="49"/>
      <c r="CK198" s="49"/>
      <c r="CL198" s="49"/>
      <c r="CN198" s="49"/>
      <c r="CO198" s="49"/>
      <c r="CP198" s="49"/>
      <c r="CR198" s="49"/>
      <c r="CS198" s="49"/>
      <c r="CT198" s="49"/>
      <c r="CV198" s="65"/>
      <c r="CW198" s="65">
        <f>+CW196-CW197</f>
        <v>1161.6527999999962</v>
      </c>
      <c r="CX198" s="49"/>
      <c r="CZ198" s="65">
        <f>+CZ196-CZ197</f>
        <v>1136.2968000000037</v>
      </c>
      <c r="DA198" s="65">
        <f>+DA196-DA197</f>
        <v>1189.7027999999991</v>
      </c>
      <c r="DB198" s="49"/>
      <c r="DD198" s="65">
        <f>+DD196-DD197</f>
        <v>1141.6210999999967</v>
      </c>
      <c r="DE198" s="65">
        <f>+DE196-DE197</f>
        <v>1173.7842000000019</v>
      </c>
      <c r="DF198" s="49"/>
      <c r="DH198" s="65">
        <f>+DE198*(1+DH202)</f>
        <v>1197.2598840000019</v>
      </c>
      <c r="DI198" s="65">
        <f>+DH198*(1+DI202)</f>
        <v>1221.205081680002</v>
      </c>
      <c r="DJ198" s="49"/>
      <c r="DL198" s="65">
        <f>+DI198*(1+DL202)</f>
        <v>1245.629183313602</v>
      </c>
      <c r="DM198" s="65">
        <f>+DL198*(1+DM202)</f>
        <v>1270.541766979874</v>
      </c>
      <c r="DN198" s="49"/>
      <c r="DP198" s="65">
        <f>+DM198*(1+DP202)</f>
        <v>1295.9526023194715</v>
      </c>
      <c r="DQ198" s="65">
        <f>+DP198*(1+DQ202)</f>
        <v>1321.8716543658609</v>
      </c>
      <c r="DR198" s="49"/>
    </row>
    <row r="199" spans="1:123" s="20" customFormat="1" ht="13.8">
      <c r="A199" s="47" t="s">
        <v>217</v>
      </c>
      <c r="B199" s="49"/>
      <c r="BH199" s="67"/>
      <c r="BI199" s="79"/>
      <c r="BJ199" s="72"/>
      <c r="BK199" s="49"/>
      <c r="BL199" s="67"/>
      <c r="BM199" s="79"/>
      <c r="BN199" s="72"/>
      <c r="BO199" s="49"/>
      <c r="BP199" s="67"/>
      <c r="BQ199" s="49"/>
      <c r="BR199" s="49"/>
      <c r="BT199" s="49"/>
      <c r="BU199" s="49"/>
      <c r="BV199" s="49"/>
      <c r="BX199" s="49"/>
      <c r="BY199" s="49"/>
      <c r="BZ199" s="49"/>
      <c r="CB199" s="49"/>
      <c r="CC199" s="49"/>
      <c r="CD199" s="49"/>
      <c r="CF199" s="49"/>
      <c r="CG199" s="49"/>
      <c r="CH199" s="49"/>
      <c r="CJ199" s="49"/>
      <c r="CK199" s="49"/>
      <c r="CL199" s="49"/>
      <c r="CN199" s="49"/>
      <c r="CO199" s="49"/>
      <c r="CP199" s="49"/>
      <c r="CR199" s="49"/>
      <c r="CS199" s="49"/>
      <c r="CT199" s="49"/>
      <c r="CV199" s="65"/>
      <c r="CW199" s="65"/>
      <c r="CX199" s="49"/>
      <c r="CZ199" s="65"/>
      <c r="DA199" s="65"/>
      <c r="DB199" s="49"/>
      <c r="DD199" s="65"/>
      <c r="DE199" s="65"/>
      <c r="DF199" s="49"/>
      <c r="DH199" s="65"/>
      <c r="DI199" s="65"/>
      <c r="DJ199" s="49"/>
      <c r="DL199" s="65"/>
      <c r="DM199" s="65"/>
      <c r="DN199" s="49"/>
      <c r="DP199" s="65"/>
      <c r="DQ199" s="65"/>
      <c r="DR199" s="49"/>
    </row>
    <row r="200" spans="1:123" s="20" customFormat="1" ht="13.8">
      <c r="A200" s="47" t="str">
        <f>A196</f>
        <v>Other: Non Housing</v>
      </c>
      <c r="B200" s="49"/>
      <c r="BH200" s="67"/>
      <c r="BI200" s="79"/>
      <c r="BJ200" s="72"/>
      <c r="BK200" s="49"/>
      <c r="BL200" s="67"/>
      <c r="BM200" s="79"/>
      <c r="BN200" s="72"/>
      <c r="BO200" s="49"/>
      <c r="BP200" s="67"/>
      <c r="BQ200" s="49"/>
      <c r="BR200" s="49"/>
      <c r="BT200" s="49"/>
      <c r="BU200" s="49"/>
      <c r="BV200" s="49"/>
      <c r="BX200" s="49"/>
      <c r="BY200" s="49"/>
      <c r="BZ200" s="49"/>
      <c r="CB200" s="49"/>
      <c r="CC200" s="49"/>
      <c r="CD200" s="49"/>
      <c r="CF200" s="49"/>
      <c r="CG200" s="49"/>
      <c r="CH200" s="49"/>
      <c r="CJ200" s="49"/>
      <c r="CK200" s="49"/>
      <c r="CL200" s="49"/>
      <c r="CN200" s="49"/>
      <c r="CO200" s="49"/>
      <c r="CP200" s="49"/>
      <c r="CR200" s="49"/>
      <c r="CS200" s="49"/>
      <c r="CT200" s="49"/>
      <c r="CV200" s="65"/>
      <c r="CW200" s="65"/>
      <c r="CX200" s="49"/>
      <c r="CZ200" s="75">
        <f>+CZ196/CW196-1</f>
        <v>-5.9575974172365265E-2</v>
      </c>
      <c r="DA200" s="75">
        <f>+DA196/CZ196-1</f>
        <v>7.9761271467397865E-2</v>
      </c>
      <c r="DB200" s="49"/>
      <c r="DD200" s="75">
        <f>+DD196/DA196-1</f>
        <v>-3.1099481457582012E-2</v>
      </c>
      <c r="DE200" s="75">
        <f>+DE196/DD196-1</f>
        <v>-9.0038501052595588E-2</v>
      </c>
      <c r="DF200" s="49"/>
      <c r="DH200" s="75">
        <f t="shared" ref="DH200" si="410">+DH196/DE196-1</f>
        <v>3.9486809652247823E-2</v>
      </c>
      <c r="DI200" s="75">
        <f t="shared" ref="DI200" si="411">+DI196/DH196-1</f>
        <v>1.0251784895126459E-2</v>
      </c>
      <c r="DJ200" s="49"/>
      <c r="DL200" s="75">
        <f t="shared" ref="DL200" si="412">+DL196/DI196-1</f>
        <v>1.2690660830944722E-2</v>
      </c>
      <c r="DM200" s="75">
        <f t="shared" ref="DM200" si="413">+DM196/DL196-1</f>
        <v>1.3179234506725646E-2</v>
      </c>
      <c r="DN200" s="49"/>
      <c r="DP200" s="75">
        <f t="shared" ref="DP200" si="414">+DP196/DM196-1</f>
        <v>1.2693329772512252E-2</v>
      </c>
      <c r="DQ200" s="75">
        <f t="shared" ref="DQ200" si="415">+DQ196/DP196-1</f>
        <v>1.3181743019353265E-2</v>
      </c>
      <c r="DR200" s="49"/>
    </row>
    <row r="201" spans="1:123" s="20" customFormat="1" ht="13.8">
      <c r="A201" s="574" t="str">
        <f t="shared" ref="A201:A202" si="416">A197</f>
        <v>International: Institutional</v>
      </c>
      <c r="B201" s="547"/>
      <c r="C201" s="533"/>
      <c r="D201" s="533"/>
      <c r="E201" s="533"/>
      <c r="F201" s="533"/>
      <c r="G201" s="533"/>
      <c r="H201" s="533"/>
      <c r="I201" s="533"/>
      <c r="J201" s="533"/>
      <c r="K201" s="533"/>
      <c r="L201" s="533"/>
      <c r="M201" s="533"/>
      <c r="N201" s="533"/>
      <c r="O201" s="533"/>
      <c r="P201" s="533"/>
      <c r="Q201" s="533"/>
      <c r="R201" s="533"/>
      <c r="S201" s="533"/>
      <c r="T201" s="533"/>
      <c r="U201" s="533"/>
      <c r="V201" s="533"/>
      <c r="W201" s="533"/>
      <c r="X201" s="533"/>
      <c r="Y201" s="533"/>
      <c r="Z201" s="533"/>
      <c r="AA201" s="533"/>
      <c r="AB201" s="533"/>
      <c r="AC201" s="533"/>
      <c r="AD201" s="533"/>
      <c r="AE201" s="533"/>
      <c r="AF201" s="533"/>
      <c r="AG201" s="533"/>
      <c r="AH201" s="533"/>
      <c r="AI201" s="533"/>
      <c r="AJ201" s="533"/>
      <c r="AK201" s="533"/>
      <c r="AL201" s="533"/>
      <c r="AM201" s="533"/>
      <c r="AN201" s="533"/>
      <c r="AO201" s="533"/>
      <c r="AP201" s="533"/>
      <c r="AQ201" s="533"/>
      <c r="AR201" s="533"/>
      <c r="AS201" s="533"/>
      <c r="AT201" s="533"/>
      <c r="AU201" s="533"/>
      <c r="AV201" s="533"/>
      <c r="AW201" s="533"/>
      <c r="AX201" s="533"/>
      <c r="AY201" s="533"/>
      <c r="AZ201" s="533"/>
      <c r="BA201" s="533"/>
      <c r="BB201" s="533"/>
      <c r="BC201" s="533"/>
      <c r="BD201" s="533"/>
      <c r="BE201" s="533"/>
      <c r="BF201" s="533"/>
      <c r="BG201" s="533"/>
      <c r="BH201" s="599"/>
      <c r="BI201" s="612"/>
      <c r="BJ201" s="580"/>
      <c r="BK201" s="547"/>
      <c r="BL201" s="599"/>
      <c r="BM201" s="612"/>
      <c r="BN201" s="580"/>
      <c r="BO201" s="547"/>
      <c r="BP201" s="599"/>
      <c r="BQ201" s="547"/>
      <c r="BR201" s="547"/>
      <c r="BS201" s="533"/>
      <c r="BT201" s="547"/>
      <c r="BU201" s="547"/>
      <c r="BV201" s="547"/>
      <c r="BW201" s="533"/>
      <c r="BX201" s="547"/>
      <c r="BY201" s="547"/>
      <c r="BZ201" s="547"/>
      <c r="CA201" s="533"/>
      <c r="CB201" s="547"/>
      <c r="CC201" s="547"/>
      <c r="CD201" s="547"/>
      <c r="CE201" s="533"/>
      <c r="CF201" s="547"/>
      <c r="CG201" s="547"/>
      <c r="CH201" s="547"/>
      <c r="CI201" s="533"/>
      <c r="CJ201" s="547"/>
      <c r="CK201" s="547"/>
      <c r="CL201" s="547"/>
      <c r="CM201" s="533"/>
      <c r="CN201" s="547"/>
      <c r="CO201" s="547"/>
      <c r="CP201" s="547"/>
      <c r="CQ201" s="533"/>
      <c r="CR201" s="547"/>
      <c r="CS201" s="547"/>
      <c r="CT201" s="547"/>
      <c r="CU201" s="533"/>
      <c r="CV201" s="583"/>
      <c r="CW201" s="583"/>
      <c r="CX201" s="547"/>
      <c r="CY201" s="533"/>
      <c r="CZ201" s="577">
        <f t="shared" ref="CZ201:CZ202" si="417">+CZ197/CW197-1</f>
        <v>-6.0454140842509774E-2</v>
      </c>
      <c r="DA201" s="577">
        <f t="shared" ref="DA201:DA202" si="418">+DA197/CZ197-1</f>
        <v>8.0554750396762076E-2</v>
      </c>
      <c r="DB201" s="547"/>
      <c r="DC201" s="533"/>
      <c r="DD201" s="577">
        <f t="shared" ref="DD201:DD202" si="419">+DD197/DA197-1</f>
        <v>-3.0880868065862654E-2</v>
      </c>
      <c r="DE201" s="577">
        <f t="shared" ref="DE201:DE202" si="420">+DE197/DD197-1</f>
        <v>-9.2785395055432596E-2</v>
      </c>
      <c r="DF201" s="547"/>
      <c r="DG201" s="533"/>
      <c r="DH201" s="1294">
        <v>0.04</v>
      </c>
      <c r="DI201" s="1294">
        <v>0.01</v>
      </c>
      <c r="DJ201" s="547"/>
      <c r="DK201" s="533"/>
      <c r="DL201" s="1294">
        <v>1.2500000000000001E-2</v>
      </c>
      <c r="DM201" s="1294">
        <v>1.2999999999999999E-2</v>
      </c>
      <c r="DN201" s="547"/>
      <c r="DO201" s="533"/>
      <c r="DP201" s="1294">
        <v>1.2500000000000001E-2</v>
      </c>
      <c r="DQ201" s="1294">
        <v>1.2999999999999999E-2</v>
      </c>
      <c r="DR201" s="547"/>
      <c r="DS201" s="533"/>
    </row>
    <row r="202" spans="1:123" s="20" customFormat="1" ht="13.8">
      <c r="A202" s="574" t="str">
        <f t="shared" si="416"/>
        <v>International: Other (implied)</v>
      </c>
      <c r="B202" s="547"/>
      <c r="C202" s="533"/>
      <c r="D202" s="533"/>
      <c r="E202" s="533"/>
      <c r="F202" s="533"/>
      <c r="G202" s="533"/>
      <c r="H202" s="533"/>
      <c r="I202" s="533"/>
      <c r="J202" s="533"/>
      <c r="K202" s="533"/>
      <c r="L202" s="533"/>
      <c r="M202" s="533"/>
      <c r="N202" s="533"/>
      <c r="O202" s="533"/>
      <c r="P202" s="533"/>
      <c r="Q202" s="533"/>
      <c r="R202" s="533"/>
      <c r="S202" s="533"/>
      <c r="T202" s="533"/>
      <c r="U202" s="533"/>
      <c r="V202" s="533"/>
      <c r="W202" s="533"/>
      <c r="X202" s="533"/>
      <c r="Y202" s="533"/>
      <c r="Z202" s="533"/>
      <c r="AA202" s="533"/>
      <c r="AB202" s="533"/>
      <c r="AC202" s="533"/>
      <c r="AD202" s="533"/>
      <c r="AE202" s="533"/>
      <c r="AF202" s="533"/>
      <c r="AG202" s="533"/>
      <c r="AH202" s="533"/>
      <c r="AI202" s="533"/>
      <c r="AJ202" s="533"/>
      <c r="AK202" s="533"/>
      <c r="AL202" s="533"/>
      <c r="AM202" s="533"/>
      <c r="AN202" s="533"/>
      <c r="AO202" s="533"/>
      <c r="AP202" s="533"/>
      <c r="AQ202" s="533"/>
      <c r="AR202" s="533"/>
      <c r="AS202" s="533"/>
      <c r="AT202" s="533"/>
      <c r="AU202" s="533"/>
      <c r="AV202" s="533"/>
      <c r="AW202" s="533"/>
      <c r="AX202" s="533"/>
      <c r="AY202" s="533"/>
      <c r="AZ202" s="533"/>
      <c r="BA202" s="533"/>
      <c r="BB202" s="533"/>
      <c r="BC202" s="533"/>
      <c r="BD202" s="533"/>
      <c r="BE202" s="533"/>
      <c r="BF202" s="533"/>
      <c r="BG202" s="533"/>
      <c r="BH202" s="599"/>
      <c r="BI202" s="612"/>
      <c r="BJ202" s="580"/>
      <c r="BK202" s="547"/>
      <c r="BL202" s="599"/>
      <c r="BM202" s="612"/>
      <c r="BN202" s="580"/>
      <c r="BO202" s="547"/>
      <c r="BP202" s="599"/>
      <c r="BQ202" s="547"/>
      <c r="BR202" s="547"/>
      <c r="BS202" s="533"/>
      <c r="BT202" s="547"/>
      <c r="BU202" s="547"/>
      <c r="BV202" s="547"/>
      <c r="BW202" s="533"/>
      <c r="BX202" s="547"/>
      <c r="BY202" s="547"/>
      <c r="BZ202" s="547"/>
      <c r="CA202" s="533"/>
      <c r="CB202" s="547"/>
      <c r="CC202" s="547"/>
      <c r="CD202" s="547"/>
      <c r="CE202" s="533"/>
      <c r="CF202" s="547"/>
      <c r="CG202" s="547"/>
      <c r="CH202" s="547"/>
      <c r="CI202" s="533"/>
      <c r="CJ202" s="547"/>
      <c r="CK202" s="547"/>
      <c r="CL202" s="547"/>
      <c r="CM202" s="533"/>
      <c r="CN202" s="547"/>
      <c r="CO202" s="547"/>
      <c r="CP202" s="547"/>
      <c r="CQ202" s="533"/>
      <c r="CR202" s="547"/>
      <c r="CS202" s="547"/>
      <c r="CT202" s="547"/>
      <c r="CU202" s="533"/>
      <c r="CV202" s="583"/>
      <c r="CW202" s="583"/>
      <c r="CX202" s="547"/>
      <c r="CY202" s="533"/>
      <c r="CZ202" s="577">
        <f t="shared" si="417"/>
        <v>-2.1827520236677111E-2</v>
      </c>
      <c r="DA202" s="577">
        <f t="shared" si="418"/>
        <v>4.7000044354604587E-2</v>
      </c>
      <c r="DB202" s="547"/>
      <c r="DC202" s="533"/>
      <c r="DD202" s="577">
        <f t="shared" si="419"/>
        <v>-4.0414883448204431E-2</v>
      </c>
      <c r="DE202" s="577">
        <f t="shared" si="420"/>
        <v>2.8173182853755252E-2</v>
      </c>
      <c r="DF202" s="547"/>
      <c r="DG202" s="533"/>
      <c r="DH202" s="1294">
        <v>0.02</v>
      </c>
      <c r="DI202" s="1294">
        <v>0.02</v>
      </c>
      <c r="DJ202" s="547"/>
      <c r="DK202" s="533"/>
      <c r="DL202" s="1294">
        <v>0.02</v>
      </c>
      <c r="DM202" s="1294">
        <v>0.02</v>
      </c>
      <c r="DN202" s="547"/>
      <c r="DO202" s="533"/>
      <c r="DP202" s="1294">
        <v>0.02</v>
      </c>
      <c r="DQ202" s="1294">
        <v>0.02</v>
      </c>
      <c r="DR202" s="547"/>
      <c r="DS202" s="533"/>
    </row>
    <row r="203" spans="1:123" s="20" customFormat="1" ht="13.8">
      <c r="A203" s="47"/>
      <c r="B203" s="49"/>
      <c r="BH203" s="67"/>
      <c r="BI203" s="79"/>
      <c r="BJ203" s="72"/>
      <c r="BK203" s="49"/>
      <c r="BL203" s="67"/>
      <c r="BM203" s="79"/>
      <c r="BN203" s="72"/>
      <c r="BO203" s="49"/>
      <c r="BP203" s="67"/>
      <c r="BQ203" s="49"/>
      <c r="BR203" s="49"/>
      <c r="BT203" s="49"/>
      <c r="BU203" s="49"/>
      <c r="BV203" s="49"/>
      <c r="BX203" s="49"/>
      <c r="BY203" s="49"/>
      <c r="BZ203" s="49"/>
      <c r="CB203" s="49"/>
      <c r="CC203" s="49"/>
      <c r="CD203" s="49"/>
      <c r="CF203" s="49"/>
      <c r="CG203" s="49"/>
      <c r="CH203" s="49"/>
      <c r="CJ203" s="49"/>
      <c r="CK203" s="49"/>
      <c r="CL203" s="49"/>
      <c r="CN203" s="49"/>
      <c r="CO203" s="49"/>
      <c r="CP203" s="49"/>
      <c r="CR203" s="49"/>
      <c r="CS203" s="49"/>
      <c r="CT203" s="49"/>
      <c r="CV203" s="49"/>
      <c r="CW203" s="49"/>
      <c r="CX203" s="49"/>
      <c r="CZ203" s="49"/>
      <c r="DA203" s="49"/>
      <c r="DB203" s="49"/>
      <c r="DD203" s="49"/>
      <c r="DE203" s="49"/>
      <c r="DF203" s="49"/>
      <c r="DH203" s="49"/>
      <c r="DI203" s="49"/>
      <c r="DJ203" s="49"/>
      <c r="DL203" s="49"/>
      <c r="DM203" s="49"/>
      <c r="DN203" s="49"/>
      <c r="DP203" s="49"/>
      <c r="DQ203" s="49"/>
      <c r="DR203" s="49"/>
    </row>
    <row r="204" spans="1:123" s="20" customFormat="1" ht="13.8">
      <c r="A204" s="20" t="s">
        <v>1231</v>
      </c>
      <c r="B204" s="49" t="s">
        <v>701</v>
      </c>
      <c r="BH204" s="67"/>
      <c r="BI204" s="79"/>
      <c r="BJ204" s="72"/>
      <c r="BK204" s="49"/>
      <c r="BL204" s="67"/>
      <c r="BM204" s="79"/>
      <c r="BN204" s="72"/>
      <c r="BO204" s="49"/>
      <c r="BP204" s="67"/>
      <c r="BQ204" s="49"/>
      <c r="BR204" s="49"/>
      <c r="BT204" s="49"/>
      <c r="BU204" s="49"/>
      <c r="BV204" s="49"/>
      <c r="BX204" s="49"/>
      <c r="BY204" s="49"/>
      <c r="BZ204" s="49"/>
      <c r="CB204" s="49"/>
      <c r="CC204" s="49"/>
      <c r="CD204" s="49"/>
      <c r="CF204" s="49"/>
      <c r="CG204" s="49"/>
      <c r="CH204" s="49"/>
      <c r="CJ204" s="49"/>
      <c r="CK204" s="49"/>
      <c r="CL204" s="49"/>
      <c r="CN204" s="49"/>
      <c r="CO204" s="49"/>
      <c r="CP204" s="49"/>
      <c r="CR204" s="49"/>
      <c r="CS204" s="49"/>
      <c r="CT204" s="49"/>
      <c r="CV204" s="65"/>
      <c r="CW204" s="65">
        <f>CW119</f>
        <v>42578.065399999992</v>
      </c>
      <c r="CX204" s="65">
        <f t="shared" ref="CX204:CX206" si="421">+CW204</f>
        <v>42578.065399999992</v>
      </c>
      <c r="CY204" s="75"/>
      <c r="CZ204" s="65">
        <f>CZ119</f>
        <v>41976.55</v>
      </c>
      <c r="DA204" s="65">
        <f>DA119</f>
        <v>41088.255600000004</v>
      </c>
      <c r="DB204" s="65">
        <f t="shared" ref="DB204:DB206" si="422">+DA204</f>
        <v>41088.255600000004</v>
      </c>
      <c r="DC204" s="75">
        <f t="shared" ref="DC204:DC206" si="423">+DB204/CX204-1</f>
        <v>-3.499007730867898E-2</v>
      </c>
      <c r="DD204" s="65">
        <f>DD119</f>
        <v>40687.900000000009</v>
      </c>
      <c r="DE204" s="65">
        <f>DE119</f>
        <v>42903.665300000008</v>
      </c>
      <c r="DF204" s="65">
        <f t="shared" ref="DF204:DF206" si="424">+DE204</f>
        <v>42903.665300000008</v>
      </c>
      <c r="DG204" s="75">
        <f t="shared" ref="DG204:DG206" si="425">+DF204/DB204-1</f>
        <v>4.418317773509961E-2</v>
      </c>
      <c r="DH204" s="65">
        <f>+DH205+DH206</f>
        <v>43476.099295500011</v>
      </c>
      <c r="DI204" s="65">
        <f>+DI205+DI206</f>
        <v>43962.864605340008</v>
      </c>
      <c r="DJ204" s="65">
        <f t="shared" ref="DJ204:DJ206" si="426">+DI204</f>
        <v>43962.864605340008</v>
      </c>
      <c r="DK204" s="75">
        <f t="shared" ref="DK204:DK206" si="427">+DJ204/DF204-1</f>
        <v>2.4687851211164569E-2</v>
      </c>
      <c r="DL204" s="65">
        <f>+DL205+DL206</f>
        <v>44555.054390394303</v>
      </c>
      <c r="DM204" s="65">
        <f>+DM205+DM206</f>
        <v>45061.485018751839</v>
      </c>
      <c r="DN204" s="65">
        <f t="shared" ref="DN204:DN206" si="428">+DM204</f>
        <v>45061.485018751839</v>
      </c>
      <c r="DO204" s="75">
        <f t="shared" ref="DO204:DO206" si="429">+DN204/DJ204-1</f>
        <v>2.4989736753377567E-2</v>
      </c>
      <c r="DP204" s="65">
        <f>+DP205+DP206</f>
        <v>45674.211874539105</v>
      </c>
      <c r="DQ204" s="65">
        <f>+DQ205+DQ206</f>
        <v>46201.102300282291</v>
      </c>
      <c r="DR204" s="65">
        <f t="shared" ref="DR204:DR206" si="430">+DQ204</f>
        <v>46201.102300282291</v>
      </c>
      <c r="DS204" s="75">
        <f t="shared" ref="DS204:DS206" si="431">+DR204/DN204-1</f>
        <v>2.5290273524190665E-2</v>
      </c>
    </row>
    <row r="205" spans="1:123" s="20" customFormat="1" ht="13.8">
      <c r="A205" s="20" t="s">
        <v>1233</v>
      </c>
      <c r="B205" s="49" t="s">
        <v>701</v>
      </c>
      <c r="BH205" s="67"/>
      <c r="BI205" s="79"/>
      <c r="BJ205" s="72"/>
      <c r="BK205" s="49"/>
      <c r="BL205" s="67"/>
      <c r="BM205" s="79"/>
      <c r="BN205" s="72"/>
      <c r="BO205" s="49"/>
      <c r="BP205" s="67"/>
      <c r="BQ205" s="49"/>
      <c r="BR205" s="49"/>
      <c r="BT205" s="49"/>
      <c r="BU205" s="49"/>
      <c r="BV205" s="49"/>
      <c r="BX205" s="49"/>
      <c r="BY205" s="49"/>
      <c r="BZ205" s="49"/>
      <c r="CB205" s="49"/>
      <c r="CC205" s="49"/>
      <c r="CD205" s="49"/>
      <c r="CF205" s="49"/>
      <c r="CG205" s="49"/>
      <c r="CH205" s="49"/>
      <c r="CJ205" s="49"/>
      <c r="CK205" s="49"/>
      <c r="CL205" s="49"/>
      <c r="CN205" s="49"/>
      <c r="CO205" s="49"/>
      <c r="CP205" s="49"/>
      <c r="CR205" s="49"/>
      <c r="CS205" s="49"/>
      <c r="CT205" s="49"/>
      <c r="CV205" s="65"/>
      <c r="CW205" s="65">
        <f>CW183</f>
        <v>18758.7546</v>
      </c>
      <c r="CX205" s="65">
        <f t="shared" si="421"/>
        <v>18758.7546</v>
      </c>
      <c r="CY205" s="75"/>
      <c r="CZ205" s="65">
        <f>CZ183</f>
        <v>18559.086600000002</v>
      </c>
      <c r="DA205" s="65">
        <f>DA183</f>
        <v>17563.548000000003</v>
      </c>
      <c r="DB205" s="65">
        <f t="shared" si="422"/>
        <v>17563.548000000003</v>
      </c>
      <c r="DC205" s="75">
        <f t="shared" si="423"/>
        <v>-6.3714602887336547E-2</v>
      </c>
      <c r="DD205" s="65">
        <f>DD183</f>
        <v>17458.100000000002</v>
      </c>
      <c r="DE205" s="65">
        <f>DE183</f>
        <v>19042.620700000003</v>
      </c>
      <c r="DF205" s="65">
        <f t="shared" si="424"/>
        <v>19042.620700000003</v>
      </c>
      <c r="DG205" s="75">
        <f t="shared" si="425"/>
        <v>8.4212637446602567E-2</v>
      </c>
      <c r="DH205" s="65">
        <f>+DE205*(1+DH209)</f>
        <v>19137.833803500002</v>
      </c>
      <c r="DI205" s="65">
        <f>+DH205*(1+DI209)</f>
        <v>19137.833803500002</v>
      </c>
      <c r="DJ205" s="65">
        <f t="shared" si="426"/>
        <v>19137.833803500002</v>
      </c>
      <c r="DK205" s="75">
        <f t="shared" si="427"/>
        <v>4.9999999999998934E-3</v>
      </c>
      <c r="DL205" s="65">
        <f>+DI205*(1+DL209)</f>
        <v>19233.522972517498</v>
      </c>
      <c r="DM205" s="65">
        <f>+DL205*(1+DM209)</f>
        <v>19233.522972517498</v>
      </c>
      <c r="DN205" s="65">
        <f t="shared" si="428"/>
        <v>19233.522972517498</v>
      </c>
      <c r="DO205" s="75">
        <f t="shared" si="429"/>
        <v>4.9999999999998934E-3</v>
      </c>
      <c r="DP205" s="65">
        <f>+DM205*(1+DP209)</f>
        <v>19329.690587380082</v>
      </c>
      <c r="DQ205" s="65">
        <f>+DP205*(1+DQ209)</f>
        <v>19329.690587380082</v>
      </c>
      <c r="DR205" s="65">
        <f t="shared" si="430"/>
        <v>19329.690587380082</v>
      </c>
      <c r="DS205" s="75">
        <f t="shared" si="431"/>
        <v>4.9999999999998934E-3</v>
      </c>
    </row>
    <row r="206" spans="1:123" s="20" customFormat="1" ht="13.8">
      <c r="A206" s="20" t="s">
        <v>1234</v>
      </c>
      <c r="B206" s="49" t="s">
        <v>701</v>
      </c>
      <c r="BH206" s="67"/>
      <c r="BI206" s="79"/>
      <c r="BJ206" s="72"/>
      <c r="BK206" s="49"/>
      <c r="BL206" s="67"/>
      <c r="BM206" s="79"/>
      <c r="BN206" s="72"/>
      <c r="BO206" s="49"/>
      <c r="BP206" s="67"/>
      <c r="BQ206" s="49"/>
      <c r="BR206" s="49"/>
      <c r="BT206" s="49"/>
      <c r="BU206" s="49"/>
      <c r="BV206" s="49"/>
      <c r="BX206" s="49"/>
      <c r="BY206" s="49"/>
      <c r="BZ206" s="49"/>
      <c r="CB206" s="49"/>
      <c r="CC206" s="49"/>
      <c r="CD206" s="49"/>
      <c r="CF206" s="49"/>
      <c r="CG206" s="49"/>
      <c r="CH206" s="49"/>
      <c r="CJ206" s="49"/>
      <c r="CK206" s="49"/>
      <c r="CL206" s="49"/>
      <c r="CN206" s="49"/>
      <c r="CO206" s="49"/>
      <c r="CP206" s="49"/>
      <c r="CR206" s="49"/>
      <c r="CS206" s="49"/>
      <c r="CT206" s="49"/>
      <c r="CV206" s="65"/>
      <c r="CW206" s="65">
        <f>+CW204-CW205</f>
        <v>23819.310799999992</v>
      </c>
      <c r="CX206" s="65">
        <f t="shared" si="421"/>
        <v>23819.310799999992</v>
      </c>
      <c r="CY206" s="75"/>
      <c r="CZ206" s="65">
        <f>+CZ204-CZ205</f>
        <v>23417.463400000001</v>
      </c>
      <c r="DA206" s="65">
        <f>+DA204-DA205</f>
        <v>23524.707600000002</v>
      </c>
      <c r="DB206" s="65">
        <f t="shared" si="422"/>
        <v>23524.707600000002</v>
      </c>
      <c r="DC206" s="75">
        <f t="shared" si="423"/>
        <v>-1.2368250386152635E-2</v>
      </c>
      <c r="DD206" s="65">
        <f>+DD204-DD205</f>
        <v>23229.800000000007</v>
      </c>
      <c r="DE206" s="65">
        <f>+DE204-DE205</f>
        <v>23861.044600000005</v>
      </c>
      <c r="DF206" s="65">
        <f t="shared" si="424"/>
        <v>23861.044600000005</v>
      </c>
      <c r="DG206" s="75">
        <f t="shared" si="425"/>
        <v>1.4297180892484329E-2</v>
      </c>
      <c r="DH206" s="65">
        <f>+DE206*(1+DH210)</f>
        <v>24338.265492000006</v>
      </c>
      <c r="DI206" s="65">
        <f>+DH206*(1+DI210)</f>
        <v>24825.030801840006</v>
      </c>
      <c r="DJ206" s="65">
        <f t="shared" si="426"/>
        <v>24825.030801840006</v>
      </c>
      <c r="DK206" s="75">
        <f t="shared" si="427"/>
        <v>4.0399999999999991E-2</v>
      </c>
      <c r="DL206" s="65">
        <f>+DI206*(1+DL210)</f>
        <v>25321.531417876806</v>
      </c>
      <c r="DM206" s="65">
        <f>+DL206*(1+DM210)</f>
        <v>25827.962046234341</v>
      </c>
      <c r="DN206" s="65">
        <f t="shared" si="428"/>
        <v>25827.962046234341</v>
      </c>
      <c r="DO206" s="75">
        <f t="shared" si="429"/>
        <v>4.0399999999999991E-2</v>
      </c>
      <c r="DP206" s="65">
        <f>+DM206*(1+DP210)</f>
        <v>26344.521287159027</v>
      </c>
      <c r="DQ206" s="65">
        <f>+DP206*(1+DQ210)</f>
        <v>26871.411712902209</v>
      </c>
      <c r="DR206" s="65">
        <f t="shared" si="430"/>
        <v>26871.411712902209</v>
      </c>
      <c r="DS206" s="75">
        <f t="shared" si="431"/>
        <v>4.0399999999999991E-2</v>
      </c>
    </row>
    <row r="207" spans="1:123" s="20" customFormat="1" ht="13.8">
      <c r="A207" s="47" t="s">
        <v>217</v>
      </c>
      <c r="B207" s="49"/>
      <c r="BH207" s="67"/>
      <c r="BI207" s="79"/>
      <c r="BJ207" s="72"/>
      <c r="BK207" s="49"/>
      <c r="BL207" s="67"/>
      <c r="BM207" s="79"/>
      <c r="BN207" s="72"/>
      <c r="BO207" s="49"/>
      <c r="BP207" s="67"/>
      <c r="BQ207" s="49"/>
      <c r="BR207" s="49"/>
      <c r="BT207" s="49"/>
      <c r="BU207" s="49"/>
      <c r="BV207" s="49"/>
      <c r="BX207" s="49"/>
      <c r="BY207" s="49"/>
      <c r="BZ207" s="49"/>
      <c r="CB207" s="49"/>
      <c r="CC207" s="49"/>
      <c r="CD207" s="49"/>
      <c r="CF207" s="49"/>
      <c r="CG207" s="49"/>
      <c r="CH207" s="49"/>
      <c r="CJ207" s="49"/>
      <c r="CK207" s="49"/>
      <c r="CL207" s="49"/>
      <c r="CN207" s="49"/>
      <c r="CO207" s="49"/>
      <c r="CP207" s="49"/>
      <c r="CR207" s="49"/>
      <c r="CS207" s="49"/>
      <c r="CT207" s="49"/>
      <c r="CV207" s="65"/>
      <c r="CW207" s="65"/>
      <c r="CX207" s="49"/>
      <c r="CZ207" s="65"/>
      <c r="DA207" s="65"/>
      <c r="DB207" s="49"/>
      <c r="DD207" s="65"/>
      <c r="DE207" s="65"/>
      <c r="DF207" s="49"/>
      <c r="DH207" s="65"/>
      <c r="DI207" s="65"/>
      <c r="DJ207" s="49"/>
      <c r="DL207" s="65"/>
      <c r="DM207" s="65"/>
      <c r="DN207" s="49"/>
      <c r="DP207" s="65"/>
      <c r="DQ207" s="65"/>
      <c r="DR207" s="49"/>
    </row>
    <row r="208" spans="1:123" s="20" customFormat="1" ht="13.8">
      <c r="A208" s="47" t="str">
        <f>A204</f>
        <v>NZ: Non Housing</v>
      </c>
      <c r="B208" s="49"/>
      <c r="BH208" s="67"/>
      <c r="BI208" s="79"/>
      <c r="BJ208" s="72"/>
      <c r="BK208" s="49"/>
      <c r="BL208" s="67"/>
      <c r="BM208" s="79"/>
      <c r="BN208" s="72"/>
      <c r="BO208" s="49"/>
      <c r="BP208" s="67"/>
      <c r="BQ208" s="49"/>
      <c r="BR208" s="49"/>
      <c r="BT208" s="49"/>
      <c r="BU208" s="49"/>
      <c r="BV208" s="49"/>
      <c r="BX208" s="49"/>
      <c r="BY208" s="49"/>
      <c r="BZ208" s="49"/>
      <c r="CB208" s="49"/>
      <c r="CC208" s="49"/>
      <c r="CD208" s="49"/>
      <c r="CF208" s="49"/>
      <c r="CG208" s="49"/>
      <c r="CH208" s="49"/>
      <c r="CJ208" s="49"/>
      <c r="CK208" s="49"/>
      <c r="CL208" s="49"/>
      <c r="CN208" s="49"/>
      <c r="CO208" s="49"/>
      <c r="CP208" s="49"/>
      <c r="CR208" s="49"/>
      <c r="CS208" s="49"/>
      <c r="CT208" s="49"/>
      <c r="CV208" s="65"/>
      <c r="CW208" s="65"/>
      <c r="CX208" s="49"/>
      <c r="CZ208" s="75">
        <f>+CZ204/CW204-1</f>
        <v>-1.4127353940322274E-2</v>
      </c>
      <c r="DA208" s="75">
        <f>+DA204/CZ204-1</f>
        <v>-2.1161681939082633E-2</v>
      </c>
      <c r="DB208" s="49"/>
      <c r="DD208" s="75">
        <f>+DD204/DA204-1</f>
        <v>-9.7437964730728854E-3</v>
      </c>
      <c r="DE208" s="75">
        <f>+DE204/DD204-1</f>
        <v>5.4457597959098436E-2</v>
      </c>
      <c r="DF208" s="49"/>
      <c r="DH208" s="75">
        <f t="shared" ref="DH208" si="432">+DH204/DE204-1</f>
        <v>1.3342309835239208E-2</v>
      </c>
      <c r="DI208" s="75">
        <f t="shared" ref="DI208" si="433">+DI204/DH204-1</f>
        <v>1.1196158756827002E-2</v>
      </c>
      <c r="DJ208" s="49"/>
      <c r="DL208" s="75">
        <f t="shared" ref="DL208" si="434">+DL204/DI204-1</f>
        <v>1.347022743787174E-2</v>
      </c>
      <c r="DM208" s="75">
        <f t="shared" ref="DM208" si="435">+DM204/DL204-1</f>
        <v>1.1366401304780283E-2</v>
      </c>
      <c r="DN208" s="49"/>
      <c r="DP208" s="75">
        <f t="shared" ref="DP208" si="436">+DP204/DM204-1</f>
        <v>1.3597573527199369E-2</v>
      </c>
      <c r="DQ208" s="75">
        <f t="shared" ref="DQ208" si="437">+DQ204/DP204-1</f>
        <v>1.1535840556821997E-2</v>
      </c>
      <c r="DR208" s="49"/>
    </row>
    <row r="209" spans="1:128" s="20" customFormat="1" ht="13.8">
      <c r="A209" s="574" t="str">
        <f t="shared" ref="A209:A210" si="438">A205</f>
        <v>NZ: Institutional</v>
      </c>
      <c r="B209" s="547"/>
      <c r="C209" s="533"/>
      <c r="D209" s="533"/>
      <c r="E209" s="533"/>
      <c r="F209" s="533"/>
      <c r="G209" s="533"/>
      <c r="H209" s="533"/>
      <c r="I209" s="533"/>
      <c r="J209" s="533"/>
      <c r="K209" s="533"/>
      <c r="L209" s="533"/>
      <c r="M209" s="533"/>
      <c r="N209" s="533"/>
      <c r="O209" s="533"/>
      <c r="P209" s="533"/>
      <c r="Q209" s="533"/>
      <c r="R209" s="533"/>
      <c r="S209" s="533"/>
      <c r="T209" s="533"/>
      <c r="U209" s="533"/>
      <c r="V209" s="533"/>
      <c r="W209" s="533"/>
      <c r="X209" s="533"/>
      <c r="Y209" s="533"/>
      <c r="Z209" s="533"/>
      <c r="AA209" s="533"/>
      <c r="AB209" s="533"/>
      <c r="AC209" s="533"/>
      <c r="AD209" s="533"/>
      <c r="AE209" s="533"/>
      <c r="AF209" s="533"/>
      <c r="AG209" s="533"/>
      <c r="AH209" s="533"/>
      <c r="AI209" s="533"/>
      <c r="AJ209" s="533"/>
      <c r="AK209" s="533"/>
      <c r="AL209" s="533"/>
      <c r="AM209" s="533"/>
      <c r="AN209" s="533"/>
      <c r="AO209" s="533"/>
      <c r="AP209" s="533"/>
      <c r="AQ209" s="533"/>
      <c r="AR209" s="533"/>
      <c r="AS209" s="533"/>
      <c r="AT209" s="533"/>
      <c r="AU209" s="533"/>
      <c r="AV209" s="533"/>
      <c r="AW209" s="533"/>
      <c r="AX209" s="533"/>
      <c r="AY209" s="533"/>
      <c r="AZ209" s="533"/>
      <c r="BA209" s="533"/>
      <c r="BB209" s="533"/>
      <c r="BC209" s="533"/>
      <c r="BD209" s="533"/>
      <c r="BE209" s="533"/>
      <c r="BF209" s="533"/>
      <c r="BG209" s="533"/>
      <c r="BH209" s="599"/>
      <c r="BI209" s="612"/>
      <c r="BJ209" s="580"/>
      <c r="BK209" s="547"/>
      <c r="BL209" s="599"/>
      <c r="BM209" s="612"/>
      <c r="BN209" s="580"/>
      <c r="BO209" s="547"/>
      <c r="BP209" s="599"/>
      <c r="BQ209" s="547"/>
      <c r="BR209" s="547"/>
      <c r="BS209" s="533"/>
      <c r="BT209" s="547"/>
      <c r="BU209" s="547"/>
      <c r="BV209" s="547"/>
      <c r="BW209" s="533"/>
      <c r="BX209" s="547"/>
      <c r="BY209" s="547"/>
      <c r="BZ209" s="547"/>
      <c r="CA209" s="533"/>
      <c r="CB209" s="547"/>
      <c r="CC209" s="547"/>
      <c r="CD209" s="547"/>
      <c r="CE209" s="533"/>
      <c r="CF209" s="547"/>
      <c r="CG209" s="547"/>
      <c r="CH209" s="547"/>
      <c r="CI209" s="533"/>
      <c r="CJ209" s="547"/>
      <c r="CK209" s="547"/>
      <c r="CL209" s="547"/>
      <c r="CM209" s="533"/>
      <c r="CN209" s="547"/>
      <c r="CO209" s="547"/>
      <c r="CP209" s="547"/>
      <c r="CQ209" s="533"/>
      <c r="CR209" s="547"/>
      <c r="CS209" s="547"/>
      <c r="CT209" s="547"/>
      <c r="CU209" s="533"/>
      <c r="CV209" s="583"/>
      <c r="CW209" s="583"/>
      <c r="CX209" s="547"/>
      <c r="CY209" s="533"/>
      <c r="CZ209" s="577">
        <f t="shared" ref="CZ209:CZ210" si="439">+CZ205/CW205-1</f>
        <v>-1.0643990193250796E-2</v>
      </c>
      <c r="DA209" s="577">
        <f t="shared" ref="DA209:DA210" si="440">+DA205/CZ205-1</f>
        <v>-5.364157307181272E-2</v>
      </c>
      <c r="DB209" s="547"/>
      <c r="DC209" s="533"/>
      <c r="DD209" s="577">
        <f t="shared" ref="DD209:DD210" si="441">+DD205/DA205-1</f>
        <v>-6.0037983213869772E-3</v>
      </c>
      <c r="DE209" s="577">
        <f t="shared" ref="DE209:DE210" si="442">+DE205/DD205-1</f>
        <v>9.0761348600363112E-2</v>
      </c>
      <c r="DF209" s="547"/>
      <c r="DG209" s="533"/>
      <c r="DH209" s="936">
        <v>5.0000000000000001E-3</v>
      </c>
      <c r="DI209" s="936">
        <v>0</v>
      </c>
      <c r="DJ209" s="547"/>
      <c r="DK209" s="533"/>
      <c r="DL209" s="936">
        <v>5.0000000000000001E-3</v>
      </c>
      <c r="DM209" s="936">
        <v>0</v>
      </c>
      <c r="DN209" s="547"/>
      <c r="DO209" s="533"/>
      <c r="DP209" s="936">
        <v>5.0000000000000001E-3</v>
      </c>
      <c r="DQ209" s="936">
        <v>0</v>
      </c>
      <c r="DR209" s="547"/>
      <c r="DS209" s="533"/>
    </row>
    <row r="210" spans="1:128" s="20" customFormat="1" ht="13.8">
      <c r="A210" s="574" t="str">
        <f t="shared" si="438"/>
        <v>NZ: Other (implied)</v>
      </c>
      <c r="B210" s="547"/>
      <c r="C210" s="533"/>
      <c r="D210" s="533"/>
      <c r="E210" s="533"/>
      <c r="F210" s="533"/>
      <c r="G210" s="533"/>
      <c r="H210" s="533"/>
      <c r="I210" s="533"/>
      <c r="J210" s="533"/>
      <c r="K210" s="533"/>
      <c r="L210" s="533"/>
      <c r="M210" s="533"/>
      <c r="N210" s="533"/>
      <c r="O210" s="533"/>
      <c r="P210" s="533"/>
      <c r="Q210" s="533"/>
      <c r="R210" s="533"/>
      <c r="S210" s="533"/>
      <c r="T210" s="533"/>
      <c r="U210" s="533"/>
      <c r="V210" s="533"/>
      <c r="W210" s="533"/>
      <c r="X210" s="533"/>
      <c r="Y210" s="533"/>
      <c r="Z210" s="533"/>
      <c r="AA210" s="533"/>
      <c r="AB210" s="533"/>
      <c r="AC210" s="533"/>
      <c r="AD210" s="533"/>
      <c r="AE210" s="533"/>
      <c r="AF210" s="533"/>
      <c r="AG210" s="533"/>
      <c r="AH210" s="533"/>
      <c r="AI210" s="533"/>
      <c r="AJ210" s="533"/>
      <c r="AK210" s="533"/>
      <c r="AL210" s="533"/>
      <c r="AM210" s="533"/>
      <c r="AN210" s="533"/>
      <c r="AO210" s="533"/>
      <c r="AP210" s="533"/>
      <c r="AQ210" s="533"/>
      <c r="AR210" s="533"/>
      <c r="AS210" s="533"/>
      <c r="AT210" s="533"/>
      <c r="AU210" s="533"/>
      <c r="AV210" s="533"/>
      <c r="AW210" s="533"/>
      <c r="AX210" s="533"/>
      <c r="AY210" s="533"/>
      <c r="AZ210" s="533"/>
      <c r="BA210" s="533"/>
      <c r="BB210" s="533"/>
      <c r="BC210" s="533"/>
      <c r="BD210" s="533"/>
      <c r="BE210" s="533"/>
      <c r="BF210" s="533"/>
      <c r="BG210" s="533"/>
      <c r="BH210" s="599"/>
      <c r="BI210" s="612"/>
      <c r="BJ210" s="580"/>
      <c r="BK210" s="547"/>
      <c r="BL210" s="599"/>
      <c r="BM210" s="612"/>
      <c r="BN210" s="580"/>
      <c r="BO210" s="547"/>
      <c r="BP210" s="599"/>
      <c r="BQ210" s="547"/>
      <c r="BR210" s="547"/>
      <c r="BS210" s="533"/>
      <c r="BT210" s="547"/>
      <c r="BU210" s="547"/>
      <c r="BV210" s="547"/>
      <c r="BW210" s="533"/>
      <c r="BX210" s="547"/>
      <c r="BY210" s="547"/>
      <c r="BZ210" s="547"/>
      <c r="CA210" s="533"/>
      <c r="CB210" s="547"/>
      <c r="CC210" s="547"/>
      <c r="CD210" s="547"/>
      <c r="CE210" s="533"/>
      <c r="CF210" s="547"/>
      <c r="CG210" s="547"/>
      <c r="CH210" s="547"/>
      <c r="CI210" s="533"/>
      <c r="CJ210" s="547"/>
      <c r="CK210" s="547"/>
      <c r="CL210" s="547"/>
      <c r="CM210" s="533"/>
      <c r="CN210" s="547"/>
      <c r="CO210" s="547"/>
      <c r="CP210" s="547"/>
      <c r="CQ210" s="533"/>
      <c r="CR210" s="547"/>
      <c r="CS210" s="547"/>
      <c r="CT210" s="547"/>
      <c r="CU210" s="533"/>
      <c r="CV210" s="583"/>
      <c r="CW210" s="583"/>
      <c r="CX210" s="547"/>
      <c r="CY210" s="533"/>
      <c r="CZ210" s="577">
        <f t="shared" si="439"/>
        <v>-1.6870656056093392E-2</v>
      </c>
      <c r="DA210" s="577">
        <f t="shared" si="440"/>
        <v>4.579667668019205E-3</v>
      </c>
      <c r="DB210" s="547"/>
      <c r="DC210" s="533"/>
      <c r="DD210" s="577">
        <f t="shared" si="441"/>
        <v>-1.2536079300726088E-2</v>
      </c>
      <c r="DE210" s="577">
        <f t="shared" si="442"/>
        <v>2.71739145408052E-2</v>
      </c>
      <c r="DF210" s="547"/>
      <c r="DG210" s="533"/>
      <c r="DH210" s="936">
        <v>0.02</v>
      </c>
      <c r="DI210" s="936">
        <v>0.02</v>
      </c>
      <c r="DJ210" s="547"/>
      <c r="DK210" s="533"/>
      <c r="DL210" s="936">
        <v>0.02</v>
      </c>
      <c r="DM210" s="936">
        <v>0.02</v>
      </c>
      <c r="DN210" s="547"/>
      <c r="DO210" s="533"/>
      <c r="DP210" s="936">
        <v>0.02</v>
      </c>
      <c r="DQ210" s="936">
        <v>0.02</v>
      </c>
      <c r="DR210" s="547"/>
      <c r="DS210" s="533"/>
    </row>
    <row r="211" spans="1:128" s="20" customFormat="1" ht="13.8">
      <c r="A211" s="47"/>
      <c r="B211" s="49"/>
      <c r="BH211" s="67"/>
      <c r="BI211" s="79"/>
      <c r="BJ211" s="72"/>
      <c r="BK211" s="49"/>
      <c r="BL211" s="67"/>
      <c r="BM211" s="79"/>
      <c r="BN211" s="72"/>
      <c r="BO211" s="49"/>
      <c r="BP211" s="67"/>
      <c r="BQ211" s="49"/>
      <c r="BR211" s="49"/>
      <c r="BT211" s="49"/>
      <c r="BU211" s="49"/>
      <c r="BV211" s="49"/>
      <c r="BX211" s="49"/>
      <c r="BY211" s="49"/>
      <c r="BZ211" s="49"/>
      <c r="CB211" s="49"/>
      <c r="CC211" s="49"/>
      <c r="CD211" s="49"/>
      <c r="CF211" s="49"/>
      <c r="CG211" s="49"/>
      <c r="CH211" s="49"/>
      <c r="CJ211" s="49"/>
      <c r="CK211" s="49"/>
      <c r="CL211" s="49"/>
      <c r="CN211" s="49"/>
      <c r="CO211" s="49"/>
      <c r="CP211" s="49"/>
      <c r="CR211" s="49"/>
      <c r="CS211" s="49"/>
      <c r="CT211" s="49"/>
      <c r="CV211" s="49"/>
      <c r="CW211" s="49"/>
      <c r="CX211" s="49"/>
      <c r="CZ211" s="49"/>
      <c r="DA211" s="49"/>
      <c r="DB211" s="49"/>
      <c r="DD211" s="49"/>
      <c r="DE211" s="49"/>
      <c r="DF211" s="49"/>
      <c r="DH211" s="49"/>
      <c r="DI211" s="49"/>
      <c r="DJ211" s="49"/>
      <c r="DL211" s="49"/>
      <c r="DM211" s="49"/>
      <c r="DN211" s="49"/>
      <c r="DP211" s="49"/>
      <c r="DQ211" s="49"/>
      <c r="DR211" s="49"/>
    </row>
    <row r="212" spans="1:128" s="20" customFormat="1" ht="13.8">
      <c r="A212" s="78"/>
      <c r="B212" s="49"/>
      <c r="BH212" s="67"/>
      <c r="BI212" s="79"/>
      <c r="BJ212" s="72"/>
      <c r="BK212" s="49"/>
      <c r="BL212" s="67"/>
      <c r="BM212" s="79"/>
      <c r="BN212" s="72"/>
      <c r="BO212" s="49"/>
      <c r="BP212" s="67"/>
      <c r="BQ212" s="49"/>
      <c r="BR212" s="49"/>
      <c r="BT212" s="49"/>
      <c r="BU212" s="49"/>
      <c r="BV212" s="49"/>
      <c r="BX212" s="49"/>
      <c r="BY212" s="49"/>
      <c r="BZ212" s="49"/>
      <c r="CB212" s="49"/>
      <c r="CC212" s="49"/>
      <c r="CD212" s="49"/>
      <c r="CF212" s="49"/>
      <c r="CG212" s="49"/>
      <c r="CH212" s="49"/>
      <c r="CJ212" s="49"/>
      <c r="CK212" s="49"/>
      <c r="CL212" s="49"/>
      <c r="CN212" s="49"/>
      <c r="CO212" s="49"/>
      <c r="CP212" s="49"/>
      <c r="CR212" s="49"/>
      <c r="CS212" s="49"/>
      <c r="CT212" s="49"/>
      <c r="CV212" s="49"/>
      <c r="CW212" s="49"/>
      <c r="CX212" s="49"/>
      <c r="CZ212" s="49"/>
      <c r="DA212" s="49"/>
      <c r="DB212" s="49"/>
      <c r="DD212" s="49"/>
      <c r="DE212" s="49"/>
      <c r="DF212" s="49"/>
      <c r="DH212" s="49"/>
      <c r="DI212" s="49"/>
      <c r="DJ212" s="49"/>
      <c r="DL212" s="49"/>
      <c r="DM212" s="49"/>
      <c r="DN212" s="49"/>
      <c r="DP212" s="49"/>
      <c r="DQ212" s="49"/>
      <c r="DR212" s="49"/>
    </row>
    <row r="213" spans="1:128" s="343" customFormat="1" ht="13.8">
      <c r="A213" s="343" t="s">
        <v>562</v>
      </c>
      <c r="B213" s="344"/>
      <c r="BH213" s="344"/>
      <c r="BI213" s="344"/>
      <c r="BJ213" s="344"/>
      <c r="BK213" s="344"/>
      <c r="BL213" s="344"/>
      <c r="BM213" s="344"/>
      <c r="BN213" s="344"/>
      <c r="BO213" s="344"/>
      <c r="BP213" s="344"/>
      <c r="BQ213" s="344"/>
      <c r="BR213" s="344"/>
      <c r="BT213" s="344"/>
      <c r="BU213" s="344"/>
      <c r="BV213" s="344"/>
      <c r="BX213" s="344"/>
      <c r="BY213" s="344"/>
      <c r="BZ213" s="344"/>
      <c r="CB213" s="344"/>
      <c r="CC213" s="344"/>
      <c r="CD213" s="344"/>
      <c r="CF213" s="344"/>
      <c r="CG213" s="344"/>
      <c r="CH213" s="344"/>
      <c r="CJ213" s="344"/>
      <c r="CK213" s="344"/>
      <c r="CL213" s="344"/>
      <c r="CN213" s="344"/>
      <c r="CO213" s="344"/>
      <c r="CP213" s="344"/>
      <c r="CR213" s="344"/>
      <c r="CS213" s="344"/>
      <c r="CT213" s="344"/>
      <c r="CV213" s="344"/>
      <c r="CW213" s="344"/>
      <c r="CX213" s="344"/>
      <c r="CZ213" s="344"/>
      <c r="DA213" s="344"/>
      <c r="DB213" s="344"/>
      <c r="DD213" s="344"/>
      <c r="DE213" s="344"/>
      <c r="DF213" s="344"/>
      <c r="DH213" s="344"/>
      <c r="DI213" s="344"/>
      <c r="DJ213" s="344"/>
      <c r="DL213" s="344"/>
      <c r="DM213" s="344"/>
      <c r="DN213" s="344"/>
      <c r="DP213" s="344"/>
      <c r="DQ213" s="344"/>
      <c r="DR213" s="344"/>
      <c r="DT213" s="743"/>
      <c r="DU213" s="743"/>
      <c r="DV213" s="743"/>
      <c r="DW213" s="20"/>
      <c r="DX213" s="20"/>
    </row>
    <row r="214" spans="1:128" s="20" customFormat="1" ht="13.8">
      <c r="A214" s="78"/>
      <c r="B214" s="49"/>
      <c r="BH214" s="67"/>
      <c r="BI214" s="79"/>
      <c r="BJ214" s="72"/>
      <c r="BK214" s="49"/>
      <c r="BL214" s="67"/>
      <c r="BM214" s="79"/>
      <c r="BN214" s="72"/>
      <c r="BO214" s="49"/>
      <c r="BP214" s="67"/>
      <c r="BQ214" s="49"/>
      <c r="BR214" s="49"/>
      <c r="BT214" s="49"/>
      <c r="BU214" s="49"/>
      <c r="BV214" s="49"/>
      <c r="BX214" s="49"/>
      <c r="BY214" s="49"/>
      <c r="BZ214" s="49"/>
      <c r="CB214" s="49"/>
      <c r="CC214" s="49"/>
      <c r="CD214" s="49"/>
      <c r="CF214" s="49"/>
      <c r="CG214" s="49"/>
      <c r="CH214" s="49"/>
      <c r="CJ214" s="49"/>
      <c r="CK214" s="49"/>
      <c r="CL214" s="49"/>
      <c r="CN214" s="49"/>
      <c r="CO214" s="49"/>
      <c r="CP214" s="49"/>
      <c r="CR214" s="49"/>
      <c r="CS214" s="49"/>
      <c r="CT214" s="49"/>
      <c r="CV214" s="49"/>
      <c r="CW214" s="49"/>
      <c r="CX214" s="49"/>
      <c r="CZ214" s="49"/>
      <c r="DA214" s="49"/>
      <c r="DB214" s="49"/>
      <c r="DD214" s="49"/>
      <c r="DE214" s="49"/>
      <c r="DF214" s="49"/>
      <c r="DH214" s="49"/>
      <c r="DI214" s="49"/>
      <c r="DJ214" s="49"/>
      <c r="DL214" s="49"/>
      <c r="DM214" s="49"/>
      <c r="DN214" s="49"/>
      <c r="DP214" s="49"/>
      <c r="DQ214" s="49"/>
      <c r="DR214" s="49"/>
    </row>
    <row r="215" spans="1:128" s="20" customFormat="1" ht="13.8">
      <c r="A215" s="21" t="s">
        <v>563</v>
      </c>
      <c r="B215" s="420" t="s">
        <v>776</v>
      </c>
      <c r="BD215" s="67"/>
      <c r="BE215" s="67"/>
      <c r="BF215" s="65">
        <f>BD215+BE215</f>
        <v>0</v>
      </c>
      <c r="BH215" s="67">
        <v>1551</v>
      </c>
      <c r="BI215" s="67">
        <v>1687</v>
      </c>
      <c r="BJ215" s="65">
        <f>BH215+BI215</f>
        <v>3238</v>
      </c>
      <c r="BK215" s="49"/>
      <c r="BL215" s="67">
        <v>1541</v>
      </c>
      <c r="BM215" s="67">
        <v>1327</v>
      </c>
      <c r="BN215" s="65">
        <f>BL215+BM215</f>
        <v>2868</v>
      </c>
      <c r="BO215" s="49"/>
      <c r="BP215" s="67">
        <v>1197</v>
      </c>
      <c r="BQ215" s="67">
        <v>1783</v>
      </c>
      <c r="BR215" s="65">
        <f>BP215+BQ215</f>
        <v>2980</v>
      </c>
      <c r="BT215" s="67">
        <v>1784</v>
      </c>
      <c r="BU215" s="67">
        <v>1844</v>
      </c>
      <c r="BV215" s="65">
        <f>BT215+BU215</f>
        <v>3628</v>
      </c>
      <c r="BX215" s="67">
        <v>1787</v>
      </c>
      <c r="BY215" s="67">
        <v>1425</v>
      </c>
      <c r="BZ215" s="65">
        <f>BX215+BY215</f>
        <v>3212</v>
      </c>
      <c r="CB215" s="67">
        <v>963</v>
      </c>
      <c r="CC215" s="67">
        <v>1145</v>
      </c>
      <c r="CD215" s="65">
        <f>CB215+CC215</f>
        <v>2108</v>
      </c>
      <c r="CF215" s="67">
        <v>890</v>
      </c>
      <c r="CG215" s="67">
        <v>1117</v>
      </c>
      <c r="CH215" s="65">
        <f>CF215+CG215</f>
        <v>2007</v>
      </c>
      <c r="CJ215" s="67">
        <v>1570</v>
      </c>
      <c r="CK215" s="67">
        <v>1219</v>
      </c>
      <c r="CL215" s="65">
        <f>CJ215+CK215</f>
        <v>2789</v>
      </c>
      <c r="CN215" s="67">
        <v>1121</v>
      </c>
      <c r="CO215" s="67">
        <v>611</v>
      </c>
      <c r="CP215" s="65">
        <f>CN215+CO215</f>
        <v>1732</v>
      </c>
      <c r="CR215" s="67">
        <v>639</v>
      </c>
      <c r="CS215" s="67">
        <v>599</v>
      </c>
      <c r="CT215" s="65">
        <f>CR215+CS215</f>
        <v>1238</v>
      </c>
      <c r="CV215" s="67">
        <v>538</v>
      </c>
      <c r="CW215" s="67">
        <v>829</v>
      </c>
      <c r="CX215" s="65">
        <f>CV215+CW215</f>
        <v>1367</v>
      </c>
      <c r="CZ215" s="67">
        <v>630</v>
      </c>
      <c r="DA215" s="67">
        <v>859</v>
      </c>
      <c r="DB215" s="65">
        <f>CZ215+DA215</f>
        <v>1489</v>
      </c>
      <c r="DD215" s="67">
        <v>1254</v>
      </c>
      <c r="DE215" s="67">
        <v>1113</v>
      </c>
      <c r="DF215" s="65">
        <f>DD215+DE215</f>
        <v>2367</v>
      </c>
      <c r="DH215" s="65">
        <f>+DH154*DH221*(DH3/DH4)</f>
        <v>1256.2705062767561</v>
      </c>
      <c r="DI215" s="65">
        <f>+DI154*DI221*(DI3/DI4)</f>
        <v>1075.5030743774712</v>
      </c>
      <c r="DJ215" s="65">
        <f>+DI215+DH215</f>
        <v>2331.7735806542273</v>
      </c>
      <c r="DL215" s="65">
        <f>+DL154*DL221*(DL3/DL4)</f>
        <v>1093.4513737659738</v>
      </c>
      <c r="DM215" s="65">
        <f>+DM154*DM221*(DM3/DM4)</f>
        <v>1126.1284794198173</v>
      </c>
      <c r="DN215" s="65">
        <f>+DM215+DL215</f>
        <v>2219.5798531857909</v>
      </c>
      <c r="DP215" s="65">
        <f>+DP154*DP221*(DP3/DP4)</f>
        <v>916.52972743910459</v>
      </c>
      <c r="DQ215" s="65">
        <f>+DQ154*DQ221*(DQ3/DQ4)</f>
        <v>936.39070614252807</v>
      </c>
      <c r="DR215" s="65">
        <f>+DQ215+DP215</f>
        <v>1852.9204335816326</v>
      </c>
    </row>
    <row r="216" spans="1:128" s="20" customFormat="1" ht="13.8">
      <c r="A216" s="21"/>
      <c r="B216" s="49"/>
      <c r="BH216" s="67"/>
      <c r="BI216" s="67"/>
      <c r="BJ216" s="65"/>
      <c r="BK216" s="49"/>
      <c r="BL216" s="67"/>
      <c r="BM216" s="67"/>
      <c r="BN216" s="65"/>
      <c r="BO216" s="49"/>
      <c r="BP216" s="67"/>
      <c r="BQ216" s="67"/>
      <c r="BR216" s="65"/>
      <c r="BT216" s="67"/>
      <c r="BU216" s="67"/>
      <c r="BV216" s="65"/>
      <c r="BX216" s="67"/>
      <c r="BY216" s="67"/>
      <c r="BZ216" s="65"/>
      <c r="CA216" s="792"/>
      <c r="CB216" s="792"/>
      <c r="CC216" s="67"/>
      <c r="CD216" s="65"/>
      <c r="CF216" s="792"/>
      <c r="CG216" s="67"/>
      <c r="CH216" s="65"/>
      <c r="CJ216" s="792"/>
      <c r="CK216" s="67"/>
      <c r="CL216" s="65"/>
      <c r="CN216" s="792"/>
      <c r="CO216" s="67"/>
      <c r="CP216" s="65"/>
      <c r="CR216" s="792"/>
      <c r="CS216" s="67"/>
      <c r="CT216" s="65"/>
      <c r="CV216" s="792"/>
      <c r="CW216" s="67"/>
      <c r="CX216" s="65"/>
      <c r="CZ216" s="792"/>
      <c r="DA216" s="67"/>
      <c r="DB216" s="65"/>
      <c r="DD216" s="792"/>
      <c r="DE216" s="67"/>
      <c r="DF216" s="65"/>
      <c r="DH216" s="49"/>
      <c r="DI216" s="49"/>
      <c r="DJ216" s="49"/>
      <c r="DL216" s="49"/>
      <c r="DM216" s="49"/>
      <c r="DN216" s="49"/>
      <c r="DP216" s="49"/>
      <c r="DQ216" s="49"/>
      <c r="DR216" s="49"/>
    </row>
    <row r="217" spans="1:128" s="20" customFormat="1" ht="13.8">
      <c r="A217" s="20" t="s">
        <v>564</v>
      </c>
      <c r="B217" s="420" t="s">
        <v>446</v>
      </c>
      <c r="BD217" s="67"/>
      <c r="BE217" s="67"/>
      <c r="BF217" s="65">
        <f>BE217</f>
        <v>0</v>
      </c>
      <c r="BH217" s="67">
        <v>1696</v>
      </c>
      <c r="BI217" s="67">
        <v>1818</v>
      </c>
      <c r="BJ217" s="65">
        <f>BI217</f>
        <v>1818</v>
      </c>
      <c r="BK217" s="49"/>
      <c r="BL217" s="67">
        <v>2061</v>
      </c>
      <c r="BM217" s="67">
        <v>1982</v>
      </c>
      <c r="BN217" s="65">
        <f>BM217</f>
        <v>1982</v>
      </c>
      <c r="BO217" s="49"/>
      <c r="BP217" s="67">
        <v>2248</v>
      </c>
      <c r="BQ217" s="67">
        <v>2378</v>
      </c>
      <c r="BR217" s="65">
        <f>BQ217</f>
        <v>2378</v>
      </c>
      <c r="BT217" s="67">
        <v>2573</v>
      </c>
      <c r="BU217" s="67">
        <v>2703</v>
      </c>
      <c r="BV217" s="65">
        <f>BU217</f>
        <v>2703</v>
      </c>
      <c r="BX217" s="67">
        <v>2771</v>
      </c>
      <c r="BY217" s="67">
        <v>2953</v>
      </c>
      <c r="BZ217" s="65">
        <f>BY217</f>
        <v>2953</v>
      </c>
      <c r="CB217" s="67">
        <v>3038</v>
      </c>
      <c r="CC217" s="67">
        <v>2911</v>
      </c>
      <c r="CD217" s="65">
        <f>CC217</f>
        <v>2911</v>
      </c>
      <c r="CF217" s="67">
        <v>3328</v>
      </c>
      <c r="CG217" s="67">
        <v>3744</v>
      </c>
      <c r="CH217" s="65">
        <f>CG217</f>
        <v>3744</v>
      </c>
      <c r="CJ217" s="67">
        <v>3621</v>
      </c>
      <c r="CK217" s="67">
        <v>3844</v>
      </c>
      <c r="CL217" s="65">
        <f>CK217</f>
        <v>3844</v>
      </c>
      <c r="CN217" s="67">
        <v>3290</v>
      </c>
      <c r="CO217" s="67">
        <v>3065</v>
      </c>
      <c r="CP217" s="65">
        <f>CO217</f>
        <v>3065</v>
      </c>
      <c r="CR217" s="67">
        <v>2823</v>
      </c>
      <c r="CS217" s="67">
        <v>2402</v>
      </c>
      <c r="CT217" s="65">
        <f>CS217</f>
        <v>2402</v>
      </c>
      <c r="CV217" s="67">
        <v>2502</v>
      </c>
      <c r="CW217" s="67">
        <v>2841</v>
      </c>
      <c r="CX217" s="65">
        <f>CW217</f>
        <v>2841</v>
      </c>
      <c r="CZ217" s="67">
        <v>3490</v>
      </c>
      <c r="DA217" s="67">
        <v>4173</v>
      </c>
      <c r="DB217" s="65">
        <f>DA217</f>
        <v>4173</v>
      </c>
      <c r="DD217" s="67">
        <v>4556</v>
      </c>
      <c r="DE217" s="67">
        <v>4449</v>
      </c>
      <c r="DF217" s="65">
        <f>DE217</f>
        <v>4449</v>
      </c>
      <c r="DH217" s="65">
        <f>DH154*DH223</f>
        <v>4312.2106912071113</v>
      </c>
      <c r="DI217" s="65">
        <f>DI154*DI223</f>
        <v>4234.242730621816</v>
      </c>
      <c r="DJ217" s="65">
        <f>DI217</f>
        <v>4234.242730621816</v>
      </c>
      <c r="DL217" s="65">
        <f>DL154*DL223</f>
        <v>4503.9911522653983</v>
      </c>
      <c r="DM217" s="65">
        <f>DM154*DM223</f>
        <v>4792.9308645225328</v>
      </c>
      <c r="DN217" s="65">
        <f>DM217</f>
        <v>4792.9308645225328</v>
      </c>
      <c r="DP217" s="65">
        <f>DP154*DP223</f>
        <v>5072.7334644022385</v>
      </c>
      <c r="DQ217" s="65">
        <f>DQ154*DQ223</f>
        <v>5369.9365194533893</v>
      </c>
      <c r="DR217" s="65">
        <f>DQ217</f>
        <v>5369.9365194533893</v>
      </c>
    </row>
    <row r="218" spans="1:128" s="20" customFormat="1" ht="13.8">
      <c r="A218" s="20" t="s">
        <v>246</v>
      </c>
      <c r="B218" s="420" t="s">
        <v>447</v>
      </c>
      <c r="BD218" s="67"/>
      <c r="BE218" s="67"/>
      <c r="BF218" s="65">
        <f>BE218</f>
        <v>0</v>
      </c>
      <c r="BH218" s="67">
        <v>4685</v>
      </c>
      <c r="BI218" s="67">
        <v>4264</v>
      </c>
      <c r="BJ218" s="65">
        <f>BI218</f>
        <v>4264</v>
      </c>
      <c r="BK218" s="49"/>
      <c r="BL218" s="67">
        <v>3620</v>
      </c>
      <c r="BM218" s="67">
        <v>2889</v>
      </c>
      <c r="BN218" s="65">
        <f>BM218</f>
        <v>2889</v>
      </c>
      <c r="BO218" s="49"/>
      <c r="BP218" s="67">
        <v>2708</v>
      </c>
      <c r="BQ218" s="67">
        <v>2719</v>
      </c>
      <c r="BR218" s="65">
        <f>BQ218</f>
        <v>2719</v>
      </c>
      <c r="BT218" s="67">
        <v>2883</v>
      </c>
      <c r="BU218" s="67">
        <v>3173</v>
      </c>
      <c r="BV218" s="65">
        <f>BU218</f>
        <v>3173</v>
      </c>
      <c r="BX218" s="67">
        <v>2940</v>
      </c>
      <c r="BY218" s="67">
        <v>2384</v>
      </c>
      <c r="BZ218" s="65">
        <f>BY218</f>
        <v>2384</v>
      </c>
      <c r="CB218" s="67">
        <v>2034</v>
      </c>
      <c r="CC218" s="67">
        <v>2139</v>
      </c>
      <c r="CD218" s="65">
        <f>CC218</f>
        <v>2139</v>
      </c>
      <c r="CF218" s="67">
        <v>2128</v>
      </c>
      <c r="CG218" s="67">
        <v>2029</v>
      </c>
      <c r="CH218" s="65">
        <f>CG218</f>
        <v>2029</v>
      </c>
      <c r="CJ218" s="67">
        <v>2599</v>
      </c>
      <c r="CK218" s="67">
        <v>2459</v>
      </c>
      <c r="CL218" s="65">
        <f>CK218</f>
        <v>2459</v>
      </c>
      <c r="CN218" s="67">
        <v>2473</v>
      </c>
      <c r="CO218" s="67">
        <v>1965</v>
      </c>
      <c r="CP218" s="65">
        <f>CO218</f>
        <v>1965</v>
      </c>
      <c r="CR218" s="67">
        <v>1709</v>
      </c>
      <c r="CS218" s="67">
        <v>1445</v>
      </c>
      <c r="CT218" s="65">
        <f>CS218</f>
        <v>1445</v>
      </c>
      <c r="CV218" s="67">
        <v>1210</v>
      </c>
      <c r="CW218" s="67">
        <v>1521</v>
      </c>
      <c r="CX218" s="65">
        <f>CW218</f>
        <v>1521</v>
      </c>
      <c r="CZ218" s="67">
        <v>1518</v>
      </c>
      <c r="DA218" s="67">
        <v>1693</v>
      </c>
      <c r="DB218" s="65">
        <f>DA218</f>
        <v>1693</v>
      </c>
      <c r="DD218" s="67">
        <v>2252</v>
      </c>
      <c r="DE218" s="67">
        <v>2538</v>
      </c>
      <c r="DF218" s="65">
        <f>DE218</f>
        <v>2538</v>
      </c>
      <c r="DH218" s="65">
        <f>+DH154*DH224</f>
        <v>2639.7649081973864</v>
      </c>
      <c r="DI218" s="65">
        <f>+DI154*DI224</f>
        <v>2782.8942259816849</v>
      </c>
      <c r="DJ218" s="65">
        <f>DI218</f>
        <v>2782.8942259816849</v>
      </c>
      <c r="DL218" s="65">
        <f>+DL154*DL224</f>
        <v>2932.5981824655314</v>
      </c>
      <c r="DM218" s="65">
        <f>+DM154*DM224</f>
        <v>3093.5771347639638</v>
      </c>
      <c r="DN218" s="65">
        <f>DM218</f>
        <v>3093.5771347639638</v>
      </c>
      <c r="DP218" s="65">
        <f>+DP154*DP224</f>
        <v>3247.5134685756525</v>
      </c>
      <c r="DQ218" s="65">
        <f>+DQ154*DQ224</f>
        <v>3411.5253747974084</v>
      </c>
      <c r="DR218" s="65">
        <f>DQ218</f>
        <v>3411.5253747974084</v>
      </c>
    </row>
    <row r="219" spans="1:128" s="20" customFormat="1" ht="13.8">
      <c r="A219" s="21" t="s">
        <v>758</v>
      </c>
      <c r="B219" s="49"/>
      <c r="BD219" s="72">
        <f>SUM(BD217:BD218)</f>
        <v>0</v>
      </c>
      <c r="BE219" s="72">
        <f>SUM(BE217:BE218)</f>
        <v>0</v>
      </c>
      <c r="BF219" s="72">
        <f>SUM(BF217:BF218)</f>
        <v>0</v>
      </c>
      <c r="BH219" s="72">
        <f>SUM(BH217:BH218)</f>
        <v>6381</v>
      </c>
      <c r="BI219" s="72">
        <f>SUM(BI217:BI218)</f>
        <v>6082</v>
      </c>
      <c r="BJ219" s="72">
        <f>SUM(BJ217:BJ218)</f>
        <v>6082</v>
      </c>
      <c r="BK219" s="49"/>
      <c r="BL219" s="72">
        <f>SUM(BL217:BL218)</f>
        <v>5681</v>
      </c>
      <c r="BM219" s="72">
        <f>SUM(BM217:BM218)</f>
        <v>4871</v>
      </c>
      <c r="BN219" s="72">
        <f>SUM(BN217:BN218)</f>
        <v>4871</v>
      </c>
      <c r="BO219" s="49"/>
      <c r="BP219" s="72">
        <f>SUM(BP217:BP218)</f>
        <v>4956</v>
      </c>
      <c r="BQ219" s="72">
        <f>SUM(BQ217:BQ218)</f>
        <v>5097</v>
      </c>
      <c r="BR219" s="72">
        <f>SUM(BR217:BR218)</f>
        <v>5097</v>
      </c>
      <c r="BT219" s="72">
        <f>SUM(BT217:BT218)</f>
        <v>5456</v>
      </c>
      <c r="BU219" s="72">
        <f>SUM(BU217:BU218)</f>
        <v>5876</v>
      </c>
      <c r="BV219" s="72">
        <f>SUM(BV217:BV218)</f>
        <v>5876</v>
      </c>
      <c r="BX219" s="72">
        <f>SUM(BX217:BX218)</f>
        <v>5711</v>
      </c>
      <c r="BY219" s="72">
        <f>SUM(BY217:BY218)</f>
        <v>5337</v>
      </c>
      <c r="BZ219" s="72">
        <f>SUM(BZ217:BZ218)</f>
        <v>5337</v>
      </c>
      <c r="CB219" s="72">
        <f>SUM(CB217:CB218)</f>
        <v>5072</v>
      </c>
      <c r="CC219" s="72">
        <f>SUM(CC217:CC218)</f>
        <v>5050</v>
      </c>
      <c r="CD219" s="72">
        <f>SUM(CD217:CD218)</f>
        <v>5050</v>
      </c>
      <c r="CF219" s="72">
        <f>SUM(CF217:CF218)</f>
        <v>5456</v>
      </c>
      <c r="CG219" s="72">
        <f>SUM(CG217:CG218)</f>
        <v>5773</v>
      </c>
      <c r="CH219" s="72">
        <f>SUM(CH217:CH218)</f>
        <v>5773</v>
      </c>
      <c r="CJ219" s="72">
        <f>SUM(CJ217:CJ218)</f>
        <v>6220</v>
      </c>
      <c r="CK219" s="72">
        <f>SUM(CK217:CK218)</f>
        <v>6303</v>
      </c>
      <c r="CL219" s="72">
        <f>SUM(CL217:CL218)</f>
        <v>6303</v>
      </c>
      <c r="CN219" s="72">
        <f>SUM(CN217:CN218)</f>
        <v>5763</v>
      </c>
      <c r="CO219" s="72">
        <f>SUM(CO217:CO218)</f>
        <v>5030</v>
      </c>
      <c r="CP219" s="72">
        <f>SUM(CP217:CP218)</f>
        <v>5030</v>
      </c>
      <c r="CR219" s="72">
        <f>SUM(CR217:CR218)</f>
        <v>4532</v>
      </c>
      <c r="CS219" s="72">
        <f>SUM(CS217:CS218)</f>
        <v>3847</v>
      </c>
      <c r="CT219" s="72">
        <f>SUM(CT217:CT218)</f>
        <v>3847</v>
      </c>
      <c r="CV219" s="72">
        <f>SUM(CV217:CV218)</f>
        <v>3712</v>
      </c>
      <c r="CW219" s="72">
        <f>SUM(CW217:CW218)</f>
        <v>4362</v>
      </c>
      <c r="CX219" s="72">
        <f>SUM(CX217:CX218)</f>
        <v>4362</v>
      </c>
      <c r="CZ219" s="72">
        <f>SUM(CZ217:CZ218)</f>
        <v>5008</v>
      </c>
      <c r="DA219" s="72">
        <f>SUM(DA217:DA218)</f>
        <v>5866</v>
      </c>
      <c r="DB219" s="72">
        <f>SUM(DB217:DB218)</f>
        <v>5866</v>
      </c>
      <c r="DD219" s="72">
        <f>SUM(DD217:DD218)</f>
        <v>6808</v>
      </c>
      <c r="DE219" s="72">
        <f>SUM(DE217:DE218)</f>
        <v>6987</v>
      </c>
      <c r="DF219" s="72">
        <f>SUM(DF217:DF218)</f>
        <v>6987</v>
      </c>
      <c r="DH219" s="72">
        <f>SUM(DH217:DH218)</f>
        <v>6951.9755994044972</v>
      </c>
      <c r="DI219" s="72">
        <f>SUM(DI217:DI218)</f>
        <v>7017.1369566035009</v>
      </c>
      <c r="DJ219" s="72">
        <f>SUM(DJ217:DJ218)</f>
        <v>7017.1369566035009</v>
      </c>
      <c r="DL219" s="72">
        <f>SUM(DL217:DL218)</f>
        <v>7436.5893347309302</v>
      </c>
      <c r="DM219" s="72">
        <f>SUM(DM217:DM218)</f>
        <v>7886.5079992864967</v>
      </c>
      <c r="DN219" s="72">
        <f>SUM(DN217:DN218)</f>
        <v>7886.5079992864967</v>
      </c>
      <c r="DP219" s="72">
        <f>SUM(DP217:DP218)</f>
        <v>8320.2469329778905</v>
      </c>
      <c r="DQ219" s="72">
        <f>SUM(DQ217:DQ218)</f>
        <v>8781.4618942507987</v>
      </c>
      <c r="DR219" s="72">
        <f>SUM(DR217:DR218)</f>
        <v>8781.4618942507987</v>
      </c>
    </row>
    <row r="220" spans="1:128" s="20" customFormat="1" ht="13.8">
      <c r="B220" s="49"/>
      <c r="BH220" s="72"/>
      <c r="BI220" s="72"/>
      <c r="BJ220" s="72"/>
      <c r="BK220" s="49"/>
      <c r="BL220" s="72"/>
      <c r="BM220" s="72"/>
      <c r="BN220" s="72"/>
      <c r="BO220" s="49"/>
      <c r="BP220" s="72"/>
      <c r="BQ220" s="72"/>
      <c r="BR220" s="72"/>
      <c r="BT220" s="72"/>
      <c r="BU220" s="72"/>
      <c r="BV220" s="72"/>
      <c r="BX220" s="72"/>
      <c r="BY220" s="72"/>
      <c r="BZ220" s="72"/>
      <c r="CB220" s="72"/>
      <c r="CC220" s="72"/>
      <c r="CD220" s="72"/>
      <c r="CF220" s="72"/>
      <c r="CG220" s="72"/>
      <c r="CH220" s="72"/>
      <c r="CJ220" s="72"/>
      <c r="CK220" s="72"/>
      <c r="CL220" s="72"/>
      <c r="CN220" s="72"/>
      <c r="CO220" s="72"/>
      <c r="CP220" s="72"/>
      <c r="CR220" s="72"/>
      <c r="CS220" s="72"/>
      <c r="CT220" s="72"/>
      <c r="CV220" s="72"/>
      <c r="CW220" s="72"/>
      <c r="CX220" s="72"/>
      <c r="CZ220" s="72"/>
      <c r="DA220" s="72"/>
      <c r="DB220" s="72"/>
      <c r="DD220" s="72"/>
      <c r="DE220" s="72"/>
      <c r="DF220" s="72"/>
      <c r="DH220" s="72"/>
      <c r="DI220" s="72"/>
      <c r="DJ220" s="72"/>
      <c r="DL220" s="72"/>
      <c r="DM220" s="72"/>
      <c r="DN220" s="72"/>
      <c r="DP220" s="72"/>
      <c r="DQ220" s="72"/>
      <c r="DR220" s="72"/>
    </row>
    <row r="221" spans="1:128" s="20" customFormat="1" ht="13.8">
      <c r="A221" s="325" t="s">
        <v>565</v>
      </c>
      <c r="B221" s="324"/>
      <c r="C221" s="325"/>
      <c r="D221" s="325"/>
      <c r="E221" s="325"/>
      <c r="F221" s="325"/>
      <c r="G221" s="325"/>
      <c r="H221" s="325"/>
      <c r="I221" s="325"/>
      <c r="J221" s="325"/>
      <c r="K221" s="325"/>
      <c r="L221" s="325"/>
      <c r="M221" s="325"/>
      <c r="N221" s="325"/>
      <c r="O221" s="325"/>
      <c r="P221" s="325"/>
      <c r="Q221" s="325"/>
      <c r="R221" s="325"/>
      <c r="S221" s="325"/>
      <c r="T221" s="325"/>
      <c r="U221" s="325"/>
      <c r="V221" s="325"/>
      <c r="W221" s="325"/>
      <c r="X221" s="325"/>
      <c r="Y221" s="325"/>
      <c r="Z221" s="325"/>
      <c r="AA221" s="325"/>
      <c r="AB221" s="325"/>
      <c r="AC221" s="325"/>
      <c r="AD221" s="325"/>
      <c r="AE221" s="325"/>
      <c r="AF221" s="325"/>
      <c r="AG221" s="325"/>
      <c r="AH221" s="325"/>
      <c r="AI221" s="325"/>
      <c r="AJ221" s="325"/>
      <c r="AK221" s="325"/>
      <c r="AL221" s="325"/>
      <c r="AM221" s="325"/>
      <c r="AN221" s="325"/>
      <c r="AO221" s="325"/>
      <c r="AP221" s="325"/>
      <c r="AQ221" s="325"/>
      <c r="AR221" s="325"/>
      <c r="AS221" s="325"/>
      <c r="AT221" s="325"/>
      <c r="AU221" s="325"/>
      <c r="AV221" s="325"/>
      <c r="AW221" s="325"/>
      <c r="AX221" s="325"/>
      <c r="AY221" s="325"/>
      <c r="AZ221" s="325"/>
      <c r="BA221" s="325"/>
      <c r="BB221" s="325"/>
      <c r="BC221" s="325"/>
      <c r="BD221" s="348">
        <f>(BD215*(BD$4/BD$3))/BD154</f>
        <v>0</v>
      </c>
      <c r="BE221" s="348">
        <f>(BE215*(BE$4/BE$3))/BE154</f>
        <v>0</v>
      </c>
      <c r="BF221" s="348">
        <f>(BF215*(BF$4/BF$3))/BF154</f>
        <v>0</v>
      </c>
      <c r="BG221" s="325"/>
      <c r="BH221" s="348">
        <f>(BH215*(BH$4/BH$3))/BH154</f>
        <v>6.7661963999912514E-3</v>
      </c>
      <c r="BI221" s="348">
        <f>(BI215*(BI$4/BI$3))/BI154</f>
        <v>6.8869855574011296E-3</v>
      </c>
      <c r="BJ221" s="348">
        <f>(BJ215*(BJ$4/BJ$3))/BJ154</f>
        <v>6.6274911937057252E-3</v>
      </c>
      <c r="BK221" s="324"/>
      <c r="BL221" s="348">
        <f>(BL215*(BL$4/BL$3))/BL154</f>
        <v>6.006913773904065E-3</v>
      </c>
      <c r="BM221" s="348">
        <f>(BM215*(BM$4/BM$3))/BM154</f>
        <v>5.0263278378656516E-3</v>
      </c>
      <c r="BN221" s="348">
        <f>(BN215*(BN$4/BN$3))/BN154</f>
        <v>5.44649690358675E-3</v>
      </c>
      <c r="BO221" s="324"/>
      <c r="BP221" s="348">
        <f>(BP215*(BP$4/BP$3))/BP154</f>
        <v>4.2636446876688138E-3</v>
      </c>
      <c r="BQ221" s="348">
        <f>(BQ215*(BQ$4/BQ$3))/BQ154</f>
        <v>6.1848590256612995E-3</v>
      </c>
      <c r="BR221" s="348">
        <f>(BR215*(BR$4/BR$3))/BR154</f>
        <v>5.1826627756115717E-3</v>
      </c>
      <c r="BS221" s="325"/>
      <c r="BT221" s="348">
        <f>(BT215*(BT$4/BT$3))/BT154</f>
        <v>6.2987233081007793E-3</v>
      </c>
      <c r="BU221" s="348">
        <f>(BU215*(BU$4/BU$3))/BU154</f>
        <v>6.3522793624984711E-3</v>
      </c>
      <c r="BV221" s="348">
        <f>(BV215*(BV$4/BV$3))/BV154</f>
        <v>6.2489342535641144E-3</v>
      </c>
      <c r="BW221" s="325"/>
      <c r="BX221" s="348">
        <f>(BX215*(BX$4/BX$3))/BX154</f>
        <v>6.1703167290823278E-3</v>
      </c>
      <c r="BY221" s="348">
        <f>(BY215*(BY$4/BY$3))/BY154</f>
        <v>4.8626234208849562E-3</v>
      </c>
      <c r="BZ221" s="348">
        <f>(BZ215*(BZ$4/BZ$3))/BZ154</f>
        <v>5.4952763206969355E-3</v>
      </c>
      <c r="CA221" s="325"/>
      <c r="CB221" s="348">
        <f>(CB215*(CB$4/CB$3))/CB154</f>
        <v>3.2405139220266499E-3</v>
      </c>
      <c r="CC221" s="348">
        <f>(CC215*(CC$4/CC$3))/CC154</f>
        <v>3.7511590962679767E-3</v>
      </c>
      <c r="CD221" s="348">
        <f>(CD215*(CD$4/CD$3))/CD154</f>
        <v>3.4624924032128248E-3</v>
      </c>
      <c r="CE221" s="325"/>
      <c r="CF221" s="348">
        <f>(CF215*(CF$4/CF$3))/CF154</f>
        <v>2.9059648558326548E-3</v>
      </c>
      <c r="CG221" s="348">
        <f>(CG215*(CG$4/CG$3))/CG154</f>
        <v>3.5982269263659735E-3</v>
      </c>
      <c r="CH221" s="348">
        <f>(CH215*(CH$4/CH$3))/CH154</f>
        <v>3.2414622919577172E-3</v>
      </c>
      <c r="CI221" s="325"/>
      <c r="CJ221" s="348">
        <f>(CJ215*(CJ$4/CJ$3))/CJ154</f>
        <v>4.743639519653624E-3</v>
      </c>
      <c r="CK221" s="348">
        <f>(CK215*(CK$4/CK$3))/CK154</f>
        <v>3.9162519637481645E-3</v>
      </c>
      <c r="CL221" s="348">
        <f>(CL215*(CL$4/CL$3))/CL154</f>
        <v>4.4800765901942706E-3</v>
      </c>
      <c r="CM221" s="325"/>
      <c r="CN221" s="348">
        <f>(CN215*(CN$4/CN$3))/CN154</f>
        <v>3.6316515099998072E-3</v>
      </c>
      <c r="CO221" s="348">
        <f>(CO215*(CO$4/CO$3))/CO154</f>
        <v>1.9215784379417661E-3</v>
      </c>
      <c r="CP221" s="348">
        <f>(CP215*(CP$4/CP$3))/CP154</f>
        <v>2.731008297093337E-3</v>
      </c>
      <c r="CQ221" s="325"/>
      <c r="CR221" s="348">
        <f>(CR215*(CR$4/CR$3))/CR154</f>
        <v>1.9551471710658841E-3</v>
      </c>
      <c r="CS221" s="348">
        <f>(CS215*(CS$4/CS$3))/CS154</f>
        <v>1.7660227846220131E-3</v>
      </c>
      <c r="CT221" s="348">
        <f>(CT215*(CT$4/CT$3))/CT154</f>
        <v>1.829988455404009E-3</v>
      </c>
      <c r="CU221" s="325"/>
      <c r="CV221" s="348">
        <f>(CV215*(CV$4/CV$3))/CV154</f>
        <v>1.5540848515292211E-3</v>
      </c>
      <c r="CW221" s="348">
        <f>(CW215*(CW$4/CW$3))/CW154</f>
        <v>2.3252120929471614E-3</v>
      </c>
      <c r="CX221" s="348">
        <f>(CX215*(CX$4/CX$3))/CX154</f>
        <v>1.9223602702835728E-3</v>
      </c>
      <c r="CY221" s="325"/>
      <c r="CZ221" s="348">
        <f>(CZ215*(CZ$4/CZ$3))/CZ154</f>
        <v>1.7520586689359998E-3</v>
      </c>
      <c r="DA221" s="348">
        <f>(DA215*(DA$4/DA$3))/DA154</f>
        <v>2.127364495054311E-3</v>
      </c>
      <c r="DB221" s="348">
        <f>(DB215*(DB$4/DB$3))/DB154</f>
        <v>1.8437984476925896E-3</v>
      </c>
      <c r="DC221" s="325"/>
      <c r="DD221" s="348">
        <f>(DD215*(DD$4/DD$3))/DD154</f>
        <v>3.0500263901149477E-3</v>
      </c>
      <c r="DE221" s="348">
        <f>(DE215*(DE$4/DE$3))/DE154</f>
        <v>2.6618647804142895E-3</v>
      </c>
      <c r="DF221" s="348">
        <f>(DF215*(DF$4/DF$3))/DF154</f>
        <v>2.8382281877907026E-3</v>
      </c>
      <c r="DG221" s="325"/>
      <c r="DH221" s="349">
        <v>3.0000000000000001E-3</v>
      </c>
      <c r="DI221" s="349">
        <v>2.5000000000000001E-3</v>
      </c>
      <c r="DJ221" s="348">
        <f>(DJ215*(DJ$4/DJ$3))/DJ154</f>
        <v>2.7175212897189199E-3</v>
      </c>
      <c r="DK221" s="325"/>
      <c r="DL221" s="349">
        <v>2.5000000000000001E-3</v>
      </c>
      <c r="DM221" s="349">
        <v>2.5000000000000001E-3</v>
      </c>
      <c r="DN221" s="348">
        <f>(DN215*(DN$4/DN$3))/DN154</f>
        <v>2.4704784295861535E-3</v>
      </c>
      <c r="DO221" s="325"/>
      <c r="DP221" s="349">
        <v>2E-3</v>
      </c>
      <c r="DQ221" s="349">
        <v>2E-3</v>
      </c>
      <c r="DR221" s="348">
        <f>(DR215*(DR$4/DR$3))/DR154</f>
        <v>1.9787898592188713E-3</v>
      </c>
      <c r="DS221" s="325"/>
      <c r="DT221" s="325"/>
      <c r="DU221" s="325"/>
      <c r="DV221" s="325"/>
    </row>
    <row r="222" spans="1:128" s="20" customFormat="1" ht="13.8">
      <c r="A222" s="20" t="s">
        <v>566</v>
      </c>
      <c r="B222" s="49"/>
      <c r="BD222" s="66">
        <f>(BD215*(BD$4/BD$3))/(BD150)</f>
        <v>0</v>
      </c>
      <c r="BE222" s="66">
        <f>(BE215*(BE$4/BE$3))/(BE150)</f>
        <v>0</v>
      </c>
      <c r="BF222" s="66">
        <f>(BF215*(BF$4/BF$3))/(BF150)</f>
        <v>0</v>
      </c>
      <c r="BH222" s="66">
        <f>(BH215*(BH$4/BH$3))/(BH150)</f>
        <v>1.4184190145794378E-2</v>
      </c>
      <c r="BI222" s="66">
        <f>(BI215*(BI$4/BI$3))/(BI150)</f>
        <v>1.4407730670399192E-2</v>
      </c>
      <c r="BJ222" s="66">
        <f>(BJ215*(BJ$4/BJ$3))/(BJ150)</f>
        <v>1.3864862550312581E-2</v>
      </c>
      <c r="BK222" s="49"/>
      <c r="BL222" s="66">
        <f>(BL215*(BL$4/BL$3))/(BL150)</f>
        <v>1.2482347752374046E-2</v>
      </c>
      <c r="BM222" s="66">
        <f>(BM215*(BM$4/BM$3))/(BM150)</f>
        <v>1.0461663803157301E-2</v>
      </c>
      <c r="BN222" s="66">
        <f>(BN215*(BN$4/BN$3))/(BN150)</f>
        <v>1.1336192414869859E-2</v>
      </c>
      <c r="BO222" s="49"/>
      <c r="BP222" s="66">
        <f>(BP215*(BP$4/BP$3))/(BP150)</f>
        <v>8.8260398365991258E-3</v>
      </c>
      <c r="BQ222" s="66">
        <f>(BQ215*(BQ$4/BQ$3))/(BQ150)</f>
        <v>1.3079185995693644E-2</v>
      </c>
      <c r="BR222" s="66">
        <f>(BR215*(BR$4/BR$3))/(BR150)</f>
        <v>1.0959831115622541E-2</v>
      </c>
      <c r="BT222" s="66">
        <f>(BT215*(BT$4/BT$3))/(BT150)</f>
        <v>1.4193086439396953E-2</v>
      </c>
      <c r="BU222" s="66">
        <f>(BU215*(BU$4/BU$3))/(BU150)</f>
        <v>1.4417513682564503E-2</v>
      </c>
      <c r="BV222" s="66">
        <f>(BV215*(BV$4/BV$3))/(BV150)</f>
        <v>1.418295543393276E-2</v>
      </c>
      <c r="BX222" s="66">
        <f>(BX215*(BX$4/BX$3))/(BX150)</f>
        <v>1.4427785687100413E-2</v>
      </c>
      <c r="BY222" s="66">
        <f>(BY215*(BY$4/BY$3))/(BY150)</f>
        <v>1.1547374874577361E-2</v>
      </c>
      <c r="BZ222" s="66">
        <f>(BZ215*(BZ$4/BZ$3))/(BZ150)</f>
        <v>1.3049749121417108E-2</v>
      </c>
      <c r="CB222" s="66">
        <f>(CB215*(CB$4/CB$3))/(CB150)</f>
        <v>7.7304834077493671E-3</v>
      </c>
      <c r="CC222" s="66">
        <f>(CC215*(CC$4/CC$3))/(CC150)</f>
        <v>8.7279366251453491E-3</v>
      </c>
      <c r="CD222" s="66">
        <f>(CD215*(CD$4/CD$3))/(CD150)</f>
        <v>8.056286999491704E-3</v>
      </c>
      <c r="CF222" s="66">
        <f>(CF215*(CF$4/CF$3))/(CF150)</f>
        <v>6.7526855774567851E-3</v>
      </c>
      <c r="CG222" s="66">
        <f>(CG215*(CG$4/CG$3))/(CG150)</f>
        <v>8.1165817501863032E-3</v>
      </c>
      <c r="CH222" s="66">
        <f>(CH215*(CH$4/CH$3))/(CH150)</f>
        <v>7.3118216891874662E-3</v>
      </c>
      <c r="CJ222" s="66">
        <f>(CJ215*(CJ$4/CJ$3))/(CJ150)</f>
        <v>1.0085016042883801E-2</v>
      </c>
      <c r="CK222" s="66">
        <f>(CK215*(CK$4/CK$3))/(CK150)</f>
        <v>9.2727120590897685E-3</v>
      </c>
      <c r="CL222" s="66">
        <f>(CL215*(CL$4/CL$3))/(CL150)</f>
        <v>1.0607708750123611E-2</v>
      </c>
      <c r="CN222" s="66">
        <f>(CN215*(CN$4/CN$3))/(CN150)</f>
        <v>9.0254901467716111E-3</v>
      </c>
      <c r="CO222" s="66">
        <f>(CO215*(CO$4/CO$3))/(CO150)</f>
        <v>4.6836997378312643E-3</v>
      </c>
      <c r="CP222" s="66">
        <f>(CP215*(CP$4/CP$3))/(CP150)</f>
        <v>6.6566228016234161E-3</v>
      </c>
      <c r="CR222" s="66">
        <f>(CR215*(CR$4/CR$3))/(CR150)</f>
        <v>4.5797527312495812E-3</v>
      </c>
      <c r="CS222" s="66">
        <f>(CS215*(CS$4/CS$3))/(CS150)</f>
        <v>3.9957417256063013E-3</v>
      </c>
      <c r="CT222" s="66">
        <f>(CT215*(CT$4/CT$3))/(CT150)</f>
        <v>4.1404682274247488E-3</v>
      </c>
      <c r="CV222" s="66">
        <f>(CV215*(CV$4/CV$3))/(CV150)</f>
        <v>3.5953816090106261E-3</v>
      </c>
      <c r="CW222" s="66">
        <f>(CW215*(CW$4/CW$3))/(CW150)</f>
        <v>5.4544942925693861E-3</v>
      </c>
      <c r="CX222" s="66">
        <f>(CX215*(CX$4/CX$3))/(CX150)</f>
        <v>4.5094824486456705E-3</v>
      </c>
      <c r="CZ222" s="66">
        <f>(CZ215*(CZ$4/CZ$3))/(CZ150)</f>
        <v>4.1920211863419954E-3</v>
      </c>
      <c r="DA222" s="66">
        <f>(DA215*(DA$4/DA$3))/(DA150)</f>
        <v>5.3892797876912363E-3</v>
      </c>
      <c r="DB222" s="66">
        <f>(DB215*(DB$4/DB$3))/(DB150)</f>
        <v>4.6709182793202861E-3</v>
      </c>
      <c r="DD222" s="66">
        <f>(DD215*(DD$4/DD$3))/(DD150)</f>
        <v>7.7393378957624414E-3</v>
      </c>
      <c r="DE222" s="66">
        <f>(DE215*(DE$4/DE$3))/(DE150)</f>
        <v>6.8205694856943574E-3</v>
      </c>
      <c r="DF222" s="66">
        <f>(DF215*(DF$4/DF$3))/(DF150)</f>
        <v>7.2724703048476988E-3</v>
      </c>
      <c r="DH222" s="66">
        <f>(DH215*(DH$4/DH$3))/(DH150)</f>
        <v>7.7393347054261763E-3</v>
      </c>
      <c r="DI222" s="66">
        <f>(DI215*(DI$4/DI$3))/(DI150)</f>
        <v>6.4813457538394157E-3</v>
      </c>
      <c r="DJ222" s="66">
        <f>(DJ215*(DJ$4/DJ$3))/(DJ150)</f>
        <v>7.0452780288351733E-3</v>
      </c>
      <c r="DL222" s="66">
        <f>(DL215*(DL$4/DL$3))/(DL150)</f>
        <v>6.5383761400134889E-3</v>
      </c>
      <c r="DM222" s="66">
        <f>(DM215*(DM$4/DM$3))/(DM150)</f>
        <v>6.5760649672301852E-3</v>
      </c>
      <c r="DN222" s="66">
        <f>(DN215*(DN$4/DN$3))/(DN150)</f>
        <v>6.4984106612397396E-3</v>
      </c>
      <c r="DP222" s="66">
        <f>(DP215*(DP$4/DP$3))/(DP150)</f>
        <v>5.2846812079253829E-3</v>
      </c>
      <c r="DQ222" s="66">
        <f>(DQ215*(DQ$4/DQ$3))/(DQ150)</f>
        <v>5.2957532491029816E-3</v>
      </c>
      <c r="DR222" s="66">
        <f>(DR215*(DR$4/DR$3))/(DR150)</f>
        <v>5.2395914131251851E-3</v>
      </c>
    </row>
    <row r="223" spans="1:128" s="20" customFormat="1" ht="13.8">
      <c r="A223" s="20" t="s">
        <v>567</v>
      </c>
      <c r="B223" s="49"/>
      <c r="BD223" s="66">
        <f>+BD217/BD154</f>
        <v>0</v>
      </c>
      <c r="BE223" s="66">
        <f>+BE217/BE154</f>
        <v>0</v>
      </c>
      <c r="BF223" s="66">
        <f>+BF217/BF154</f>
        <v>0</v>
      </c>
      <c r="BH223" s="66">
        <f>+BH217/BH154</f>
        <v>3.6892422479144686E-3</v>
      </c>
      <c r="BI223" s="66">
        <f>+BI217/BI154</f>
        <v>3.7210558956630663E-3</v>
      </c>
      <c r="BJ223" s="66">
        <f>+BJ217/BJ154</f>
        <v>3.7210558956630663E-3</v>
      </c>
      <c r="BK223" s="49"/>
      <c r="BL223" s="66">
        <f>+BL217/BL154</f>
        <v>4.0059476952680837E-3</v>
      </c>
      <c r="BM223" s="66">
        <f>+BM217/BM154</f>
        <v>3.7639319605679701E-3</v>
      </c>
      <c r="BN223" s="66">
        <f>+BN217/BN154</f>
        <v>3.7639319605679701E-3</v>
      </c>
      <c r="BO223" s="49"/>
      <c r="BP223" s="66">
        <f>+BP217/BP154</f>
        <v>3.9926540848332429E-3</v>
      </c>
      <c r="BQ223" s="66">
        <f>+BQ217/BQ154</f>
        <v>4.1356953289947377E-3</v>
      </c>
      <c r="BR223" s="66">
        <f>+BR217/BR154</f>
        <v>4.1356953289947377E-3</v>
      </c>
      <c r="BT223" s="66">
        <f>+BT217/BT154</f>
        <v>4.542212744322675E-3</v>
      </c>
      <c r="BU223" s="66">
        <f>+BU217/BU154</f>
        <v>4.6556971574927787E-3</v>
      </c>
      <c r="BV223" s="66">
        <f>+BV217/BV154</f>
        <v>4.6556971574927787E-3</v>
      </c>
      <c r="BX223" s="66">
        <f>+BX217/BX154</f>
        <v>4.77087408060384E-3</v>
      </c>
      <c r="BY223" s="66">
        <f>+BY217/BY154</f>
        <v>5.0521640644514473E-3</v>
      </c>
      <c r="BZ223" s="66">
        <f>+BZ217/BZ154</f>
        <v>5.0521640644514473E-3</v>
      </c>
      <c r="CB223" s="66">
        <f>+CB217/CB154</f>
        <v>5.0974608336143814E-3</v>
      </c>
      <c r="CC223" s="66">
        <f>+CC217/CC154</f>
        <v>4.781458911647312E-3</v>
      </c>
      <c r="CD223" s="66">
        <f>+CD217/CD154</f>
        <v>4.781458911647312E-3</v>
      </c>
      <c r="CF223" s="66">
        <f>+CF217/CF154</f>
        <v>5.4182893314404052E-3</v>
      </c>
      <c r="CG223" s="66">
        <f>+CG217/CG154</f>
        <v>6.0468534235623784E-3</v>
      </c>
      <c r="CH223" s="66">
        <f>+CH217/CH154</f>
        <v>6.0468534235623784E-3</v>
      </c>
      <c r="CJ223" s="66">
        <f>+CJ217/CJ154</f>
        <v>5.4702925798298637E-3</v>
      </c>
      <c r="CK223" s="66">
        <f>+CK217/CK154</f>
        <v>6.1747631454667539E-3</v>
      </c>
      <c r="CL223" s="66">
        <f>+CL217/CL154</f>
        <v>6.1747631454667539E-3</v>
      </c>
      <c r="CN223" s="66">
        <f>+CN217/CN154</f>
        <v>5.3146292844150518E-3</v>
      </c>
      <c r="CO223" s="66">
        <f>+CO217/CO154</f>
        <v>4.8328755372927697E-3</v>
      </c>
      <c r="CP223" s="66">
        <f>+CP217/CP154</f>
        <v>4.8328755372927697E-3</v>
      </c>
      <c r="CR223" s="66">
        <f>+CR217/CR154</f>
        <v>4.3069318259834769E-3</v>
      </c>
      <c r="CS223" s="66">
        <f>+CS217/CS154</f>
        <v>3.5505914942491356E-3</v>
      </c>
      <c r="CT223" s="66">
        <f>+CT217/CT154</f>
        <v>3.5505914942491356E-3</v>
      </c>
      <c r="CV223" s="66">
        <f>+CV217/CV154</f>
        <v>3.6037800801128092E-3</v>
      </c>
      <c r="CW223" s="66">
        <f>+CW217/CW154</f>
        <v>3.9951905836690784E-3</v>
      </c>
      <c r="CX223" s="66">
        <f>+CX217/CX154</f>
        <v>3.9951905836690784E-3</v>
      </c>
      <c r="CZ223" s="66">
        <f>+CZ217/CZ154</f>
        <v>4.8529244084020949E-3</v>
      </c>
      <c r="DA223" s="66">
        <f>+DA217/DA154</f>
        <v>5.1673411163338998E-3</v>
      </c>
      <c r="DB223" s="66">
        <f>+DB217/DB154</f>
        <v>5.1673411163338998E-3</v>
      </c>
      <c r="DD223" s="66">
        <f>+DD217/DD154</f>
        <v>5.5254582213021212E-3</v>
      </c>
      <c r="DE223" s="66">
        <f>+DE217/DE154</f>
        <v>5.3347178738829045E-3</v>
      </c>
      <c r="DF223" s="66">
        <f>+DF217/DF154</f>
        <v>5.3347178738829045E-3</v>
      </c>
      <c r="DH223" s="66">
        <f>+DE223+DH227</f>
        <v>5.1347178738829049E-3</v>
      </c>
      <c r="DI223" s="66">
        <f>+DH223+DI227</f>
        <v>4.9347178738829052E-3</v>
      </c>
      <c r="DJ223" s="66">
        <f>+DJ217/DJ154</f>
        <v>4.9347178738829052E-3</v>
      </c>
      <c r="DL223" s="66">
        <f>+DI223+DL227</f>
        <v>5.1347178738829049E-3</v>
      </c>
      <c r="DM223" s="66">
        <f>+DL223+DM227</f>
        <v>5.3347178738829045E-3</v>
      </c>
      <c r="DN223" s="66">
        <f>+DN217/DN154</f>
        <v>5.3347178738829045E-3</v>
      </c>
      <c r="DP223" s="66">
        <f>+DM223+DP227</f>
        <v>5.5347178738829042E-3</v>
      </c>
      <c r="DQ223" s="66">
        <f>+DP223+DQ227</f>
        <v>5.7347178738829038E-3</v>
      </c>
      <c r="DR223" s="66">
        <f>+DR217/DR154</f>
        <v>5.7347178738829038E-3</v>
      </c>
    </row>
    <row r="224" spans="1:128" s="20" customFormat="1" ht="13.8">
      <c r="A224" s="20" t="s">
        <v>568</v>
      </c>
      <c r="B224" s="49"/>
      <c r="BD224" s="66">
        <f>+BD218/BD154</f>
        <v>0</v>
      </c>
      <c r="BE224" s="66">
        <f>+BE218/BE154</f>
        <v>0</v>
      </c>
      <c r="BF224" s="66">
        <f>+BF218/BF154</f>
        <v>0</v>
      </c>
      <c r="BH224" s="66">
        <f>+BH218/BH154</f>
        <v>1.0191096657711844E-2</v>
      </c>
      <c r="BI224" s="66">
        <f>+BI218/BI154</f>
        <v>8.727493035812604E-3</v>
      </c>
      <c r="BJ224" s="66">
        <f>+BJ218/BJ154</f>
        <v>8.727493035812604E-3</v>
      </c>
      <c r="BK224" s="49"/>
      <c r="BL224" s="66">
        <f>+BL218/BL154</f>
        <v>7.0361623759682013E-3</v>
      </c>
      <c r="BM224" s="66">
        <f>+BM218/BM154</f>
        <v>5.4863771110397908E-3</v>
      </c>
      <c r="BN224" s="66">
        <f>+BN218/BN154</f>
        <v>5.4863771110397908E-3</v>
      </c>
      <c r="BO224" s="49"/>
      <c r="BP224" s="66">
        <f>+BP218/BP154</f>
        <v>4.809656255217269E-3</v>
      </c>
      <c r="BQ224" s="66">
        <f>+BQ218/BQ154</f>
        <v>4.728744995599954E-3</v>
      </c>
      <c r="BR224" s="66">
        <f>+BR218/BR154</f>
        <v>4.728744995599954E-3</v>
      </c>
      <c r="BT224" s="66">
        <f>+BT218/BT154</f>
        <v>5.0894672918314317E-3</v>
      </c>
      <c r="BU224" s="66">
        <f>+BU218/BU154</f>
        <v>5.4652338441452415E-3</v>
      </c>
      <c r="BV224" s="66">
        <f>+BV218/BV154</f>
        <v>5.4652338441452415E-3</v>
      </c>
      <c r="BX224" s="66">
        <f>+BX218/BX154</f>
        <v>5.0618440263353629E-3</v>
      </c>
      <c r="BY224" s="66">
        <f>+BY218/BY154</f>
        <v>4.078685787217152E-3</v>
      </c>
      <c r="BZ224" s="66">
        <f>+BZ218/BZ154</f>
        <v>4.078685787217152E-3</v>
      </c>
      <c r="CB224" s="66">
        <f>+CB218/CB154</f>
        <v>3.4128490242171339E-3</v>
      </c>
      <c r="CC224" s="66">
        <f>+CC218/CC154</f>
        <v>3.5134114091424254E-3</v>
      </c>
      <c r="CD224" s="66">
        <f>+CD218/CD154</f>
        <v>3.5134114091424254E-3</v>
      </c>
      <c r="CF224" s="66">
        <f>+CF218/CF154</f>
        <v>3.4645792359691051E-3</v>
      </c>
      <c r="CG224" s="66">
        <f>+CG218/CG154</f>
        <v>3.2769940161346328E-3</v>
      </c>
      <c r="CH224" s="66">
        <f>+CH218/CH154</f>
        <v>3.2769940161346328E-3</v>
      </c>
      <c r="CJ224" s="66">
        <f>+CJ218/CJ154</f>
        <v>3.9263436661082065E-3</v>
      </c>
      <c r="CK224" s="66">
        <f>+CK218/CK154</f>
        <v>3.9499850610569065E-3</v>
      </c>
      <c r="CL224" s="66">
        <f>+CL218/CL154</f>
        <v>3.9499850610569065E-3</v>
      </c>
      <c r="CN224" s="66">
        <f>+CN218/CN154</f>
        <v>3.994856601932651E-3</v>
      </c>
      <c r="CO224" s="66">
        <f>+CO218/CO154</f>
        <v>3.0984014456053159E-3</v>
      </c>
      <c r="CP224" s="66">
        <f>+CP218/CP154</f>
        <v>3.0984014456053159E-3</v>
      </c>
      <c r="CR224" s="66">
        <f>+CR218/CR154</f>
        <v>2.6073490933778824E-3</v>
      </c>
      <c r="CS224" s="66">
        <f>+CS218/CS154</f>
        <v>2.1359719855079105E-3</v>
      </c>
      <c r="CT224" s="66">
        <f>+CT218/CT154</f>
        <v>2.1359719855079105E-3</v>
      </c>
      <c r="CV224" s="66">
        <f>+CV218/CV154</f>
        <v>1.7428352905421657E-3</v>
      </c>
      <c r="CW224" s="66">
        <f>+CW218/CW154</f>
        <v>2.1389246313835509E-3</v>
      </c>
      <c r="CX224" s="66">
        <f>+CX218/CX154</f>
        <v>2.1389246313835509E-3</v>
      </c>
      <c r="CZ224" s="66">
        <f>+CZ218/CZ154</f>
        <v>2.1108135392419428E-3</v>
      </c>
      <c r="DA224" s="66">
        <f>+DA218/DA154</f>
        <v>2.0964075029842539E-3</v>
      </c>
      <c r="DB224" s="66">
        <f>+DB218/DB154</f>
        <v>2.0964075029842539E-3</v>
      </c>
      <c r="DD224" s="66">
        <f>+DD218/DD154</f>
        <v>2.7311966449456489E-3</v>
      </c>
      <c r="DE224" s="66">
        <f>+DE218/DE154</f>
        <v>3.0432712888098026E-3</v>
      </c>
      <c r="DF224" s="66">
        <f>+DF218/DF154</f>
        <v>3.0432712888098026E-3</v>
      </c>
      <c r="DH224" s="66">
        <f>+DE224+DH228</f>
        <v>3.1432712888098025E-3</v>
      </c>
      <c r="DI224" s="66">
        <f>+DH224+DI228</f>
        <v>3.2432712888098023E-3</v>
      </c>
      <c r="DJ224" s="66">
        <f>+DJ218/DJ154</f>
        <v>3.2432712888098023E-3</v>
      </c>
      <c r="DL224" s="66">
        <f>+DI224+DL228</f>
        <v>3.3432712888098021E-3</v>
      </c>
      <c r="DM224" s="66">
        <f>+DL224+DM228</f>
        <v>3.4432712888098019E-3</v>
      </c>
      <c r="DN224" s="66">
        <f>+DN218/DN154</f>
        <v>3.4432712888098019E-3</v>
      </c>
      <c r="DP224" s="66">
        <f>+DM224+DP228</f>
        <v>3.5432712888098018E-3</v>
      </c>
      <c r="DQ224" s="66">
        <f>+DP224+DQ228</f>
        <v>3.6432712888098016E-3</v>
      </c>
      <c r="DR224" s="66">
        <f>+DR218/DR154</f>
        <v>3.6432712888098016E-3</v>
      </c>
    </row>
    <row r="225" spans="1:128" s="20" customFormat="1" ht="13.8">
      <c r="A225" s="21" t="s">
        <v>569</v>
      </c>
      <c r="B225" s="49"/>
      <c r="BD225" s="74">
        <f>BD219/BD154</f>
        <v>0</v>
      </c>
      <c r="BE225" s="74">
        <f>BE219/BE154</f>
        <v>0</v>
      </c>
      <c r="BF225" s="74">
        <f>BF219/BF154</f>
        <v>0</v>
      </c>
      <c r="BH225" s="74">
        <f>BH219/BH154</f>
        <v>1.3880338905626313E-2</v>
      </c>
      <c r="BI225" s="74">
        <f>BI219/BI154</f>
        <v>1.2448548931475671E-2</v>
      </c>
      <c r="BJ225" s="74">
        <f>BJ219/BJ154</f>
        <v>1.2448548931475671E-2</v>
      </c>
      <c r="BK225" s="49"/>
      <c r="BL225" s="74">
        <f>BL219/BL154</f>
        <v>1.1042110071236285E-2</v>
      </c>
      <c r="BM225" s="74">
        <f>BM219/BM154</f>
        <v>9.2503090716077613E-3</v>
      </c>
      <c r="BN225" s="74">
        <f>BN219/BN154</f>
        <v>9.2503090716077613E-3</v>
      </c>
      <c r="BO225" s="49"/>
      <c r="BP225" s="74">
        <f>BP219/BP154</f>
        <v>8.8023103400505127E-3</v>
      </c>
      <c r="BQ225" s="74">
        <f>BQ219/BQ154</f>
        <v>8.8644403245946909E-3</v>
      </c>
      <c r="BR225" s="74">
        <f>BR219/BR154</f>
        <v>8.8644403245946909E-3</v>
      </c>
      <c r="BT225" s="74">
        <f>BT219/BT154</f>
        <v>9.6316800361541076E-3</v>
      </c>
      <c r="BU225" s="74">
        <f>BU219/BU154</f>
        <v>1.0120931001638019E-2</v>
      </c>
      <c r="BV225" s="74">
        <f>BV219/BV154</f>
        <v>1.0120931001638019E-2</v>
      </c>
      <c r="BX225" s="74">
        <f>BX219/BX154</f>
        <v>9.832718106939203E-3</v>
      </c>
      <c r="BY225" s="74">
        <f>BY219/BY154</f>
        <v>9.1308498516686001E-3</v>
      </c>
      <c r="BZ225" s="74">
        <f>BZ219/BZ154</f>
        <v>9.1308498516686001E-3</v>
      </c>
      <c r="CB225" s="74">
        <f>CB219/CB154</f>
        <v>8.5103098578315148E-3</v>
      </c>
      <c r="CC225" s="74">
        <f>CC219/CC154</f>
        <v>8.2948703207897378E-3</v>
      </c>
      <c r="CD225" s="74">
        <f>CD219/CD154</f>
        <v>8.2948703207897378E-3</v>
      </c>
      <c r="CF225" s="74">
        <f>CF219/CF154</f>
        <v>8.8828685674095104E-3</v>
      </c>
      <c r="CG225" s="74">
        <f>CG219/CG154</f>
        <v>9.3238474396970111E-3</v>
      </c>
      <c r="CH225" s="74">
        <f>CH219/CH154</f>
        <v>9.3238474396970111E-3</v>
      </c>
      <c r="CJ225" s="74">
        <f>CJ219/CJ154</f>
        <v>9.3966362459380701E-3</v>
      </c>
      <c r="CK225" s="74">
        <f>CK219/CK154</f>
        <v>1.012474820652366E-2</v>
      </c>
      <c r="CL225" s="74">
        <f>CL219/CL154</f>
        <v>1.012474820652366E-2</v>
      </c>
      <c r="CN225" s="74">
        <f>CN219/CN154</f>
        <v>9.3094858863477029E-3</v>
      </c>
      <c r="CO225" s="74">
        <f>CO219/CO154</f>
        <v>7.9312769828980851E-3</v>
      </c>
      <c r="CP225" s="74">
        <f>CP219/CP154</f>
        <v>7.9312769828980851E-3</v>
      </c>
      <c r="CR225" s="74">
        <f>CR219/CR154</f>
        <v>6.9142809193613597E-3</v>
      </c>
      <c r="CS225" s="74">
        <f>CS219/CS154</f>
        <v>5.6865634797570461E-3</v>
      </c>
      <c r="CT225" s="74">
        <f>CT219/CT154</f>
        <v>5.6865634797570461E-3</v>
      </c>
      <c r="CV225" s="74">
        <f>CV219/CV154</f>
        <v>5.3466153706549745E-3</v>
      </c>
      <c r="CW225" s="74">
        <f>CW219/CW154</f>
        <v>6.1341152150526292E-3</v>
      </c>
      <c r="CX225" s="74">
        <f>CX219/CX154</f>
        <v>6.1341152150526292E-3</v>
      </c>
      <c r="CZ225" s="74">
        <f>CZ219/CZ154</f>
        <v>6.9637379476440373E-3</v>
      </c>
      <c r="DA225" s="74">
        <f>DA219/DA154</f>
        <v>7.2637486193181536E-3</v>
      </c>
      <c r="DB225" s="74">
        <f>DB219/DB154</f>
        <v>7.2637486193181536E-3</v>
      </c>
      <c r="DD225" s="74">
        <f>DD219/DD154</f>
        <v>8.2566548662477701E-3</v>
      </c>
      <c r="DE225" s="74">
        <f>DE219/DE154</f>
        <v>8.3779891626927071E-3</v>
      </c>
      <c r="DF225" s="74">
        <f>DF219/DF154</f>
        <v>8.3779891626927071E-3</v>
      </c>
      <c r="DH225" s="74">
        <f>DH219/DH154</f>
        <v>8.277989162692706E-3</v>
      </c>
      <c r="DI225" s="74">
        <f>DI219/DI154</f>
        <v>8.1779891626927084E-3</v>
      </c>
      <c r="DJ225" s="74">
        <f>DJ219/DJ154</f>
        <v>8.1779891626927084E-3</v>
      </c>
      <c r="DL225" s="74">
        <f>DL219/DL154</f>
        <v>8.4779891626927065E-3</v>
      </c>
      <c r="DM225" s="74">
        <f>DM219/DM154</f>
        <v>8.7779891626927065E-3</v>
      </c>
      <c r="DN225" s="74">
        <f>DN219/DN154</f>
        <v>8.7779891626927065E-3</v>
      </c>
      <c r="DP225" s="74">
        <f>DP219/DP154</f>
        <v>9.0779891626927046E-3</v>
      </c>
      <c r="DQ225" s="74">
        <f>DQ219/DQ154</f>
        <v>9.3779891626927063E-3</v>
      </c>
      <c r="DR225" s="74">
        <f>DR219/DR154</f>
        <v>9.3779891626927063E-3</v>
      </c>
    </row>
    <row r="226" spans="1:128" s="20" customFormat="1" ht="13.8">
      <c r="A226" s="78" t="s">
        <v>217</v>
      </c>
      <c r="B226" s="49"/>
      <c r="BH226" s="350"/>
      <c r="BI226" s="350"/>
      <c r="BJ226" s="350"/>
      <c r="BK226" s="49"/>
      <c r="BL226" s="350"/>
      <c r="BM226" s="350"/>
      <c r="BN226" s="350"/>
      <c r="BO226" s="49"/>
      <c r="BP226" s="350"/>
      <c r="BQ226" s="350"/>
      <c r="BR226" s="350"/>
      <c r="BT226" s="350"/>
      <c r="BU226" s="350"/>
      <c r="BV226" s="350"/>
      <c r="BX226" s="350"/>
      <c r="BY226" s="350"/>
      <c r="BZ226" s="350"/>
      <c r="CB226" s="350"/>
      <c r="CC226" s="350"/>
      <c r="CD226" s="350"/>
      <c r="CF226" s="350"/>
      <c r="CG226" s="350"/>
      <c r="CH226" s="350"/>
      <c r="CJ226" s="350"/>
      <c r="CK226" s="350"/>
      <c r="CL226" s="350"/>
      <c r="CN226" s="350"/>
      <c r="CO226" s="350"/>
      <c r="CP226" s="350"/>
      <c r="CR226" s="350"/>
      <c r="CS226" s="350"/>
      <c r="CT226" s="350"/>
      <c r="CV226" s="350"/>
      <c r="CW226" s="350"/>
      <c r="CX226" s="350"/>
      <c r="CZ226" s="350"/>
      <c r="DA226" s="350"/>
      <c r="DB226" s="350"/>
      <c r="DD226" s="350"/>
      <c r="DE226" s="350"/>
      <c r="DF226" s="350"/>
      <c r="DH226" s="49"/>
      <c r="DI226" s="49"/>
      <c r="DJ226" s="49"/>
      <c r="DL226" s="49"/>
      <c r="DM226" s="49"/>
      <c r="DN226" s="49"/>
      <c r="DP226" s="49"/>
      <c r="DQ226" s="49"/>
      <c r="DR226" s="49"/>
    </row>
    <row r="227" spans="1:128" s="325" customFormat="1" ht="13.8">
      <c r="A227" s="335" t="str">
        <f>A223</f>
        <v>&gt;90DPD / Gross Loans &amp; Acceptances</v>
      </c>
      <c r="B227" s="324"/>
      <c r="BD227" s="351"/>
      <c r="BE227" s="351">
        <f>+(BE223-BD223)</f>
        <v>0</v>
      </c>
      <c r="BH227" s="351">
        <f>+(BH223-BE223)</f>
        <v>3.6892422479144686E-3</v>
      </c>
      <c r="BI227" s="351">
        <f>+(BI223-BH223)</f>
        <v>3.1813647748597709E-5</v>
      </c>
      <c r="BJ227" s="352"/>
      <c r="BK227" s="324"/>
      <c r="BL227" s="351">
        <f>+(BL223-BI223)</f>
        <v>2.8489179960501741E-4</v>
      </c>
      <c r="BM227" s="351">
        <f>+(BM223-BL223)</f>
        <v>-2.4201573470011362E-4</v>
      </c>
      <c r="BN227" s="352"/>
      <c r="BO227" s="324"/>
      <c r="BP227" s="351">
        <f>+(BP223-BM223)</f>
        <v>2.2872212426527276E-4</v>
      </c>
      <c r="BQ227" s="351">
        <f>+(BQ223-BP223)</f>
        <v>1.4304124416149484E-4</v>
      </c>
      <c r="BR227" s="352"/>
      <c r="BT227" s="351">
        <f>+(BT223-BQ223)</f>
        <v>4.0651741532793731E-4</v>
      </c>
      <c r="BU227" s="351">
        <f>+(BU223-BT223)</f>
        <v>1.1348441317010367E-4</v>
      </c>
      <c r="BV227" s="352"/>
      <c r="BX227" s="351">
        <f>+(BX223-BU223)</f>
        <v>1.1517692311106137E-4</v>
      </c>
      <c r="BY227" s="351">
        <f>+(BY223-BX223)</f>
        <v>2.8128998384760722E-4</v>
      </c>
      <c r="BZ227" s="352"/>
      <c r="CB227" s="351">
        <f>+(CB223-BY223)</f>
        <v>4.529676916293409E-5</v>
      </c>
      <c r="CC227" s="351">
        <f>+(CC223-CB223)</f>
        <v>-3.1600192196706931E-4</v>
      </c>
      <c r="CD227" s="352"/>
      <c r="CF227" s="351">
        <f>+(CF223-CC223)</f>
        <v>6.368304197930932E-4</v>
      </c>
      <c r="CG227" s="351">
        <f>+(CG223-CF223)</f>
        <v>6.285640921219731E-4</v>
      </c>
      <c r="CH227" s="352"/>
      <c r="CJ227" s="351">
        <f>+(CJ223-CG223)</f>
        <v>-5.7656084373251468E-4</v>
      </c>
      <c r="CK227" s="351">
        <f>+(CK223-CJ223)</f>
        <v>7.044705656368902E-4</v>
      </c>
      <c r="CL227" s="352"/>
      <c r="CN227" s="351">
        <f>+(CN223-CK223)</f>
        <v>-8.6013386105170207E-4</v>
      </c>
      <c r="CO227" s="351">
        <f>+(CO223-CN223)</f>
        <v>-4.8175374712228214E-4</v>
      </c>
      <c r="CP227" s="352"/>
      <c r="CR227" s="351">
        <f>+(CR223-CO223)</f>
        <v>-5.2594371130929279E-4</v>
      </c>
      <c r="CS227" s="351">
        <f>+(CS223-CR223)</f>
        <v>-7.5634033173434126E-4</v>
      </c>
      <c r="CT227" s="352"/>
      <c r="CV227" s="351">
        <f>+(CV223-CS223)</f>
        <v>5.3188585863673567E-5</v>
      </c>
      <c r="CW227" s="351">
        <f>+(CW223-CV223)</f>
        <v>3.9141050355626919E-4</v>
      </c>
      <c r="CX227" s="352"/>
      <c r="CZ227" s="351">
        <f>+(CZ223-CW223)</f>
        <v>8.5773382473301654E-4</v>
      </c>
      <c r="DA227" s="351">
        <f>+(DA223-CZ223)</f>
        <v>3.1441670793180485E-4</v>
      </c>
      <c r="DB227" s="352"/>
      <c r="DD227" s="351">
        <f>+(DD223-DA223)</f>
        <v>3.5811710496822143E-4</v>
      </c>
      <c r="DE227" s="351">
        <f>+(DE223-DD223)</f>
        <v>-1.9074034741921667E-4</v>
      </c>
      <c r="DF227" s="352"/>
      <c r="DH227" s="939">
        <v>-2.0000000000000001E-4</v>
      </c>
      <c r="DI227" s="939">
        <v>-2.0000000000000001E-4</v>
      </c>
      <c r="DJ227" s="324"/>
      <c r="DL227" s="939">
        <v>2.0000000000000001E-4</v>
      </c>
      <c r="DM227" s="939">
        <v>2.0000000000000001E-4</v>
      </c>
      <c r="DN227" s="324"/>
      <c r="DP227" s="939">
        <v>2.0000000000000001E-4</v>
      </c>
      <c r="DQ227" s="939">
        <v>2.0000000000000001E-4</v>
      </c>
      <c r="DR227" s="324"/>
      <c r="DW227" s="20"/>
      <c r="DX227" s="20"/>
    </row>
    <row r="228" spans="1:128" s="325" customFormat="1" ht="13.8">
      <c r="A228" s="335" t="str">
        <f>A224</f>
        <v>Impaired Assets / Gross Loans &amp; Acceptances</v>
      </c>
      <c r="B228" s="324"/>
      <c r="BD228" s="351"/>
      <c r="BE228" s="351">
        <f>+(BE224-BD224)</f>
        <v>0</v>
      </c>
      <c r="BH228" s="351">
        <f>+(BH224-BE224)</f>
        <v>1.0191096657711844E-2</v>
      </c>
      <c r="BI228" s="351">
        <f>+(BI224-BH224)</f>
        <v>-1.4636036218992395E-3</v>
      </c>
      <c r="BJ228" s="352"/>
      <c r="BK228" s="324"/>
      <c r="BL228" s="351">
        <f>+(BL224-BI224)</f>
        <v>-1.6913306598444026E-3</v>
      </c>
      <c r="BM228" s="351">
        <f>+(BM224-BL224)</f>
        <v>-1.5497852649284105E-3</v>
      </c>
      <c r="BN228" s="352"/>
      <c r="BO228" s="324"/>
      <c r="BP228" s="351">
        <f>+(BP224-BM224)</f>
        <v>-6.767208558225218E-4</v>
      </c>
      <c r="BQ228" s="351">
        <f>+(BQ224-BP224)</f>
        <v>-8.0911259617314976E-5</v>
      </c>
      <c r="BR228" s="352"/>
      <c r="BT228" s="351">
        <f>+(BT224-BQ224)</f>
        <v>3.6072229623147767E-4</v>
      </c>
      <c r="BU228" s="351">
        <f>+(BU224-BT224)</f>
        <v>3.7576655231380974E-4</v>
      </c>
      <c r="BV228" s="352"/>
      <c r="BX228" s="351">
        <f>+(BX224-BU224)</f>
        <v>-4.033898178098785E-4</v>
      </c>
      <c r="BY228" s="351">
        <f>+(BY224-BX224)</f>
        <v>-9.8315823911821094E-4</v>
      </c>
      <c r="BZ228" s="352"/>
      <c r="CB228" s="351">
        <f>+(CB224-BY224)</f>
        <v>-6.6583676300001815E-4</v>
      </c>
      <c r="CC228" s="351">
        <f>+(CC224-CB224)</f>
        <v>1.0056238492529151E-4</v>
      </c>
      <c r="CD228" s="352"/>
      <c r="CF228" s="351">
        <f>+(CF224-CC224)</f>
        <v>-4.8832173173320257E-5</v>
      </c>
      <c r="CG228" s="351">
        <f>+(CG224-CF224)</f>
        <v>-1.8758521983447234E-4</v>
      </c>
      <c r="CH228" s="352"/>
      <c r="CJ228" s="351">
        <f>+(CJ224-CG224)</f>
        <v>6.4934964997357368E-4</v>
      </c>
      <c r="CK228" s="351">
        <f>+(CK224-CJ224)</f>
        <v>2.3641394948700073E-5</v>
      </c>
      <c r="CL228" s="352"/>
      <c r="CN228" s="351">
        <f>+(CN224-CK224)</f>
        <v>4.4871540875744513E-5</v>
      </c>
      <c r="CO228" s="351">
        <f>+(CO224-CN224)</f>
        <v>-8.9645515632733519E-4</v>
      </c>
      <c r="CP228" s="352"/>
      <c r="CR228" s="351">
        <f>+(CR224-CO224)</f>
        <v>-4.9105235222743349E-4</v>
      </c>
      <c r="CS228" s="351">
        <f>+(CS224-CR224)</f>
        <v>-4.7137710786997189E-4</v>
      </c>
      <c r="CT228" s="352"/>
      <c r="CV228" s="351">
        <f>+(CV224-CS224)</f>
        <v>-3.9313669496574477E-4</v>
      </c>
      <c r="CW228" s="351">
        <f>+(CW224-CV224)</f>
        <v>3.9608934084138514E-4</v>
      </c>
      <c r="CX228" s="352"/>
      <c r="CZ228" s="351">
        <f>+(CZ224-CW224)</f>
        <v>-2.811109214160808E-5</v>
      </c>
      <c r="DA228" s="351">
        <f>+(DA224-CZ224)</f>
        <v>-1.4406036257688919E-5</v>
      </c>
      <c r="DB228" s="352"/>
      <c r="DD228" s="351">
        <f>+(DD224-DA224)</f>
        <v>6.3478914196139508E-4</v>
      </c>
      <c r="DE228" s="351">
        <f>+(DE224-DD224)</f>
        <v>3.1207464386415369E-4</v>
      </c>
      <c r="DF228" s="352"/>
      <c r="DH228" s="939">
        <v>1E-4</v>
      </c>
      <c r="DI228" s="939">
        <v>1E-4</v>
      </c>
      <c r="DJ228" s="324"/>
      <c r="DL228" s="939">
        <v>1E-4</v>
      </c>
      <c r="DM228" s="939">
        <v>1E-4</v>
      </c>
      <c r="DN228" s="324"/>
      <c r="DP228" s="939">
        <v>1E-4</v>
      </c>
      <c r="DQ228" s="939">
        <v>1E-4</v>
      </c>
      <c r="DR228" s="324"/>
      <c r="DW228" s="20"/>
      <c r="DX228" s="20"/>
    </row>
    <row r="229" spans="1:128" s="20" customFormat="1" ht="13.8">
      <c r="A229" s="78" t="str">
        <f>A225</f>
        <v>NPL Ratio</v>
      </c>
      <c r="B229" s="49"/>
      <c r="BD229" s="350"/>
      <c r="BE229" s="350">
        <f>+(BE225-BD225)</f>
        <v>0</v>
      </c>
      <c r="BH229" s="350">
        <f>+(BH225-BE225)</f>
        <v>1.3880338905626313E-2</v>
      </c>
      <c r="BI229" s="350">
        <f>+(BI225-BH225)</f>
        <v>-1.4317899741506414E-3</v>
      </c>
      <c r="BJ229" s="350"/>
      <c r="BK229" s="49"/>
      <c r="BL229" s="350">
        <f>+(BL225-BI225)</f>
        <v>-1.4064388602393861E-3</v>
      </c>
      <c r="BM229" s="350">
        <f>+(BM225-BL225)</f>
        <v>-1.7918009996285237E-3</v>
      </c>
      <c r="BN229" s="350"/>
      <c r="BO229" s="49"/>
      <c r="BP229" s="350">
        <f>+(BP225-BM225)</f>
        <v>-4.4799873155724861E-4</v>
      </c>
      <c r="BQ229" s="350">
        <f>+(BQ225-BP225)</f>
        <v>6.2129984544178132E-5</v>
      </c>
      <c r="BR229" s="350"/>
      <c r="BT229" s="350">
        <f>+(BT225-BQ225)</f>
        <v>7.6723971155941671E-4</v>
      </c>
      <c r="BU229" s="350">
        <f>+(BU225-BT225)</f>
        <v>4.8925096548391167E-4</v>
      </c>
      <c r="BV229" s="350"/>
      <c r="BX229" s="350">
        <f>+(BX225-BU225)</f>
        <v>-2.8821289469881627E-4</v>
      </c>
      <c r="BY229" s="350">
        <f>+(BY225-BX225)</f>
        <v>-7.0186825527060286E-4</v>
      </c>
      <c r="BZ229" s="350"/>
      <c r="CB229" s="350">
        <f>+(CB225-BY225)</f>
        <v>-6.2053999383708536E-4</v>
      </c>
      <c r="CC229" s="350">
        <f>+(CC225-CB225)</f>
        <v>-2.1543953704177693E-4</v>
      </c>
      <c r="CD229" s="350"/>
      <c r="CF229" s="350">
        <f>+(CF225-CC225)</f>
        <v>5.8799824661977251E-4</v>
      </c>
      <c r="CG229" s="350">
        <f>+(CG225-CF225)</f>
        <v>4.4097887228750077E-4</v>
      </c>
      <c r="CH229" s="350"/>
      <c r="CJ229" s="350">
        <f>+(CJ225-CG225)</f>
        <v>7.2788806241059004E-5</v>
      </c>
      <c r="CK229" s="350">
        <f>+(CK225-CJ225)</f>
        <v>7.2811196058559027E-4</v>
      </c>
      <c r="CL229" s="350"/>
      <c r="CN229" s="350">
        <f>+(CN225-CK225)</f>
        <v>-8.1526232017595755E-4</v>
      </c>
      <c r="CO229" s="350">
        <f>+(CO225-CN225)</f>
        <v>-1.3782089034496178E-3</v>
      </c>
      <c r="CP229" s="350"/>
      <c r="CR229" s="350">
        <f>+(CR225-CO225)</f>
        <v>-1.0169960635367254E-3</v>
      </c>
      <c r="CS229" s="350">
        <f>+(CS225-CR225)</f>
        <v>-1.2277174396043136E-3</v>
      </c>
      <c r="CT229" s="350"/>
      <c r="CV229" s="350">
        <f>+(CV225-CS225)</f>
        <v>-3.3994810910207163E-4</v>
      </c>
      <c r="CW229" s="350">
        <f>+(CW225-CV225)</f>
        <v>7.8749984439765476E-4</v>
      </c>
      <c r="CX229" s="350"/>
      <c r="CZ229" s="350">
        <f>+(CZ225-CW225)</f>
        <v>8.2962273259140802E-4</v>
      </c>
      <c r="DA229" s="350">
        <f>+(DA225-CZ225)</f>
        <v>3.0001067167411636E-4</v>
      </c>
      <c r="DB229" s="350"/>
      <c r="DD229" s="350">
        <f>+(DD225-DA225)</f>
        <v>9.9290624692961651E-4</v>
      </c>
      <c r="DE229" s="350">
        <f>+(DE225-DD225)</f>
        <v>1.2133429644493703E-4</v>
      </c>
      <c r="DF229" s="350"/>
      <c r="DH229" s="350">
        <f>+(DH225-DE225)</f>
        <v>-1.0000000000000113E-4</v>
      </c>
      <c r="DI229" s="350">
        <f>+(DI225-DH225)</f>
        <v>-9.999999999999766E-5</v>
      </c>
      <c r="DJ229" s="49"/>
      <c r="DL229" s="350">
        <f>+(DL225-DI225)</f>
        <v>2.9999999999999818E-4</v>
      </c>
      <c r="DM229" s="350">
        <f>+(DM225-DL225)</f>
        <v>2.9999999999999992E-4</v>
      </c>
      <c r="DN229" s="49"/>
      <c r="DP229" s="350">
        <f>+(DP225-DM225)</f>
        <v>2.9999999999999818E-4</v>
      </c>
      <c r="DQ229" s="350">
        <f>+(DQ225-DP225)</f>
        <v>3.0000000000000165E-4</v>
      </c>
      <c r="DR229" s="49"/>
    </row>
    <row r="230" spans="1:128" s="20" customFormat="1" ht="13.8">
      <c r="A230" s="78"/>
      <c r="B230" s="49"/>
      <c r="BH230" s="67"/>
      <c r="BI230" s="79"/>
      <c r="BJ230" s="72"/>
      <c r="BK230" s="49"/>
      <c r="BL230" s="67"/>
      <c r="BM230" s="79"/>
      <c r="BN230" s="72"/>
      <c r="BO230" s="49"/>
      <c r="BP230" s="67"/>
      <c r="BQ230" s="49"/>
      <c r="BR230" s="49"/>
      <c r="BT230" s="49"/>
      <c r="BU230" s="49"/>
      <c r="BV230" s="49"/>
      <c r="BX230" s="49"/>
      <c r="BY230" s="49"/>
      <c r="BZ230" s="49"/>
      <c r="CB230" s="49"/>
      <c r="CC230" s="49"/>
      <c r="CD230" s="49"/>
      <c r="CF230" s="49"/>
      <c r="CG230" s="49"/>
      <c r="CH230" s="49"/>
      <c r="CJ230" s="49"/>
      <c r="CK230" s="49"/>
      <c r="CL230" s="49"/>
      <c r="CN230" s="49"/>
      <c r="CO230" s="49"/>
      <c r="CP230" s="49"/>
      <c r="CR230" s="49"/>
      <c r="CS230" s="49"/>
      <c r="CT230" s="49"/>
      <c r="CV230" s="49"/>
      <c r="CW230" s="49"/>
      <c r="CX230" s="49"/>
      <c r="CZ230" s="49"/>
      <c r="DA230" s="49"/>
      <c r="DB230" s="49"/>
      <c r="DD230" s="49"/>
      <c r="DE230" s="49"/>
      <c r="DF230" s="49"/>
      <c r="DH230" s="49"/>
      <c r="DI230" s="49"/>
      <c r="DJ230" s="49"/>
      <c r="DL230" s="49"/>
      <c r="DM230" s="49"/>
      <c r="DN230" s="49"/>
      <c r="DP230" s="49"/>
      <c r="DQ230" s="49"/>
      <c r="DR230" s="49"/>
    </row>
    <row r="231" spans="1:128" s="343" customFormat="1" ht="13.8">
      <c r="A231" s="343" t="s">
        <v>540</v>
      </c>
      <c r="B231" s="344"/>
      <c r="BH231" s="344"/>
      <c r="BI231" s="344"/>
      <c r="BJ231" s="344"/>
      <c r="BK231" s="344"/>
      <c r="BL231" s="344"/>
      <c r="BM231" s="344"/>
      <c r="BN231" s="344"/>
      <c r="BO231" s="344"/>
      <c r="BP231" s="344"/>
      <c r="BQ231" s="344"/>
      <c r="BR231" s="344"/>
      <c r="BT231" s="344"/>
      <c r="BU231" s="344"/>
      <c r="BV231" s="344"/>
      <c r="BX231" s="344"/>
      <c r="BY231" s="344"/>
      <c r="BZ231" s="344"/>
      <c r="CB231" s="344"/>
      <c r="CC231" s="344"/>
      <c r="CD231" s="344"/>
      <c r="CF231" s="344"/>
      <c r="CG231" s="344"/>
      <c r="CH231" s="344"/>
      <c r="CJ231" s="344"/>
      <c r="CK231" s="344"/>
      <c r="CL231" s="344"/>
      <c r="CN231" s="344"/>
      <c r="CO231" s="344"/>
      <c r="CP231" s="344"/>
      <c r="CR231" s="344"/>
      <c r="CS231" s="344"/>
      <c r="CT231" s="344"/>
      <c r="CV231" s="344"/>
      <c r="CW231" s="344"/>
      <c r="CX231" s="344"/>
      <c r="CZ231" s="344"/>
      <c r="DA231" s="344"/>
      <c r="DB231" s="344"/>
      <c r="DD231" s="344"/>
      <c r="DE231" s="344"/>
      <c r="DF231" s="344"/>
      <c r="DH231" s="344"/>
      <c r="DI231" s="344"/>
      <c r="DJ231" s="344"/>
      <c r="DL231" s="344"/>
      <c r="DM231" s="344"/>
      <c r="DN231" s="344"/>
      <c r="DP231" s="344"/>
      <c r="DQ231" s="344"/>
      <c r="DR231" s="344"/>
      <c r="DT231" s="743"/>
      <c r="DU231" s="743"/>
      <c r="DV231" s="743"/>
      <c r="DW231" s="20"/>
      <c r="DX231" s="20"/>
    </row>
    <row r="232" spans="1:128" s="20" customFormat="1" ht="13.8">
      <c r="A232" s="78"/>
      <c r="B232" s="49"/>
      <c r="BH232" s="67"/>
      <c r="BI232" s="79"/>
      <c r="BJ232" s="72"/>
      <c r="BK232" s="49"/>
      <c r="BL232" s="67"/>
      <c r="BM232" s="79"/>
      <c r="BN232" s="72"/>
      <c r="BO232" s="49"/>
      <c r="BP232" s="67"/>
      <c r="BQ232" s="49"/>
      <c r="BR232" s="49"/>
      <c r="BT232" s="49"/>
      <c r="BU232" s="49"/>
      <c r="BV232" s="49"/>
      <c r="BX232" s="49"/>
      <c r="BY232" s="49"/>
      <c r="BZ232" s="49"/>
      <c r="CB232" s="49"/>
      <c r="CC232" s="77"/>
      <c r="CD232" s="49"/>
      <c r="CF232" s="49"/>
      <c r="CG232" s="77"/>
      <c r="CH232" s="49"/>
      <c r="CJ232" s="49"/>
      <c r="CK232" s="49"/>
      <c r="CL232" s="49"/>
      <c r="CN232" s="49"/>
      <c r="CO232" s="49"/>
      <c r="CP232" s="49"/>
      <c r="CR232" s="49"/>
      <c r="CS232" s="49"/>
      <c r="CT232" s="49"/>
      <c r="CV232" s="49"/>
      <c r="CW232" s="49"/>
      <c r="CX232" s="49"/>
      <c r="CZ232" s="49"/>
      <c r="DA232" s="49"/>
      <c r="DB232" s="49"/>
      <c r="DD232" s="49"/>
      <c r="DE232" s="49"/>
      <c r="DF232" s="49"/>
      <c r="DH232" s="49"/>
      <c r="DI232" s="49"/>
      <c r="DJ232" s="49"/>
      <c r="DL232" s="49"/>
      <c r="DM232" s="49"/>
      <c r="DN232" s="49"/>
      <c r="DP232" s="49"/>
      <c r="DQ232" s="49"/>
      <c r="DR232" s="49"/>
    </row>
    <row r="233" spans="1:128" s="20" customFormat="1" ht="13.8">
      <c r="A233" s="21" t="s">
        <v>707</v>
      </c>
      <c r="B233" s="49"/>
      <c r="BH233" s="67"/>
      <c r="BI233" s="79"/>
      <c r="BJ233" s="72"/>
      <c r="BK233" s="49"/>
      <c r="BL233" s="67"/>
      <c r="BM233" s="79"/>
      <c r="BN233" s="72"/>
      <c r="BO233" s="49"/>
      <c r="BP233" s="67"/>
      <c r="BQ233" s="49"/>
      <c r="BR233" s="49"/>
      <c r="BT233" s="49"/>
      <c r="BU233" s="49"/>
      <c r="BV233" s="49"/>
      <c r="BX233" s="49"/>
      <c r="BY233" s="49"/>
      <c r="BZ233" s="49"/>
      <c r="CB233" s="49"/>
      <c r="CC233" s="49"/>
      <c r="CD233" s="49"/>
      <c r="CF233" s="49"/>
      <c r="CG233" s="49"/>
      <c r="CH233" s="49"/>
      <c r="CJ233" s="49"/>
      <c r="CK233" s="49"/>
      <c r="CL233" s="49"/>
      <c r="CN233" s="49"/>
      <c r="CO233" s="49"/>
      <c r="CP233" s="49"/>
      <c r="CR233" s="49"/>
      <c r="CS233" s="49"/>
      <c r="CT233" s="49"/>
      <c r="CV233" s="49"/>
      <c r="CW233" s="49"/>
      <c r="CX233" s="49"/>
      <c r="CZ233" s="49"/>
      <c r="DA233" s="49"/>
      <c r="DB233" s="49"/>
      <c r="DD233" s="49"/>
      <c r="DE233" s="49"/>
      <c r="DF233" s="49"/>
      <c r="DH233" s="49"/>
      <c r="DI233" s="49"/>
      <c r="DJ233" s="49"/>
      <c r="DL233" s="49"/>
      <c r="DM233" s="49"/>
      <c r="DN233" s="49"/>
      <c r="DP233" s="49"/>
      <c r="DQ233" s="49"/>
      <c r="DR233" s="49"/>
    </row>
    <row r="234" spans="1:128" s="20" customFormat="1" ht="13.8">
      <c r="A234" s="20" t="s">
        <v>1101</v>
      </c>
      <c r="B234" s="49"/>
      <c r="BD234" s="65">
        <f>BD236-BD235</f>
        <v>-752</v>
      </c>
      <c r="BE234" s="65">
        <f>BE236-BE235</f>
        <v>-917</v>
      </c>
      <c r="BF234" s="65">
        <f>BD234+BE234</f>
        <v>-1669</v>
      </c>
      <c r="BH234" s="65">
        <f>BH236-BH235</f>
        <v>-595</v>
      </c>
      <c r="BI234" s="65">
        <f>BI236-BI235</f>
        <v>-480</v>
      </c>
      <c r="BJ234" s="65">
        <f>BH234+BI234</f>
        <v>-1075</v>
      </c>
      <c r="BK234" s="49"/>
      <c r="BL234" s="65">
        <f>BL236-BL235</f>
        <v>-572</v>
      </c>
      <c r="BM234" s="65">
        <f>BM236-BM235</f>
        <v>-547</v>
      </c>
      <c r="BN234" s="65">
        <f>BL234+BM234</f>
        <v>-1119</v>
      </c>
      <c r="BO234" s="49"/>
      <c r="BP234" s="65">
        <f>BP236-BP235</f>
        <v>-455</v>
      </c>
      <c r="BQ234" s="65">
        <f>BQ236-BQ235</f>
        <v>-655</v>
      </c>
      <c r="BR234" s="65">
        <f>BP234+BQ234</f>
        <v>-1110</v>
      </c>
      <c r="BT234" s="65">
        <f>BT236-BT235</f>
        <v>-965</v>
      </c>
      <c r="BU234" s="65">
        <f>BU236-BU235</f>
        <v>-1052</v>
      </c>
      <c r="BV234" s="65">
        <f>BT234+BU234</f>
        <v>-2017</v>
      </c>
      <c r="BX234" s="65">
        <f>BX236-BX235</f>
        <v>-787</v>
      </c>
      <c r="BY234" s="65">
        <f>BY236-BY235</f>
        <v>-593</v>
      </c>
      <c r="BZ234" s="65">
        <f>BX234+BY234</f>
        <v>-1380</v>
      </c>
      <c r="CB234" s="65">
        <f>CB236-CB235</f>
        <v>-509</v>
      </c>
      <c r="CC234" s="65">
        <f>CC236-CC235</f>
        <v>-343</v>
      </c>
      <c r="CD234" s="65">
        <f>CB234+CC234</f>
        <v>-852</v>
      </c>
      <c r="CF234" s="65">
        <f>CF236-CF235</f>
        <v>-380</v>
      </c>
      <c r="CG234" s="65">
        <f>CG236-CG235</f>
        <v>-401</v>
      </c>
      <c r="CH234" s="65">
        <f>CF234+CG234</f>
        <v>-781</v>
      </c>
      <c r="CJ234" s="65">
        <f>CJ236-CJ235</f>
        <v>-604</v>
      </c>
      <c r="CK234" s="65">
        <f>CK236-CK235</f>
        <v>-449</v>
      </c>
      <c r="CL234" s="65">
        <f>CJ234+CK234</f>
        <v>-1053</v>
      </c>
      <c r="CN234" s="65">
        <f>CN236-CN235</f>
        <v>-260</v>
      </c>
      <c r="CO234" s="65">
        <f>CO236-CO235</f>
        <v>24</v>
      </c>
      <c r="CP234" s="65">
        <f>CN234+CO234</f>
        <v>-236</v>
      </c>
      <c r="CR234" s="65">
        <f>CR236-CR235</f>
        <v>-185</v>
      </c>
      <c r="CS234" s="65">
        <f>CS236-CS235</f>
        <v>53</v>
      </c>
      <c r="CT234" s="65">
        <f>CR234+CS234</f>
        <v>-132</v>
      </c>
      <c r="CV234" s="65">
        <f>CV236-CV235</f>
        <v>27</v>
      </c>
      <c r="CW234" s="65">
        <f>CW236-CW235</f>
        <v>-118</v>
      </c>
      <c r="CX234" s="65">
        <f>CV234+CW234</f>
        <v>-91</v>
      </c>
      <c r="CZ234" s="65">
        <f>CZ236-CZ235</f>
        <v>-44</v>
      </c>
      <c r="DA234" s="65">
        <f>DA236-DA235</f>
        <v>-125</v>
      </c>
      <c r="DB234" s="65">
        <f>CZ234+DA234</f>
        <v>-169</v>
      </c>
      <c r="DD234" s="65">
        <f>DD236-DD235</f>
        <v>-136</v>
      </c>
      <c r="DE234" s="65">
        <f>DE236-DE235</f>
        <v>-177</v>
      </c>
      <c r="DF234" s="65">
        <f>DD234+DE234</f>
        <v>-313</v>
      </c>
      <c r="DH234" s="65">
        <f ca="1">DH236-DH235</f>
        <v>-299.13500503503928</v>
      </c>
      <c r="DI234" s="65">
        <f ca="1">DI236-DI235</f>
        <v>-333.12327744289917</v>
      </c>
      <c r="DJ234" s="65">
        <f ca="1">DH234+DI234</f>
        <v>-632.25828247793845</v>
      </c>
      <c r="DL234" s="65">
        <f ca="1">DL236-DL235</f>
        <v>-424.96749654470705</v>
      </c>
      <c r="DM234" s="65">
        <f ca="1">DM236-DM235</f>
        <v>-309.06226869405259</v>
      </c>
      <c r="DN234" s="65">
        <f ca="1">DL234+DM234</f>
        <v>-734.02976523875964</v>
      </c>
      <c r="DP234" s="65">
        <f ca="1">DP236-DP235</f>
        <v>-376.15453191472511</v>
      </c>
      <c r="DQ234" s="65">
        <f ca="1">DQ236-DQ235</f>
        <v>-374.46065809605312</v>
      </c>
      <c r="DR234" s="65">
        <f ca="1">DP234+DQ234</f>
        <v>-750.61519001077818</v>
      </c>
    </row>
    <row r="235" spans="1:128" s="20" customFormat="1" ht="13.8">
      <c r="A235" s="20" t="s">
        <v>1102</v>
      </c>
      <c r="B235" s="49"/>
      <c r="BD235" s="65">
        <f>BD243</f>
        <v>182</v>
      </c>
      <c r="BE235" s="65">
        <f>BE243</f>
        <v>229</v>
      </c>
      <c r="BF235" s="65">
        <f>+BE235+BD235</f>
        <v>411</v>
      </c>
      <c r="BH235" s="65">
        <f>BH243</f>
        <v>-4</v>
      </c>
      <c r="BI235" s="65">
        <f>BI243</f>
        <v>-118</v>
      </c>
      <c r="BJ235" s="65">
        <f>+BI235+BH235</f>
        <v>-122</v>
      </c>
      <c r="BK235" s="49"/>
      <c r="BL235" s="65">
        <f>BL243</f>
        <v>44</v>
      </c>
      <c r="BM235" s="65">
        <f>BM243</f>
        <v>86</v>
      </c>
      <c r="BN235" s="65">
        <f>+BM235+BL235</f>
        <v>130</v>
      </c>
      <c r="BO235" s="49"/>
      <c r="BP235" s="65">
        <f>BP243</f>
        <v>-55</v>
      </c>
      <c r="BQ235" s="65">
        <f>BQ243</f>
        <v>-40</v>
      </c>
      <c r="BR235" s="65">
        <f>+BQ235+BP235</f>
        <v>-95</v>
      </c>
      <c r="BT235" s="65">
        <f>BT243</f>
        <v>47</v>
      </c>
      <c r="BU235" s="65">
        <f>BU243</f>
        <v>14</v>
      </c>
      <c r="BV235" s="65">
        <f>+BU235+BT235</f>
        <v>61</v>
      </c>
      <c r="BX235" s="65">
        <f>BX243</f>
        <v>67</v>
      </c>
      <c r="BY235" s="65">
        <f>BY243</f>
        <v>114</v>
      </c>
      <c r="BZ235" s="65">
        <f>+BY235+BX235</f>
        <v>181</v>
      </c>
      <c r="CB235" s="65">
        <f>CB243</f>
        <v>101</v>
      </c>
      <c r="CC235" s="65">
        <f>CC243</f>
        <v>63</v>
      </c>
      <c r="CD235" s="65">
        <f>+CC235+CB235</f>
        <v>164</v>
      </c>
      <c r="CF235" s="65">
        <f>CF243</f>
        <v>-13</v>
      </c>
      <c r="CG235" s="65">
        <f>CG243</f>
        <v>-1</v>
      </c>
      <c r="CH235" s="65">
        <f>+CG235+CF235</f>
        <v>-14</v>
      </c>
      <c r="CJ235" s="65">
        <f>CJ243</f>
        <v>-1070</v>
      </c>
      <c r="CK235" s="65">
        <f>CK243</f>
        <v>-615</v>
      </c>
      <c r="CL235" s="65">
        <f>+CK235+CJ235</f>
        <v>-1685</v>
      </c>
      <c r="CN235" s="65">
        <f>CN243</f>
        <v>751</v>
      </c>
      <c r="CO235" s="65">
        <f>CO243</f>
        <v>52</v>
      </c>
      <c r="CP235" s="65">
        <f>+CO235+CN235</f>
        <v>803</v>
      </c>
      <c r="CR235" s="65">
        <f>CR243</f>
        <v>469</v>
      </c>
      <c r="CS235" s="65">
        <f>CS243</f>
        <v>-105</v>
      </c>
      <c r="CT235" s="65">
        <f>+CS235+CR235</f>
        <v>364</v>
      </c>
      <c r="CV235" s="65">
        <f>CV243</f>
        <v>-160</v>
      </c>
      <c r="CW235" s="65">
        <f>CW243</f>
        <v>6</v>
      </c>
      <c r="CX235" s="65">
        <f>+CW235+CV235</f>
        <v>-154</v>
      </c>
      <c r="CZ235" s="65">
        <f>CZ243</f>
        <v>-26</v>
      </c>
      <c r="DA235" s="65">
        <f>DA243</f>
        <v>-211</v>
      </c>
      <c r="DB235" s="65">
        <f>+DA235+CZ235</f>
        <v>-237</v>
      </c>
      <c r="DD235" s="65">
        <f>DD243</f>
        <v>-9</v>
      </c>
      <c r="DE235" s="65">
        <f>DE243</f>
        <v>-119</v>
      </c>
      <c r="DF235" s="65">
        <f>+DE235+DD235</f>
        <v>-128</v>
      </c>
      <c r="DH235" s="65">
        <f ca="1">DH243</f>
        <v>89.75658732224656</v>
      </c>
      <c r="DI235" s="65">
        <f ca="1">DI243</f>
        <v>-11.037706357891693</v>
      </c>
      <c r="DJ235" s="65">
        <f ca="1">DH235+DI235</f>
        <v>78.718880964354867</v>
      </c>
      <c r="DL235" s="65">
        <f ca="1">DL243</f>
        <v>31.325001988956501</v>
      </c>
      <c r="DM235" s="65">
        <f ca="1">DM243</f>
        <v>-96.343983897081671</v>
      </c>
      <c r="DN235" s="65">
        <f ca="1">DL235+DM235</f>
        <v>-65.01898190812517</v>
      </c>
      <c r="DP235" s="65">
        <f ca="1">DP243</f>
        <v>-82.110331804827183</v>
      </c>
      <c r="DQ235" s="65">
        <f ca="1">DQ243</f>
        <v>-93.734694975210914</v>
      </c>
      <c r="DR235" s="65">
        <f ca="1">DP235+DQ235</f>
        <v>-175.8450267800381</v>
      </c>
    </row>
    <row r="236" spans="1:128" s="20" customFormat="1" ht="13.8">
      <c r="A236" s="21" t="s">
        <v>707</v>
      </c>
      <c r="B236" s="49"/>
      <c r="BD236" s="72">
        <f>BD33</f>
        <v>-570</v>
      </c>
      <c r="BE236" s="72">
        <f>BE33</f>
        <v>-688</v>
      </c>
      <c r="BF236" s="72">
        <f>BF33</f>
        <v>-1258</v>
      </c>
      <c r="BH236" s="72">
        <f>BH33</f>
        <v>-599</v>
      </c>
      <c r="BI236" s="72">
        <f>BI33</f>
        <v>-598</v>
      </c>
      <c r="BJ236" s="72">
        <f>BJ33</f>
        <v>-1197</v>
      </c>
      <c r="BK236" s="49"/>
      <c r="BL236" s="72">
        <f>BL33</f>
        <v>-528</v>
      </c>
      <c r="BM236" s="72">
        <f>BM33</f>
        <v>-461</v>
      </c>
      <c r="BN236" s="72">
        <f>BN33</f>
        <v>-989</v>
      </c>
      <c r="BO236" s="49"/>
      <c r="BP236" s="72">
        <f>BP33</f>
        <v>-510</v>
      </c>
      <c r="BQ236" s="72">
        <f>BQ33</f>
        <v>-695</v>
      </c>
      <c r="BR236" s="72">
        <f>BR33</f>
        <v>-1205</v>
      </c>
      <c r="BS236" s="56">
        <f>BR236/BN236-1</f>
        <v>0.21840242669362997</v>
      </c>
      <c r="BT236" s="72">
        <f>BT33</f>
        <v>-918</v>
      </c>
      <c r="BU236" s="72">
        <f>BU33</f>
        <v>-1038</v>
      </c>
      <c r="BV236" s="72">
        <f>BV33</f>
        <v>-1956</v>
      </c>
      <c r="BW236" s="56">
        <f>BV236/BR236-1</f>
        <v>0.62323651452282158</v>
      </c>
      <c r="BX236" s="72">
        <f>BX33</f>
        <v>-720</v>
      </c>
      <c r="BY236" s="72">
        <f>BY33</f>
        <v>-479</v>
      </c>
      <c r="BZ236" s="72">
        <f>BZ33</f>
        <v>-1199</v>
      </c>
      <c r="CA236" s="56">
        <f>BZ236/BV236-1</f>
        <v>-0.38701431492842531</v>
      </c>
      <c r="CB236" s="72">
        <f>CB33</f>
        <v>-408</v>
      </c>
      <c r="CC236" s="72">
        <f>CC33</f>
        <v>-280</v>
      </c>
      <c r="CD236" s="72">
        <f>CD33</f>
        <v>-688</v>
      </c>
      <c r="CF236" s="72">
        <f>CF33</f>
        <v>-393</v>
      </c>
      <c r="CG236" s="72">
        <f>CG33</f>
        <v>-402</v>
      </c>
      <c r="CH236" s="72">
        <f>CH33</f>
        <v>-795</v>
      </c>
      <c r="CJ236" s="72">
        <f>CJ33</f>
        <v>-1674</v>
      </c>
      <c r="CK236" s="72">
        <f>CK33</f>
        <v>-1064</v>
      </c>
      <c r="CL236" s="72">
        <f>CL33</f>
        <v>-2738</v>
      </c>
      <c r="CN236" s="72">
        <f>CN33</f>
        <v>491</v>
      </c>
      <c r="CO236" s="72">
        <f>CO33</f>
        <v>76</v>
      </c>
      <c r="CP236" s="72">
        <f>CP33</f>
        <v>567</v>
      </c>
      <c r="CR236" s="72">
        <f>CR33</f>
        <v>284</v>
      </c>
      <c r="CS236" s="72">
        <f>CS33</f>
        <v>-52</v>
      </c>
      <c r="CT236" s="72">
        <f>CT33</f>
        <v>232</v>
      </c>
      <c r="CV236" s="72">
        <f>CV33</f>
        <v>-133</v>
      </c>
      <c r="CW236" s="72">
        <f>CW33</f>
        <v>-112</v>
      </c>
      <c r="CX236" s="72">
        <f>CX33</f>
        <v>-245</v>
      </c>
      <c r="CZ236" s="72">
        <f>CZ33</f>
        <v>-70</v>
      </c>
      <c r="DA236" s="72">
        <f>DA33</f>
        <v>-336</v>
      </c>
      <c r="DB236" s="72">
        <f>DB33</f>
        <v>-406</v>
      </c>
      <c r="DD236" s="72">
        <f>DD33</f>
        <v>-145</v>
      </c>
      <c r="DE236" s="72">
        <f>DE33</f>
        <v>-296</v>
      </c>
      <c r="DF236" s="72">
        <f>DF33</f>
        <v>-441</v>
      </c>
      <c r="DH236" s="72">
        <f>DH33</f>
        <v>-209.3784177127927</v>
      </c>
      <c r="DI236" s="72">
        <f>DI33</f>
        <v>-344.16098380079086</v>
      </c>
      <c r="DJ236" s="72">
        <f>DJ33</f>
        <v>-553.53940151358358</v>
      </c>
      <c r="DL236" s="72">
        <f>DL33</f>
        <v>-393.64249455575055</v>
      </c>
      <c r="DM236" s="72">
        <f>DM33</f>
        <v>-405.40625259113426</v>
      </c>
      <c r="DN236" s="72">
        <f>DN33</f>
        <v>-799.04874714688481</v>
      </c>
      <c r="DP236" s="72">
        <f>DP33</f>
        <v>-458.2648637195523</v>
      </c>
      <c r="DQ236" s="72">
        <f>DQ33</f>
        <v>-468.19535307126404</v>
      </c>
      <c r="DR236" s="72">
        <f>DR33</f>
        <v>-926.46021679081628</v>
      </c>
      <c r="DV236" s="28"/>
    </row>
    <row r="237" spans="1:128" s="20" customFormat="1" ht="13.8">
      <c r="A237" s="20" t="s">
        <v>1097</v>
      </c>
      <c r="B237" s="49"/>
      <c r="BD237" s="76">
        <f t="shared" ref="BD237:BF238" si="443">-BD234*(BD$4/BD$3)/BD$154</f>
        <v>3.5842037657970683E-3</v>
      </c>
      <c r="BE237" s="76">
        <f t="shared" si="443"/>
        <v>4.2200112288194097E-3</v>
      </c>
      <c r="BF237" s="76">
        <f t="shared" si="443"/>
        <v>3.8403482774806946E-3</v>
      </c>
      <c r="BH237" s="76">
        <f t="shared" ref="BH237:BJ238" si="444">-BH234*(BH$4/BH$3)/BH$154</f>
        <v>2.5956717330720787E-3</v>
      </c>
      <c r="BI237" s="76">
        <f t="shared" si="444"/>
        <v>1.9595453868124137E-3</v>
      </c>
      <c r="BJ237" s="76">
        <f t="shared" si="444"/>
        <v>2.2002943277435625E-3</v>
      </c>
      <c r="BK237" s="49"/>
      <c r="BL237" s="76">
        <f t="shared" ref="BL237:BN238" si="445">-BL234*(BL$4/BL$3)/BL$154</f>
        <v>2.2296915500798994E-3</v>
      </c>
      <c r="BM237" s="76">
        <f t="shared" si="445"/>
        <v>2.0718924847871229E-3</v>
      </c>
      <c r="BN237" s="76">
        <f t="shared" si="445"/>
        <v>2.125045339997759E-3</v>
      </c>
      <c r="BO237" s="49"/>
      <c r="BP237" s="76">
        <f t="shared" ref="BP237:BR238" si="446">-BP234*(BP$4/BP$3)/BP$154</f>
        <v>1.620683653207444E-3</v>
      </c>
      <c r="BQ237" s="76">
        <f t="shared" si="446"/>
        <v>2.2720598215413071E-3</v>
      </c>
      <c r="BR237" s="76">
        <f t="shared" si="446"/>
        <v>1.9304549264861895E-3</v>
      </c>
      <c r="BS237" s="56"/>
      <c r="BT237" s="76">
        <f t="shared" ref="BT237:BV238" si="447">-BT234*(BT$4/BT$3)/BT$154</f>
        <v>3.4071008925545135E-3</v>
      </c>
      <c r="BU237" s="76">
        <f t="shared" si="447"/>
        <v>3.6239684866314491E-3</v>
      </c>
      <c r="BV237" s="76">
        <f t="shared" si="447"/>
        <v>3.4741180786766316E-3</v>
      </c>
      <c r="BW237" s="56"/>
      <c r="BX237" s="76">
        <f t="shared" ref="BX237:BZ238" si="448">-BX234*(BX$4/BX$3)/BX$154</f>
        <v>2.7174254425225476E-3</v>
      </c>
      <c r="BY237" s="76">
        <f t="shared" si="448"/>
        <v>2.0235338165507217E-3</v>
      </c>
      <c r="BZ237" s="76">
        <f t="shared" si="448"/>
        <v>2.3609842224663045E-3</v>
      </c>
      <c r="CA237" s="56"/>
      <c r="CB237" s="76">
        <f t="shared" ref="CB237:CD238" si="449">-CB234*(CB$4/CB$3)/CB$154</f>
        <v>1.7127950013619572E-3</v>
      </c>
      <c r="CC237" s="76">
        <f t="shared" si="449"/>
        <v>1.1237096681396648E-3</v>
      </c>
      <c r="CD237" s="76">
        <f t="shared" si="449"/>
        <v>1.399451388774823E-3</v>
      </c>
      <c r="CF237" s="76">
        <f t="shared" ref="CF237:CH238" si="450">-CF234*(CF$4/CF$3)/CF$154</f>
        <v>1.2407490395689987E-3</v>
      </c>
      <c r="CG237" s="76">
        <f t="shared" si="450"/>
        <v>1.2917538025718489E-3</v>
      </c>
      <c r="CH237" s="76">
        <f t="shared" si="450"/>
        <v>1.2613762082805068E-3</v>
      </c>
      <c r="CJ237" s="76">
        <f t="shared" ref="CJ237:CL238" si="451">-CJ234*(CJ$4/CJ$3)/CJ$154</f>
        <v>1.8249415731661075E-3</v>
      </c>
      <c r="CK237" s="76">
        <f t="shared" si="451"/>
        <v>1.4424914944404642E-3</v>
      </c>
      <c r="CL237" s="76">
        <f t="shared" si="451"/>
        <v>1.6914738793383172E-3</v>
      </c>
      <c r="CN237" s="76">
        <f t="shared" ref="CN237:CP238" si="452">-CN234*(CN$4/CN$3)/CN$154</f>
        <v>8.4230989527203377E-4</v>
      </c>
      <c r="CO237" s="76">
        <f t="shared" si="452"/>
        <v>-7.5479349444521103E-5</v>
      </c>
      <c r="CP237" s="76">
        <f t="shared" si="452"/>
        <v>3.7212353239839921E-4</v>
      </c>
      <c r="CR237" s="76">
        <f t="shared" ref="CR237:CT238" si="453">-CR234*(CR$4/CR$3)/CR$154</f>
        <v>5.6604417315678961E-4</v>
      </c>
      <c r="CS237" s="76">
        <f t="shared" si="453"/>
        <v>-1.562591111602115E-4</v>
      </c>
      <c r="CT237" s="76">
        <f t="shared" si="453"/>
        <v>1.9511993224016899E-4</v>
      </c>
      <c r="CV237" s="76">
        <f t="shared" ref="CV237:CX237" si="454">-CV234*(CV$4/CV$3)/CV$154</f>
        <v>-7.7993105931763886E-5</v>
      </c>
      <c r="CW237" s="76">
        <f t="shared" si="454"/>
        <v>3.3097108198765386E-4</v>
      </c>
      <c r="CX237" s="76">
        <f t="shared" si="454"/>
        <v>1.2796984974089621E-4</v>
      </c>
      <c r="CZ237" s="76">
        <f t="shared" ref="CZ237:DB237" si="455">-CZ234*(CZ$4/CZ$3)/CZ$154</f>
        <v>1.2236600227489522E-4</v>
      </c>
      <c r="DA237" s="76">
        <f t="shared" si="455"/>
        <v>3.0956992070056911E-4</v>
      </c>
      <c r="DB237" s="76">
        <f t="shared" si="455"/>
        <v>2.0926926639358473E-4</v>
      </c>
      <c r="DD237" s="76">
        <f t="shared" ref="DD237:DF237" si="456">-DD234*(DD$4/DD$3)/DD$154</f>
        <v>3.3078436128838347E-4</v>
      </c>
      <c r="DE237" s="76">
        <f t="shared" si="456"/>
        <v>4.2331542330038564E-4</v>
      </c>
      <c r="DF237" s="76">
        <f t="shared" si="456"/>
        <v>3.7531281063730033E-4</v>
      </c>
      <c r="DH237" s="76">
        <f t="shared" ref="DH237:DJ237" ca="1" si="457">-DH234*(DH$4/DH$3)/DH$154</f>
        <v>7.1434059035962094E-4</v>
      </c>
      <c r="DI237" s="76">
        <f t="shared" ca="1" si="457"/>
        <v>7.7434292234757095E-4</v>
      </c>
      <c r="DJ237" s="76">
        <f t="shared" ca="1" si="457"/>
        <v>7.368534224291394E-4</v>
      </c>
      <c r="DL237" s="76">
        <f t="shared" ref="DL237:DN237" ca="1" si="458">-DL234*(DL$4/DL$3)/DL$154</f>
        <v>9.7161955881282019E-4</v>
      </c>
      <c r="DM237" s="76">
        <f t="shared" ca="1" si="458"/>
        <v>6.861168027054999E-4</v>
      </c>
      <c r="DN237" s="76">
        <f t="shared" ca="1" si="458"/>
        <v>8.1700358700487446E-4</v>
      </c>
      <c r="DP237" s="76">
        <f t="shared" ref="DP237:DR237" ca="1" si="459">-DP234*(DP$4/DP$3)/DP$154</f>
        <v>8.2082341827743345E-4</v>
      </c>
      <c r="DQ237" s="76">
        <f t="shared" ca="1" si="459"/>
        <v>7.9979575969660777E-4</v>
      </c>
      <c r="DR237" s="76">
        <f t="shared" ca="1" si="459"/>
        <v>8.0160469885796469E-4</v>
      </c>
      <c r="DV237" s="28"/>
    </row>
    <row r="238" spans="1:128" s="20" customFormat="1" ht="13.8">
      <c r="A238" s="47" t="s">
        <v>1098</v>
      </c>
      <c r="B238" s="49"/>
      <c r="BD238" s="76">
        <f t="shared" si="443"/>
        <v>-8.67453570977482E-4</v>
      </c>
      <c r="BE238" s="76">
        <f t="shared" si="443"/>
        <v>-1.0538523134129168E-3</v>
      </c>
      <c r="BF238" s="76">
        <f t="shared" si="443"/>
        <v>-9.4570589697097994E-4</v>
      </c>
      <c r="BH238" s="76">
        <f t="shared" si="444"/>
        <v>1.744989400384591E-5</v>
      </c>
      <c r="BI238" s="76">
        <f t="shared" si="444"/>
        <v>4.8172157425805176E-4</v>
      </c>
      <c r="BJ238" s="76">
        <f t="shared" si="444"/>
        <v>2.4970782138112989E-4</v>
      </c>
      <c r="BK238" s="49"/>
      <c r="BL238" s="76">
        <f t="shared" si="445"/>
        <v>-1.7151473462153076E-4</v>
      </c>
      <c r="BM238" s="76">
        <f t="shared" si="445"/>
        <v>-3.257454363650686E-4</v>
      </c>
      <c r="BN238" s="76">
        <f t="shared" si="445"/>
        <v>-2.4687747470930176E-4</v>
      </c>
      <c r="BO238" s="49"/>
      <c r="BP238" s="76">
        <f t="shared" si="446"/>
        <v>1.9590681522287784E-4</v>
      </c>
      <c r="BQ238" s="76">
        <f t="shared" si="446"/>
        <v>1.3875174482695006E-4</v>
      </c>
      <c r="BR238" s="76">
        <f t="shared" si="446"/>
        <v>1.6521911532989909E-4</v>
      </c>
      <c r="BT238" s="76">
        <f t="shared" si="447"/>
        <v>-1.6594170150265508E-4</v>
      </c>
      <c r="BU238" s="76">
        <f t="shared" si="447"/>
        <v>-4.8227717502699891E-5</v>
      </c>
      <c r="BV238" s="76">
        <f t="shared" si="447"/>
        <v>-1.0506752741659618E-4</v>
      </c>
      <c r="BX238" s="76">
        <f t="shared" si="448"/>
        <v>-2.3134371619950528E-4</v>
      </c>
      <c r="BY238" s="76">
        <f t="shared" si="448"/>
        <v>-3.8900987367079646E-4</v>
      </c>
      <c r="BZ238" s="76">
        <f t="shared" si="448"/>
        <v>-3.0966532193217475E-4</v>
      </c>
      <c r="CB238" s="76">
        <f t="shared" si="449"/>
        <v>-3.3986698455315848E-4</v>
      </c>
      <c r="CC238" s="76">
        <f t="shared" si="449"/>
        <v>-2.0639565333177516E-4</v>
      </c>
      <c r="CD238" s="76">
        <f t="shared" si="449"/>
        <v>-2.6937796685336967E-4</v>
      </c>
      <c r="CF238" s="76">
        <f t="shared" si="450"/>
        <v>4.2446677669465743E-5</v>
      </c>
      <c r="CG238" s="76">
        <f t="shared" si="450"/>
        <v>3.2213311784834142E-6</v>
      </c>
      <c r="CH238" s="76">
        <f t="shared" si="450"/>
        <v>2.2611097203491798E-5</v>
      </c>
      <c r="CJ238" s="76">
        <f t="shared" si="451"/>
        <v>3.2329262968339985E-3</v>
      </c>
      <c r="CK238" s="76">
        <f t="shared" si="451"/>
        <v>1.9757956995119946E-3</v>
      </c>
      <c r="CL238" s="76">
        <f t="shared" si="451"/>
        <v>2.706679474534724E-3</v>
      </c>
      <c r="CN238" s="76">
        <f t="shared" si="452"/>
        <v>-2.432979735958836E-3</v>
      </c>
      <c r="CO238" s="76">
        <f t="shared" si="452"/>
        <v>-1.6353859046312907E-4</v>
      </c>
      <c r="CP238" s="76">
        <f t="shared" si="452"/>
        <v>-1.2661660869318415E-3</v>
      </c>
      <c r="CR238" s="76">
        <f t="shared" si="453"/>
        <v>-1.4349984714082935E-3</v>
      </c>
      <c r="CS238" s="76">
        <f t="shared" si="453"/>
        <v>3.0956993720419261E-4</v>
      </c>
      <c r="CT238" s="76">
        <f t="shared" si="453"/>
        <v>-5.3805799496531445E-4</v>
      </c>
      <c r="CV238" s="76">
        <f t="shared" ref="CV238:CX238" si="460">-CV235*(CV$4/CV$3)/CV$154</f>
        <v>4.6218136848452673E-4</v>
      </c>
      <c r="CW238" s="76">
        <f t="shared" si="460"/>
        <v>-1.682903806716884E-5</v>
      </c>
      <c r="CX238" s="76">
        <f t="shared" si="460"/>
        <v>2.1656436109997822E-4</v>
      </c>
      <c r="CZ238" s="76">
        <f t="shared" ref="CZ238:DB238" si="461">-CZ235*(CZ$4/CZ$3)/CZ$154</f>
        <v>7.2307183162438081E-5</v>
      </c>
      <c r="DA238" s="76">
        <f t="shared" si="461"/>
        <v>5.2255402614256072E-4</v>
      </c>
      <c r="DB238" s="76">
        <f t="shared" si="461"/>
        <v>2.9347228482413951E-4</v>
      </c>
      <c r="DD238" s="76">
        <f t="shared" ref="DD238:DF238" si="462">-DD235*(DD$4/DD$3)/DD$154</f>
        <v>2.1890141555848907E-5</v>
      </c>
      <c r="DE238" s="76">
        <f t="shared" si="462"/>
        <v>2.8460189476127619E-4</v>
      </c>
      <c r="DF238" s="76">
        <f t="shared" si="462"/>
        <v>1.5348255514880014E-4</v>
      </c>
      <c r="DH238" s="76">
        <f t="shared" ref="DH238:DJ238" ca="1" si="463">-DH235*(DH$4/DH$3)/DH$154</f>
        <v>-2.1434059035962085E-4</v>
      </c>
      <c r="DI238" s="76">
        <f t="shared" ca="1" si="463"/>
        <v>2.5657077652429309E-5</v>
      </c>
      <c r="DJ238" s="76">
        <f t="shared" ca="1" si="463"/>
        <v>-9.1741426654068196E-5</v>
      </c>
      <c r="DL238" s="76">
        <f t="shared" ref="DL238:DN238" ca="1" si="464">-DL235*(DL$4/DL$3)/DL$154</f>
        <v>-7.1619558812820243E-5</v>
      </c>
      <c r="DM238" s="76">
        <f t="shared" ca="1" si="464"/>
        <v>2.138831972945001E-4</v>
      </c>
      <c r="DN238" s="76">
        <f t="shared" ca="1" si="464"/>
        <v>7.2368647646140868E-5</v>
      </c>
      <c r="DP238" s="76">
        <f t="shared" ref="DP238:DR238" ca="1" si="465">-DP235*(DP$4/DP$3)/DP$154</f>
        <v>1.7917658172256654E-4</v>
      </c>
      <c r="DQ238" s="76">
        <f t="shared" ca="1" si="465"/>
        <v>2.0020424030339223E-4</v>
      </c>
      <c r="DR238" s="76">
        <f t="shared" ca="1" si="465"/>
        <v>1.8779023075147087E-4</v>
      </c>
    </row>
    <row r="239" spans="1:128" s="20" customFormat="1" ht="13.8">
      <c r="A239" s="47"/>
      <c r="B239" s="49"/>
      <c r="BH239" s="67"/>
      <c r="BI239" s="79"/>
      <c r="BJ239" s="72"/>
      <c r="BK239" s="49"/>
      <c r="BL239" s="67"/>
      <c r="BM239" s="79"/>
      <c r="BN239" s="72"/>
      <c r="BO239" s="49"/>
      <c r="BP239" s="67"/>
      <c r="BQ239" s="79"/>
      <c r="BR239" s="72"/>
      <c r="BT239" s="67"/>
      <c r="BU239" s="79"/>
      <c r="BV239" s="72"/>
      <c r="BX239" s="67"/>
      <c r="BY239" s="79"/>
      <c r="BZ239" s="72"/>
      <c r="CB239" s="67"/>
      <c r="CC239" s="79"/>
      <c r="CD239" s="72"/>
      <c r="CF239" s="67"/>
      <c r="CG239" s="79"/>
      <c r="CH239" s="72"/>
      <c r="CJ239" s="67"/>
      <c r="CK239" s="79"/>
      <c r="CL239" s="72"/>
      <c r="CN239" s="67"/>
      <c r="CO239" s="79"/>
      <c r="CP239" s="72"/>
      <c r="CR239" s="67"/>
      <c r="CS239" s="79"/>
      <c r="CT239" s="72"/>
      <c r="CV239" s="67"/>
      <c r="CW239" s="79"/>
      <c r="CX239" s="72"/>
      <c r="CZ239" s="67"/>
      <c r="DA239" s="79"/>
      <c r="DB239" s="72"/>
      <c r="DD239" s="67"/>
      <c r="DE239" s="79"/>
      <c r="DF239" s="72"/>
      <c r="DH239" s="49"/>
      <c r="DI239" s="49"/>
      <c r="DJ239" s="49"/>
      <c r="DL239" s="49"/>
      <c r="DM239" s="49"/>
      <c r="DN239" s="49"/>
      <c r="DP239" s="49"/>
      <c r="DQ239" s="49"/>
      <c r="DR239" s="49"/>
    </row>
    <row r="240" spans="1:128" s="20" customFormat="1" ht="13.8">
      <c r="A240" s="21" t="s">
        <v>245</v>
      </c>
      <c r="B240" s="49"/>
      <c r="BH240" s="67"/>
      <c r="BI240" s="79"/>
      <c r="BJ240" s="72"/>
      <c r="BK240" s="49"/>
      <c r="BL240" s="67"/>
      <c r="BM240" s="79"/>
      <c r="BN240" s="72"/>
      <c r="BO240" s="49"/>
      <c r="BP240" s="67"/>
      <c r="BQ240" s="79"/>
      <c r="BR240" s="72"/>
      <c r="BT240" s="67"/>
      <c r="BU240" s="97"/>
      <c r="BV240" s="72"/>
      <c r="BX240" s="67"/>
      <c r="BY240" s="97"/>
      <c r="BZ240" s="72"/>
      <c r="CB240" s="67"/>
      <c r="CC240" s="97"/>
      <c r="CD240" s="72"/>
      <c r="CF240" s="67"/>
      <c r="CG240" s="97"/>
      <c r="CH240" s="72"/>
      <c r="CJ240" s="67"/>
      <c r="CK240" s="97"/>
      <c r="CL240" s="72"/>
      <c r="CN240" s="67"/>
      <c r="CO240" s="97"/>
      <c r="CP240" s="72"/>
      <c r="CR240" s="67"/>
      <c r="CS240" s="97"/>
      <c r="CT240" s="72"/>
      <c r="CV240" s="67"/>
      <c r="CW240" s="97"/>
      <c r="CX240" s="72"/>
      <c r="CZ240" s="67"/>
      <c r="DA240" s="97"/>
      <c r="DB240" s="72"/>
      <c r="DD240" s="67"/>
      <c r="DE240" s="97"/>
      <c r="DF240" s="72"/>
      <c r="DH240" s="49"/>
      <c r="DI240" s="49"/>
      <c r="DJ240" s="49"/>
      <c r="DL240" s="49"/>
      <c r="DM240" s="49"/>
      <c r="DN240" s="49"/>
      <c r="DP240" s="49"/>
      <c r="DQ240" s="49"/>
      <c r="DR240" s="49"/>
    </row>
    <row r="241" spans="1:122" s="20" customFormat="1" ht="13.8">
      <c r="A241" s="20" t="s">
        <v>571</v>
      </c>
      <c r="B241" s="49"/>
      <c r="BD241" s="67">
        <v>-3176</v>
      </c>
      <c r="BE241" s="65">
        <f>BD244</f>
        <v>-2994</v>
      </c>
      <c r="BF241" s="65">
        <f>BD241</f>
        <v>-3176</v>
      </c>
      <c r="BH241" s="65">
        <f>BE244</f>
        <v>-2765</v>
      </c>
      <c r="BI241" s="65">
        <f>BH244</f>
        <v>-2769</v>
      </c>
      <c r="BJ241" s="65">
        <f>BF244</f>
        <v>-2765</v>
      </c>
      <c r="BK241" s="49"/>
      <c r="BL241" s="65">
        <f>BI244</f>
        <v>-2887</v>
      </c>
      <c r="BM241" s="65">
        <f>BL244</f>
        <v>-2843</v>
      </c>
      <c r="BN241" s="65">
        <f>BJ244</f>
        <v>-2887</v>
      </c>
      <c r="BO241" s="49"/>
      <c r="BP241" s="65">
        <f>BM244</f>
        <v>-2757</v>
      </c>
      <c r="BQ241" s="65">
        <f>BP244</f>
        <v>-2914</v>
      </c>
      <c r="BR241" s="65">
        <f>BN244</f>
        <v>-2757</v>
      </c>
      <c r="BT241" s="65">
        <f>BQ244</f>
        <v>-2956</v>
      </c>
      <c r="BU241" s="65">
        <f>BT244</f>
        <v>-2862</v>
      </c>
      <c r="BV241" s="65">
        <f>BR244</f>
        <v>-2956</v>
      </c>
      <c r="BW241" s="28"/>
      <c r="BX241" s="65">
        <f>BU244</f>
        <v>-2876</v>
      </c>
      <c r="BY241" s="65">
        <f>BX244</f>
        <v>-2785</v>
      </c>
      <c r="BZ241" s="65">
        <f>BV244</f>
        <v>-2876</v>
      </c>
      <c r="CA241" s="28"/>
      <c r="CB241" s="65">
        <f>BY244</f>
        <v>-2662</v>
      </c>
      <c r="CC241" s="65">
        <f>CB244</f>
        <v>-2579</v>
      </c>
      <c r="CD241" s="65">
        <f>BZ244</f>
        <v>-2662</v>
      </c>
      <c r="CF241" s="65">
        <f>CC244</f>
        <v>-2523</v>
      </c>
      <c r="CG241" s="65">
        <f>CF244</f>
        <v>-3378</v>
      </c>
      <c r="CH241" s="65">
        <f>CD244</f>
        <v>-2523</v>
      </c>
      <c r="CJ241" s="65">
        <f>CG244</f>
        <v>-3376</v>
      </c>
      <c r="CK241" s="65">
        <f>CJ244</f>
        <v>-4501</v>
      </c>
      <c r="CL241" s="65">
        <f>CH244</f>
        <v>-3376</v>
      </c>
      <c r="CN241" s="65">
        <f>CK244</f>
        <v>-5008</v>
      </c>
      <c r="CO241" s="65">
        <f>CN244</f>
        <v>-4285</v>
      </c>
      <c r="CP241" s="65">
        <f>CL244</f>
        <v>-5008</v>
      </c>
      <c r="CR241" s="65">
        <f>CO244</f>
        <v>-4195</v>
      </c>
      <c r="CS241" s="65">
        <f>CR244</f>
        <v>-3757</v>
      </c>
      <c r="CT241" s="65">
        <f>CP244</f>
        <v>-4195</v>
      </c>
      <c r="CV241" s="65">
        <f>CS244</f>
        <v>-3853</v>
      </c>
      <c r="CW241" s="65">
        <f>CV244</f>
        <v>-4040</v>
      </c>
      <c r="CX241" s="65">
        <f>CT244</f>
        <v>-3853</v>
      </c>
      <c r="CZ241" s="65">
        <f>CW244</f>
        <v>-4032</v>
      </c>
      <c r="DA241" s="65">
        <f>CZ244</f>
        <v>-4046</v>
      </c>
      <c r="DB241" s="65">
        <f>CX244</f>
        <v>-4032</v>
      </c>
      <c r="DD241" s="65">
        <f>DA244</f>
        <v>-4247</v>
      </c>
      <c r="DE241" s="65">
        <f>DD244</f>
        <v>-4280</v>
      </c>
      <c r="DF241" s="65">
        <f>DB244</f>
        <v>-4247</v>
      </c>
      <c r="DH241" s="65">
        <f>DE244</f>
        <v>-4379</v>
      </c>
      <c r="DI241" s="65">
        <f ca="1">DH244</f>
        <v>-4289.2434126777534</v>
      </c>
      <c r="DJ241" s="65">
        <f>DF244</f>
        <v>-4379</v>
      </c>
      <c r="DL241" s="65">
        <f ca="1">DI244</f>
        <v>-4300.2811190356451</v>
      </c>
      <c r="DM241" s="65">
        <f ca="1">DL244</f>
        <v>-4268.9561170466886</v>
      </c>
      <c r="DN241" s="65">
        <f ca="1">DJ244</f>
        <v>-4300.2811190356451</v>
      </c>
      <c r="DP241" s="65">
        <f ca="1">DM244</f>
        <v>-4365.3001009437703</v>
      </c>
      <c r="DQ241" s="65">
        <f ca="1">DP244</f>
        <v>-4447.4104327485975</v>
      </c>
      <c r="DR241" s="65">
        <f ca="1">DN244</f>
        <v>-4365.3001009437703</v>
      </c>
    </row>
    <row r="242" spans="1:122" s="20" customFormat="1" ht="13.8">
      <c r="A242" s="20" t="s">
        <v>572</v>
      </c>
      <c r="B242" s="49"/>
      <c r="BD242" s="67">
        <v>0</v>
      </c>
      <c r="BE242" s="67">
        <v>0</v>
      </c>
      <c r="BF242" s="49">
        <f>BD242+BE242</f>
        <v>0</v>
      </c>
      <c r="BH242" s="67">
        <v>0</v>
      </c>
      <c r="BI242" s="67">
        <v>0</v>
      </c>
      <c r="BJ242" s="49">
        <f>BH242+BI242</f>
        <v>0</v>
      </c>
      <c r="BK242" s="49"/>
      <c r="BL242" s="67">
        <v>0</v>
      </c>
      <c r="BM242" s="67">
        <v>0</v>
      </c>
      <c r="BN242" s="49">
        <f>BL242+BM242</f>
        <v>0</v>
      </c>
      <c r="BO242" s="49"/>
      <c r="BP242" s="67">
        <v>-102</v>
      </c>
      <c r="BQ242" s="67">
        <v>-2</v>
      </c>
      <c r="BR242" s="49">
        <f>BP242+BQ242</f>
        <v>-104</v>
      </c>
      <c r="BT242" s="67">
        <v>47</v>
      </c>
      <c r="BU242" s="67">
        <v>-28</v>
      </c>
      <c r="BV242" s="49">
        <f>BT242+BU242</f>
        <v>19</v>
      </c>
      <c r="BX242" s="67">
        <v>24</v>
      </c>
      <c r="BY242" s="67">
        <v>9</v>
      </c>
      <c r="BZ242" s="49">
        <f>BX242+BY242</f>
        <v>33</v>
      </c>
      <c r="CB242" s="67">
        <v>-18</v>
      </c>
      <c r="CC242" s="67">
        <v>-7</v>
      </c>
      <c r="CD242" s="49">
        <f>CB242+CC242</f>
        <v>-25</v>
      </c>
      <c r="CF242" s="67">
        <f>-29-813</f>
        <v>-842</v>
      </c>
      <c r="CG242" s="67">
        <f>--3</f>
        <v>3</v>
      </c>
      <c r="CH242" s="49">
        <f>CF242+CG242</f>
        <v>-839</v>
      </c>
      <c r="CJ242" s="67">
        <f>-30-20-5</f>
        <v>-55</v>
      </c>
      <c r="CK242" s="67">
        <f>62+53-7</f>
        <v>108</v>
      </c>
      <c r="CL242" s="49">
        <f>CJ242+CK242</f>
        <v>53</v>
      </c>
      <c r="CN242" s="67">
        <f>-11-14-3</f>
        <v>-28</v>
      </c>
      <c r="CO242" s="67">
        <f>15+18+5</f>
        <v>38</v>
      </c>
      <c r="CP242" s="49">
        <f>CN242+CO242</f>
        <v>10</v>
      </c>
      <c r="CR242" s="67">
        <f>-14-14-3</f>
        <v>-31</v>
      </c>
      <c r="CS242" s="67">
        <f>16-6-1</f>
        <v>9</v>
      </c>
      <c r="CT242" s="49">
        <f>CR242+CS242</f>
        <v>-22</v>
      </c>
      <c r="CV242" s="67">
        <f>-(7+17+3)</f>
        <v>-27</v>
      </c>
      <c r="CW242" s="67">
        <f>-(4-5-1)</f>
        <v>2</v>
      </c>
      <c r="CX242" s="65">
        <f>CV242+CW242</f>
        <v>-25</v>
      </c>
      <c r="CZ242" s="67">
        <f>-(-5-6-1)</f>
        <v>12</v>
      </c>
      <c r="DA242" s="67">
        <f>-(-12-2+4)</f>
        <v>10</v>
      </c>
      <c r="DB242" s="65">
        <f>CZ242+DA242</f>
        <v>22</v>
      </c>
      <c r="DD242" s="67">
        <f>-(17-1+8)</f>
        <v>-24</v>
      </c>
      <c r="DE242" s="67">
        <f>-(-14-12+6)</f>
        <v>20</v>
      </c>
      <c r="DF242" s="65">
        <f>DD242+DE242</f>
        <v>-4</v>
      </c>
      <c r="DH242" s="67">
        <v>0</v>
      </c>
      <c r="DI242" s="67">
        <v>0</v>
      </c>
      <c r="DJ242" s="49">
        <f>DH242+DI242</f>
        <v>0</v>
      </c>
      <c r="DL242" s="67">
        <v>0</v>
      </c>
      <c r="DM242" s="67">
        <v>0</v>
      </c>
      <c r="DN242" s="49">
        <f>DL242+DM242</f>
        <v>0</v>
      </c>
      <c r="DP242" s="67">
        <v>0</v>
      </c>
      <c r="DQ242" s="67">
        <v>0</v>
      </c>
      <c r="DR242" s="49">
        <f>DP242+DQ242</f>
        <v>0</v>
      </c>
    </row>
    <row r="243" spans="1:122" s="20" customFormat="1" ht="13.8">
      <c r="A243" s="20" t="s">
        <v>1099</v>
      </c>
      <c r="B243" s="49"/>
      <c r="BD243" s="65">
        <f>BD244-BD242-BD241</f>
        <v>182</v>
      </c>
      <c r="BE243" s="65">
        <f>BE244-BE242-BE241</f>
        <v>229</v>
      </c>
      <c r="BF243" s="65">
        <f>BF244-BF242-BF241</f>
        <v>411</v>
      </c>
      <c r="BH243" s="65">
        <f>BH244-BH242-BH241</f>
        <v>-4</v>
      </c>
      <c r="BI243" s="65">
        <f>BI244-BI242-BI241</f>
        <v>-118</v>
      </c>
      <c r="BJ243" s="65">
        <f>BJ244-BJ242-BJ241</f>
        <v>-122</v>
      </c>
      <c r="BK243" s="49"/>
      <c r="BL243" s="65">
        <f>BL244-BL242-BL241</f>
        <v>44</v>
      </c>
      <c r="BM243" s="65">
        <f>BM244-BM242-BM241</f>
        <v>86</v>
      </c>
      <c r="BN243" s="65">
        <f>BN244-BN242-BN241</f>
        <v>130</v>
      </c>
      <c r="BO243" s="49"/>
      <c r="BP243" s="65">
        <f>BP244-BP242-BP241</f>
        <v>-55</v>
      </c>
      <c r="BQ243" s="65">
        <f>BQ244-BQ242-BQ241</f>
        <v>-40</v>
      </c>
      <c r="BR243" s="65">
        <f>BR244-BR242-BR241</f>
        <v>-95</v>
      </c>
      <c r="BT243" s="65">
        <f>BT244-BT242-BT241</f>
        <v>47</v>
      </c>
      <c r="BU243" s="65">
        <f>BU244-BU242-BU241</f>
        <v>14</v>
      </c>
      <c r="BV243" s="65">
        <f>BV244-BV242-BV241</f>
        <v>61</v>
      </c>
      <c r="BX243" s="65">
        <f>BX244-BX242-BX241</f>
        <v>67</v>
      </c>
      <c r="BY243" s="65">
        <f>BY244-BY242-BY241</f>
        <v>114</v>
      </c>
      <c r="BZ243" s="65">
        <f>BZ244-BZ242-BZ241</f>
        <v>181</v>
      </c>
      <c r="CB243" s="65">
        <f>CB244-CB242-CB241</f>
        <v>101</v>
      </c>
      <c r="CC243" s="65">
        <f>CC244-CC242-CC241</f>
        <v>63</v>
      </c>
      <c r="CD243" s="65">
        <f>CD244-CD242-CD241</f>
        <v>164</v>
      </c>
      <c r="CF243" s="65">
        <f>CF244-CF242-CF241</f>
        <v>-13</v>
      </c>
      <c r="CG243" s="65">
        <f>CG244-CG242-CG241</f>
        <v>-1</v>
      </c>
      <c r="CH243" s="65">
        <f>CH244-CH242-CH241</f>
        <v>-14</v>
      </c>
      <c r="CJ243" s="65">
        <f>CJ244-CJ242-CJ241</f>
        <v>-1070</v>
      </c>
      <c r="CK243" s="65">
        <f>CK244-CK242-CK241</f>
        <v>-615</v>
      </c>
      <c r="CL243" s="65">
        <f>CL244-CL242-CL241</f>
        <v>-1685</v>
      </c>
      <c r="CN243" s="65">
        <f>CN244-CN242-CN241</f>
        <v>751</v>
      </c>
      <c r="CO243" s="65">
        <f>CO244-CO242-CO241</f>
        <v>52</v>
      </c>
      <c r="CP243" s="65">
        <f>CP244-CP242-CP241</f>
        <v>803</v>
      </c>
      <c r="CR243" s="65">
        <f>CR244-CR242-CR241</f>
        <v>469</v>
      </c>
      <c r="CS243" s="65">
        <f>CS244-CS242-CS241</f>
        <v>-105</v>
      </c>
      <c r="CT243" s="65">
        <f>CT244-CT242-CT241</f>
        <v>364</v>
      </c>
      <c r="CV243" s="65">
        <f>CV244-CV242-CV241</f>
        <v>-160</v>
      </c>
      <c r="CW243" s="65">
        <f>CW244-CW242-CW241</f>
        <v>6</v>
      </c>
      <c r="CX243" s="65">
        <f>CX244-CX242-CX241</f>
        <v>-154</v>
      </c>
      <c r="CZ243" s="65">
        <f>CZ244-CZ242-CZ241</f>
        <v>-26</v>
      </c>
      <c r="DA243" s="65">
        <f>DA244-DA242-DA241</f>
        <v>-211</v>
      </c>
      <c r="DB243" s="65">
        <f>DB244-DB242-DB241</f>
        <v>-237</v>
      </c>
      <c r="DD243" s="65">
        <f>DD244-DD242-DD241</f>
        <v>-9</v>
      </c>
      <c r="DE243" s="65">
        <f>DE244-DE242-DE241</f>
        <v>-119</v>
      </c>
      <c r="DF243" s="65">
        <f>DF244-DF242-DF241</f>
        <v>-128</v>
      </c>
      <c r="DH243" s="65">
        <f ca="1">DH244-DH242-DH241</f>
        <v>89.75658732224656</v>
      </c>
      <c r="DI243" s="65">
        <f ca="1">DI244-DI242-DI241</f>
        <v>-11.037706357891693</v>
      </c>
      <c r="DJ243" s="65">
        <f ca="1">DJ244-DJ242-DJ241</f>
        <v>78.718880964354867</v>
      </c>
      <c r="DL243" s="65">
        <f ca="1">DL244-DL242-DL241</f>
        <v>31.325001988956501</v>
      </c>
      <c r="DM243" s="65">
        <f ca="1">DM244-DM242-DM241</f>
        <v>-96.343983897081671</v>
      </c>
      <c r="DN243" s="65">
        <f ca="1">DN244-DN242-DN241</f>
        <v>-65.01898190812517</v>
      </c>
      <c r="DP243" s="65">
        <f ca="1">DP244-DP242-DP241</f>
        <v>-82.110331804827183</v>
      </c>
      <c r="DQ243" s="65">
        <f ca="1">DQ244-DQ242-DQ241</f>
        <v>-93.734694975210914</v>
      </c>
      <c r="DR243" s="65">
        <f ca="1">DR244-DR242-DR241</f>
        <v>-175.8450267800381</v>
      </c>
    </row>
    <row r="244" spans="1:122" s="21" customFormat="1" ht="13.8">
      <c r="A244" s="21" t="s">
        <v>573</v>
      </c>
      <c r="B244" s="27"/>
      <c r="BD244" s="98">
        <v>-2994</v>
      </c>
      <c r="BE244" s="98">
        <v>-2765</v>
      </c>
      <c r="BF244" s="72">
        <f>BE244</f>
        <v>-2765</v>
      </c>
      <c r="BH244" s="98">
        <v>-2769</v>
      </c>
      <c r="BI244" s="98">
        <v>-2887</v>
      </c>
      <c r="BJ244" s="72">
        <f>BI244</f>
        <v>-2887</v>
      </c>
      <c r="BK244" s="27"/>
      <c r="BL244" s="98">
        <v>-2843</v>
      </c>
      <c r="BM244" s="98">
        <v>-2757</v>
      </c>
      <c r="BN244" s="72">
        <f>BM244</f>
        <v>-2757</v>
      </c>
      <c r="BO244" s="27"/>
      <c r="BP244" s="98">
        <v>-2914</v>
      </c>
      <c r="BQ244" s="98">
        <v>-2956</v>
      </c>
      <c r="BR244" s="72">
        <f>BQ244</f>
        <v>-2956</v>
      </c>
      <c r="BT244" s="98">
        <v>-2862</v>
      </c>
      <c r="BU244" s="98">
        <v>-2876</v>
      </c>
      <c r="BV244" s="72">
        <f>BU244</f>
        <v>-2876</v>
      </c>
      <c r="BX244" s="98">
        <v>-2785</v>
      </c>
      <c r="BY244" s="98">
        <v>-2662</v>
      </c>
      <c r="BZ244" s="72">
        <f>BY244</f>
        <v>-2662</v>
      </c>
      <c r="CB244" s="98">
        <v>-2579</v>
      </c>
      <c r="CC244" s="98">
        <v>-2523</v>
      </c>
      <c r="CD244" s="72">
        <f>CC244</f>
        <v>-2523</v>
      </c>
      <c r="CF244" s="98">
        <v>-3378</v>
      </c>
      <c r="CG244" s="98">
        <v>-3376</v>
      </c>
      <c r="CH244" s="72">
        <f>CG244</f>
        <v>-3376</v>
      </c>
      <c r="CJ244" s="98">
        <v>-4501</v>
      </c>
      <c r="CK244" s="98">
        <v>-5008</v>
      </c>
      <c r="CL244" s="72">
        <f>CK244</f>
        <v>-5008</v>
      </c>
      <c r="CN244" s="98">
        <v>-4285</v>
      </c>
      <c r="CO244" s="98">
        <v>-4195</v>
      </c>
      <c r="CP244" s="72">
        <f>CO244</f>
        <v>-4195</v>
      </c>
      <c r="CR244" s="98">
        <v>-3757</v>
      </c>
      <c r="CS244" s="98">
        <v>-3853</v>
      </c>
      <c r="CT244" s="72">
        <f>CS244</f>
        <v>-3853</v>
      </c>
      <c r="CV244" s="98">
        <v>-4040</v>
      </c>
      <c r="CW244" s="98">
        <v>-4032</v>
      </c>
      <c r="CX244" s="72">
        <f>CW244</f>
        <v>-4032</v>
      </c>
      <c r="CZ244" s="98">
        <v>-4046</v>
      </c>
      <c r="DA244" s="98">
        <v>-4247</v>
      </c>
      <c r="DB244" s="72">
        <f>DA244</f>
        <v>-4247</v>
      </c>
      <c r="DD244" s="98">
        <v>-4280</v>
      </c>
      <c r="DE244" s="98">
        <v>-4379</v>
      </c>
      <c r="DF244" s="72">
        <f>DE244</f>
        <v>-4379</v>
      </c>
      <c r="DH244" s="72">
        <f ca="1">-DH268*DH266</f>
        <v>-4289.2434126777534</v>
      </c>
      <c r="DI244" s="72">
        <f ca="1">-DI268*DI266</f>
        <v>-4300.2811190356451</v>
      </c>
      <c r="DJ244" s="72">
        <f ca="1">DI244</f>
        <v>-4300.2811190356451</v>
      </c>
      <c r="DL244" s="72">
        <f ca="1">-DL268*DL266</f>
        <v>-4268.9561170466886</v>
      </c>
      <c r="DM244" s="72">
        <f ca="1">-DM268*DM266</f>
        <v>-4365.3001009437703</v>
      </c>
      <c r="DN244" s="72">
        <f ca="1">DM244</f>
        <v>-4365.3001009437703</v>
      </c>
      <c r="DP244" s="72">
        <f ca="1">-DP268*DP266</f>
        <v>-4447.4104327485975</v>
      </c>
      <c r="DQ244" s="72">
        <f ca="1">-DQ268*DQ266</f>
        <v>-4541.1451277238084</v>
      </c>
      <c r="DR244" s="72">
        <f ca="1">DQ244</f>
        <v>-4541.1451277238084</v>
      </c>
    </row>
    <row r="245" spans="1:122" s="20" customFormat="1" ht="13.8">
      <c r="B245" s="49"/>
      <c r="BF245" s="436"/>
      <c r="BH245" s="67"/>
      <c r="BI245" s="67"/>
      <c r="BJ245" s="436">
        <f>-BJ244/BJ217</f>
        <v>1.5880088008800881</v>
      </c>
      <c r="BK245" s="49"/>
      <c r="BL245" s="67"/>
      <c r="BM245" s="67"/>
      <c r="BN245" s="436">
        <f>-BN244/BN217</f>
        <v>1.3910191725529768</v>
      </c>
      <c r="BO245" s="49"/>
      <c r="BP245" s="67"/>
      <c r="BQ245" s="67"/>
      <c r="BR245" s="436">
        <f>-BR244/BR217</f>
        <v>1.2430613961312027</v>
      </c>
      <c r="BT245" s="67"/>
      <c r="BU245" s="67"/>
      <c r="BV245" s="436">
        <f>-BV244/BV217</f>
        <v>1.0640029596744358</v>
      </c>
      <c r="BX245" s="67"/>
      <c r="BY245" s="67"/>
      <c r="BZ245" s="436">
        <f>-BZ244/BZ217</f>
        <v>0.90145614629190651</v>
      </c>
      <c r="CB245" s="67"/>
      <c r="CC245" s="67"/>
      <c r="CD245" s="436">
        <f>-CD244/CD217</f>
        <v>0.86671246994160078</v>
      </c>
      <c r="CF245" s="67"/>
      <c r="CG245" s="67"/>
      <c r="CH245" s="436"/>
      <c r="CJ245" s="67"/>
      <c r="CK245" s="67"/>
      <c r="CL245" s="436"/>
      <c r="CN245" s="67"/>
      <c r="CO245" s="67"/>
      <c r="CP245" s="436"/>
      <c r="CR245" s="67"/>
      <c r="CS245" s="67"/>
      <c r="CT245" s="436"/>
      <c r="CV245" s="67"/>
      <c r="CW245" s="67"/>
      <c r="CX245" s="436"/>
      <c r="CZ245" s="67"/>
      <c r="DA245" s="67"/>
      <c r="DB245" s="436"/>
      <c r="DD245" s="67"/>
      <c r="DE245" s="67"/>
      <c r="DF245" s="436"/>
      <c r="DH245" s="67"/>
      <c r="DI245" s="65"/>
      <c r="DJ245" s="436"/>
      <c r="DL245" s="67"/>
      <c r="DM245" s="65"/>
      <c r="DN245" s="436">
        <f ca="1">-DN244/DN217</f>
        <v>0.91077885835072181</v>
      </c>
      <c r="DP245" s="67"/>
      <c r="DQ245" s="65"/>
      <c r="DR245" s="436">
        <f ca="1">-DR244/DR217</f>
        <v>0.84566085861030915</v>
      </c>
    </row>
    <row r="246" spans="1:122" s="20" customFormat="1" ht="13.8">
      <c r="A246" s="21" t="s">
        <v>437</v>
      </c>
      <c r="B246" s="49"/>
      <c r="BH246" s="67"/>
      <c r="BI246" s="67"/>
      <c r="BJ246" s="65"/>
      <c r="BK246" s="49"/>
      <c r="BL246" s="67"/>
      <c r="BM246" s="67"/>
      <c r="BN246" s="65"/>
      <c r="BO246" s="49"/>
      <c r="BP246" s="67"/>
      <c r="BQ246" s="67"/>
      <c r="BR246" s="65"/>
      <c r="BT246" s="67"/>
      <c r="BU246" s="67"/>
      <c r="BV246" s="65"/>
      <c r="BX246" s="67"/>
      <c r="BY246" s="67"/>
      <c r="BZ246" s="65"/>
      <c r="CB246" s="67"/>
      <c r="CC246" s="67"/>
      <c r="CD246" s="65"/>
      <c r="CF246" s="67"/>
      <c r="CG246" s="67"/>
      <c r="CH246" s="65"/>
      <c r="CJ246" s="67"/>
      <c r="CK246" s="67"/>
      <c r="CL246" s="65"/>
      <c r="CN246" s="67"/>
      <c r="CO246" s="67"/>
      <c r="CP246" s="65"/>
      <c r="CR246" s="67"/>
      <c r="CS246" s="67"/>
      <c r="CT246" s="65"/>
      <c r="CV246" s="67"/>
      <c r="CW246" s="67"/>
      <c r="CX246" s="65"/>
      <c r="CZ246" s="67"/>
      <c r="DA246" s="67"/>
      <c r="DB246" s="65"/>
      <c r="DD246" s="67"/>
      <c r="DE246" s="67"/>
      <c r="DF246" s="65"/>
      <c r="DH246" s="65"/>
      <c r="DI246" s="65"/>
      <c r="DJ246" s="65"/>
      <c r="DL246" s="65"/>
      <c r="DM246" s="65"/>
      <c r="DN246" s="65"/>
      <c r="DP246" s="65"/>
      <c r="DQ246" s="65"/>
      <c r="DR246" s="65"/>
    </row>
    <row r="247" spans="1:122" s="20" customFormat="1" ht="13.8">
      <c r="A247" s="20" t="s">
        <v>310</v>
      </c>
      <c r="B247" s="49"/>
      <c r="BD247" s="67">
        <v>-1697</v>
      </c>
      <c r="BE247" s="65">
        <f>BD252</f>
        <v>-1714</v>
      </c>
      <c r="BF247" s="65">
        <f>BD247</f>
        <v>-1697</v>
      </c>
      <c r="BH247" s="65">
        <f>BE252</f>
        <v>-1773</v>
      </c>
      <c r="BI247" s="65">
        <f>BH252</f>
        <v>-1543</v>
      </c>
      <c r="BJ247" s="65">
        <f>BF252</f>
        <v>-1773</v>
      </c>
      <c r="BK247" s="49"/>
      <c r="BL247" s="65">
        <f>BI252</f>
        <v>-1467</v>
      </c>
      <c r="BM247" s="65">
        <f>BL252</f>
        <v>-1470</v>
      </c>
      <c r="BN247" s="65">
        <f>BJ252</f>
        <v>-1467</v>
      </c>
      <c r="BO247" s="49"/>
      <c r="BP247" s="65">
        <f>BM252</f>
        <v>-1176</v>
      </c>
      <c r="BQ247" s="65">
        <f>BP252</f>
        <v>-1114</v>
      </c>
      <c r="BR247" s="65">
        <f>BN252</f>
        <v>-1176</v>
      </c>
      <c r="BT247" s="65">
        <f>BQ252</f>
        <v>-1061</v>
      </c>
      <c r="BU247" s="65">
        <f>BT252</f>
        <v>-1238</v>
      </c>
      <c r="BV247" s="65">
        <f>BR252</f>
        <v>-1061</v>
      </c>
      <c r="BW247" s="28"/>
      <c r="BX247" s="65">
        <f>BU252</f>
        <v>-1307</v>
      </c>
      <c r="BY247" s="65">
        <f>BX252</f>
        <v>-1269</v>
      </c>
      <c r="BZ247" s="65">
        <f>BV252</f>
        <v>-1307</v>
      </c>
      <c r="CA247" s="28"/>
      <c r="CB247" s="65">
        <f>BY252</f>
        <v>-1136</v>
      </c>
      <c r="CC247" s="65">
        <f>CB252</f>
        <v>-1016</v>
      </c>
      <c r="CD247" s="65">
        <f>BZ252</f>
        <v>-1136</v>
      </c>
      <c r="CF247" s="65">
        <f>CC252</f>
        <v>-920</v>
      </c>
      <c r="CG247" s="65">
        <f>CF252</f>
        <v>-891</v>
      </c>
      <c r="CH247" s="65">
        <f>CD252</f>
        <v>-920</v>
      </c>
      <c r="CJ247" s="65">
        <f>CG252</f>
        <v>-814</v>
      </c>
      <c r="CK247" s="65">
        <f>CJ252</f>
        <v>-1093</v>
      </c>
      <c r="CL247" s="65">
        <f>CH252</f>
        <v>-814</v>
      </c>
      <c r="CN247" s="65">
        <f>CK252</f>
        <v>-891</v>
      </c>
      <c r="CO247" s="65">
        <f>CN252</f>
        <v>-809</v>
      </c>
      <c r="CP247" s="65">
        <f>CL252</f>
        <v>-891</v>
      </c>
      <c r="CR247" s="65">
        <f>CO252</f>
        <v>-687</v>
      </c>
      <c r="CS247" s="65">
        <f>CR252</f>
        <v>-636</v>
      </c>
      <c r="CT247" s="65">
        <f>CP252</f>
        <v>-687</v>
      </c>
      <c r="CV247" s="65">
        <f>CS252</f>
        <v>-542</v>
      </c>
      <c r="CW247" s="65">
        <f>CV252</f>
        <v>-421</v>
      </c>
      <c r="CX247" s="65">
        <f>CT252</f>
        <v>-542</v>
      </c>
      <c r="CZ247" s="65">
        <f>CW252</f>
        <v>-376</v>
      </c>
      <c r="DA247" s="65">
        <f>CZ252</f>
        <v>-325</v>
      </c>
      <c r="DB247" s="65">
        <f>CX252</f>
        <v>-376</v>
      </c>
      <c r="DD247" s="65">
        <f>DA252</f>
        <v>-308</v>
      </c>
      <c r="DE247" s="65">
        <f>DD252</f>
        <v>-364</v>
      </c>
      <c r="DF247" s="65">
        <f>DB252</f>
        <v>-308</v>
      </c>
      <c r="DH247" s="65">
        <f>DE252</f>
        <v>-399</v>
      </c>
      <c r="DI247" s="65">
        <f>DH252</f>
        <v>-923.91771786908521</v>
      </c>
      <c r="DJ247" s="65">
        <f>DF252</f>
        <v>-399</v>
      </c>
      <c r="DL247" s="65">
        <f>DI252</f>
        <v>-974.01297909358971</v>
      </c>
      <c r="DM247" s="65">
        <f>DL252</f>
        <v>-1026.4093638629358</v>
      </c>
      <c r="DN247" s="65">
        <f>DJ252</f>
        <v>-974.01297909358971</v>
      </c>
      <c r="DP247" s="65">
        <f>DM252</f>
        <v>-1082.7519971673873</v>
      </c>
      <c r="DQ247" s="65">
        <f>DP252</f>
        <v>-1136.6297140014783</v>
      </c>
      <c r="DR247" s="65">
        <f>DN252</f>
        <v>-1082.7519971673873</v>
      </c>
    </row>
    <row r="248" spans="1:122" s="20" customFormat="1" ht="13.8">
      <c r="A248" s="20" t="s">
        <v>474</v>
      </c>
      <c r="B248" s="420" t="s">
        <v>845</v>
      </c>
      <c r="BD248" s="67"/>
      <c r="BE248" s="67"/>
      <c r="BF248" s="65">
        <f>BD248+BE248</f>
        <v>0</v>
      </c>
      <c r="BH248" s="67">
        <f>3+55</f>
        <v>58</v>
      </c>
      <c r="BI248" s="67">
        <f>-54+47</f>
        <v>-7</v>
      </c>
      <c r="BJ248" s="65">
        <f>BH248+BI248</f>
        <v>51</v>
      </c>
      <c r="BK248" s="49"/>
      <c r="BL248" s="67">
        <f>-12+30</f>
        <v>18</v>
      </c>
      <c r="BM248" s="67">
        <f>4+35</f>
        <v>39</v>
      </c>
      <c r="BN248" s="65">
        <f>BL248+BM248</f>
        <v>57</v>
      </c>
      <c r="BO248" s="49"/>
      <c r="BP248" s="67">
        <f>-33+32</f>
        <v>-1</v>
      </c>
      <c r="BQ248" s="67">
        <f>-7+22</f>
        <v>15</v>
      </c>
      <c r="BR248" s="65">
        <f>BP248+BQ248</f>
        <v>14</v>
      </c>
      <c r="BT248" s="67">
        <f>26+26</f>
        <v>52</v>
      </c>
      <c r="BU248" s="67">
        <f>-17+39</f>
        <v>22</v>
      </c>
      <c r="BV248" s="65">
        <f>BT248+BU248</f>
        <v>74</v>
      </c>
      <c r="BX248" s="67">
        <f>12+24</f>
        <v>36</v>
      </c>
      <c r="BY248" s="67">
        <f>2+8</f>
        <v>10</v>
      </c>
      <c r="BZ248" s="65">
        <f>BX248+BY248</f>
        <v>46</v>
      </c>
      <c r="CB248" s="67">
        <f>-1+7</f>
        <v>6</v>
      </c>
      <c r="CC248" s="67">
        <f>-5+10</f>
        <v>5</v>
      </c>
      <c r="CD248" s="65">
        <f>CB248+CC248</f>
        <v>11</v>
      </c>
      <c r="CF248" s="67">
        <v>0</v>
      </c>
      <c r="CG248" s="67">
        <f>--15</f>
        <v>15</v>
      </c>
      <c r="CH248" s="65">
        <f>CF248+CG248</f>
        <v>15</v>
      </c>
      <c r="CJ248" s="67">
        <v>-18</v>
      </c>
      <c r="CK248" s="67">
        <v>72</v>
      </c>
      <c r="CL248" s="65">
        <f>CJ248+CK248</f>
        <v>54</v>
      </c>
      <c r="CN248" s="67">
        <v>-17</v>
      </c>
      <c r="CO248" s="67">
        <v>1</v>
      </c>
      <c r="CP248" s="65">
        <f>CN248+CO248</f>
        <v>-16</v>
      </c>
      <c r="CR248" s="67">
        <v>15</v>
      </c>
      <c r="CS248" s="67">
        <v>-12</v>
      </c>
      <c r="CT248" s="65">
        <f>CR248+CS248</f>
        <v>3</v>
      </c>
      <c r="CV248" s="67">
        <v>7</v>
      </c>
      <c r="CW248" s="65">
        <f>CX248-CV248</f>
        <v>11</v>
      </c>
      <c r="CX248" s="67">
        <v>18</v>
      </c>
      <c r="CZ248" s="67">
        <v>21</v>
      </c>
      <c r="DA248" s="67">
        <v>11</v>
      </c>
      <c r="DB248" s="65">
        <f>CZ248+DA248</f>
        <v>32</v>
      </c>
      <c r="DD248" s="67">
        <v>2</v>
      </c>
      <c r="DE248" s="67">
        <v>12</v>
      </c>
      <c r="DF248" s="65">
        <f>DD248+DE248</f>
        <v>14</v>
      </c>
      <c r="DH248" s="67">
        <v>0</v>
      </c>
      <c r="DI248" s="67">
        <v>0</v>
      </c>
      <c r="DJ248" s="65">
        <f>DH248+DI248</f>
        <v>0</v>
      </c>
      <c r="DL248" s="67">
        <v>0</v>
      </c>
      <c r="DM248" s="67">
        <v>0</v>
      </c>
      <c r="DN248" s="65">
        <f>DL248+DM248</f>
        <v>0</v>
      </c>
      <c r="DP248" s="67">
        <v>0</v>
      </c>
      <c r="DQ248" s="67">
        <v>0</v>
      </c>
      <c r="DR248" s="65">
        <f>DP248+DQ248</f>
        <v>0</v>
      </c>
    </row>
    <row r="249" spans="1:122" s="20" customFormat="1" ht="13.8">
      <c r="A249" s="20" t="s">
        <v>475</v>
      </c>
      <c r="B249" s="420" t="s">
        <v>845</v>
      </c>
      <c r="BD249" s="67"/>
      <c r="BE249" s="67"/>
      <c r="BF249" s="65">
        <f>BD249+BE249</f>
        <v>0</v>
      </c>
      <c r="BH249" s="67">
        <v>240</v>
      </c>
      <c r="BI249" s="67">
        <v>247</v>
      </c>
      <c r="BJ249" s="65">
        <f>BH249+BI249</f>
        <v>487</v>
      </c>
      <c r="BK249" s="49"/>
      <c r="BL249" s="67">
        <v>257</v>
      </c>
      <c r="BM249" s="67">
        <v>190</v>
      </c>
      <c r="BN249" s="65">
        <f>BL249+BM249</f>
        <v>447</v>
      </c>
      <c r="BO249" s="49"/>
      <c r="BP249" s="67">
        <v>260</v>
      </c>
      <c r="BQ249" s="67">
        <v>174</v>
      </c>
      <c r="BR249" s="65">
        <f>BP249+BQ249</f>
        <v>434</v>
      </c>
      <c r="BT249" s="67">
        <v>160</v>
      </c>
      <c r="BU249" s="67">
        <v>151</v>
      </c>
      <c r="BV249" s="65">
        <f>BT249+BU249</f>
        <v>311</v>
      </c>
      <c r="BX249" s="67">
        <v>221</v>
      </c>
      <c r="BY249" s="67">
        <v>280</v>
      </c>
      <c r="BZ249" s="65">
        <f>BX249+BY249</f>
        <v>501</v>
      </c>
      <c r="CB249" s="67">
        <v>191</v>
      </c>
      <c r="CC249" s="67">
        <v>234</v>
      </c>
      <c r="CD249" s="65">
        <f>CB249+CC249</f>
        <v>425</v>
      </c>
      <c r="CF249" s="67">
        <f>--152</f>
        <v>152</v>
      </c>
      <c r="CG249" s="67">
        <f>--230</f>
        <v>230</v>
      </c>
      <c r="CH249" s="65">
        <f>CF249+CG249</f>
        <v>382</v>
      </c>
      <c r="CJ249" s="67">
        <v>164</v>
      </c>
      <c r="CK249" s="67">
        <v>157</v>
      </c>
      <c r="CL249" s="65">
        <f>CJ249+CK249</f>
        <v>321</v>
      </c>
      <c r="CN249" s="67">
        <v>171</v>
      </c>
      <c r="CO249" s="67">
        <v>194</v>
      </c>
      <c r="CP249" s="65">
        <f>CN249+CO249</f>
        <v>365</v>
      </c>
      <c r="CR249" s="67">
        <v>111</v>
      </c>
      <c r="CS249" s="67">
        <v>111</v>
      </c>
      <c r="CT249" s="65">
        <f>CR249+CS249</f>
        <v>222</v>
      </c>
      <c r="CV249" s="67">
        <v>185</v>
      </c>
      <c r="CW249" s="65">
        <f>CX249-CV249</f>
        <v>224</v>
      </c>
      <c r="CX249" s="67">
        <v>409</v>
      </c>
      <c r="CZ249" s="67">
        <v>146</v>
      </c>
      <c r="DA249" s="67">
        <v>170</v>
      </c>
      <c r="DB249" s="65">
        <f>CZ249+DA249</f>
        <v>316</v>
      </c>
      <c r="DD249" s="67">
        <v>67</v>
      </c>
      <c r="DE249" s="67">
        <v>70</v>
      </c>
      <c r="DF249" s="65">
        <f>DD249+DE249</f>
        <v>137</v>
      </c>
      <c r="DH249" s="65">
        <f>DH271*DE218/2</f>
        <v>78.889875666074602</v>
      </c>
      <c r="DI249" s="65">
        <f>DI271*DH218/2</f>
        <v>82.05308329210348</v>
      </c>
      <c r="DJ249" s="65">
        <f>DH249+DI249</f>
        <v>160.94295895817808</v>
      </c>
      <c r="DL249" s="65">
        <f>DL271*DI218/2</f>
        <v>86.502040772077237</v>
      </c>
      <c r="DM249" s="65">
        <f>DM271*DL218/2</f>
        <v>91.155360911450799</v>
      </c>
      <c r="DN249" s="65">
        <f>DL249+DM249</f>
        <v>177.65740168352804</v>
      </c>
      <c r="DP249" s="65">
        <f>DP271*DM218/2</f>
        <v>96.159147172947371</v>
      </c>
      <c r="DQ249" s="65">
        <f>DQ271*DP218/2</f>
        <v>100.94402433405669</v>
      </c>
      <c r="DR249" s="65">
        <f>DP249+DQ249</f>
        <v>197.10317150700405</v>
      </c>
    </row>
    <row r="250" spans="1:122" s="20" customFormat="1" ht="13.8">
      <c r="A250" s="20" t="s">
        <v>252</v>
      </c>
      <c r="B250" s="420" t="s">
        <v>845</v>
      </c>
      <c r="BD250" s="65"/>
      <c r="BE250" s="65"/>
      <c r="BF250" s="65">
        <f>BD250+BE250</f>
        <v>0</v>
      </c>
      <c r="BH250" s="65">
        <f>BH252-BH251-BH249-BH248-BH247</f>
        <v>527</v>
      </c>
      <c r="BI250" s="65">
        <f>BI252-BI251-BI249-BI248-BI247</f>
        <v>316</v>
      </c>
      <c r="BJ250" s="65">
        <f>BH250+BI250</f>
        <v>843</v>
      </c>
      <c r="BK250" s="49"/>
      <c r="BL250" s="65">
        <f>BL252-BL251-BL249-BL248-BL247</f>
        <v>294</v>
      </c>
      <c r="BM250" s="65">
        <f>BM252-BM251-BM249-BM248-BM247</f>
        <v>612</v>
      </c>
      <c r="BN250" s="65">
        <f>BL250+BM250</f>
        <v>906</v>
      </c>
      <c r="BO250" s="49"/>
      <c r="BP250" s="65">
        <f>BP252-BP251-BP249-BP248-BP247</f>
        <v>258</v>
      </c>
      <c r="BQ250" s="65">
        <f>BQ252-BQ251-BQ249-BQ248-BQ247</f>
        <v>519</v>
      </c>
      <c r="BR250" s="65">
        <f>BP250+BQ250</f>
        <v>777</v>
      </c>
      <c r="BT250" s="65">
        <f>BT252-BT251-BT249-BT248-BT247</f>
        <v>576</v>
      </c>
      <c r="BU250" s="65">
        <f>BU252-BU251-BU249-BU248-BU247</f>
        <v>810</v>
      </c>
      <c r="BV250" s="65">
        <f>BT250+BU250</f>
        <v>1386</v>
      </c>
      <c r="BX250" s="65">
        <f>BX252-BX251-BX249-BX248-BX247</f>
        <v>568</v>
      </c>
      <c r="BY250" s="65">
        <f>BY252-BY251-BY249-BY248-BY247</f>
        <v>436</v>
      </c>
      <c r="BZ250" s="65">
        <f>BX250+BY250</f>
        <v>1004</v>
      </c>
      <c r="CB250" s="65">
        <f>CB252-CB251-CB249-CB248-CB247</f>
        <v>432</v>
      </c>
      <c r="CC250" s="65">
        <f>CC252-CC251-CC249-CC248-CC247</f>
        <v>200</v>
      </c>
      <c r="CD250" s="65">
        <f>CB250+CC250</f>
        <v>632</v>
      </c>
      <c r="CF250" s="65">
        <f>CF252-CF251-CF249-CF248-CF247</f>
        <v>257</v>
      </c>
      <c r="CG250" s="65">
        <f>CG252-CG251-CG249-CG248-CG247</f>
        <v>233</v>
      </c>
      <c r="CH250" s="65">
        <f>CF250+CG250</f>
        <v>490</v>
      </c>
      <c r="CJ250" s="65">
        <f>CJ252-CJ251-CJ249-CJ248-CJ247</f>
        <v>179</v>
      </c>
      <c r="CK250" s="65">
        <f>CK252-CK251-CK249-CK248-CK247</f>
        <v>422</v>
      </c>
      <c r="CL250" s="65">
        <f>CJ250+CK250</f>
        <v>601</v>
      </c>
      <c r="CN250" s="65">
        <f>CN252-CN251-CN249-CN248-CN247</f>
        <v>188</v>
      </c>
      <c r="CO250" s="65">
        <f>CO252-CO251-CO249-CO248-CO247</f>
        <v>-97</v>
      </c>
      <c r="CP250" s="65">
        <f>CN250+CO250</f>
        <v>91</v>
      </c>
      <c r="CR250" s="65">
        <f>CR252-CR251-CR249-CR248-CR247</f>
        <v>110</v>
      </c>
      <c r="CS250" s="65">
        <f>CS252-CS251-CS249-CS248-CS247</f>
        <v>-58</v>
      </c>
      <c r="CT250" s="65">
        <f>CR250+CS250</f>
        <v>52</v>
      </c>
      <c r="CV250" s="65">
        <f>CV252-CV251-CV249-CV248-CV247</f>
        <v>-98</v>
      </c>
      <c r="CW250" s="65">
        <f t="shared" ref="CW250:CW251" si="466">CX250-CV250</f>
        <v>-72</v>
      </c>
      <c r="CX250" s="65">
        <f>CX252-CX251-CX249-CX248-CX247</f>
        <v>-170</v>
      </c>
      <c r="CZ250" s="65">
        <f>CZ252-CZ251-CZ249-CZ248-CZ247</f>
        <v>-72</v>
      </c>
      <c r="DA250" s="65">
        <f t="shared" ref="DA250:DA251" si="467">DB250-CZ250</f>
        <v>-39</v>
      </c>
      <c r="DB250" s="65">
        <f>DB252-DB251-DB249-DB248-DB247</f>
        <v>-111</v>
      </c>
      <c r="DD250" s="65">
        <f>DD252-DD251-DD249-DD248-DD247</f>
        <v>11</v>
      </c>
      <c r="DE250" s="65">
        <f t="shared" ref="DE250:DE251" si="468">DF250-DD250</f>
        <v>60</v>
      </c>
      <c r="DF250" s="65">
        <f>DF252-DF251-DF249-DF248-DF247</f>
        <v>71</v>
      </c>
      <c r="DH250" s="65">
        <f ca="1">DH252-DH251-DH249-DH248-DH247</f>
        <v>-304.67258850012058</v>
      </c>
      <c r="DI250" s="65">
        <f ca="1">DI252-DI251-DI249-DI248-DI247</f>
        <v>200.97493292629122</v>
      </c>
      <c r="DJ250" s="65">
        <f ca="1">DH250+DI250</f>
        <v>-103.69765557382937</v>
      </c>
      <c r="DL250" s="65">
        <f ca="1">DL252-DL251-DL249-DL248-DL247</f>
        <v>286.06907100328374</v>
      </c>
      <c r="DM250" s="65">
        <f ca="1">DM252-DM251-DM249-DM248-DM247</f>
        <v>161.56427447815031</v>
      </c>
      <c r="DN250" s="65">
        <f ca="1">DL250+DM250</f>
        <v>447.63334548143405</v>
      </c>
      <c r="DP250" s="65">
        <f ca="1">DP252-DP251-DP249-DP248-DP247</f>
        <v>226.11766790768684</v>
      </c>
      <c r="DQ250" s="65">
        <f ca="1">DQ252-DQ251-DQ249-DQ248-DQ247</f>
        <v>216.11246658438188</v>
      </c>
      <c r="DR250" s="65">
        <f ca="1">DP250+DQ250</f>
        <v>442.23013449206871</v>
      </c>
    </row>
    <row r="251" spans="1:122" s="20" customFormat="1" ht="13.8">
      <c r="A251" s="20" t="s">
        <v>570</v>
      </c>
      <c r="B251" s="420" t="s">
        <v>845</v>
      </c>
      <c r="BD251" s="65"/>
      <c r="BE251" s="65"/>
      <c r="BF251" s="65">
        <f>BD251+BE251</f>
        <v>0</v>
      </c>
      <c r="BH251" s="65">
        <f>BH234</f>
        <v>-595</v>
      </c>
      <c r="BI251" s="65">
        <f>BI234</f>
        <v>-480</v>
      </c>
      <c r="BJ251" s="65">
        <f>BH251+BI251</f>
        <v>-1075</v>
      </c>
      <c r="BK251" s="49"/>
      <c r="BL251" s="65">
        <f>BL234</f>
        <v>-572</v>
      </c>
      <c r="BM251" s="65">
        <f>BM234</f>
        <v>-547</v>
      </c>
      <c r="BN251" s="65">
        <f>BL251+BM251</f>
        <v>-1119</v>
      </c>
      <c r="BO251" s="49"/>
      <c r="BP251" s="65">
        <f>BP234</f>
        <v>-455</v>
      </c>
      <c r="BQ251" s="65">
        <f>BQ234</f>
        <v>-655</v>
      </c>
      <c r="BR251" s="65">
        <f>BP251+BQ251</f>
        <v>-1110</v>
      </c>
      <c r="BT251" s="65">
        <f>BT234</f>
        <v>-965</v>
      </c>
      <c r="BU251" s="65">
        <f>BU234</f>
        <v>-1052</v>
      </c>
      <c r="BV251" s="65">
        <f>BT251+BU251</f>
        <v>-2017</v>
      </c>
      <c r="BX251" s="65">
        <f>BX234</f>
        <v>-787</v>
      </c>
      <c r="BY251" s="65">
        <f>BY234</f>
        <v>-593</v>
      </c>
      <c r="BZ251" s="65">
        <f>BX251+BY251</f>
        <v>-1380</v>
      </c>
      <c r="CB251" s="65">
        <f>CB234</f>
        <v>-509</v>
      </c>
      <c r="CC251" s="65">
        <f>CC234</f>
        <v>-343</v>
      </c>
      <c r="CD251" s="65">
        <f>CB251+CC251</f>
        <v>-852</v>
      </c>
      <c r="CF251" s="65">
        <f>CF234</f>
        <v>-380</v>
      </c>
      <c r="CG251" s="65">
        <f>CG234</f>
        <v>-401</v>
      </c>
      <c r="CH251" s="65">
        <f>CF251+CG251</f>
        <v>-781</v>
      </c>
      <c r="CJ251" s="65">
        <f>CJ234</f>
        <v>-604</v>
      </c>
      <c r="CK251" s="65">
        <f>CK234</f>
        <v>-449</v>
      </c>
      <c r="CL251" s="65">
        <f>CJ251+CK251</f>
        <v>-1053</v>
      </c>
      <c r="CN251" s="65">
        <f>CN234</f>
        <v>-260</v>
      </c>
      <c r="CO251" s="65">
        <f>CO234</f>
        <v>24</v>
      </c>
      <c r="CP251" s="65">
        <f>CN251+CO251</f>
        <v>-236</v>
      </c>
      <c r="CR251" s="65">
        <f>CR234</f>
        <v>-185</v>
      </c>
      <c r="CS251" s="65">
        <f>CS234</f>
        <v>53</v>
      </c>
      <c r="CT251" s="65">
        <f>CR251+CS251</f>
        <v>-132</v>
      </c>
      <c r="CV251" s="65">
        <f>CV234</f>
        <v>27</v>
      </c>
      <c r="CW251" s="65">
        <f t="shared" si="466"/>
        <v>-118</v>
      </c>
      <c r="CX251" s="65">
        <f>CX234</f>
        <v>-91</v>
      </c>
      <c r="CZ251" s="65">
        <f>CZ234</f>
        <v>-44</v>
      </c>
      <c r="DA251" s="65">
        <f t="shared" si="467"/>
        <v>-125</v>
      </c>
      <c r="DB251" s="65">
        <f>DB234</f>
        <v>-169</v>
      </c>
      <c r="DD251" s="65">
        <f>DD234</f>
        <v>-136</v>
      </c>
      <c r="DE251" s="65">
        <f t="shared" si="468"/>
        <v>-177</v>
      </c>
      <c r="DF251" s="65">
        <f>DF234</f>
        <v>-313</v>
      </c>
      <c r="DH251" s="65">
        <f ca="1">DH234</f>
        <v>-299.13500503503928</v>
      </c>
      <c r="DI251" s="65">
        <f ca="1">DI234</f>
        <v>-333.12327744289917</v>
      </c>
      <c r="DJ251" s="65">
        <f ca="1">DH251+DI251</f>
        <v>-632.25828247793845</v>
      </c>
      <c r="DL251" s="65">
        <f ca="1">DL234</f>
        <v>-424.96749654470705</v>
      </c>
      <c r="DM251" s="65">
        <f ca="1">DM234</f>
        <v>-309.06226869405259</v>
      </c>
      <c r="DN251" s="65">
        <f ca="1">DL251+DM251</f>
        <v>-734.02976523875964</v>
      </c>
      <c r="DP251" s="65">
        <f ca="1">DP234</f>
        <v>-376.15453191472511</v>
      </c>
      <c r="DQ251" s="65">
        <f ca="1">DQ234</f>
        <v>-374.46065809605312</v>
      </c>
      <c r="DR251" s="65">
        <f ca="1">DP251+DQ251</f>
        <v>-750.61519001077818</v>
      </c>
    </row>
    <row r="252" spans="1:122" s="21" customFormat="1" ht="13.8">
      <c r="A252" s="21" t="s">
        <v>502</v>
      </c>
      <c r="B252" s="27"/>
      <c r="BD252" s="98">
        <v>-1714</v>
      </c>
      <c r="BE252" s="98">
        <v>-1773</v>
      </c>
      <c r="BF252" s="72">
        <f>BE252</f>
        <v>-1773</v>
      </c>
      <c r="BH252" s="98">
        <v>-1543</v>
      </c>
      <c r="BI252" s="98">
        <v>-1467</v>
      </c>
      <c r="BJ252" s="72">
        <f>BI252</f>
        <v>-1467</v>
      </c>
      <c r="BK252" s="27"/>
      <c r="BL252" s="98">
        <v>-1470</v>
      </c>
      <c r="BM252" s="98">
        <v>-1176</v>
      </c>
      <c r="BN252" s="72">
        <f>BM252</f>
        <v>-1176</v>
      </c>
      <c r="BO252" s="27"/>
      <c r="BP252" s="98">
        <v>-1114</v>
      </c>
      <c r="BQ252" s="98">
        <v>-1061</v>
      </c>
      <c r="BR252" s="72">
        <f>BQ252</f>
        <v>-1061</v>
      </c>
      <c r="BT252" s="98">
        <v>-1238</v>
      </c>
      <c r="BU252" s="98">
        <v>-1307</v>
      </c>
      <c r="BV252" s="72">
        <f>BU252</f>
        <v>-1307</v>
      </c>
      <c r="BX252" s="98">
        <v>-1269</v>
      </c>
      <c r="BY252" s="98">
        <v>-1136</v>
      </c>
      <c r="BZ252" s="72">
        <f>BY252</f>
        <v>-1136</v>
      </c>
      <c r="CB252" s="98">
        <v>-1016</v>
      </c>
      <c r="CC252" s="98">
        <v>-920</v>
      </c>
      <c r="CD252" s="72">
        <f>CC252</f>
        <v>-920</v>
      </c>
      <c r="CF252" s="98">
        <v>-891</v>
      </c>
      <c r="CG252" s="98">
        <v>-814</v>
      </c>
      <c r="CH252" s="72">
        <f>CG252</f>
        <v>-814</v>
      </c>
      <c r="CJ252" s="98">
        <v>-1093</v>
      </c>
      <c r="CK252" s="98">
        <v>-891</v>
      </c>
      <c r="CL252" s="72">
        <f>CK252</f>
        <v>-891</v>
      </c>
      <c r="CN252" s="98">
        <v>-809</v>
      </c>
      <c r="CO252" s="98">
        <v>-687</v>
      </c>
      <c r="CP252" s="72">
        <f>CO252</f>
        <v>-687</v>
      </c>
      <c r="CR252" s="98">
        <v>-636</v>
      </c>
      <c r="CS252" s="98">
        <v>-542</v>
      </c>
      <c r="CT252" s="72">
        <f>CS252</f>
        <v>-542</v>
      </c>
      <c r="CV252" s="98">
        <v>-421</v>
      </c>
      <c r="CW252" s="98">
        <v>-376</v>
      </c>
      <c r="CX252" s="72">
        <f>CW252</f>
        <v>-376</v>
      </c>
      <c r="CZ252" s="98">
        <v>-325</v>
      </c>
      <c r="DA252" s="98">
        <v>-308</v>
      </c>
      <c r="DB252" s="72">
        <f>DA252</f>
        <v>-308</v>
      </c>
      <c r="DD252" s="98">
        <v>-364</v>
      </c>
      <c r="DE252" s="98">
        <v>-399</v>
      </c>
      <c r="DF252" s="72">
        <f>DE252</f>
        <v>-399</v>
      </c>
      <c r="DH252" s="72">
        <f>-DH272*DH218</f>
        <v>-923.91771786908521</v>
      </c>
      <c r="DI252" s="72">
        <f>-DI272*DI218</f>
        <v>-974.01297909358971</v>
      </c>
      <c r="DJ252" s="72">
        <f>DI252</f>
        <v>-974.01297909358971</v>
      </c>
      <c r="DL252" s="72">
        <f>-DL272*DL218</f>
        <v>-1026.4093638629358</v>
      </c>
      <c r="DM252" s="72">
        <f>-DM272*DM218</f>
        <v>-1082.7519971673873</v>
      </c>
      <c r="DN252" s="72">
        <f>DM252</f>
        <v>-1082.7519971673873</v>
      </c>
      <c r="DP252" s="72">
        <f>-DP272*DP218</f>
        <v>-1136.6297140014783</v>
      </c>
      <c r="DQ252" s="72">
        <f>-DQ272*DQ218</f>
        <v>-1194.0338811790928</v>
      </c>
      <c r="DR252" s="72">
        <f>DQ252</f>
        <v>-1194.0338811790928</v>
      </c>
    </row>
    <row r="253" spans="1:122" s="21" customFormat="1" ht="13.8">
      <c r="B253" s="27"/>
      <c r="BD253" s="98"/>
      <c r="BE253" s="98"/>
      <c r="BF253" s="72"/>
      <c r="BH253" s="98"/>
      <c r="BI253" s="98"/>
      <c r="BJ253" s="72"/>
      <c r="BK253" s="27"/>
      <c r="BL253" s="98"/>
      <c r="BM253" s="98"/>
      <c r="BN253" s="72"/>
      <c r="BO253" s="27"/>
      <c r="BP253" s="98"/>
      <c r="BQ253" s="98"/>
      <c r="BR253" s="72"/>
      <c r="BT253" s="98"/>
      <c r="BU253" s="98"/>
      <c r="BV253" s="72"/>
      <c r="BW253" s="46"/>
      <c r="BX253" s="98"/>
      <c r="BY253" s="98"/>
      <c r="BZ253" s="72"/>
      <c r="CA253" s="46"/>
      <c r="CB253" s="98"/>
      <c r="CC253" s="98"/>
      <c r="CD253" s="72"/>
      <c r="CF253" s="98"/>
      <c r="CG253" s="98"/>
      <c r="CH253" s="72"/>
      <c r="CJ253" s="72"/>
      <c r="CK253" s="98"/>
      <c r="CL253" s="72"/>
      <c r="CN253" s="72"/>
      <c r="CO253" s="98"/>
      <c r="CP253" s="72"/>
      <c r="CR253" s="72"/>
      <c r="CS253" s="98"/>
      <c r="CT253" s="72"/>
      <c r="CV253" s="72"/>
      <c r="CW253" s="98"/>
      <c r="CX253" s="72"/>
      <c r="CZ253" s="72"/>
      <c r="DA253" s="98"/>
      <c r="DB253" s="72"/>
      <c r="DD253" s="72"/>
      <c r="DE253" s="98"/>
      <c r="DF253" s="72"/>
      <c r="DH253" s="72"/>
      <c r="DI253" s="72"/>
      <c r="DJ253" s="72"/>
      <c r="DL253" s="72"/>
      <c r="DM253" s="72"/>
      <c r="DN253" s="72"/>
      <c r="DP253" s="72"/>
      <c r="DQ253" s="72"/>
      <c r="DR253" s="72"/>
    </row>
    <row r="254" spans="1:122" s="21" customFormat="1" ht="13.8">
      <c r="A254" s="20" t="s">
        <v>977</v>
      </c>
      <c r="B254" s="27"/>
      <c r="BD254" s="98"/>
      <c r="BE254" s="98"/>
      <c r="BF254" s="72"/>
      <c r="BH254" s="98"/>
      <c r="BI254" s="98"/>
      <c r="BJ254" s="72"/>
      <c r="BK254" s="27"/>
      <c r="BL254" s="98"/>
      <c r="BM254" s="98"/>
      <c r="BN254" s="72"/>
      <c r="BO254" s="27"/>
      <c r="BP254" s="98"/>
      <c r="BQ254" s="98"/>
      <c r="BR254" s="72"/>
      <c r="BT254" s="98"/>
      <c r="BU254" s="98"/>
      <c r="BV254" s="72"/>
      <c r="BW254" s="46"/>
      <c r="BX254" s="98"/>
      <c r="BY254" s="98"/>
      <c r="BZ254" s="72"/>
      <c r="CA254" s="46"/>
      <c r="CB254" s="98"/>
      <c r="CC254" s="98"/>
      <c r="CD254" s="72"/>
      <c r="CF254" s="65">
        <f>CF157</f>
        <v>-3601</v>
      </c>
      <c r="CG254" s="65">
        <f>CG157</f>
        <v>-3509</v>
      </c>
      <c r="CH254" s="65">
        <f>CH157</f>
        <v>-3509</v>
      </c>
      <c r="CJ254" s="65">
        <f>CJ157</f>
        <v>-4669</v>
      </c>
      <c r="CK254" s="65">
        <f>CK157</f>
        <v>-4981</v>
      </c>
      <c r="CL254" s="65">
        <f>CL157</f>
        <v>-4981</v>
      </c>
      <c r="CN254" s="65">
        <f>CN157</f>
        <v>-4250</v>
      </c>
      <c r="CO254" s="65">
        <f>CO157</f>
        <v>-4045</v>
      </c>
      <c r="CP254" s="65">
        <f>CP157</f>
        <v>-4045</v>
      </c>
      <c r="CR254" s="65">
        <f>CR157</f>
        <v>-3559</v>
      </c>
      <c r="CS254" s="65">
        <f>CS157</f>
        <v>-3582</v>
      </c>
      <c r="CT254" s="65">
        <f>CT157</f>
        <v>-3582</v>
      </c>
      <c r="CV254" s="65">
        <f>CV157</f>
        <v>-3658</v>
      </c>
      <c r="CW254" s="65">
        <f>CW157</f>
        <v>-3546</v>
      </c>
      <c r="CX254" s="65">
        <f>CX157</f>
        <v>-3546</v>
      </c>
      <c r="CZ254" s="65">
        <f>CZ157</f>
        <v>-3489</v>
      </c>
      <c r="DA254" s="65">
        <f>DA157</f>
        <v>-3675</v>
      </c>
      <c r="DB254" s="65">
        <f>DB157</f>
        <v>-3675</v>
      </c>
      <c r="DD254" s="65">
        <f>DD157</f>
        <v>-3761</v>
      </c>
      <c r="DE254" s="65">
        <f>DE157</f>
        <v>-3874</v>
      </c>
      <c r="DF254" s="65">
        <f>DF157</f>
        <v>-3874</v>
      </c>
      <c r="DH254" s="65">
        <f ca="1">+DH256-DH255</f>
        <v>-4304.6882169809523</v>
      </c>
      <c r="DI254" s="65">
        <f ca="1">+DI256-DI255</f>
        <v>-4347.4317040426695</v>
      </c>
      <c r="DJ254" s="65">
        <f ca="1">DI254</f>
        <v>-4347.4317040426695</v>
      </c>
      <c r="DL254" s="65">
        <f ca="1">+DL256-DL255</f>
        <v>-4350.2709312479928</v>
      </c>
      <c r="DM254" s="65">
        <f ca="1">+DM256-DM255</f>
        <v>-4481.6281715299037</v>
      </c>
      <c r="DN254" s="65">
        <f ca="1">DM254</f>
        <v>-4481.6281715299037</v>
      </c>
      <c r="DP254" s="65">
        <f ca="1">+DP256-DP255</f>
        <v>-4599.4379993270168</v>
      </c>
      <c r="DQ254" s="65">
        <f ca="1">+DQ256-DQ255</f>
        <v>-4729.8251491393185</v>
      </c>
      <c r="DR254" s="65">
        <f ca="1">DQ254</f>
        <v>-4729.8251491393185</v>
      </c>
    </row>
    <row r="255" spans="1:122" s="21" customFormat="1" ht="13.8">
      <c r="A255" s="20" t="s">
        <v>978</v>
      </c>
      <c r="B255" s="27"/>
      <c r="BD255" s="98"/>
      <c r="BE255" s="98"/>
      <c r="BF255" s="72"/>
      <c r="BH255" s="98"/>
      <c r="BI255" s="98"/>
      <c r="BJ255" s="72"/>
      <c r="BK255" s="27"/>
      <c r="BL255" s="98"/>
      <c r="BM255" s="98"/>
      <c r="BN255" s="72"/>
      <c r="BO255" s="27"/>
      <c r="BP255" s="98"/>
      <c r="BQ255" s="98"/>
      <c r="BR255" s="72"/>
      <c r="BT255" s="98"/>
      <c r="BU255" s="98"/>
      <c r="BV255" s="72"/>
      <c r="BW255" s="46"/>
      <c r="BX255" s="98"/>
      <c r="BY255" s="98"/>
      <c r="BZ255" s="72"/>
      <c r="CA255" s="46"/>
      <c r="CB255" s="98"/>
      <c r="CC255" s="98"/>
      <c r="CD255" s="72"/>
      <c r="CF255" s="65">
        <f>CF256-CF254</f>
        <v>-668</v>
      </c>
      <c r="CG255" s="65">
        <f>CG256-CG254</f>
        <v>-681</v>
      </c>
      <c r="CH255" s="65">
        <f>CH256-CH254</f>
        <v>-681</v>
      </c>
      <c r="CJ255" s="65">
        <f>CJ256-CJ254</f>
        <v>-925</v>
      </c>
      <c r="CK255" s="65">
        <f>CK256-CK254</f>
        <v>-918</v>
      </c>
      <c r="CL255" s="65">
        <f>CL256-CL254</f>
        <v>-918</v>
      </c>
      <c r="CN255" s="65">
        <f>CN256-CN254</f>
        <v>-844</v>
      </c>
      <c r="CO255" s="65">
        <f>CO256-CO254</f>
        <v>-837</v>
      </c>
      <c r="CP255" s="65">
        <f>CP256-CP254</f>
        <v>-837</v>
      </c>
      <c r="CR255" s="65">
        <f>CR256-CR254</f>
        <v>-834</v>
      </c>
      <c r="CS255" s="65">
        <f>CS256-CS254</f>
        <v>-813</v>
      </c>
      <c r="CT255" s="65">
        <f>CT256-CT254</f>
        <v>-813</v>
      </c>
      <c r="CV255" s="65">
        <f>CV256-CV254</f>
        <v>-803</v>
      </c>
      <c r="CW255" s="65">
        <f>CW256-CW254</f>
        <v>-862</v>
      </c>
      <c r="CX255" s="65">
        <f>CX256-CX254</f>
        <v>-862</v>
      </c>
      <c r="CZ255" s="65">
        <f>CZ256-CZ254</f>
        <v>-882</v>
      </c>
      <c r="DA255" s="65">
        <f>DA256-DA254</f>
        <v>-880</v>
      </c>
      <c r="DB255" s="65">
        <f>DB256-DB254</f>
        <v>-880</v>
      </c>
      <c r="DD255" s="65">
        <f>DD256-DD254</f>
        <v>-883</v>
      </c>
      <c r="DE255" s="65">
        <f>DE256-DE254</f>
        <v>-904</v>
      </c>
      <c r="DF255" s="65">
        <f>DF256-DF254</f>
        <v>-904</v>
      </c>
      <c r="DH255" s="65">
        <f ca="1">-DH262*DH266</f>
        <v>-908.47291356588607</v>
      </c>
      <c r="DI255" s="65">
        <f ca="1">-DI262*DI266</f>
        <v>-926.8623940865657</v>
      </c>
      <c r="DJ255" s="65">
        <f ca="1">DI255</f>
        <v>-926.8623940865657</v>
      </c>
      <c r="DL255" s="65">
        <f ca="1">-DL262*DL266</f>
        <v>-945.09454966163094</v>
      </c>
      <c r="DM255" s="65">
        <f ca="1">-DM262*DM266</f>
        <v>-966.42392658125425</v>
      </c>
      <c r="DN255" s="65">
        <f ca="1">DM255</f>
        <v>-966.42392658125425</v>
      </c>
      <c r="DP255" s="65">
        <f ca="1">-DP262*DP266</f>
        <v>-984.60214742305959</v>
      </c>
      <c r="DQ255" s="65">
        <f ca="1">-DQ262*DQ266</f>
        <v>-1005.3538597635821</v>
      </c>
      <c r="DR255" s="65">
        <f ca="1">DQ255</f>
        <v>-1005.3538597635821</v>
      </c>
    </row>
    <row r="256" spans="1:122" s="20" customFormat="1" ht="13.8">
      <c r="A256" s="21" t="s">
        <v>503</v>
      </c>
      <c r="B256" s="49"/>
      <c r="BD256" s="72">
        <f>+BD252+BD244</f>
        <v>-4708</v>
      </c>
      <c r="BE256" s="72">
        <f>+BE252+BE244</f>
        <v>-4538</v>
      </c>
      <c r="BF256" s="72">
        <f>+BF252+BF244</f>
        <v>-4538</v>
      </c>
      <c r="BH256" s="72">
        <f>+BH252+BH244</f>
        <v>-4312</v>
      </c>
      <c r="BI256" s="72">
        <f>+BI252+BI244</f>
        <v>-4354</v>
      </c>
      <c r="BJ256" s="72">
        <f>+BJ252+BJ244</f>
        <v>-4354</v>
      </c>
      <c r="BK256" s="49"/>
      <c r="BL256" s="72">
        <f>+BL252+BL244</f>
        <v>-4313</v>
      </c>
      <c r="BM256" s="72">
        <f>+BM252+BM244</f>
        <v>-3933</v>
      </c>
      <c r="BN256" s="72">
        <f>+BN252+BN244</f>
        <v>-3933</v>
      </c>
      <c r="BO256" s="49"/>
      <c r="BP256" s="72">
        <f>+BP252+BP244</f>
        <v>-4028</v>
      </c>
      <c r="BQ256" s="72">
        <f>+BQ252+BQ244</f>
        <v>-4017</v>
      </c>
      <c r="BR256" s="72">
        <f>+BR252+BR244</f>
        <v>-4017</v>
      </c>
      <c r="BT256" s="72">
        <f>+BT252+BT244</f>
        <v>-4100</v>
      </c>
      <c r="BU256" s="72">
        <f>+BU252+BU244</f>
        <v>-4183</v>
      </c>
      <c r="BV256" s="72">
        <f>+BV252+BV244</f>
        <v>-4183</v>
      </c>
      <c r="BW256" s="28"/>
      <c r="BX256" s="72">
        <f>+BX252+BX244</f>
        <v>-4054</v>
      </c>
      <c r="BY256" s="72">
        <f>+BY252+BY244</f>
        <v>-3798</v>
      </c>
      <c r="BZ256" s="72">
        <f>+BZ252+BZ244</f>
        <v>-3798</v>
      </c>
      <c r="CA256" s="28"/>
      <c r="CB256" s="72">
        <f>+CB252+CB244</f>
        <v>-3595</v>
      </c>
      <c r="CC256" s="72">
        <f>+CC252+CC244</f>
        <v>-3443</v>
      </c>
      <c r="CD256" s="72">
        <f>+CD252+CD244</f>
        <v>-3443</v>
      </c>
      <c r="CF256" s="72">
        <f>+CF252+CF244</f>
        <v>-4269</v>
      </c>
      <c r="CG256" s="72">
        <f>+CG252+CG244</f>
        <v>-4190</v>
      </c>
      <c r="CH256" s="72">
        <f>+CH252+CH244</f>
        <v>-4190</v>
      </c>
      <c r="CJ256" s="72">
        <f>+CJ252+CJ244</f>
        <v>-5594</v>
      </c>
      <c r="CK256" s="72">
        <f>+CK252+CK244</f>
        <v>-5899</v>
      </c>
      <c r="CL256" s="72">
        <f>+CL252+CL244</f>
        <v>-5899</v>
      </c>
      <c r="CN256" s="72">
        <f>+CN252+CN244</f>
        <v>-5094</v>
      </c>
      <c r="CO256" s="72">
        <f>+CO252+CO244</f>
        <v>-4882</v>
      </c>
      <c r="CP256" s="72">
        <f>+CP252+CP244</f>
        <v>-4882</v>
      </c>
      <c r="CR256" s="72">
        <f>+CR252+CR244</f>
        <v>-4393</v>
      </c>
      <c r="CS256" s="72">
        <f>+CS252+CS244</f>
        <v>-4395</v>
      </c>
      <c r="CT256" s="72">
        <f>+CT252+CT244</f>
        <v>-4395</v>
      </c>
      <c r="CV256" s="72">
        <f>+CV252+CV244</f>
        <v>-4461</v>
      </c>
      <c r="CW256" s="72">
        <f>+CW252+CW244</f>
        <v>-4408</v>
      </c>
      <c r="CX256" s="72">
        <f>+CX252+CX244</f>
        <v>-4408</v>
      </c>
      <c r="CZ256" s="72">
        <f>+CZ252+CZ244</f>
        <v>-4371</v>
      </c>
      <c r="DA256" s="72">
        <f>+DA252+DA244</f>
        <v>-4555</v>
      </c>
      <c r="DB256" s="72">
        <f>+DB252+DB244</f>
        <v>-4555</v>
      </c>
      <c r="DD256" s="72">
        <f>+DD252+DD244</f>
        <v>-4644</v>
      </c>
      <c r="DE256" s="72">
        <f>+DE252+DE244</f>
        <v>-4778</v>
      </c>
      <c r="DF256" s="72">
        <f>+DF252+DF244</f>
        <v>-4778</v>
      </c>
      <c r="DH256" s="72">
        <f ca="1">+DH252+DH244</f>
        <v>-5213.1611305468386</v>
      </c>
      <c r="DI256" s="72">
        <f ca="1">+DI252+DI244</f>
        <v>-5274.294098129235</v>
      </c>
      <c r="DJ256" s="72">
        <f ca="1">+DJ252+DJ244</f>
        <v>-5274.294098129235</v>
      </c>
      <c r="DL256" s="72">
        <f ca="1">+DL252+DL244</f>
        <v>-5295.3654809096242</v>
      </c>
      <c r="DM256" s="72">
        <f ca="1">+DM252+DM244</f>
        <v>-5448.0520981111576</v>
      </c>
      <c r="DN256" s="72">
        <f ca="1">+DN252+DN244</f>
        <v>-5448.0520981111576</v>
      </c>
      <c r="DP256" s="72">
        <f ca="1">+DP252+DP244</f>
        <v>-5584.040146750076</v>
      </c>
      <c r="DQ256" s="72">
        <f ca="1">+DQ252+DQ244</f>
        <v>-5735.1790089029009</v>
      </c>
      <c r="DR256" s="72">
        <f ca="1">+DR252+DR244</f>
        <v>-5735.1790089029009</v>
      </c>
    </row>
    <row r="257" spans="1:128" s="20" customFormat="1" ht="13.8">
      <c r="A257" s="20" t="s">
        <v>574</v>
      </c>
      <c r="B257" s="420"/>
      <c r="BD257" s="65">
        <f>BD155</f>
        <v>-2283</v>
      </c>
      <c r="BE257" s="65">
        <f>BE155</f>
        <v>-1241</v>
      </c>
      <c r="BF257" s="65">
        <f>BE257</f>
        <v>-1241</v>
      </c>
      <c r="BH257" s="65">
        <f>BH155</f>
        <v>-1087</v>
      </c>
      <c r="BI257" s="65">
        <f>BI155</f>
        <v>-954</v>
      </c>
      <c r="BJ257" s="65">
        <f>BI257</f>
        <v>-954</v>
      </c>
      <c r="BK257" s="49"/>
      <c r="BL257" s="65">
        <f>BL155</f>
        <v>-922</v>
      </c>
      <c r="BM257" s="65">
        <f>BM155</f>
        <v>-892</v>
      </c>
      <c r="BN257" s="65">
        <f>BM257</f>
        <v>-892</v>
      </c>
      <c r="BO257" s="49"/>
      <c r="BP257" s="65">
        <f>BP155</f>
        <v>-803</v>
      </c>
      <c r="BQ257" s="65">
        <f>BQ155</f>
        <v>-739</v>
      </c>
      <c r="BR257" s="65">
        <f>BQ257</f>
        <v>-739</v>
      </c>
      <c r="BT257" s="65">
        <f>BT155</f>
        <v>-596</v>
      </c>
      <c r="BU257" s="65">
        <f>BU155</f>
        <v>-544</v>
      </c>
      <c r="BV257" s="65">
        <f>BU257</f>
        <v>-544</v>
      </c>
      <c r="BX257" s="65">
        <f>BX155</f>
        <v>-458</v>
      </c>
      <c r="BY257" s="65">
        <f>BY155</f>
        <v>-411</v>
      </c>
      <c r="BZ257" s="65">
        <f>BY257</f>
        <v>-411</v>
      </c>
      <c r="CB257" s="65">
        <f>CB155</f>
        <v>-441</v>
      </c>
      <c r="CC257" s="65">
        <f>CC155</f>
        <v>-430</v>
      </c>
      <c r="CD257" s="65">
        <f>CC257</f>
        <v>-430</v>
      </c>
      <c r="CF257" s="65">
        <f>CF155</f>
        <v>-446</v>
      </c>
      <c r="CG257" s="65">
        <f>CG155</f>
        <v>-398</v>
      </c>
      <c r="CH257" s="65">
        <f>CG257</f>
        <v>-398</v>
      </c>
      <c r="CJ257" s="65">
        <f>CJ155</f>
        <v>-661</v>
      </c>
      <c r="CK257" s="65">
        <f>CK155</f>
        <v>-460</v>
      </c>
      <c r="CL257" s="65">
        <f>CK257</f>
        <v>-460</v>
      </c>
      <c r="CN257" s="65">
        <f>CN155</f>
        <v>-437</v>
      </c>
      <c r="CO257" s="65">
        <f>CO155</f>
        <v>-434</v>
      </c>
      <c r="CP257" s="65">
        <f>CO257</f>
        <v>-434</v>
      </c>
      <c r="CR257" s="65">
        <f>CR155</f>
        <v>-460</v>
      </c>
      <c r="CS257" s="65">
        <f>CS155</f>
        <v>-518</v>
      </c>
      <c r="CT257" s="65">
        <f>CS257</f>
        <v>-518</v>
      </c>
      <c r="CV257" s="65">
        <f>CV155</f>
        <v>-526</v>
      </c>
      <c r="CW257" s="65">
        <f>CW155</f>
        <v>-515</v>
      </c>
      <c r="CX257" s="65">
        <f>CW257</f>
        <v>-515</v>
      </c>
      <c r="CZ257" s="65">
        <f>CZ155</f>
        <v>-494</v>
      </c>
      <c r="DA257" s="65">
        <f>DA155</f>
        <v>-515</v>
      </c>
      <c r="DB257" s="65">
        <f>DA257</f>
        <v>-515</v>
      </c>
      <c r="DD257" s="65">
        <f>DD155</f>
        <v>-584</v>
      </c>
      <c r="DE257" s="65">
        <f>DE155</f>
        <v>-641</v>
      </c>
      <c r="DF257" s="65">
        <f>DE257</f>
        <v>-641</v>
      </c>
      <c r="DH257" s="65">
        <f>-DH154*DH273</f>
        <v>-645.49140843809005</v>
      </c>
      <c r="DI257" s="65">
        <f>-DI154*DI273</f>
        <v>-659.50866016137581</v>
      </c>
      <c r="DJ257" s="65">
        <f>DI257</f>
        <v>-659.50866016137581</v>
      </c>
      <c r="DL257" s="65">
        <f>-DL154*DL273</f>
        <v>-674.19887400136645</v>
      </c>
      <c r="DM257" s="65">
        <f>-DM154*DM273</f>
        <v>-690.5526374823429</v>
      </c>
      <c r="DN257" s="65">
        <f>DM257</f>
        <v>-690.5526374823429</v>
      </c>
      <c r="DP257" s="65">
        <f>-DP154*DP273</f>
        <v>-704.45561690810121</v>
      </c>
      <c r="DQ257" s="65">
        <f>-DQ154*DQ273</f>
        <v>-719.72100065513132</v>
      </c>
      <c r="DR257" s="65">
        <f>DQ257</f>
        <v>-719.72100065513132</v>
      </c>
    </row>
    <row r="258" spans="1:128" s="20" customFormat="1" ht="13.8">
      <c r="A258" s="21" t="s">
        <v>182</v>
      </c>
      <c r="B258" s="49"/>
      <c r="BD258" s="72">
        <f>SUM(BD256:BD257)</f>
        <v>-6991</v>
      </c>
      <c r="BE258" s="72">
        <f>SUM(BE256:BE257)</f>
        <v>-5779</v>
      </c>
      <c r="BF258" s="72">
        <f>SUM(BF256:BF257)</f>
        <v>-5779</v>
      </c>
      <c r="BH258" s="72">
        <f>SUM(BH256:BH257)</f>
        <v>-5399</v>
      </c>
      <c r="BI258" s="72">
        <f>SUM(BI256:BI257)</f>
        <v>-5308</v>
      </c>
      <c r="BJ258" s="72">
        <f>SUM(BJ256:BJ257)</f>
        <v>-5308</v>
      </c>
      <c r="BK258" s="49"/>
      <c r="BL258" s="72">
        <f>SUM(BL256:BL257)</f>
        <v>-5235</v>
      </c>
      <c r="BM258" s="72">
        <f>SUM(BM256:BM257)</f>
        <v>-4825</v>
      </c>
      <c r="BN258" s="72">
        <f>SUM(BN256:BN257)</f>
        <v>-4825</v>
      </c>
      <c r="BO258" s="49"/>
      <c r="BP258" s="72">
        <f>SUM(BP256:BP257)</f>
        <v>-4831</v>
      </c>
      <c r="BQ258" s="72">
        <f>SUM(BQ256:BQ257)</f>
        <v>-4756</v>
      </c>
      <c r="BR258" s="72">
        <f>SUM(BR256:BR257)</f>
        <v>-4756</v>
      </c>
      <c r="BT258" s="72">
        <f>SUM(BT256:BT257)</f>
        <v>-4696</v>
      </c>
      <c r="BU258" s="72">
        <f>SUM(BU256:BU257)</f>
        <v>-4727</v>
      </c>
      <c r="BV258" s="72">
        <f>SUM(BV256:BV257)</f>
        <v>-4727</v>
      </c>
      <c r="BX258" s="72">
        <f>SUM(BX256:BX257)</f>
        <v>-4512</v>
      </c>
      <c r="BY258" s="72">
        <f>SUM(BY256:BY257)</f>
        <v>-4209</v>
      </c>
      <c r="BZ258" s="72">
        <f>SUM(BZ256:BZ257)</f>
        <v>-4209</v>
      </c>
      <c r="CB258" s="72">
        <f>SUM(CB256:CB257)</f>
        <v>-4036</v>
      </c>
      <c r="CC258" s="72">
        <f>SUM(CC256:CC257)</f>
        <v>-3873</v>
      </c>
      <c r="CD258" s="72">
        <f>SUM(CD256:CD257)</f>
        <v>-3873</v>
      </c>
      <c r="CF258" s="72">
        <f>SUM(CF256:CF257)</f>
        <v>-4715</v>
      </c>
      <c r="CG258" s="72">
        <f>SUM(CG256:CG257)</f>
        <v>-4588</v>
      </c>
      <c r="CH258" s="72">
        <f>SUM(CH256:CH257)</f>
        <v>-4588</v>
      </c>
      <c r="CJ258" s="72">
        <f>SUM(CJ256:CJ257)</f>
        <v>-6255</v>
      </c>
      <c r="CK258" s="72">
        <f>SUM(CK256:CK257)</f>
        <v>-6359</v>
      </c>
      <c r="CL258" s="72">
        <f>SUM(CL256:CL257)</f>
        <v>-6359</v>
      </c>
      <c r="CN258" s="72">
        <f>SUM(CN256:CN257)</f>
        <v>-5531</v>
      </c>
      <c r="CO258" s="72">
        <f>SUM(CO256:CO257)</f>
        <v>-5316</v>
      </c>
      <c r="CP258" s="72">
        <f>SUM(CP256:CP257)</f>
        <v>-5316</v>
      </c>
      <c r="CR258" s="72">
        <f>SUM(CR256:CR257)</f>
        <v>-4853</v>
      </c>
      <c r="CS258" s="72">
        <f>SUM(CS256:CS257)</f>
        <v>-4913</v>
      </c>
      <c r="CT258" s="72">
        <f>SUM(CT256:CT257)</f>
        <v>-4913</v>
      </c>
      <c r="CV258" s="72">
        <f>SUM(CV256:CV257)</f>
        <v>-4987</v>
      </c>
      <c r="CW258" s="72">
        <f>SUM(CW256:CW257)</f>
        <v>-4923</v>
      </c>
      <c r="CX258" s="72">
        <f>SUM(CX256:CX257)</f>
        <v>-4923</v>
      </c>
      <c r="CZ258" s="72">
        <f>SUM(CZ256:CZ257)</f>
        <v>-4865</v>
      </c>
      <c r="DA258" s="72">
        <f>SUM(DA256:DA257)</f>
        <v>-5070</v>
      </c>
      <c r="DB258" s="72">
        <f>SUM(DB256:DB257)</f>
        <v>-5070</v>
      </c>
      <c r="DD258" s="72">
        <f>SUM(DD256:DD257)</f>
        <v>-5228</v>
      </c>
      <c r="DE258" s="72">
        <f>SUM(DE256:DE257)</f>
        <v>-5419</v>
      </c>
      <c r="DF258" s="72">
        <f>SUM(DF256:DF257)</f>
        <v>-5419</v>
      </c>
      <c r="DH258" s="72">
        <f ca="1">SUM(DH256:DH257)</f>
        <v>-5858.6525389849285</v>
      </c>
      <c r="DI258" s="72">
        <f ca="1">SUM(DI256:DI257)</f>
        <v>-5933.8027582906107</v>
      </c>
      <c r="DJ258" s="72">
        <f ca="1">SUM(DJ256:DJ257)</f>
        <v>-5933.8027582906107</v>
      </c>
      <c r="DL258" s="72">
        <f ca="1">SUM(DL256:DL257)</f>
        <v>-5969.5643549109909</v>
      </c>
      <c r="DM258" s="72">
        <f ca="1">SUM(DM256:DM257)</f>
        <v>-6138.6047355935007</v>
      </c>
      <c r="DN258" s="72">
        <f ca="1">SUM(DN256:DN257)</f>
        <v>-6138.6047355935007</v>
      </c>
      <c r="DP258" s="72">
        <f ca="1">SUM(DP256:DP257)</f>
        <v>-6288.4957636581776</v>
      </c>
      <c r="DQ258" s="72">
        <f ca="1">SUM(DQ256:DQ257)</f>
        <v>-6454.9000095580323</v>
      </c>
      <c r="DR258" s="72">
        <f ca="1">SUM(DR256:DR257)</f>
        <v>-6454.9000095580323</v>
      </c>
    </row>
    <row r="259" spans="1:128" s="20" customFormat="1" ht="13.8">
      <c r="A259" s="78"/>
      <c r="B259" s="49"/>
      <c r="BA259" s="49"/>
      <c r="BB259" s="49"/>
      <c r="BC259" s="49"/>
      <c r="BD259" s="49"/>
      <c r="BE259" s="49"/>
      <c r="BF259" s="49"/>
      <c r="BG259" s="49"/>
      <c r="BH259" s="49"/>
      <c r="BI259" s="49"/>
      <c r="BJ259" s="49"/>
      <c r="BK259" s="49"/>
      <c r="BL259" s="49"/>
      <c r="BM259" s="49"/>
      <c r="BN259" s="49"/>
      <c r="BO259" s="49"/>
      <c r="BP259" s="49"/>
      <c r="BQ259" s="49"/>
      <c r="BR259" s="49"/>
      <c r="BT259" s="49"/>
      <c r="BU259" s="49"/>
      <c r="BV259" s="49"/>
      <c r="BX259" s="49"/>
      <c r="BY259" s="49"/>
      <c r="BZ259" s="49"/>
      <c r="CB259" s="49"/>
      <c r="CC259" s="49"/>
      <c r="CD259" s="49"/>
      <c r="CF259" s="49"/>
      <c r="CG259" s="49"/>
      <c r="CH259" s="49"/>
      <c r="CJ259" s="49"/>
      <c r="CK259" s="49"/>
      <c r="CL259" s="49"/>
      <c r="CN259" s="49"/>
      <c r="CO259" s="49"/>
      <c r="CP259" s="49"/>
      <c r="CR259" s="49"/>
      <c r="CS259" s="49"/>
      <c r="CT259" s="49"/>
      <c r="CV259" s="49"/>
      <c r="CW259" s="49"/>
      <c r="CX259" s="49"/>
      <c r="CZ259" s="49"/>
      <c r="DA259" s="49"/>
      <c r="DB259" s="49"/>
      <c r="DD259" s="49"/>
      <c r="DE259" s="49"/>
      <c r="DF259" s="49"/>
      <c r="DH259" s="49"/>
      <c r="DI259" s="49"/>
      <c r="DJ259" s="72"/>
      <c r="DL259" s="49"/>
      <c r="DM259" s="49"/>
      <c r="DN259" s="72"/>
      <c r="DP259" s="49"/>
      <c r="DQ259" s="49"/>
      <c r="DR259" s="72"/>
    </row>
    <row r="260" spans="1:128" s="47" customFormat="1" ht="13.8">
      <c r="A260" s="47" t="s">
        <v>980</v>
      </c>
      <c r="B260" s="92"/>
      <c r="BA260" s="92"/>
      <c r="BB260" s="92"/>
      <c r="BC260" s="92"/>
      <c r="BD260" s="92"/>
      <c r="BE260" s="92"/>
      <c r="BF260" s="92"/>
      <c r="BG260" s="92"/>
      <c r="BH260" s="92"/>
      <c r="BI260" s="92"/>
      <c r="BJ260" s="92"/>
      <c r="BK260" s="92"/>
      <c r="BL260" s="92"/>
      <c r="BM260" s="92"/>
      <c r="BN260" s="92"/>
      <c r="BO260" s="92"/>
      <c r="BP260" s="92"/>
      <c r="BQ260" s="92"/>
      <c r="BR260" s="92"/>
      <c r="BT260" s="92"/>
      <c r="BU260" s="92"/>
      <c r="BV260" s="92"/>
      <c r="BX260" s="92"/>
      <c r="BY260" s="92"/>
      <c r="BZ260" s="92"/>
      <c r="CB260" s="92"/>
      <c r="CC260" s="92"/>
      <c r="CD260" s="92"/>
      <c r="CF260" s="919">
        <f>-CF254/CF154</f>
        <v>5.8627583781601265E-3</v>
      </c>
      <c r="CG260" s="919">
        <f>-CG254/CG154</f>
        <v>5.6673100062180513E-3</v>
      </c>
      <c r="CH260" s="919">
        <f>-CH254/CH154</f>
        <v>5.6673100062180513E-3</v>
      </c>
      <c r="CJ260" s="919">
        <f>-CJ254/CJ154</f>
        <v>7.053520037344831E-3</v>
      </c>
      <c r="CK260" s="919">
        <f>-CK254/CK154</f>
        <v>8.0011694140400356E-3</v>
      </c>
      <c r="CL260" s="919">
        <f>-CL254/CL154</f>
        <v>8.0011694140400356E-3</v>
      </c>
      <c r="CN260" s="919">
        <f>-CN254/CN154</f>
        <v>6.8654025710528782E-3</v>
      </c>
      <c r="CO260" s="919">
        <f>-CO254/CO154</f>
        <v>6.3781342735234111E-3</v>
      </c>
      <c r="CP260" s="919">
        <f>-CP254/CP154</f>
        <v>6.3781342735234111E-3</v>
      </c>
      <c r="CR260" s="919">
        <f>-CR254/CR154</f>
        <v>5.4298159293925596E-3</v>
      </c>
      <c r="CS260" s="919">
        <f>-CS254/CS154</f>
        <v>5.2948454339718587E-3</v>
      </c>
      <c r="CT260" s="919">
        <f>-CT254/CT154</f>
        <v>5.2948454339718587E-3</v>
      </c>
      <c r="CV260" s="919">
        <f>-CV254/CV154</f>
        <v>5.2688359444654897E-3</v>
      </c>
      <c r="CW260" s="919">
        <f>-CW254/CW154</f>
        <v>4.986605353639758E-3</v>
      </c>
      <c r="CX260" s="919">
        <f>-CX254/CX154</f>
        <v>4.986605353639758E-3</v>
      </c>
      <c r="CZ260" s="919">
        <f>-CZ254/CZ154</f>
        <v>4.8515338856489707E-3</v>
      </c>
      <c r="DA260" s="919">
        <f>-DA254/DA154</f>
        <v>4.550677834298366E-3</v>
      </c>
      <c r="DB260" s="919">
        <f>-DB254/DB154</f>
        <v>4.550677834298366E-3</v>
      </c>
      <c r="DD260" s="919">
        <f>-DD254/DD154</f>
        <v>4.5612924430020359E-3</v>
      </c>
      <c r="DE260" s="919">
        <f>-DE254/DE154</f>
        <v>4.645245458175404E-3</v>
      </c>
      <c r="DF260" s="919">
        <f>-DF254/DF154</f>
        <v>4.645245458175404E-3</v>
      </c>
      <c r="DH260" s="919">
        <f ca="1">-DH254/DH154</f>
        <v>5.1257605696993121E-3</v>
      </c>
      <c r="DI260" s="919">
        <f ca="1">-DI254/DI154</f>
        <v>5.0666318159502547E-3</v>
      </c>
      <c r="DJ260" s="919">
        <f ca="1">-DJ254/DJ154</f>
        <v>5.0666318159502547E-3</v>
      </c>
      <c r="DL260" s="919">
        <f ca="1">-DL254/DL154</f>
        <v>4.9594710894751912E-3</v>
      </c>
      <c r="DM260" s="919">
        <f ca="1">-DM254/DM154</f>
        <v>4.9882259073936071E-3</v>
      </c>
      <c r="DN260" s="919">
        <f ca="1">-DN254/DN154</f>
        <v>4.9882259073936071E-3</v>
      </c>
      <c r="DP260" s="919">
        <f ca="1">-DP254/DP154</f>
        <v>5.0183184043341459E-3</v>
      </c>
      <c r="DQ260" s="919">
        <f ca="1">-DQ254/DQ154</f>
        <v>5.051123551432805E-3</v>
      </c>
      <c r="DR260" s="919">
        <f ca="1">-DR254/DR154</f>
        <v>5.051123551432805E-3</v>
      </c>
    </row>
    <row r="261" spans="1:128" s="47" customFormat="1" ht="13.8">
      <c r="A261" s="47" t="s">
        <v>982</v>
      </c>
      <c r="B261" s="92"/>
      <c r="BA261" s="92"/>
      <c r="BB261" s="92"/>
      <c r="BC261" s="92"/>
      <c r="BD261" s="92"/>
      <c r="BE261" s="92"/>
      <c r="BF261" s="92"/>
      <c r="BG261" s="92"/>
      <c r="BH261" s="92"/>
      <c r="BI261" s="92"/>
      <c r="BJ261" s="92"/>
      <c r="BK261" s="92"/>
      <c r="BL261" s="92"/>
      <c r="BM261" s="92"/>
      <c r="BN261" s="92"/>
      <c r="BO261" s="92"/>
      <c r="BP261" s="92"/>
      <c r="BQ261" s="92"/>
      <c r="BR261" s="92"/>
      <c r="BT261" s="92"/>
      <c r="BU261" s="92"/>
      <c r="BV261" s="92"/>
      <c r="BX261" s="92"/>
      <c r="BY261" s="92"/>
      <c r="BZ261" s="92"/>
      <c r="CB261" s="92"/>
      <c r="CC261" s="92"/>
      <c r="CD261" s="92"/>
      <c r="CF261" s="919">
        <f>-CF254/CF266</f>
        <v>1.0421882190187051E-2</v>
      </c>
      <c r="CG261" s="919">
        <f>-CG254/CG266</f>
        <v>9.7987746644848175E-3</v>
      </c>
      <c r="CH261" s="919">
        <f>-CH254/CH266</f>
        <v>9.7987746644848175E-3</v>
      </c>
      <c r="CJ261" s="919">
        <f>-CJ254/CJ266</f>
        <v>1.2095948932245587E-2</v>
      </c>
      <c r="CK261" s="919">
        <f>-CK254/CK266</f>
        <v>1.3834689212497604E-2</v>
      </c>
      <c r="CL261" s="919">
        <f>-CL254/CL266</f>
        <v>1.3834689212497604E-2</v>
      </c>
      <c r="CN261" s="919">
        <f>-CN254/CN266</f>
        <v>1.2431916972345566E-2</v>
      </c>
      <c r="CO261" s="919">
        <f>-CO254/CO266</f>
        <v>1.181028794328726E-2</v>
      </c>
      <c r="CP261" s="919">
        <f>-CP254/CP266</f>
        <v>1.181028794328726E-2</v>
      </c>
      <c r="CR261" s="919">
        <f>-CR254/CR266</f>
        <v>1.0203057763813117E-2</v>
      </c>
      <c r="CS261" s="919">
        <f>-CS254/CS266</f>
        <v>9.9654464419850763E-3</v>
      </c>
      <c r="CT261" s="919">
        <f>-CT254/CT266</f>
        <v>9.9654464419850763E-3</v>
      </c>
      <c r="CV261" s="919">
        <f>-CV254/CV266</f>
        <v>1.0593870730449994E-2</v>
      </c>
      <c r="CW261" s="919">
        <f>-CW254/CW266</f>
        <v>1.015926495741188E-2</v>
      </c>
      <c r="CX261" s="919">
        <f>-CX254/CX266</f>
        <v>1.015926495741188E-2</v>
      </c>
      <c r="CZ261" s="919">
        <f>-CZ254/CZ266</f>
        <v>1.0013000542406737E-2</v>
      </c>
      <c r="DA261" s="919">
        <f>-DA254/DA266</f>
        <v>1.0174841147888202E-2</v>
      </c>
      <c r="DB261" s="919">
        <f>-DB254/DB266</f>
        <v>1.0174841147888202E-2</v>
      </c>
      <c r="DD261" s="919">
        <f>-DD254/DD266</f>
        <v>9.947603820345376E-3</v>
      </c>
      <c r="DE261" s="919">
        <f>-DE254/DE266</f>
        <v>1.0482083862082402E-2</v>
      </c>
      <c r="DF261" s="919">
        <f>-DF254/DF266</f>
        <v>1.0482083862082402E-2</v>
      </c>
      <c r="DH261" s="919">
        <f ca="1">-DH254/DH266</f>
        <v>1.1590072760400727E-2</v>
      </c>
      <c r="DI261" s="919">
        <f ca="1">-DI254/DI266</f>
        <v>1.1472919609423596E-2</v>
      </c>
      <c r="DJ261" s="919">
        <f ca="1">-DJ254/DJ266</f>
        <v>1.1472919609423596E-2</v>
      </c>
      <c r="DL261" s="919">
        <f ca="1">-DL254/DL266</f>
        <v>1.1258939637064543E-2</v>
      </c>
      <c r="DM261" s="919">
        <f ca="1">-DM254/DM266</f>
        <v>1.134291276093456E-2</v>
      </c>
      <c r="DN261" s="919">
        <f ca="1">-DN254/DN266</f>
        <v>1.134291276093456E-2</v>
      </c>
      <c r="DP261" s="919">
        <f ca="1">-DP254/DP266</f>
        <v>1.142616350349176E-2</v>
      </c>
      <c r="DQ261" s="919">
        <f ca="1">-DQ254/DQ266</f>
        <v>1.1507542316648725E-2</v>
      </c>
      <c r="DR261" s="919">
        <f ca="1">-DR254/DR266</f>
        <v>1.1507542316648725E-2</v>
      </c>
    </row>
    <row r="262" spans="1:128" s="47" customFormat="1" ht="13.8">
      <c r="A262" s="574" t="s">
        <v>983</v>
      </c>
      <c r="B262" s="575"/>
      <c r="C262" s="574"/>
      <c r="D262" s="574"/>
      <c r="E262" s="574"/>
      <c r="F262" s="574"/>
      <c r="G262" s="574"/>
      <c r="H262" s="574"/>
      <c r="I262" s="574"/>
      <c r="J262" s="574"/>
      <c r="K262" s="574"/>
      <c r="L262" s="574"/>
      <c r="M262" s="574"/>
      <c r="N262" s="574"/>
      <c r="O262" s="574"/>
      <c r="P262" s="574"/>
      <c r="Q262" s="574"/>
      <c r="R262" s="574"/>
      <c r="S262" s="574"/>
      <c r="T262" s="574"/>
      <c r="U262" s="574"/>
      <c r="V262" s="574"/>
      <c r="W262" s="574"/>
      <c r="X262" s="574"/>
      <c r="Y262" s="574"/>
      <c r="Z262" s="574"/>
      <c r="AA262" s="574"/>
      <c r="AB262" s="574"/>
      <c r="AC262" s="574"/>
      <c r="AD262" s="574"/>
      <c r="AE262" s="574"/>
      <c r="AF262" s="574"/>
      <c r="AG262" s="574"/>
      <c r="AH262" s="574"/>
      <c r="AI262" s="574"/>
      <c r="AJ262" s="574"/>
      <c r="AK262" s="574"/>
      <c r="AL262" s="574"/>
      <c r="AM262" s="574"/>
      <c r="AN262" s="574"/>
      <c r="AO262" s="574"/>
      <c r="AP262" s="574"/>
      <c r="AQ262" s="574"/>
      <c r="AR262" s="574"/>
      <c r="AS262" s="574"/>
      <c r="AT262" s="574"/>
      <c r="AU262" s="574"/>
      <c r="AV262" s="574"/>
      <c r="AW262" s="574"/>
      <c r="AX262" s="574"/>
      <c r="AY262" s="574"/>
      <c r="AZ262" s="574"/>
      <c r="BA262" s="575"/>
      <c r="BB262" s="575"/>
      <c r="BC262" s="575"/>
      <c r="BD262" s="575"/>
      <c r="BE262" s="575"/>
      <c r="BF262" s="575"/>
      <c r="BG262" s="575"/>
      <c r="BH262" s="575"/>
      <c r="BI262" s="575"/>
      <c r="BJ262" s="575"/>
      <c r="BK262" s="575"/>
      <c r="BL262" s="575"/>
      <c r="BM262" s="575"/>
      <c r="BN262" s="575"/>
      <c r="BO262" s="575"/>
      <c r="BP262" s="575"/>
      <c r="BQ262" s="575"/>
      <c r="BR262" s="575"/>
      <c r="BS262" s="574"/>
      <c r="BT262" s="575"/>
      <c r="BU262" s="575"/>
      <c r="BV262" s="575"/>
      <c r="BW262" s="574"/>
      <c r="BX262" s="575"/>
      <c r="BY262" s="575"/>
      <c r="BZ262" s="575"/>
      <c r="CA262" s="574"/>
      <c r="CB262" s="575"/>
      <c r="CC262" s="575"/>
      <c r="CD262" s="575"/>
      <c r="CE262" s="574"/>
      <c r="CF262" s="920">
        <f>-CF255/CF266</f>
        <v>1.9333011116481392E-3</v>
      </c>
      <c r="CG262" s="920">
        <f>-CG255/CG266</f>
        <v>1.9016715721043491E-3</v>
      </c>
      <c r="CH262" s="920">
        <f>-CH255/CH266</f>
        <v>1.9016715721043491E-3</v>
      </c>
      <c r="CI262" s="574"/>
      <c r="CJ262" s="920">
        <f>-CJ255/CJ266</f>
        <v>2.3963916818006358E-3</v>
      </c>
      <c r="CK262" s="920">
        <f>-CK255/CK266</f>
        <v>2.5497379436002412E-3</v>
      </c>
      <c r="CL262" s="920">
        <f>-CL255/CL266</f>
        <v>2.5497379436002412E-3</v>
      </c>
      <c r="CM262" s="574"/>
      <c r="CN262" s="920">
        <f>-CN255/CN266</f>
        <v>2.4688324528610961E-3</v>
      </c>
      <c r="CO262" s="920">
        <f>-CO255/CO266</f>
        <v>2.4438098908606764E-3</v>
      </c>
      <c r="CP262" s="920">
        <f>-CP255/CP266</f>
        <v>2.4438098908606764E-3</v>
      </c>
      <c r="CQ262" s="574"/>
      <c r="CR262" s="920">
        <f>-CR255/CR266</f>
        <v>2.390938515037971E-3</v>
      </c>
      <c r="CS262" s="920">
        <f>-CS255/CS266</f>
        <v>2.2618391840686395E-3</v>
      </c>
      <c r="CT262" s="920">
        <f>-CT255/CT266</f>
        <v>2.2618391840686395E-3</v>
      </c>
      <c r="CU262" s="574"/>
      <c r="CV262" s="920">
        <f>-CV255/CV266</f>
        <v>2.3255544550441075E-3</v>
      </c>
      <c r="CW262" s="920">
        <f>-CW255/CW266</f>
        <v>2.4696239123770561E-3</v>
      </c>
      <c r="CX262" s="920">
        <f>-CX255/CX266</f>
        <v>2.4696239123770561E-3</v>
      </c>
      <c r="CY262" s="574"/>
      <c r="CZ262" s="920">
        <f>-CZ255/CZ266</f>
        <v>2.5312314354837321E-3</v>
      </c>
      <c r="DA262" s="920">
        <f>-DA255/DA266</f>
        <v>2.4364245469773106E-3</v>
      </c>
      <c r="DB262" s="920">
        <f>-DB255/DB266</f>
        <v>2.4364245469773106E-3</v>
      </c>
      <c r="DC262" s="574"/>
      <c r="DD262" s="920">
        <f>-DD255/DD266</f>
        <v>2.335478376326766E-3</v>
      </c>
      <c r="DE262" s="920">
        <f>-DE255/DE266</f>
        <v>2.4459999512964612E-3</v>
      </c>
      <c r="DF262" s="920">
        <f>-DF255/DF266</f>
        <v>2.4459999512964612E-3</v>
      </c>
      <c r="DG262" s="574"/>
      <c r="DH262" s="918">
        <f>DE262</f>
        <v>2.4459999512964612E-3</v>
      </c>
      <c r="DI262" s="918">
        <f>DH262</f>
        <v>2.4459999512964612E-3</v>
      </c>
      <c r="DJ262" s="920">
        <f ca="1">-DJ255/DJ267</f>
        <v>1.9428715540285779E-3</v>
      </c>
      <c r="DK262" s="574"/>
      <c r="DL262" s="918">
        <f>DI262</f>
        <v>2.4459999512964612E-3</v>
      </c>
      <c r="DM262" s="918">
        <f>DL262</f>
        <v>2.4459999512964612E-3</v>
      </c>
      <c r="DN262" s="920">
        <f ca="1">-DN255/DN267</f>
        <v>1.9607259353522379E-3</v>
      </c>
      <c r="DO262" s="574"/>
      <c r="DP262" s="918">
        <f>DM262</f>
        <v>2.4459999512964612E-3</v>
      </c>
      <c r="DQ262" s="918">
        <f>DP262</f>
        <v>2.4459999512964612E-3</v>
      </c>
      <c r="DR262" s="920">
        <f ca="1">-DR255/DR267</f>
        <v>1.9606248461256654E-3</v>
      </c>
      <c r="DS262" s="574"/>
      <c r="DT262" s="574"/>
      <c r="DU262" s="574"/>
      <c r="DV262" s="574"/>
    </row>
    <row r="263" spans="1:128" s="47" customFormat="1" ht="13.8">
      <c r="A263" s="47" t="s">
        <v>981</v>
      </c>
      <c r="B263" s="92"/>
      <c r="BA263" s="92"/>
      <c r="BB263" s="92"/>
      <c r="BC263" s="92"/>
      <c r="BD263" s="92"/>
      <c r="BE263" s="92"/>
      <c r="BF263" s="92"/>
      <c r="BG263" s="92"/>
      <c r="BH263" s="92"/>
      <c r="BI263" s="92"/>
      <c r="BJ263" s="92"/>
      <c r="BK263" s="92"/>
      <c r="BL263" s="92"/>
      <c r="BM263" s="92"/>
      <c r="BN263" s="92"/>
      <c r="BO263" s="92"/>
      <c r="BP263" s="92"/>
      <c r="BQ263" s="92"/>
      <c r="BR263" s="92"/>
      <c r="BT263" s="92"/>
      <c r="BU263" s="92"/>
      <c r="BV263" s="92"/>
      <c r="BX263" s="92"/>
      <c r="BY263" s="92"/>
      <c r="BZ263" s="92"/>
      <c r="CB263" s="92"/>
      <c r="CC263" s="92"/>
      <c r="CD263" s="92"/>
      <c r="CF263" s="919">
        <f>-CF256/CF266</f>
        <v>1.2355183301835189E-2</v>
      </c>
      <c r="CG263" s="919">
        <f>-CG256/CG266</f>
        <v>1.1700446236589166E-2</v>
      </c>
      <c r="CH263" s="919">
        <f>-CH256/CH266</f>
        <v>1.1700446236589166E-2</v>
      </c>
      <c r="CJ263" s="919">
        <f>-CJ256/CJ266</f>
        <v>1.4492340614046223E-2</v>
      </c>
      <c r="CK263" s="919">
        <f>-CK256/CK266</f>
        <v>1.6384427156097846E-2</v>
      </c>
      <c r="CL263" s="919">
        <f>-CL256/CL266</f>
        <v>1.6384427156097846E-2</v>
      </c>
      <c r="CN263" s="919">
        <f>-CN256/CN266</f>
        <v>1.4900749425206663E-2</v>
      </c>
      <c r="CO263" s="919">
        <f>-CO256/CO266</f>
        <v>1.4254097834147937E-2</v>
      </c>
      <c r="CP263" s="919">
        <f>-CP256/CP266</f>
        <v>1.4254097834147937E-2</v>
      </c>
      <c r="CR263" s="919">
        <f>-CR256/CR266</f>
        <v>1.2593996278851088E-2</v>
      </c>
      <c r="CS263" s="919">
        <f>-CS256/CS266</f>
        <v>1.2227285626053717E-2</v>
      </c>
      <c r="CT263" s="919">
        <f>-CT256/CT266</f>
        <v>1.2227285626053717E-2</v>
      </c>
      <c r="CV263" s="919">
        <f>-CV256/CV266</f>
        <v>1.2919425185494101E-2</v>
      </c>
      <c r="CW263" s="919">
        <f>-CW256/CW266</f>
        <v>1.2628888869788937E-2</v>
      </c>
      <c r="CX263" s="919">
        <f>-CX256/CX266</f>
        <v>1.2628888869788937E-2</v>
      </c>
      <c r="CZ263" s="919">
        <f>-CZ256/CZ266</f>
        <v>1.2544231977890468E-2</v>
      </c>
      <c r="DA263" s="919">
        <f>-DA256/DA266</f>
        <v>1.2611265694865512E-2</v>
      </c>
      <c r="DB263" s="919">
        <f>-DB256/DB266</f>
        <v>1.2611265694865512E-2</v>
      </c>
      <c r="DD263" s="919">
        <f>-DD256/DD266</f>
        <v>1.2283082196672141E-2</v>
      </c>
      <c r="DE263" s="919">
        <f>-DE256/DE266</f>
        <v>1.2928083813378862E-2</v>
      </c>
      <c r="DF263" s="919">
        <f>-DF256/DF266</f>
        <v>1.2928083813378862E-2</v>
      </c>
      <c r="DH263" s="919">
        <f ca="1">-DH256/DH266</f>
        <v>1.4036072711697187E-2</v>
      </c>
      <c r="DI263" s="919">
        <f ca="1">-DI256/DI266</f>
        <v>1.3918919560720057E-2</v>
      </c>
      <c r="DJ263" s="919">
        <f ca="1">-DJ256/DJ266</f>
        <v>1.3918919560720057E-2</v>
      </c>
      <c r="DL263" s="919">
        <f ca="1">-DL256/DL266</f>
        <v>1.3704939588361005E-2</v>
      </c>
      <c r="DM263" s="919">
        <f ca="1">-DM256/DM266</f>
        <v>1.3788912712231021E-2</v>
      </c>
      <c r="DN263" s="919">
        <f ca="1">-DN256/DN266</f>
        <v>1.3788912712231021E-2</v>
      </c>
      <c r="DP263" s="919">
        <f ca="1">-DP256/DP266</f>
        <v>1.3872163454788219E-2</v>
      </c>
      <c r="DQ263" s="919">
        <f ca="1">-DQ256/DQ266</f>
        <v>1.3953542267945188E-2</v>
      </c>
      <c r="DR263" s="919">
        <f ca="1">-DR256/DR266</f>
        <v>1.3953542267945188E-2</v>
      </c>
    </row>
    <row r="264" spans="1:128" s="47" customFormat="1" ht="13.8">
      <c r="A264" s="47" t="s">
        <v>473</v>
      </c>
      <c r="B264" s="92"/>
      <c r="BD264" s="76"/>
      <c r="BE264" s="76"/>
      <c r="BF264" s="76"/>
      <c r="BH264" s="76">
        <f>-BH256/BH267</f>
        <v>1.3367143857995796E-2</v>
      </c>
      <c r="BI264" s="76">
        <f>-BI256/BI267</f>
        <v>1.2833625631880683E-2</v>
      </c>
      <c r="BJ264" s="76">
        <f>-BJ256/BJ267</f>
        <v>1.2833625631880683E-2</v>
      </c>
      <c r="BK264" s="92"/>
      <c r="BL264" s="76">
        <f>-BL256/BL267</f>
        <v>1.1955979375727671E-2</v>
      </c>
      <c r="BM264" s="76">
        <f>-BM256/BM267</f>
        <v>1.0878795338686523E-2</v>
      </c>
      <c r="BN264" s="76">
        <f>-BN256/BN267</f>
        <v>1.0878795338686523E-2</v>
      </c>
      <c r="BO264" s="92"/>
      <c r="BP264" s="76">
        <f>-BP256/BP267</f>
        <v>1.0411954619594016E-2</v>
      </c>
      <c r="BQ264" s="76">
        <f>-BQ256/BQ267</f>
        <v>9.9941035535419734E-3</v>
      </c>
      <c r="BR264" s="76">
        <f>-BR256/BR267</f>
        <v>9.9941035535419734E-3</v>
      </c>
      <c r="BT264" s="76">
        <f>-BT256/BT267</f>
        <v>1.0557894601310723E-2</v>
      </c>
      <c r="BU264" s="919">
        <f>-BU256/BU267</f>
        <v>1.0237846992770118E-2</v>
      </c>
      <c r="BV264" s="76">
        <f>-BV256/BV267</f>
        <v>1.0237846992770118E-2</v>
      </c>
      <c r="BX264" s="76">
        <f>-BX256/BX267</f>
        <v>1.0210558130163208E-2</v>
      </c>
      <c r="BY264" s="919">
        <f>-BY256/BY267</f>
        <v>9.7107485560439053E-3</v>
      </c>
      <c r="BZ264" s="76">
        <f>-BZ256/BZ267</f>
        <v>9.7107485560439053E-3</v>
      </c>
      <c r="CB264" s="76">
        <f>-CB256/CB267</f>
        <v>9.0833979741116837E-3</v>
      </c>
      <c r="CC264" s="919">
        <f>-CC256/CC267</f>
        <v>8.8096822066424437E-3</v>
      </c>
      <c r="CD264" s="76">
        <f>-CD256/CD267</f>
        <v>8.8096822066424437E-3</v>
      </c>
      <c r="CF264" s="76">
        <f>-CF256/CF267</f>
        <v>1.0772386958068692E-2</v>
      </c>
      <c r="CG264" s="76">
        <f>-CG256/CG267</f>
        <v>1.0048901456011474E-2</v>
      </c>
      <c r="CH264" s="76">
        <f>-CH256/CH267</f>
        <v>1.0048901456011474E-2</v>
      </c>
      <c r="CJ264" s="76">
        <f>-CJ256/CJ267</f>
        <v>1.2458464361754252E-2</v>
      </c>
      <c r="CK264" s="76">
        <f>-CK256/CK267</f>
        <v>1.3738285543942019E-2</v>
      </c>
      <c r="CL264" s="76">
        <f>-CL256/CL267</f>
        <v>1.3738285543942019E-2</v>
      </c>
      <c r="CN264" s="76">
        <f>-CN256/CN267</f>
        <v>1.2480216382550237E-2</v>
      </c>
      <c r="CO264" s="76">
        <f>-CO256/CO267</f>
        <v>1.1733151319679105E-2</v>
      </c>
      <c r="CP264" s="76">
        <f>-CP256/CP267</f>
        <v>1.1733151319679105E-2</v>
      </c>
      <c r="CR264" s="76">
        <f>-CR256/CR267</f>
        <v>1.0031741682080793E-2</v>
      </c>
      <c r="CS264" s="76">
        <f>-CS256/CS267</f>
        <v>9.6653310403370888E-3</v>
      </c>
      <c r="CT264" s="76">
        <f>-CT256/CT267</f>
        <v>9.6653310403370888E-3</v>
      </c>
      <c r="CV264" s="76">
        <f>-CV256/CV267</f>
        <v>1.0243068521157269E-2</v>
      </c>
      <c r="CW264" s="76">
        <f>-CW256/CW267</f>
        <v>1.0172456366669974E-2</v>
      </c>
      <c r="CX264" s="76">
        <f>-CX256/CX267</f>
        <v>1.0172456366669974E-2</v>
      </c>
      <c r="CZ264" s="76">
        <f>-CZ256/CZ267</f>
        <v>1.0099843106989942E-2</v>
      </c>
      <c r="DA264" s="76">
        <f>-DA256/DA267</f>
        <v>1.0199694568970536E-2</v>
      </c>
      <c r="DB264" s="76">
        <f>-DB256/DB267</f>
        <v>1.0199694568970536E-2</v>
      </c>
      <c r="DD264" s="76">
        <f>-DD256/DD267</f>
        <v>9.901940089424497E-3</v>
      </c>
      <c r="DE264" s="76">
        <f>-DE256/DE267</f>
        <v>1.0419869718916491E-2</v>
      </c>
      <c r="DF264" s="76">
        <f>-DF256/DF267</f>
        <v>1.0419869718916491E-2</v>
      </c>
      <c r="DH264" s="76">
        <f ca="1">-DH256/DH267</f>
        <v>1.1149581446462336E-2</v>
      </c>
      <c r="DI264" s="76">
        <f ca="1">-DI256/DI267</f>
        <v>1.1055876294274427E-2</v>
      </c>
      <c r="DJ264" s="76">
        <f ca="1">-DJ256/DJ267</f>
        <v>1.1055876294274427E-2</v>
      </c>
      <c r="DL264" s="76">
        <f ca="1">-DL256/DL267</f>
        <v>1.0939371096133599E-2</v>
      </c>
      <c r="DM264" s="76">
        <f ca="1">-DM256/DM267</f>
        <v>1.1053262188680505E-2</v>
      </c>
      <c r="DN264" s="76">
        <f ca="1">-DN256/DN267</f>
        <v>1.1053262188680505E-2</v>
      </c>
      <c r="DP264" s="76">
        <f ca="1">-DP256/DP267</f>
        <v>1.1071762473018377E-2</v>
      </c>
      <c r="DQ264" s="76">
        <f ca="1">-DQ256/DQ267</f>
        <v>1.1184653396046689E-2</v>
      </c>
      <c r="DR264" s="76">
        <f ca="1">-DR256/DR267</f>
        <v>1.1184653396046689E-2</v>
      </c>
    </row>
    <row r="265" spans="1:128" s="20" customFormat="1" ht="13.8">
      <c r="A265" s="78"/>
      <c r="B265" s="49"/>
      <c r="BH265" s="67"/>
      <c r="BI265" s="79"/>
      <c r="BJ265" s="72"/>
      <c r="BK265" s="49"/>
      <c r="BL265" s="67"/>
      <c r="BM265" s="79"/>
      <c r="BN265" s="72"/>
      <c r="BO265" s="49"/>
      <c r="BP265" s="67"/>
      <c r="BQ265" s="79"/>
      <c r="BR265" s="72"/>
      <c r="BT265" s="67"/>
      <c r="BU265" s="79"/>
      <c r="BV265" s="72"/>
      <c r="BX265" s="67"/>
      <c r="BY265" s="79"/>
      <c r="BZ265" s="72"/>
      <c r="CB265" s="67"/>
      <c r="CC265" s="79"/>
      <c r="CD265" s="72"/>
      <c r="CF265" s="67"/>
      <c r="CG265" s="79"/>
      <c r="CH265" s="72"/>
      <c r="CJ265" s="67"/>
      <c r="CK265" s="49"/>
      <c r="CL265" s="72"/>
      <c r="CN265" s="67"/>
      <c r="CO265" s="49"/>
      <c r="CP265" s="72"/>
      <c r="CR265" s="67"/>
      <c r="CS265" s="49"/>
      <c r="CT265" s="72"/>
      <c r="CV265" s="67"/>
      <c r="CW265" s="49"/>
      <c r="CX265" s="72"/>
      <c r="CZ265" s="67"/>
      <c r="DA265" s="49"/>
      <c r="DB265" s="72"/>
      <c r="DD265" s="67"/>
      <c r="DE265" s="49"/>
      <c r="DF265" s="72"/>
      <c r="DH265" s="67"/>
      <c r="DI265" s="49"/>
      <c r="DJ265" s="72"/>
      <c r="DL265" s="67"/>
      <c r="DM265" s="49"/>
      <c r="DN265" s="72"/>
      <c r="DP265" s="67"/>
      <c r="DQ265" s="49"/>
      <c r="DR265" s="72"/>
    </row>
    <row r="266" spans="1:128" s="20" customFormat="1" ht="13.8">
      <c r="A266" s="20" t="s">
        <v>535</v>
      </c>
      <c r="B266" s="49"/>
      <c r="BD266" s="65"/>
      <c r="BE266" s="65"/>
      <c r="BF266" s="65"/>
      <c r="BH266" s="65">
        <f>BH1402</f>
        <v>274978</v>
      </c>
      <c r="BI266" s="65">
        <f>BI1402</f>
        <v>287651</v>
      </c>
      <c r="BJ266" s="65">
        <f>BI266</f>
        <v>287651</v>
      </c>
      <c r="BK266" s="49"/>
      <c r="BL266" s="65">
        <f>BL1402</f>
        <v>305328</v>
      </c>
      <c r="BM266" s="65">
        <f>BM1402</f>
        <v>308885</v>
      </c>
      <c r="BN266" s="65">
        <f>BM266</f>
        <v>308885</v>
      </c>
      <c r="BO266" s="49"/>
      <c r="BP266" s="65">
        <f>BP1402</f>
        <v>339697</v>
      </c>
      <c r="BQ266" s="65">
        <f>BQ1402</f>
        <v>349751</v>
      </c>
      <c r="BR266" s="65">
        <f>BQ266</f>
        <v>349751</v>
      </c>
      <c r="BT266" s="65">
        <f>BT1402</f>
        <v>334308</v>
      </c>
      <c r="BU266" s="65">
        <f>BU1402</f>
        <v>352033</v>
      </c>
      <c r="BV266" s="65">
        <f>BU266</f>
        <v>352033</v>
      </c>
      <c r="BX266" s="65">
        <f>BX1402</f>
        <v>341809</v>
      </c>
      <c r="BY266" s="65">
        <f>BY1402</f>
        <v>336834</v>
      </c>
      <c r="BZ266" s="65">
        <f>BY266</f>
        <v>336834</v>
      </c>
      <c r="CB266" s="65">
        <f>CB1402</f>
        <v>342822</v>
      </c>
      <c r="CC266" s="65">
        <f>CC1402</f>
        <v>337580</v>
      </c>
      <c r="CD266" s="65">
        <f>CC266</f>
        <v>337580</v>
      </c>
      <c r="CF266" s="65">
        <f>CF1402</f>
        <v>345523</v>
      </c>
      <c r="CG266" s="65">
        <f>CG1402</f>
        <v>358106</v>
      </c>
      <c r="CH266" s="65">
        <f>CG266</f>
        <v>358106</v>
      </c>
      <c r="CJ266" s="65">
        <f>CJ1402</f>
        <v>385997</v>
      </c>
      <c r="CK266" s="65">
        <f>CK1402</f>
        <v>360037</v>
      </c>
      <c r="CL266" s="65">
        <f>CK266</f>
        <v>360037</v>
      </c>
      <c r="CN266" s="65">
        <f>CN1402</f>
        <v>341862</v>
      </c>
      <c r="CO266" s="65">
        <f>CO1402</f>
        <v>342498</v>
      </c>
      <c r="CP266" s="65">
        <f>CO266</f>
        <v>342498</v>
      </c>
      <c r="CR266" s="65">
        <f>CR1402</f>
        <v>348817</v>
      </c>
      <c r="CS266" s="65">
        <f>CS1402</f>
        <v>359442</v>
      </c>
      <c r="CT266" s="65">
        <f>CS266</f>
        <v>359442</v>
      </c>
      <c r="CV266" s="65">
        <f>CV1402</f>
        <v>345294</v>
      </c>
      <c r="CW266" s="65">
        <f>CW1402</f>
        <v>349041</v>
      </c>
      <c r="CX266" s="65">
        <f>CW266</f>
        <v>349041</v>
      </c>
      <c r="CZ266" s="65">
        <f>CZ1402</f>
        <v>348447</v>
      </c>
      <c r="DA266" s="65">
        <f>DA1402</f>
        <v>361185</v>
      </c>
      <c r="DB266" s="65">
        <f>DA266</f>
        <v>361185</v>
      </c>
      <c r="DD266" s="65">
        <f>DD1402</f>
        <v>378081</v>
      </c>
      <c r="DE266" s="65">
        <f>DE1402</f>
        <v>369583</v>
      </c>
      <c r="DF266" s="65">
        <f>DE266</f>
        <v>369583</v>
      </c>
      <c r="DH266" s="65">
        <f ca="1">DH1402</f>
        <v>371411.66461772221</v>
      </c>
      <c r="DI266" s="65">
        <f ca="1">DI1402</f>
        <v>378929.84977178671</v>
      </c>
      <c r="DJ266" s="65">
        <f ca="1">DI266</f>
        <v>378929.84977178671</v>
      </c>
      <c r="DL266" s="65">
        <f ca="1">DL1402</f>
        <v>386383.71564999397</v>
      </c>
      <c r="DM266" s="65">
        <f ca="1">DM1402</f>
        <v>395103.82086026511</v>
      </c>
      <c r="DN266" s="65">
        <f ca="1">DM266</f>
        <v>395103.82086026511</v>
      </c>
      <c r="DP266" s="65">
        <f ca="1">DP1402</f>
        <v>402535.63656090334</v>
      </c>
      <c r="DQ266" s="65">
        <f ca="1">DQ1402</f>
        <v>411019.5747267743</v>
      </c>
      <c r="DR266" s="65">
        <f ca="1">DQ266</f>
        <v>411019.5747267743</v>
      </c>
    </row>
    <row r="267" spans="1:128" s="20" customFormat="1" ht="13.8">
      <c r="A267" s="20" t="s">
        <v>713</v>
      </c>
      <c r="B267" s="49"/>
      <c r="BD267" s="65"/>
      <c r="BE267" s="65"/>
      <c r="BF267" s="65"/>
      <c r="BH267" s="65">
        <f>BH1407</f>
        <v>322582</v>
      </c>
      <c r="BI267" s="65">
        <f>BI1407</f>
        <v>339265</v>
      </c>
      <c r="BJ267" s="65">
        <f>BI267</f>
        <v>339265</v>
      </c>
      <c r="BK267" s="49"/>
      <c r="BL267" s="65">
        <f>BL1407</f>
        <v>360740</v>
      </c>
      <c r="BM267" s="65">
        <f>BM1407</f>
        <v>361529</v>
      </c>
      <c r="BN267" s="65">
        <f>BM267</f>
        <v>361529</v>
      </c>
      <c r="BO267" s="49"/>
      <c r="BP267" s="65">
        <f>BP1407</f>
        <v>386863</v>
      </c>
      <c r="BQ267" s="65">
        <f>BQ1407</f>
        <v>401937</v>
      </c>
      <c r="BR267" s="65">
        <f>BQ267</f>
        <v>401937</v>
      </c>
      <c r="BT267" s="65">
        <f>BT1407</f>
        <v>388335</v>
      </c>
      <c r="BU267" s="65">
        <f>BU1407</f>
        <v>408582</v>
      </c>
      <c r="BV267" s="65">
        <f>BU267</f>
        <v>408582</v>
      </c>
      <c r="BX267" s="65">
        <f>BX1407</f>
        <v>397040</v>
      </c>
      <c r="BY267" s="65">
        <f>BY1407</f>
        <v>391113</v>
      </c>
      <c r="BZ267" s="65">
        <f>BY267</f>
        <v>391113</v>
      </c>
      <c r="CB267" s="65">
        <f>CB1407</f>
        <v>395777</v>
      </c>
      <c r="CC267" s="65">
        <f>CC1407</f>
        <v>390820</v>
      </c>
      <c r="CD267" s="65">
        <f>CC267</f>
        <v>390820</v>
      </c>
      <c r="CF267" s="65">
        <f>CF1407</f>
        <v>396291</v>
      </c>
      <c r="CG267" s="65">
        <f>CG1407</f>
        <v>416961</v>
      </c>
      <c r="CH267" s="65">
        <f>CG267</f>
        <v>416961</v>
      </c>
      <c r="CJ267" s="65">
        <f>CJ1407</f>
        <v>449012</v>
      </c>
      <c r="CK267" s="65">
        <f>CK1407</f>
        <v>429384</v>
      </c>
      <c r="CL267" s="65">
        <f>CK267</f>
        <v>429384</v>
      </c>
      <c r="CN267" s="65">
        <f>CN1407</f>
        <v>408166</v>
      </c>
      <c r="CO267" s="65">
        <f>CO1407</f>
        <v>416086</v>
      </c>
      <c r="CP267" s="65">
        <f>CO267</f>
        <v>416086</v>
      </c>
      <c r="CR267" s="65">
        <f>CR1407</f>
        <v>437910</v>
      </c>
      <c r="CS267" s="65">
        <f>CS1407</f>
        <v>454718</v>
      </c>
      <c r="CT267" s="65">
        <f>CS267</f>
        <v>454718</v>
      </c>
      <c r="CV267" s="65">
        <f>CV1407</f>
        <v>435514.02499999997</v>
      </c>
      <c r="CW267" s="65">
        <f>CW1407</f>
        <v>433327</v>
      </c>
      <c r="CX267" s="65">
        <f>CW267</f>
        <v>433327</v>
      </c>
      <c r="CZ267" s="65">
        <f>CZ1407</f>
        <v>432779</v>
      </c>
      <c r="DA267" s="65">
        <f>DA1407</f>
        <v>446582</v>
      </c>
      <c r="DB267" s="65">
        <f>DA267</f>
        <v>446582</v>
      </c>
      <c r="DD267" s="65">
        <f>DD1407</f>
        <v>468999</v>
      </c>
      <c r="DE267" s="65">
        <f>DE1407</f>
        <v>458547</v>
      </c>
      <c r="DF267" s="65">
        <f>DE267</f>
        <v>458547</v>
      </c>
      <c r="DH267" s="65">
        <f ca="1">DH1407</f>
        <v>467565.63513879071</v>
      </c>
      <c r="DI267" s="65">
        <f ca="1">DI1407</f>
        <v>477057.98778344376</v>
      </c>
      <c r="DJ267" s="65">
        <f ca="1">DI267</f>
        <v>477057.98778344376</v>
      </c>
      <c r="DL267" s="65">
        <f ca="1">DL1407</f>
        <v>484064.89133376349</v>
      </c>
      <c r="DM267" s="65">
        <f ca="1">DM1407</f>
        <v>492890.87738192204</v>
      </c>
      <c r="DN267" s="65">
        <f ca="1">DM267</f>
        <v>492890.87738192204</v>
      </c>
      <c r="DP267" s="65">
        <f ca="1">DP1407</f>
        <v>504349.70587187452</v>
      </c>
      <c r="DQ267" s="65">
        <f ca="1">DQ1407</f>
        <v>512772.17145862099</v>
      </c>
      <c r="DR267" s="65">
        <f ca="1">DQ267</f>
        <v>512772.17145862099</v>
      </c>
    </row>
    <row r="268" spans="1:128" s="20" customFormat="1" ht="13.8">
      <c r="A268" s="20" t="s">
        <v>312</v>
      </c>
      <c r="B268" s="49"/>
      <c r="BD268" s="100"/>
      <c r="BE268" s="100"/>
      <c r="BF268" s="100"/>
      <c r="BH268" s="100">
        <f>-BH244/BH266</f>
        <v>1.0069896500810974E-2</v>
      </c>
      <c r="BI268" s="100">
        <f>-BI244/BI266</f>
        <v>1.0036467802997382E-2</v>
      </c>
      <c r="BJ268" s="100">
        <f>-BJ244/BJ266</f>
        <v>1.0036467802997382E-2</v>
      </c>
      <c r="BK268" s="49"/>
      <c r="BL268" s="100">
        <f>-BL244/BL266</f>
        <v>9.3112980139391077E-3</v>
      </c>
      <c r="BM268" s="100">
        <f>-BM244/BM266</f>
        <v>8.9256519416611359E-3</v>
      </c>
      <c r="BN268" s="100">
        <f>-BN244/BN266</f>
        <v>8.9256519416611359E-3</v>
      </c>
      <c r="BO268" s="49"/>
      <c r="BP268" s="100">
        <f>-BP244/BP266</f>
        <v>8.5782329546625381E-3</v>
      </c>
      <c r="BQ268" s="100">
        <f>-BQ244/BQ266</f>
        <v>8.4517270858410695E-3</v>
      </c>
      <c r="BR268" s="100">
        <f>-BR244/BR266</f>
        <v>8.4517270858410695E-3</v>
      </c>
      <c r="BT268" s="100">
        <f>-BT244/BT266</f>
        <v>8.5609677303564377E-3</v>
      </c>
      <c r="BU268" s="100">
        <f>-BU244/BU266</f>
        <v>8.1696886371448139E-3</v>
      </c>
      <c r="BV268" s="100">
        <f>-BV244/BV266</f>
        <v>8.1696886371448139E-3</v>
      </c>
      <c r="BX268" s="100">
        <f>-BX244/BX266</f>
        <v>8.1478252474335086E-3</v>
      </c>
      <c r="BY268" s="100">
        <f>-BY244/BY266</f>
        <v>7.9030026660016506E-3</v>
      </c>
      <c r="BZ268" s="100">
        <f>-BZ244/BZ266</f>
        <v>7.9030026660016506E-3</v>
      </c>
      <c r="CB268" s="100">
        <f>-CB244/CB266</f>
        <v>7.5228544259119895E-3</v>
      </c>
      <c r="CC268" s="100">
        <f>-CC244/CC266</f>
        <v>7.4737839919426508E-3</v>
      </c>
      <c r="CD268" s="100">
        <f>-CD244/CD266</f>
        <v>7.4737839919426508E-3</v>
      </c>
      <c r="CF268" s="100">
        <f>-CF244/CF266</f>
        <v>9.7764837651907396E-3</v>
      </c>
      <c r="CG268" s="100">
        <f>-CG244/CG266</f>
        <v>9.4273762517243492E-3</v>
      </c>
      <c r="CH268" s="100">
        <f>-CH244/CH266</f>
        <v>9.4273762517243492E-3</v>
      </c>
      <c r="CJ268" s="100">
        <f>-CJ244/CJ266</f>
        <v>1.1660712388956392E-2</v>
      </c>
      <c r="CK268" s="100">
        <f>-CK244/CK266</f>
        <v>1.3909681504956434E-2</v>
      </c>
      <c r="CL268" s="100">
        <f>-CL244/CL266</f>
        <v>1.3909681504956434E-2</v>
      </c>
      <c r="CN268" s="100">
        <f>-CN244/CN266</f>
        <v>1.2534297465059E-2</v>
      </c>
      <c r="CO268" s="100">
        <f>-CO244/CO266</f>
        <v>1.2248246705090249E-2</v>
      </c>
      <c r="CP268" s="100">
        <f>-CP244/CP266</f>
        <v>1.2248246705090249E-2</v>
      </c>
      <c r="CR268" s="100">
        <f>-CR244/CR266</f>
        <v>1.0770690648678246E-2</v>
      </c>
      <c r="CS268" s="100">
        <f>-CS244/CS266</f>
        <v>1.0719392836674623E-2</v>
      </c>
      <c r="CT268" s="100">
        <f>-CT244/CT266</f>
        <v>1.0719392836674623E-2</v>
      </c>
      <c r="CV268" s="100">
        <f>-CV244/CV266</f>
        <v>1.1700174344182059E-2</v>
      </c>
      <c r="CW268" s="100">
        <f>-CW244/CW266</f>
        <v>1.155165152517899E-2</v>
      </c>
      <c r="CX268" s="100">
        <f>-CX244/CX266</f>
        <v>1.155165152517899E-2</v>
      </c>
      <c r="CZ268" s="100">
        <f>-CZ244/CZ266</f>
        <v>1.16115219818222E-2</v>
      </c>
      <c r="DA268" s="100">
        <f>-DA244/DA266</f>
        <v>1.1758517103423453E-2</v>
      </c>
      <c r="DB268" s="100">
        <f>-DB244/DB266</f>
        <v>1.1758517103423453E-2</v>
      </c>
      <c r="DD268" s="100">
        <f>-DD244/DD266</f>
        <v>1.1320325538707314E-2</v>
      </c>
      <c r="DE268" s="100">
        <f>-DE244/DE266</f>
        <v>1.1848488702131862E-2</v>
      </c>
      <c r="DF268" s="100">
        <f>-DF244/DF266</f>
        <v>1.1848488702131862E-2</v>
      </c>
      <c r="DH268" s="100">
        <f>DH269+DE268</f>
        <v>1.1548488702131862E-2</v>
      </c>
      <c r="DI268" s="77">
        <f>+DH268+DI269</f>
        <v>1.1348488702131862E-2</v>
      </c>
      <c r="DJ268" s="100">
        <f ca="1">-DJ244/DJ266</f>
        <v>1.1348488702131862E-2</v>
      </c>
      <c r="DL268" s="100">
        <f>DL269+DI268</f>
        <v>1.1048488702131862E-2</v>
      </c>
      <c r="DM268" s="77">
        <f>+DL268+DM269</f>
        <v>1.1048488702131862E-2</v>
      </c>
      <c r="DN268" s="100">
        <f ca="1">-DN244/DN266</f>
        <v>1.1048488702131862E-2</v>
      </c>
      <c r="DP268" s="100">
        <f>DP269+DM268</f>
        <v>1.1048488702131862E-2</v>
      </c>
      <c r="DQ268" s="77">
        <f>+DP268+DQ269</f>
        <v>1.1048488702131862E-2</v>
      </c>
      <c r="DR268" s="100">
        <f ca="1">-DR244/DR266</f>
        <v>1.1048488702131862E-2</v>
      </c>
    </row>
    <row r="269" spans="1:128" s="335" customFormat="1" ht="13.8">
      <c r="A269" s="335" t="s">
        <v>217</v>
      </c>
      <c r="B269" s="336"/>
      <c r="BD269" s="351"/>
      <c r="BE269" s="351"/>
      <c r="BF269" s="351"/>
      <c r="BH269" s="351">
        <f>+BH268-BE268</f>
        <v>1.0069896500810974E-2</v>
      </c>
      <c r="BI269" s="351">
        <f>+BI268-BH268</f>
        <v>-3.3428697813591909E-5</v>
      </c>
      <c r="BJ269" s="351">
        <f>+BJ268-BF268</f>
        <v>1.0036467802997382E-2</v>
      </c>
      <c r="BK269" s="336"/>
      <c r="BL269" s="351">
        <f>+BL268-BI268</f>
        <v>-7.2516978905827478E-4</v>
      </c>
      <c r="BM269" s="351">
        <f>+BM268-BL268</f>
        <v>-3.8564607227797171E-4</v>
      </c>
      <c r="BN269" s="351">
        <f>+BN268-BJ268</f>
        <v>-1.1108158613362465E-3</v>
      </c>
      <c r="BO269" s="336"/>
      <c r="BP269" s="351">
        <f>+BP268-BM268</f>
        <v>-3.4741898699859781E-4</v>
      </c>
      <c r="BQ269" s="351">
        <f>+BQ268-BP268</f>
        <v>-1.2650586882146861E-4</v>
      </c>
      <c r="BR269" s="351">
        <f>+BR268-BN268</f>
        <v>-4.7392485582006642E-4</v>
      </c>
      <c r="BT269" s="351">
        <f>+BT268-BQ268</f>
        <v>1.0924064451536819E-4</v>
      </c>
      <c r="BU269" s="351">
        <f>+BU268-BT268</f>
        <v>-3.9127909321162377E-4</v>
      </c>
      <c r="BV269" s="351">
        <f>+BV268-BR268</f>
        <v>-2.8203844869625558E-4</v>
      </c>
      <c r="BX269" s="351">
        <f>+BX268-BU268</f>
        <v>-2.1863389711305331E-5</v>
      </c>
      <c r="BY269" s="351">
        <f>+BY268-BX268</f>
        <v>-2.4482258143185796E-4</v>
      </c>
      <c r="BZ269" s="351">
        <f>+BZ268-BV268</f>
        <v>-2.6668597114316329E-4</v>
      </c>
      <c r="CB269" s="351">
        <f>+CB268-BY268</f>
        <v>-3.8014824008966112E-4</v>
      </c>
      <c r="CC269" s="351">
        <f>+CC268-CB268</f>
        <v>-4.9070433969338779E-5</v>
      </c>
      <c r="CD269" s="351">
        <f>+CD268-BZ268</f>
        <v>-4.292186740589999E-4</v>
      </c>
      <c r="CF269" s="351">
        <f>+CF268-CC268</f>
        <v>2.3026997732480889E-3</v>
      </c>
      <c r="CG269" s="351">
        <f>+CG268-CF268</f>
        <v>-3.4910751346639048E-4</v>
      </c>
      <c r="CH269" s="351">
        <f>+CH268-CD268</f>
        <v>1.9535922597816984E-3</v>
      </c>
      <c r="CJ269" s="351">
        <f>+CJ268-CG268</f>
        <v>2.2333361372320424E-3</v>
      </c>
      <c r="CK269" s="351">
        <f>+CK268-CJ268</f>
        <v>2.2489691160000429E-3</v>
      </c>
      <c r="CL269" s="351">
        <f>+CL268-CH268</f>
        <v>4.4823052532320853E-3</v>
      </c>
      <c r="CM269" s="325"/>
      <c r="CN269" s="351">
        <f>+CN268-CK268</f>
        <v>-1.3753840398974346E-3</v>
      </c>
      <c r="CO269" s="351">
        <f>+CO268-CN268</f>
        <v>-2.8605075996875062E-4</v>
      </c>
      <c r="CP269" s="351">
        <f>+CP268-CL268</f>
        <v>-1.6614347998661853E-3</v>
      </c>
      <c r="CQ269" s="325"/>
      <c r="CR269" s="351">
        <f>+CR268-CO268</f>
        <v>-1.4775560564120032E-3</v>
      </c>
      <c r="CS269" s="351">
        <f>+CS268-CR268</f>
        <v>-5.1297812003622822E-5</v>
      </c>
      <c r="CT269" s="351">
        <f>+CT268-CP268</f>
        <v>-1.528853868415626E-3</v>
      </c>
      <c r="CV269" s="351">
        <f>+CV268-CS268</f>
        <v>9.807815075074354E-4</v>
      </c>
      <c r="CW269" s="351">
        <f>+CW268-CV268</f>
        <v>-1.4852281900306838E-4</v>
      </c>
      <c r="CX269" s="351">
        <f>+CX268-CT268</f>
        <v>8.3225868850436702E-4</v>
      </c>
      <c r="CZ269" s="351">
        <f>+CZ268-CW268</f>
        <v>5.9870456643209419E-5</v>
      </c>
      <c r="DA269" s="351">
        <f>+DA268-CZ268</f>
        <v>1.4699512160125383E-4</v>
      </c>
      <c r="DB269" s="351">
        <f>+DB268-CX268</f>
        <v>2.0686557824446325E-4</v>
      </c>
      <c r="DD269" s="351">
        <f>+DD268-DA268</f>
        <v>-4.381915647161394E-4</v>
      </c>
      <c r="DE269" s="351">
        <f>+DE268-DD268</f>
        <v>5.281631634245481E-4</v>
      </c>
      <c r="DF269" s="351">
        <f>+DF268-DB268</f>
        <v>8.9971598708408693E-5</v>
      </c>
      <c r="DH269" s="354">
        <v>-2.9999999999999997E-4</v>
      </c>
      <c r="DI269" s="354">
        <v>-2.0000000000000001E-4</v>
      </c>
      <c r="DJ269" s="351">
        <f ca="1">+DJ268-DF268</f>
        <v>-5.0000000000000044E-4</v>
      </c>
      <c r="DL269" s="354">
        <v>-2.9999999999999997E-4</v>
      </c>
      <c r="DM269" s="354">
        <v>0</v>
      </c>
      <c r="DN269" s="351">
        <f ca="1">+DN268-DJ268</f>
        <v>-2.9999999999999992E-4</v>
      </c>
      <c r="DP269" s="354">
        <v>0</v>
      </c>
      <c r="DQ269" s="354">
        <v>0</v>
      </c>
      <c r="DR269" s="351">
        <f ca="1">+DR268-DN268</f>
        <v>0</v>
      </c>
      <c r="DW269" s="20"/>
      <c r="DX269" s="20"/>
    </row>
    <row r="270" spans="1:128" s="20" customFormat="1" ht="13.8">
      <c r="A270" s="20" t="s">
        <v>575</v>
      </c>
      <c r="B270" s="49"/>
      <c r="BD270" s="66"/>
      <c r="BE270" s="66"/>
      <c r="BF270" s="66"/>
      <c r="BH270" s="66">
        <f>-BH244/BH267</f>
        <v>8.5838639477714192E-3</v>
      </c>
      <c r="BI270" s="66">
        <f>-BI244/BI267</f>
        <v>8.5095721633531313E-3</v>
      </c>
      <c r="BJ270" s="66">
        <f>-BJ244/BJ267</f>
        <v>8.5095721633531313E-3</v>
      </c>
      <c r="BK270" s="49"/>
      <c r="BL270" s="66">
        <f>-BL244/BL267</f>
        <v>7.88102234296169E-3</v>
      </c>
      <c r="BM270" s="66">
        <f>-BM244/BM267</f>
        <v>7.6259442534347176E-3</v>
      </c>
      <c r="BN270" s="66">
        <f>-BN244/BN267</f>
        <v>7.6259442534347176E-3</v>
      </c>
      <c r="BO270" s="49"/>
      <c r="BP270" s="66">
        <f>-BP244/BP267</f>
        <v>7.5323822645225833E-3</v>
      </c>
      <c r="BQ270" s="66">
        <f>-BQ244/BQ267</f>
        <v>7.3543863839357912E-3</v>
      </c>
      <c r="BR270" s="66">
        <f>-BR244/BR267</f>
        <v>7.3543863839357912E-3</v>
      </c>
      <c r="BT270" s="66">
        <f>-BT244/BT267</f>
        <v>7.3699254509637302E-3</v>
      </c>
      <c r="BU270" s="66">
        <f>-BU244/BU267</f>
        <v>7.038978711739626E-3</v>
      </c>
      <c r="BV270" s="66">
        <f>-BV244/BV267</f>
        <v>7.038978711739626E-3</v>
      </c>
      <c r="BX270" s="66">
        <f>-BX244/BX267</f>
        <v>7.0144066089059039E-3</v>
      </c>
      <c r="BY270" s="66">
        <f>-BY244/BY267</f>
        <v>6.8062171290650016E-3</v>
      </c>
      <c r="BZ270" s="66">
        <f>-BZ244/BZ267</f>
        <v>6.8062171290650016E-3</v>
      </c>
      <c r="CB270" s="66">
        <f>-CB244/CB267</f>
        <v>6.5162957928328324E-3</v>
      </c>
      <c r="CC270" s="66">
        <f>-CC244/CC267</f>
        <v>6.4556573358579396E-3</v>
      </c>
      <c r="CD270" s="66">
        <f>-CD244/CD267</f>
        <v>6.4556573358579396E-3</v>
      </c>
      <c r="CF270" s="66">
        <f>-CF244/CF267</f>
        <v>8.5240391530466246E-3</v>
      </c>
      <c r="CG270" s="66">
        <f>-CG244/CG267</f>
        <v>8.0966805048913442E-3</v>
      </c>
      <c r="CH270" s="66">
        <f>-CH244/CH267</f>
        <v>8.0966805048913442E-3</v>
      </c>
      <c r="CJ270" s="66">
        <f>-CJ244/CJ267</f>
        <v>1.0024230978236662E-2</v>
      </c>
      <c r="CK270" s="66">
        <f>-CK244/CK267</f>
        <v>1.1663219868462728E-2</v>
      </c>
      <c r="CL270" s="66">
        <f>-CL244/CL267</f>
        <v>1.1663219868462728E-2</v>
      </c>
      <c r="CN270" s="66">
        <f>-CN244/CN267</f>
        <v>1.0498179662196263E-2</v>
      </c>
      <c r="CO270" s="66">
        <f>-CO244/CO267</f>
        <v>1.0082050345361296E-2</v>
      </c>
      <c r="CP270" s="66">
        <f>-CP244/CP267</f>
        <v>1.0082050345361296E-2</v>
      </c>
      <c r="CR270" s="66">
        <f>-CR244/CR267</f>
        <v>8.5793884588157392E-3</v>
      </c>
      <c r="CS270" s="66">
        <f>-CS244/CS267</f>
        <v>8.4733835036220253E-3</v>
      </c>
      <c r="CT270" s="66">
        <f>-CT244/CT267</f>
        <v>8.4733835036220253E-3</v>
      </c>
      <c r="CV270" s="66">
        <f>-CV244/CV267</f>
        <v>9.2763947154170297E-3</v>
      </c>
      <c r="CW270" s="66">
        <f>-CW244/CW267</f>
        <v>9.304751377135512E-3</v>
      </c>
      <c r="CX270" s="66">
        <f>-CX244/CX267</f>
        <v>9.304751377135512E-3</v>
      </c>
      <c r="CZ270" s="66">
        <f>-CZ244/CZ267</f>
        <v>9.3488824550174571E-3</v>
      </c>
      <c r="DA270" s="66">
        <f>-DA244/DA267</f>
        <v>9.510011599213582E-3</v>
      </c>
      <c r="DB270" s="66">
        <f>-DB244/DB267</f>
        <v>9.510011599213582E-3</v>
      </c>
      <c r="DD270" s="66">
        <f>-DD244/DD267</f>
        <v>9.1258190315970829E-3</v>
      </c>
      <c r="DE270" s="66">
        <f>-DE244/DE267</f>
        <v>9.5497299077302866E-3</v>
      </c>
      <c r="DF270" s="66">
        <f>-DF244/DF267</f>
        <v>9.5497299077302866E-3</v>
      </c>
      <c r="DH270" s="66">
        <f ca="1">-DH244/DH267</f>
        <v>9.1735642877273215E-3</v>
      </c>
      <c r="DI270" s="66">
        <f ca="1">-DI244/DI267</f>
        <v>9.0141685689323781E-3</v>
      </c>
      <c r="DJ270" s="66">
        <f ca="1">-DJ244/DJ267</f>
        <v>9.0141685689323781E-3</v>
      </c>
      <c r="DL270" s="66">
        <f ca="1">-DL244/DL267</f>
        <v>8.8189748801741474E-3</v>
      </c>
      <c r="DM270" s="66">
        <f ca="1">-DM244/DM267</f>
        <v>8.8565244382911718E-3</v>
      </c>
      <c r="DN270" s="66">
        <f ca="1">-DN244/DN267</f>
        <v>8.8565244382911718E-3</v>
      </c>
      <c r="DP270" s="66">
        <f ca="1">-DP244/DP267</f>
        <v>8.8181085087782763E-3</v>
      </c>
      <c r="DQ270" s="66">
        <f ca="1">-DQ244/DQ267</f>
        <v>8.8560678221015036E-3</v>
      </c>
      <c r="DR270" s="66">
        <f ca="1">-DR244/DR267</f>
        <v>8.8560678221015036E-3</v>
      </c>
    </row>
    <row r="271" spans="1:128" s="325" customFormat="1" ht="13.8">
      <c r="A271" s="325" t="s">
        <v>738</v>
      </c>
      <c r="B271" s="324"/>
      <c r="BD271" s="355"/>
      <c r="BE271" s="355"/>
      <c r="BF271" s="355"/>
      <c r="BH271" s="355"/>
      <c r="BI271" s="355">
        <f>BI249/BH218*2</f>
        <v>0.10544290288153682</v>
      </c>
      <c r="BJ271" s="355"/>
      <c r="BK271" s="324"/>
      <c r="BL271" s="355">
        <f>BL249/BI218*2</f>
        <v>0.12054409005628518</v>
      </c>
      <c r="BM271" s="355">
        <f>BM249/BL218*2</f>
        <v>0.10497237569060773</v>
      </c>
      <c r="BN271" s="355">
        <f>BN249/BJ218</f>
        <v>0.10483114446529081</v>
      </c>
      <c r="BO271" s="324"/>
      <c r="BP271" s="355">
        <f>BP249/BM218*2</f>
        <v>0.17999307718933888</v>
      </c>
      <c r="BQ271" s="355">
        <f>BQ249/BP218*2</f>
        <v>0.12850812407680945</v>
      </c>
      <c r="BR271" s="355">
        <f>BR249/BN218</f>
        <v>0.15022499134648667</v>
      </c>
      <c r="BT271" s="355">
        <f>BT249/BQ218*2</f>
        <v>0.11769032732622288</v>
      </c>
      <c r="BU271" s="355">
        <f>BU249/BT218*2</f>
        <v>0.10475199445022546</v>
      </c>
      <c r="BV271" s="355">
        <f>BV249/BR218</f>
        <v>0.11438028687017286</v>
      </c>
      <c r="BX271" s="355">
        <f>BX249/BU218*2</f>
        <v>0.13930034667507091</v>
      </c>
      <c r="BY271" s="355">
        <f>BY249/BX218*2</f>
        <v>0.19047619047619047</v>
      </c>
      <c r="BZ271" s="355">
        <f>BZ249/BV218</f>
        <v>0.15789473684210525</v>
      </c>
      <c r="CB271" s="355">
        <f>CB249/BY218*2</f>
        <v>0.16023489932885907</v>
      </c>
      <c r="CC271" s="355">
        <f>CC249/CB218*2</f>
        <v>0.23008849557522124</v>
      </c>
      <c r="CD271" s="355">
        <f>CD249/BZ218</f>
        <v>0.17827181208053691</v>
      </c>
      <c r="CF271" s="355">
        <f>CF249/CC218*2</f>
        <v>0.14212248714352502</v>
      </c>
      <c r="CG271" s="355">
        <f>CG249/CF218*2</f>
        <v>0.21616541353383459</v>
      </c>
      <c r="CH271" s="355">
        <f>CH249/CD218</f>
        <v>0.17858812529219262</v>
      </c>
      <c r="CJ271" s="355">
        <f>CJ249/CG218*2</f>
        <v>0.16165598817151305</v>
      </c>
      <c r="CK271" s="355">
        <f>CK249/CJ218*2</f>
        <v>0.1208156983455175</v>
      </c>
      <c r="CL271" s="355">
        <f>CL249/CH218</f>
        <v>0.15820601281419419</v>
      </c>
      <c r="CN271" s="355">
        <f>CN249/CK218*2</f>
        <v>0.13908092720618137</v>
      </c>
      <c r="CO271" s="355">
        <f>CO249/CN218*2</f>
        <v>0.15689446016983422</v>
      </c>
      <c r="CP271" s="355">
        <f>CP249/CL218</f>
        <v>0.14843432289548597</v>
      </c>
      <c r="CR271" s="355">
        <f>CR249/CO218*2</f>
        <v>0.11297709923664122</v>
      </c>
      <c r="CS271" s="355">
        <f>CS249/CR218*2</f>
        <v>0.12990052662375659</v>
      </c>
      <c r="CT271" s="355">
        <f>CT249/CP218</f>
        <v>0.11297709923664122</v>
      </c>
      <c r="CV271" s="355">
        <f>CV249/CS218*2</f>
        <v>0.25605536332179929</v>
      </c>
      <c r="CW271" s="355">
        <f>CW249/CV218*2</f>
        <v>0.3702479338842975</v>
      </c>
      <c r="CX271" s="355">
        <f>CX249/CT218</f>
        <v>0.28304498269896194</v>
      </c>
      <c r="CZ271" s="355">
        <f>CZ249/CW218*2</f>
        <v>0.19197896120973043</v>
      </c>
      <c r="DA271" s="355">
        <f>DA249/CZ218*2</f>
        <v>0.22397891963109354</v>
      </c>
      <c r="DB271" s="355">
        <f>DB249/CX218</f>
        <v>0.20775805391190005</v>
      </c>
      <c r="DD271" s="355">
        <f>DD249/DA218*2</f>
        <v>7.9149438865918492E-2</v>
      </c>
      <c r="DE271" s="355">
        <f>DE249/DD218*2</f>
        <v>6.216696269982238E-2</v>
      </c>
      <c r="DF271" s="355">
        <f>DF249/DB218</f>
        <v>8.0921441228588312E-2</v>
      </c>
      <c r="DH271" s="356">
        <f>DE271</f>
        <v>6.216696269982238E-2</v>
      </c>
      <c r="DI271" s="356">
        <f>DH271</f>
        <v>6.216696269982238E-2</v>
      </c>
      <c r="DJ271" s="355">
        <f>DJ249/DF218</f>
        <v>6.3413301401961414E-2</v>
      </c>
      <c r="DL271" s="356">
        <f>DI271</f>
        <v>6.216696269982238E-2</v>
      </c>
      <c r="DM271" s="356">
        <f>DL271</f>
        <v>6.216696269982238E-2</v>
      </c>
      <c r="DN271" s="355">
        <f>DN249/DJ218</f>
        <v>6.3839078045037148E-2</v>
      </c>
      <c r="DP271" s="356">
        <f>DM271</f>
        <v>6.216696269982238E-2</v>
      </c>
      <c r="DQ271" s="356">
        <f>DP271</f>
        <v>6.216696269982238E-2</v>
      </c>
      <c r="DR271" s="355">
        <f>DR249/DN218</f>
        <v>6.371367608457669E-2</v>
      </c>
      <c r="DW271" s="20"/>
      <c r="DX271" s="20"/>
    </row>
    <row r="272" spans="1:128" s="325" customFormat="1" ht="13.8">
      <c r="A272" s="325" t="s">
        <v>514</v>
      </c>
      <c r="B272" s="324"/>
      <c r="BD272" s="355"/>
      <c r="BE272" s="355"/>
      <c r="BF272" s="355"/>
      <c r="BH272" s="355">
        <f>-BH252/BH218</f>
        <v>0.32934898612593383</v>
      </c>
      <c r="BI272" s="355">
        <f>-BI252/BI218</f>
        <v>0.34404315196998125</v>
      </c>
      <c r="BJ272" s="355">
        <f>-BJ252/BJ218</f>
        <v>0.34404315196998125</v>
      </c>
      <c r="BK272" s="324"/>
      <c r="BL272" s="355">
        <f>-BL252/BL218</f>
        <v>0.40607734806629836</v>
      </c>
      <c r="BM272" s="355">
        <f>-BM252/BM218</f>
        <v>0.40706126687435101</v>
      </c>
      <c r="BN272" s="355">
        <f>-BN252/BN218</f>
        <v>0.40706126687435101</v>
      </c>
      <c r="BO272" s="324"/>
      <c r="BP272" s="355">
        <f>-BP252/BP218</f>
        <v>0.41137370753323488</v>
      </c>
      <c r="BQ272" s="355">
        <f>-BQ252/BQ218</f>
        <v>0.3902169915410077</v>
      </c>
      <c r="BR272" s="355">
        <f>-BR252/BR218</f>
        <v>0.3902169915410077</v>
      </c>
      <c r="BT272" s="355">
        <f>-BT252/BT218</f>
        <v>0.42941380506416926</v>
      </c>
      <c r="BU272" s="355">
        <f>-BU252/BU218</f>
        <v>0.41191301607311692</v>
      </c>
      <c r="BV272" s="355">
        <f>-BV252/BV218</f>
        <v>0.41191301607311692</v>
      </c>
      <c r="BX272" s="355">
        <f>-BX252/BX218</f>
        <v>0.4316326530612245</v>
      </c>
      <c r="BY272" s="355">
        <f>-BY252/BY218</f>
        <v>0.47651006711409394</v>
      </c>
      <c r="BZ272" s="355">
        <f>-BZ252/BZ218</f>
        <v>0.47651006711409394</v>
      </c>
      <c r="CB272" s="355">
        <f>-CB252/CB218</f>
        <v>0.49950835791543757</v>
      </c>
      <c r="CC272" s="355">
        <f>-CC252/CC218</f>
        <v>0.43010752688172044</v>
      </c>
      <c r="CD272" s="355">
        <f>-CD252/CD218</f>
        <v>0.43010752688172044</v>
      </c>
      <c r="CF272" s="355">
        <f>-CF252/CF218</f>
        <v>0.41870300751879697</v>
      </c>
      <c r="CG272" s="355">
        <f>-CG252/CG218</f>
        <v>0.40118284869393789</v>
      </c>
      <c r="CH272" s="355">
        <f>-CH252/CH218</f>
        <v>0.40118284869393789</v>
      </c>
      <c r="CJ272" s="355">
        <f>-CJ252/CJ218</f>
        <v>0.42054636398614853</v>
      </c>
      <c r="CK272" s="355">
        <f>-CK252/CK218</f>
        <v>0.36234241561610409</v>
      </c>
      <c r="CL272" s="355">
        <f>-CL252/CL218</f>
        <v>0.36234241561610409</v>
      </c>
      <c r="CN272" s="355">
        <f>-CN252/CN218</f>
        <v>0.32713303679741207</v>
      </c>
      <c r="CO272" s="355">
        <f>-CO252/CO218</f>
        <v>0.34961832061068704</v>
      </c>
      <c r="CP272" s="355">
        <f>-CP252/CP218</f>
        <v>0.34961832061068704</v>
      </c>
      <c r="CR272" s="355">
        <f>-CR252/CR218</f>
        <v>0.37214745465184318</v>
      </c>
      <c r="CS272" s="355">
        <f>-CS252/CS218</f>
        <v>0.37508650519031139</v>
      </c>
      <c r="CT272" s="355">
        <f>-CT252/CT218</f>
        <v>0.37508650519031139</v>
      </c>
      <c r="CV272" s="355">
        <f>-CV252/CV218</f>
        <v>0.34793388429752065</v>
      </c>
      <c r="CW272" s="355">
        <f>-CW252/CW218</f>
        <v>0.24720578566732412</v>
      </c>
      <c r="CX272" s="355">
        <f>-CX252/CX218</f>
        <v>0.24720578566732412</v>
      </c>
      <c r="CZ272" s="355">
        <f>-CZ252/CZ218</f>
        <v>0.21409749670619235</v>
      </c>
      <c r="DA272" s="355">
        <f>-DA252/DA218</f>
        <v>0.18192557590076786</v>
      </c>
      <c r="DB272" s="355">
        <f>-DB252/DB218</f>
        <v>0.18192557590076786</v>
      </c>
      <c r="DD272" s="355">
        <f>-DD252/DD218</f>
        <v>0.16163410301953818</v>
      </c>
      <c r="DE272" s="355">
        <f>-DE252/DE218</f>
        <v>0.15721040189125296</v>
      </c>
      <c r="DF272" s="355">
        <f>-DF252/DF218</f>
        <v>0.15721040189125296</v>
      </c>
      <c r="DH272" s="356">
        <v>0.35</v>
      </c>
      <c r="DI272" s="356">
        <v>0.35</v>
      </c>
      <c r="DJ272" s="355">
        <f>-DJ252/DJ218</f>
        <v>0.35</v>
      </c>
      <c r="DL272" s="356">
        <v>0.35</v>
      </c>
      <c r="DM272" s="356">
        <v>0.35</v>
      </c>
      <c r="DN272" s="355">
        <f>-DN252/DN218</f>
        <v>0.35</v>
      </c>
      <c r="DP272" s="356">
        <v>0.35</v>
      </c>
      <c r="DQ272" s="356">
        <v>0.35</v>
      </c>
      <c r="DR272" s="355">
        <f>-DR252/DR218</f>
        <v>0.34999999999999992</v>
      </c>
      <c r="DW272" s="20"/>
      <c r="DX272" s="20"/>
    </row>
    <row r="273" spans="1:128" s="325" customFormat="1" ht="13.8">
      <c r="A273" s="325" t="s">
        <v>576</v>
      </c>
      <c r="B273" s="324"/>
      <c r="BD273" s="348"/>
      <c r="BE273" s="348"/>
      <c r="BF273" s="348"/>
      <c r="BH273" s="348">
        <f>-BH257/BH154</f>
        <v>2.3645084454498983E-3</v>
      </c>
      <c r="BI273" s="348">
        <f>-BI257/BI154</f>
        <v>1.9526332917835893E-3</v>
      </c>
      <c r="BJ273" s="348">
        <f>-BJ257/BJ154</f>
        <v>1.9526332917835893E-3</v>
      </c>
      <c r="BK273" s="324"/>
      <c r="BL273" s="348">
        <f>-BL257/BL154</f>
        <v>1.7920833454814038E-3</v>
      </c>
      <c r="BM273" s="348">
        <f>-BM257/BM154</f>
        <v>1.6939592880053629E-3</v>
      </c>
      <c r="BN273" s="348">
        <f>-BN257/BN154</f>
        <v>1.6939592880053629E-3</v>
      </c>
      <c r="BO273" s="324"/>
      <c r="BP273" s="348">
        <f>-BP257/BP154</f>
        <v>1.4262016148225507E-3</v>
      </c>
      <c r="BQ273" s="348">
        <f>-BQ257/BQ154</f>
        <v>1.2852308024083729E-3</v>
      </c>
      <c r="BR273" s="348">
        <f>-BR257/BR154</f>
        <v>1.2852308024083729E-3</v>
      </c>
      <c r="BT273" s="348">
        <f>-BT257/BT154</f>
        <v>1.0521410010168343E-3</v>
      </c>
      <c r="BU273" s="348">
        <f>-BU257/BU154</f>
        <v>9.369956543381693E-4</v>
      </c>
      <c r="BV273" s="348">
        <f>-BV257/BV154</f>
        <v>9.369956543381693E-4</v>
      </c>
      <c r="BX273" s="348">
        <f>-BX257/BX154</f>
        <v>7.8854577008897824E-4</v>
      </c>
      <c r="BY273" s="348">
        <f>-BY257/BY154</f>
        <v>7.0316269234322552E-4</v>
      </c>
      <c r="BZ273" s="348">
        <f>-BZ257/BZ154</f>
        <v>7.0316269234322552E-4</v>
      </c>
      <c r="CB273" s="348">
        <f>-CB257/CB154</f>
        <v>7.3995399197628118E-4</v>
      </c>
      <c r="CC273" s="348">
        <f>-CC257/CC154</f>
        <v>7.0629588870090834E-4</v>
      </c>
      <c r="CD273" s="348">
        <f>-CD257/CD154</f>
        <v>7.0629588870090834E-4</v>
      </c>
      <c r="CF273" s="348">
        <f>-CF257/CF154</f>
        <v>7.261289188168332E-4</v>
      </c>
      <c r="CG273" s="348">
        <f>-CG257/CG154</f>
        <v>6.4280119192783834E-4</v>
      </c>
      <c r="CH273" s="348">
        <f>-CH257/CH154</f>
        <v>6.4280119192783834E-4</v>
      </c>
      <c r="CJ273" s="348">
        <f>-CJ257/CJ154</f>
        <v>9.9858144028377245E-4</v>
      </c>
      <c r="CK273" s="348">
        <f>-CK257/CK154</f>
        <v>7.3891546485814431E-4</v>
      </c>
      <c r="CL273" s="348">
        <f>-CL257/CL154</f>
        <v>7.3891546485814431E-4</v>
      </c>
      <c r="CN273" s="348">
        <f>-CN257/CN154</f>
        <v>7.0592492318826067E-4</v>
      </c>
      <c r="CO273" s="348">
        <f>-CO257/CO154</f>
        <v>6.8432886890214099E-4</v>
      </c>
      <c r="CP273" s="348">
        <f>-CP257/CP154</f>
        <v>6.8432886890214099E-4</v>
      </c>
      <c r="CR273" s="348">
        <f>-CR257/CR154</f>
        <v>7.0180256463067638E-4</v>
      </c>
      <c r="CS273" s="348">
        <f>-CS257/CS154</f>
        <v>7.6569791591217832E-4</v>
      </c>
      <c r="CT273" s="348">
        <f>-CT257/CT154</f>
        <v>7.6569791591217832E-4</v>
      </c>
      <c r="CV273" s="348">
        <f>-CV257/CV154</f>
        <v>7.5762922547535476E-4</v>
      </c>
      <c r="CW273" s="348">
        <f>-CW257/CW154</f>
        <v>7.2422497380836867E-4</v>
      </c>
      <c r="CX273" s="348">
        <f>-CX257/CX154</f>
        <v>7.2422497380836867E-4</v>
      </c>
      <c r="CZ273" s="348">
        <f>-CZ257/CZ154</f>
        <v>6.8691824004316179E-4</v>
      </c>
      <c r="DA273" s="348">
        <f>-DA257/DA154</f>
        <v>6.3771403664317238E-4</v>
      </c>
      <c r="DB273" s="348">
        <f>-DB257/DB154</f>
        <v>6.3771403664317238E-4</v>
      </c>
      <c r="DD273" s="348">
        <f>-DD257/DD154</f>
        <v>7.0826769122924469E-4</v>
      </c>
      <c r="DE273" s="348">
        <f>-DE257/DE154</f>
        <v>7.6861185820610068E-4</v>
      </c>
      <c r="DF273" s="348">
        <f>-DF257/DF154</f>
        <v>7.6861185820610068E-4</v>
      </c>
      <c r="DH273" s="354">
        <f>DE273</f>
        <v>7.6861185820610068E-4</v>
      </c>
      <c r="DI273" s="354">
        <f>DH273</f>
        <v>7.6861185820610068E-4</v>
      </c>
      <c r="DJ273" s="348">
        <f>-DJ257/DJ154</f>
        <v>7.6861185820610068E-4</v>
      </c>
      <c r="DL273" s="354">
        <f>DI273</f>
        <v>7.6861185820610068E-4</v>
      </c>
      <c r="DM273" s="354">
        <f>DL273</f>
        <v>7.6861185820610068E-4</v>
      </c>
      <c r="DN273" s="348">
        <f>-DN257/DN154</f>
        <v>7.6861185820610068E-4</v>
      </c>
      <c r="DP273" s="354">
        <f>DM273</f>
        <v>7.6861185820610068E-4</v>
      </c>
      <c r="DQ273" s="354">
        <f>DP273</f>
        <v>7.6861185820610068E-4</v>
      </c>
      <c r="DR273" s="348">
        <f>-DR257/DR154</f>
        <v>7.6861185820610068E-4</v>
      </c>
      <c r="DW273" s="20"/>
      <c r="DX273" s="20"/>
    </row>
    <row r="274" spans="1:128" s="20" customFormat="1" ht="13.8">
      <c r="A274" s="20" t="s">
        <v>206</v>
      </c>
      <c r="B274" s="49"/>
      <c r="BD274" s="66"/>
      <c r="BE274" s="66"/>
      <c r="BF274" s="66"/>
      <c r="BH274" s="66">
        <f>-BH244/(BH154-BH218)</f>
        <v>6.0853130562820035E-3</v>
      </c>
      <c r="BI274" s="66">
        <f>-BI244/(BI154-BI218)</f>
        <v>5.9610949253262914E-3</v>
      </c>
      <c r="BJ274" s="66">
        <f>-BJ244/(BJ154-BJ218)</f>
        <v>5.9610949253262914E-3</v>
      </c>
      <c r="BK274" s="49"/>
      <c r="BL274" s="66">
        <f>-BL244/(BL154-BL218)</f>
        <v>5.5650710070175094E-3</v>
      </c>
      <c r="BM274" s="66">
        <f>-BM244/(BM154-BM218)</f>
        <v>5.2645850200882969E-3</v>
      </c>
      <c r="BN274" s="66">
        <f>-BN244/(BN154-BN218)</f>
        <v>5.2645850200882969E-3</v>
      </c>
      <c r="BO274" s="49"/>
      <c r="BP274" s="66">
        <f>-BP244/(BP154-BP218)</f>
        <v>5.2005439690465905E-3</v>
      </c>
      <c r="BQ274" s="66">
        <f>-BQ244/(BQ154-BQ218)</f>
        <v>5.1653488270499322E-3</v>
      </c>
      <c r="BR274" s="66">
        <f>-BR244/(BR154-BR218)</f>
        <v>5.1653488270499322E-3</v>
      </c>
      <c r="BT274" s="66">
        <f>-BT244/(BT154-BT218)</f>
        <v>5.0782407497768729E-3</v>
      </c>
      <c r="BU274" s="66">
        <f>-BU244/(BU154-BU218)</f>
        <v>4.9808973235470361E-3</v>
      </c>
      <c r="BV274" s="66">
        <f>-BV244/(BV154-BV218)</f>
        <v>4.9808973235470361E-3</v>
      </c>
      <c r="BX274" s="66">
        <f>-BX244/(BX154-BX218)</f>
        <v>4.8193730142798803E-3</v>
      </c>
      <c r="BY274" s="66">
        <f>-BY244/(BY154-BY218)</f>
        <v>4.5729559986119649E-3</v>
      </c>
      <c r="BZ274" s="66">
        <f>-BZ244/(BZ154-BZ218)</f>
        <v>4.5729559986119649E-3</v>
      </c>
      <c r="CB274" s="66">
        <f>-CB244/(CB154-CB218)</f>
        <v>4.3421236503470833E-3</v>
      </c>
      <c r="CC274" s="66">
        <f>-CC244/(CC154-CC218)</f>
        <v>4.1587615033518988E-3</v>
      </c>
      <c r="CD274" s="66">
        <f>-CD244/(CD154-CD218)</f>
        <v>4.1587615033518988E-3</v>
      </c>
      <c r="CF274" s="66">
        <f>-CF244/(CF154-CF218)</f>
        <v>5.5188142881415743E-3</v>
      </c>
      <c r="CG274" s="66">
        <f>-CG244/(CG154-CG218)</f>
        <v>5.4704311529387368E-3</v>
      </c>
      <c r="CH274" s="66">
        <f>-CH244/(CH154-CH218)</f>
        <v>5.4704311529387368E-3</v>
      </c>
      <c r="CJ274" s="66">
        <f>-CJ244/(CJ154-CJ218)</f>
        <v>6.8265234931901599E-3</v>
      </c>
      <c r="CK274" s="66">
        <f>-CK244/(CK154-CK218)</f>
        <v>8.0764423658428418E-3</v>
      </c>
      <c r="CL274" s="66">
        <f>-CL244/(CL154-CL218)</f>
        <v>8.0764423658428418E-3</v>
      </c>
      <c r="CN274" s="66">
        <f>-CN244/(CN154-CN218)</f>
        <v>6.9497042523756309E-3</v>
      </c>
      <c r="CO274" s="66">
        <f>-CO244/(CO154-CO218)</f>
        <v>6.6352120183539925E-3</v>
      </c>
      <c r="CP274" s="66">
        <f>-CP244/(CP154-CP218)</f>
        <v>6.6352120183539925E-3</v>
      </c>
      <c r="CR274" s="66">
        <f>-CR244/(CR154-CR218)</f>
        <v>5.7468802868392314E-3</v>
      </c>
      <c r="CS274" s="66">
        <f>-CS244/(CS154-CS218)</f>
        <v>5.7076238923239641E-3</v>
      </c>
      <c r="CT274" s="66">
        <f>-CT244/(CT154-CT218)</f>
        <v>5.7076238923239641E-3</v>
      </c>
      <c r="CV274" s="66">
        <f>-CV244/(CV154-CV218)</f>
        <v>5.8292127244210824E-3</v>
      </c>
      <c r="CW274" s="66">
        <f>-CW244/(CW154-CW218)</f>
        <v>5.6822025299330314E-3</v>
      </c>
      <c r="CX274" s="66">
        <f>-CX244/(CX154-CX218)</f>
        <v>5.6822025299330314E-3</v>
      </c>
      <c r="CZ274" s="66">
        <f>-CZ244/(CZ154-CZ218)</f>
        <v>5.6379557324325981E-3</v>
      </c>
      <c r="DA274" s="66">
        <f>-DA244/(DA154-DA218)</f>
        <v>5.2700219263685988E-3</v>
      </c>
      <c r="DB274" s="66">
        <f>-DB244/(DB154-DB218)</f>
        <v>5.2700219263685988E-3</v>
      </c>
      <c r="DD274" s="66">
        <f>-DD244/(DD154-DD218)</f>
        <v>5.2049446974625898E-3</v>
      </c>
      <c r="DE274" s="66">
        <f>-DE244/(DE154-DE218)</f>
        <v>5.2668104345148679E-3</v>
      </c>
      <c r="DF274" s="66">
        <f>-DF244/(DF154-DF218)</f>
        <v>5.2668104345148679E-3</v>
      </c>
      <c r="DH274" s="66">
        <f ca="1">-DH244/(DH154-DH218)</f>
        <v>5.1234743070246759E-3</v>
      </c>
      <c r="DI274" s="66">
        <f ca="1">-DI244/(DI154-DI218)</f>
        <v>5.0279881907613223E-3</v>
      </c>
      <c r="DJ274" s="66">
        <f ca="1">-DJ244/(DJ154-DJ218)</f>
        <v>5.0279881907613223E-3</v>
      </c>
      <c r="DL274" s="66">
        <f ca="1">-DL244/(DL154-DL218)</f>
        <v>4.8830946791809139E-3</v>
      </c>
      <c r="DM274" s="66">
        <f ca="1">-DM244/(DM154-DM218)</f>
        <v>4.8755360480902078E-3</v>
      </c>
      <c r="DN274" s="66">
        <f ca="1">-DN244/(DN154-DN218)</f>
        <v>4.8755360480902078E-3</v>
      </c>
      <c r="DP274" s="66">
        <f ca="1">-DP244/(DP154-DP218)</f>
        <v>4.8697000387353572E-3</v>
      </c>
      <c r="DQ274" s="66">
        <f ca="1">-DQ244/(DQ154-DQ218)</f>
        <v>4.8673595524253684E-3</v>
      </c>
      <c r="DR274" s="66">
        <f ca="1">-DR244/(DR154-DR218)</f>
        <v>4.8673595524253684E-3</v>
      </c>
    </row>
    <row r="275" spans="1:128" s="20" customFormat="1" ht="13.8">
      <c r="A275" s="20" t="s">
        <v>205</v>
      </c>
      <c r="B275" s="49"/>
      <c r="BD275" s="66"/>
      <c r="BE275" s="66"/>
      <c r="BF275" s="66"/>
      <c r="BH275" s="66">
        <f>-BH256/BH154</f>
        <v>9.3797243944617869E-3</v>
      </c>
      <c r="BI275" s="66">
        <f>-BI256/BI154</f>
        <v>8.9117037237167167E-3</v>
      </c>
      <c r="BJ275" s="66">
        <f>-BJ256/BJ154</f>
        <v>8.9117037237167167E-3</v>
      </c>
      <c r="BK275" s="49"/>
      <c r="BL275" s="66">
        <f>-BL256/BL154</f>
        <v>8.3831404219753738E-3</v>
      </c>
      <c r="BM275" s="66">
        <f>-BM256/BM154</f>
        <v>7.468993138705261E-3</v>
      </c>
      <c r="BN275" s="66">
        <f>-BN256/BN154</f>
        <v>7.468993138705261E-3</v>
      </c>
      <c r="BO275" s="49"/>
      <c r="BP275" s="66">
        <f>-BP256/BP154</f>
        <v>7.1540972658844758E-3</v>
      </c>
      <c r="BQ275" s="66">
        <f>-BQ256/BQ154</f>
        <v>6.9861598555811021E-3</v>
      </c>
      <c r="BR275" s="66">
        <f>-BR256/BR154</f>
        <v>6.9861598555811021E-3</v>
      </c>
      <c r="BT275" s="66">
        <f>-BT256/BT154</f>
        <v>7.2378827251158061E-3</v>
      </c>
      <c r="BU275" s="66">
        <f>-BU256/BU154</f>
        <v>7.204876511206916E-3</v>
      </c>
      <c r="BV275" s="66">
        <f>-BV256/BV154</f>
        <v>7.204876511206916E-3</v>
      </c>
      <c r="BX275" s="66">
        <f>-BX256/BX154</f>
        <v>6.9798352662461087E-3</v>
      </c>
      <c r="BY275" s="66">
        <f>-BY256/BY154</f>
        <v>6.4978391861790037E-3</v>
      </c>
      <c r="BZ275" s="66">
        <f>-BZ256/BZ154</f>
        <v>6.4978391861790037E-3</v>
      </c>
      <c r="CB275" s="66">
        <f>-CB256/CB154</f>
        <v>6.0320512497839705E-3</v>
      </c>
      <c r="CC275" s="66">
        <f>-CC256/CC154</f>
        <v>5.6552947553423893E-3</v>
      </c>
      <c r="CD275" s="66">
        <f>-CD256/CD154</f>
        <v>5.6552947553423893E-3</v>
      </c>
      <c r="CF275" s="66">
        <f>-CF256/CF154</f>
        <v>6.9503236646391497E-3</v>
      </c>
      <c r="CG275" s="66">
        <f>-CG256/CG154</f>
        <v>6.7671783773307599E-3</v>
      </c>
      <c r="CH275" s="66">
        <f>-CH256/CH154</f>
        <v>6.7671783773307599E-3</v>
      </c>
      <c r="CJ275" s="66">
        <f>-CJ256/CJ154</f>
        <v>8.4509297684529847E-3</v>
      </c>
      <c r="CK275" s="66">
        <f>-CK256/CK154</f>
        <v>9.4757876678221598E-3</v>
      </c>
      <c r="CL275" s="66">
        <f>-CL256/CL154</f>
        <v>9.4757876678221598E-3</v>
      </c>
      <c r="CN275" s="66">
        <f>-CN256/CN154</f>
        <v>8.2287907522219667E-3</v>
      </c>
      <c r="CO275" s="66">
        <f>-CO256/CO154</f>
        <v>7.6979113778346828E-3</v>
      </c>
      <c r="CP275" s="66">
        <f>-CP256/CP154</f>
        <v>7.6979113778346828E-3</v>
      </c>
      <c r="CR275" s="66">
        <f>-CR256/CR154</f>
        <v>6.70221449222296E-3</v>
      </c>
      <c r="CS275" s="66">
        <f>-CS256/CS154</f>
        <v>6.4966068348147176E-3</v>
      </c>
      <c r="CT275" s="66">
        <f>-CT256/CT154</f>
        <v>6.4966068348147176E-3</v>
      </c>
      <c r="CV275" s="66">
        <f>-CV256/CV154</f>
        <v>6.4254448190980184E-3</v>
      </c>
      <c r="CW275" s="66">
        <f>-CW256/CW154</f>
        <v>6.1988032709656095E-3</v>
      </c>
      <c r="CX275" s="66">
        <f>-CX256/CX154</f>
        <v>6.1988032709656095E-3</v>
      </c>
      <c r="CZ275" s="66">
        <f>-CZ256/CZ154</f>
        <v>6.0779749539041708E-3</v>
      </c>
      <c r="DA275" s="66">
        <f>-DA256/DA154</f>
        <v>5.6403639551643693E-3</v>
      </c>
      <c r="DB275" s="66">
        <f>-DB256/DB154</f>
        <v>5.6403639551643693E-3</v>
      </c>
      <c r="DD275" s="66">
        <f>-DD256/DD154</f>
        <v>5.6321834898435136E-3</v>
      </c>
      <c r="DE275" s="66">
        <f>-DE256/DE154</f>
        <v>5.7292160039138056E-3</v>
      </c>
      <c r="DF275" s="66">
        <f>-DF256/DF154</f>
        <v>5.7292160039138056E-3</v>
      </c>
      <c r="DH275" s="66">
        <f ca="1">-DH256/DH154</f>
        <v>6.2075147884198814E-3</v>
      </c>
      <c r="DI275" s="66">
        <f ca="1">-DI256/DI154</f>
        <v>6.1468260121051816E-3</v>
      </c>
      <c r="DJ275" s="66">
        <f ca="1">-DJ256/DJ154</f>
        <v>6.1468260121051816E-3</v>
      </c>
      <c r="DL275" s="66">
        <f ca="1">-DL256/DL154</f>
        <v>6.0369141200228987E-3</v>
      </c>
      <c r="DM275" s="66">
        <f ca="1">-DM256/DM154</f>
        <v>6.0638932058816918E-3</v>
      </c>
      <c r="DN275" s="66">
        <f ca="1">-DN256/DN154</f>
        <v>6.0638932058816918E-3</v>
      </c>
      <c r="DP275" s="66">
        <f ca="1">-DP256/DP154</f>
        <v>6.092590321486421E-3</v>
      </c>
      <c r="DQ275" s="66">
        <f ca="1">-DQ256/DQ154</f>
        <v>6.1247713921991328E-3</v>
      </c>
      <c r="DR275" s="66">
        <f ca="1">-DR256/DR154</f>
        <v>6.1247713921991328E-3</v>
      </c>
    </row>
    <row r="276" spans="1:128" s="20" customFormat="1" ht="13.8">
      <c r="A276" s="78"/>
      <c r="B276" s="49"/>
      <c r="BH276" s="67"/>
      <c r="BI276" s="79"/>
      <c r="BJ276" s="72"/>
      <c r="BK276" s="49"/>
      <c r="BL276" s="67"/>
      <c r="BM276" s="79"/>
      <c r="BN276" s="72"/>
      <c r="BO276" s="49"/>
      <c r="BP276" s="67"/>
      <c r="BQ276" s="49"/>
      <c r="BR276" s="49"/>
      <c r="BT276" s="49"/>
      <c r="BU276" s="49"/>
      <c r="BV276" s="49"/>
      <c r="BX276" s="49"/>
      <c r="BY276" s="49"/>
      <c r="BZ276" s="49"/>
      <c r="CB276" s="49"/>
      <c r="CC276" s="49"/>
      <c r="CD276" s="49"/>
      <c r="CF276" s="49"/>
      <c r="CG276" s="49"/>
      <c r="CH276" s="49"/>
      <c r="CJ276" s="49"/>
      <c r="CK276" s="49"/>
      <c r="CL276" s="49"/>
      <c r="CN276" s="49"/>
      <c r="CO276" s="49"/>
      <c r="CP276" s="49"/>
      <c r="CR276" s="49"/>
      <c r="CS276" s="49"/>
      <c r="CT276" s="49"/>
      <c r="CV276" s="49"/>
      <c r="CW276" s="49"/>
      <c r="CX276" s="49"/>
      <c r="CZ276" s="49"/>
      <c r="DA276" s="49"/>
      <c r="DB276" s="49"/>
      <c r="DD276" s="49"/>
      <c r="DE276" s="49"/>
      <c r="DF276" s="49"/>
      <c r="DH276" s="49"/>
      <c r="DI276" s="49"/>
      <c r="DJ276" s="49"/>
      <c r="DL276" s="49"/>
      <c r="DM276" s="49"/>
      <c r="DN276" s="49"/>
      <c r="DP276" s="49"/>
      <c r="DQ276" s="49"/>
      <c r="DR276" s="49"/>
    </row>
    <row r="277" spans="1:128" s="343" customFormat="1" ht="13.8">
      <c r="A277" s="343" t="s">
        <v>308</v>
      </c>
      <c r="B277" s="344"/>
      <c r="BH277" s="344"/>
      <c r="BI277" s="344"/>
      <c r="BJ277" s="344"/>
      <c r="BK277" s="344"/>
      <c r="BL277" s="344"/>
      <c r="BM277" s="344"/>
      <c r="BN277" s="344"/>
      <c r="BO277" s="344"/>
      <c r="BP277" s="344"/>
      <c r="BQ277" s="344"/>
      <c r="BR277" s="344"/>
      <c r="BT277" s="344"/>
      <c r="BU277" s="344"/>
      <c r="BV277" s="344"/>
      <c r="BX277" s="344"/>
      <c r="BY277" s="344"/>
      <c r="BZ277" s="344"/>
      <c r="CB277" s="344"/>
      <c r="CC277" s="344"/>
      <c r="CD277" s="344"/>
      <c r="CF277" s="344"/>
      <c r="CG277" s="344"/>
      <c r="CH277" s="344"/>
      <c r="CJ277" s="344"/>
      <c r="CK277" s="344"/>
      <c r="CL277" s="344"/>
      <c r="CN277" s="344"/>
      <c r="CO277" s="344"/>
      <c r="CP277" s="344"/>
      <c r="CR277" s="344"/>
      <c r="CS277" s="344"/>
      <c r="CT277" s="344"/>
      <c r="CV277" s="344"/>
      <c r="CW277" s="344"/>
      <c r="CX277" s="344"/>
      <c r="CZ277" s="344"/>
      <c r="DA277" s="344"/>
      <c r="DB277" s="344"/>
      <c r="DD277" s="344"/>
      <c r="DE277" s="344"/>
      <c r="DF277" s="344"/>
      <c r="DH277" s="344"/>
      <c r="DI277" s="344"/>
      <c r="DJ277" s="344"/>
      <c r="DL277" s="344"/>
      <c r="DM277" s="344"/>
      <c r="DN277" s="344"/>
      <c r="DP277" s="344"/>
      <c r="DQ277" s="344"/>
      <c r="DR277" s="344"/>
      <c r="DT277" s="743"/>
      <c r="DU277" s="743"/>
      <c r="DV277" s="743"/>
      <c r="DW277" s="20"/>
      <c r="DX277" s="20"/>
    </row>
    <row r="278" spans="1:128" s="20" customFormat="1" ht="13.8">
      <c r="B278" s="49"/>
      <c r="BH278" s="49"/>
      <c r="BI278" s="49"/>
      <c r="BJ278" s="49"/>
      <c r="BK278" s="49"/>
      <c r="BL278" s="49"/>
      <c r="BM278" s="49"/>
      <c r="BN278" s="49"/>
      <c r="BO278" s="49"/>
      <c r="BP278" s="49"/>
      <c r="BQ278" s="49"/>
      <c r="BR278" s="49"/>
      <c r="BT278" s="49"/>
      <c r="BU278" s="49"/>
      <c r="BV278" s="49"/>
      <c r="BX278" s="49"/>
      <c r="BY278" s="49"/>
      <c r="BZ278" s="49"/>
      <c r="CB278" s="49"/>
      <c r="CC278" s="49"/>
      <c r="CD278" s="49"/>
      <c r="CF278" s="49"/>
      <c r="CG278" s="49"/>
      <c r="CH278" s="49"/>
      <c r="CJ278" s="49"/>
      <c r="CK278" s="49"/>
      <c r="CL278" s="49"/>
      <c r="CN278" s="49"/>
      <c r="CO278" s="49"/>
      <c r="CP278" s="49"/>
      <c r="CR278" s="49"/>
      <c r="CS278" s="49"/>
      <c r="CT278" s="49"/>
      <c r="CV278" s="49"/>
      <c r="CW278" s="49"/>
      <c r="CX278" s="49"/>
      <c r="CZ278" s="49"/>
      <c r="DA278" s="49"/>
      <c r="DB278" s="49"/>
      <c r="DD278" s="49"/>
      <c r="DE278" s="49"/>
      <c r="DF278" s="49"/>
      <c r="DH278" s="49"/>
      <c r="DI278" s="49"/>
      <c r="DJ278" s="49"/>
      <c r="DL278" s="49"/>
      <c r="DM278" s="49"/>
      <c r="DN278" s="49"/>
      <c r="DP278" s="49"/>
      <c r="DQ278" s="49"/>
      <c r="DR278" s="49"/>
    </row>
    <row r="279" spans="1:128" s="20" customFormat="1" ht="13.8">
      <c r="A279" s="21" t="s">
        <v>7</v>
      </c>
      <c r="B279" s="49"/>
      <c r="BH279" s="49"/>
      <c r="BI279" s="49"/>
      <c r="BJ279" s="49"/>
      <c r="BK279" s="49"/>
      <c r="BL279" s="49"/>
      <c r="BM279" s="49"/>
      <c r="BN279" s="49"/>
      <c r="BO279" s="49"/>
      <c r="BP279" s="49"/>
      <c r="BQ279" s="49"/>
      <c r="BR279" s="49"/>
      <c r="BT279" s="49"/>
      <c r="BU279" s="49"/>
      <c r="BV279" s="49"/>
      <c r="BX279" s="49"/>
      <c r="BY279" s="49"/>
      <c r="BZ279" s="49"/>
      <c r="CB279" s="49"/>
      <c r="CC279" s="49"/>
      <c r="CD279" s="49"/>
      <c r="CF279" s="49"/>
      <c r="CG279" s="49"/>
      <c r="CH279" s="49"/>
      <c r="CJ279" s="49"/>
      <c r="CK279" s="49"/>
      <c r="CL279" s="49"/>
      <c r="CN279" s="49"/>
      <c r="CO279" s="49"/>
      <c r="CP279" s="49"/>
      <c r="CR279" s="49"/>
      <c r="CS279" s="49"/>
      <c r="CT279" s="49"/>
      <c r="CV279" s="49"/>
      <c r="CW279" s="49"/>
      <c r="CX279" s="49"/>
      <c r="CZ279" s="49"/>
      <c r="DA279" s="49"/>
      <c r="DB279" s="49"/>
      <c r="DD279" s="49"/>
      <c r="DE279" s="49"/>
      <c r="DF279" s="49"/>
      <c r="DH279" s="49"/>
      <c r="DI279" s="49"/>
      <c r="DJ279" s="49"/>
      <c r="DL279" s="49"/>
      <c r="DM279" s="49"/>
      <c r="DN279" s="49"/>
      <c r="DP279" s="49"/>
      <c r="DQ279" s="49"/>
      <c r="DR279" s="49"/>
    </row>
    <row r="280" spans="1:128" s="20" customFormat="1" ht="13.8">
      <c r="A280" s="20" t="s">
        <v>430</v>
      </c>
      <c r="B280" s="49" t="s">
        <v>544</v>
      </c>
      <c r="BD280" s="67"/>
      <c r="BE280" s="67"/>
      <c r="BF280" s="65"/>
      <c r="BH280" s="67">
        <v>52231</v>
      </c>
      <c r="BI280" s="67">
        <v>51448</v>
      </c>
      <c r="BJ280" s="65">
        <f>BI280</f>
        <v>51448</v>
      </c>
      <c r="BK280" s="49"/>
      <c r="BL280" s="67">
        <v>51217</v>
      </c>
      <c r="BM280" s="67">
        <v>49446</v>
      </c>
      <c r="BN280" s="65">
        <f>BM280</f>
        <v>49446</v>
      </c>
      <c r="BO280" s="49"/>
      <c r="BP280" s="67">
        <v>55857</v>
      </c>
      <c r="BQ280" s="67">
        <v>57390</v>
      </c>
      <c r="BR280" s="65">
        <f>BQ280</f>
        <v>57390</v>
      </c>
      <c r="BS280" s="75">
        <f>+BR280/BN280-1</f>
        <v>0.1606601140638273</v>
      </c>
      <c r="BT280" s="67">
        <v>56513</v>
      </c>
      <c r="BU280" s="67">
        <v>52295</v>
      </c>
      <c r="BV280" s="65">
        <f>BU280</f>
        <v>52295</v>
      </c>
      <c r="BW280" s="75">
        <f>+BV280/BR280-1</f>
        <v>-8.8778532845443459E-2</v>
      </c>
      <c r="BX280" s="67">
        <v>51875</v>
      </c>
      <c r="BY280" s="67">
        <v>50565</v>
      </c>
      <c r="BZ280" s="65">
        <f>BY280</f>
        <v>50565</v>
      </c>
      <c r="CA280" s="75">
        <f>+BZ280/BV280-1</f>
        <v>-3.3081556554163893E-2</v>
      </c>
      <c r="CB280" s="67">
        <v>43157</v>
      </c>
      <c r="CC280" s="67">
        <v>39671</v>
      </c>
      <c r="CD280" s="65">
        <f>CC280</f>
        <v>39671</v>
      </c>
      <c r="CE280" s="75">
        <f>+CD280/BZ280-1</f>
        <v>-0.21544546623158312</v>
      </c>
      <c r="CF280" s="67">
        <v>39481</v>
      </c>
      <c r="CG280" s="67">
        <v>32953</v>
      </c>
      <c r="CH280" s="65">
        <f>CG280</f>
        <v>32953</v>
      </c>
      <c r="CI280" s="75">
        <f>+CH280/CD280-1</f>
        <v>-0.16934284489929674</v>
      </c>
      <c r="CJ280" s="67">
        <v>34733</v>
      </c>
      <c r="CK280" s="67">
        <v>28258</v>
      </c>
      <c r="CL280" s="65">
        <f>CK280</f>
        <v>28258</v>
      </c>
      <c r="CM280" s="75">
        <f>+CL280/CH280-1</f>
        <v>-0.14247564713379657</v>
      </c>
      <c r="CN280" s="67">
        <v>34176</v>
      </c>
      <c r="CO280" s="67">
        <v>31915</v>
      </c>
      <c r="CP280" s="65">
        <f>CO280</f>
        <v>31915</v>
      </c>
      <c r="CQ280" s="75">
        <f>+CP280/CL280-1</f>
        <v>0.12941467902894765</v>
      </c>
      <c r="CR280" s="67">
        <v>29914</v>
      </c>
      <c r="CS280" s="67">
        <v>29412</v>
      </c>
      <c r="CT280" s="65">
        <f>CS280</f>
        <v>29412</v>
      </c>
      <c r="CU280" s="75">
        <f>+CT280/CP280-1</f>
        <v>-7.8427071909760282E-2</v>
      </c>
      <c r="CV280" s="67">
        <v>37920</v>
      </c>
      <c r="CW280" s="67">
        <v>33613</v>
      </c>
      <c r="CX280" s="65">
        <f>CW280</f>
        <v>33613</v>
      </c>
      <c r="CY280" s="75">
        <f>+CX280/CT280-1</f>
        <v>0.14283285733714135</v>
      </c>
      <c r="CZ280" s="67">
        <v>30572</v>
      </c>
      <c r="DA280" s="67">
        <v>34011</v>
      </c>
      <c r="DB280" s="65">
        <f>DA280</f>
        <v>34011</v>
      </c>
      <c r="DC280" s="75">
        <f>+DB280/CX280-1</f>
        <v>1.1840656888703727E-2</v>
      </c>
      <c r="DD280" s="67">
        <v>30215</v>
      </c>
      <c r="DE280" s="67">
        <v>38184</v>
      </c>
      <c r="DF280" s="65">
        <f>DE280</f>
        <v>38184</v>
      </c>
      <c r="DG280" s="75">
        <f>+DF280/DB280-1</f>
        <v>0.12269559848284373</v>
      </c>
      <c r="DH280" s="65">
        <f>+DE280*(1+DH287)</f>
        <v>38947.68</v>
      </c>
      <c r="DI280" s="65">
        <f>+DH280*(1+DI287)</f>
        <v>39726.633600000001</v>
      </c>
      <c r="DJ280" s="65">
        <f>DI280</f>
        <v>39726.633600000001</v>
      </c>
      <c r="DK280" s="75">
        <f>+DJ280/DF280-1</f>
        <v>4.0399999999999991E-2</v>
      </c>
      <c r="DL280" s="65">
        <f>+DI280*(1+DL287)</f>
        <v>40521.166272000002</v>
      </c>
      <c r="DM280" s="65">
        <f>+DL280*(1+DM287)</f>
        <v>41331.589597440005</v>
      </c>
      <c r="DN280" s="65">
        <f>DM280</f>
        <v>41331.589597440005</v>
      </c>
      <c r="DO280" s="75">
        <f>+DN280/DJ280-1</f>
        <v>4.0399999999999991E-2</v>
      </c>
      <c r="DP280" s="65">
        <f>+DM280*(1+DP287)</f>
        <v>42158.221389388804</v>
      </c>
      <c r="DQ280" s="65">
        <f>+DP280*(1+DQ287)</f>
        <v>43001.385817176582</v>
      </c>
      <c r="DR280" s="65">
        <f>DQ280</f>
        <v>43001.385817176582</v>
      </c>
      <c r="DS280" s="75">
        <f>+DR280/DN280-1</f>
        <v>4.0399999999999991E-2</v>
      </c>
    </row>
    <row r="281" spans="1:128" s="20" customFormat="1" ht="13.8">
      <c r="A281" s="20" t="s">
        <v>184</v>
      </c>
      <c r="B281" s="49" t="s">
        <v>544</v>
      </c>
      <c r="BD281" s="67"/>
      <c r="BE281" s="67"/>
      <c r="BF281" s="65"/>
      <c r="BH281" s="67">
        <v>78515</v>
      </c>
      <c r="BI281" s="67">
        <v>80297</v>
      </c>
      <c r="BJ281" s="65">
        <f>BI281</f>
        <v>80297</v>
      </c>
      <c r="BK281" s="49"/>
      <c r="BL281" s="67">
        <v>77900</v>
      </c>
      <c r="BM281" s="67">
        <v>78779</v>
      </c>
      <c r="BN281" s="65">
        <f>BM281</f>
        <v>78779</v>
      </c>
      <c r="BO281" s="49"/>
      <c r="BP281" s="67">
        <v>69595</v>
      </c>
      <c r="BQ281" s="67">
        <v>66394</v>
      </c>
      <c r="BR281" s="65">
        <f>BQ281</f>
        <v>66394</v>
      </c>
      <c r="BS281" s="75">
        <f>+BR281/BN281-1</f>
        <v>-0.157211947346374</v>
      </c>
      <c r="BT281" s="67">
        <v>68427</v>
      </c>
      <c r="BU281" s="67">
        <v>69740</v>
      </c>
      <c r="BV281" s="65">
        <f>BU281</f>
        <v>69740</v>
      </c>
      <c r="BW281" s="75">
        <f>+BV281/BR281-1</f>
        <v>5.0396120131337208E-2</v>
      </c>
      <c r="BX281" s="67">
        <v>72471</v>
      </c>
      <c r="BY281" s="67">
        <v>72679</v>
      </c>
      <c r="BZ281" s="65">
        <f>BY281</f>
        <v>72679</v>
      </c>
      <c r="CA281" s="75">
        <f>+BZ281/BV281-1</f>
        <v>4.214224261542876E-2</v>
      </c>
      <c r="CB281" s="67">
        <v>75116</v>
      </c>
      <c r="CC281" s="67">
        <v>75551</v>
      </c>
      <c r="CD281" s="65">
        <f>CC281</f>
        <v>75551</v>
      </c>
      <c r="CE281" s="75">
        <f>+CD281/BZ281-1</f>
        <v>3.9516228896930405E-2</v>
      </c>
      <c r="CF281" s="67">
        <v>77714</v>
      </c>
      <c r="CG281" s="67">
        <v>74560</v>
      </c>
      <c r="CH281" s="65">
        <f>CG281</f>
        <v>74560</v>
      </c>
      <c r="CI281" s="75">
        <f>+CH281/CD281-1</f>
        <v>-1.3116967346560648E-2</v>
      </c>
      <c r="CJ281" s="67">
        <v>69056</v>
      </c>
      <c r="CK281" s="67">
        <v>64187</v>
      </c>
      <c r="CL281" s="65">
        <f>CK281</f>
        <v>64187</v>
      </c>
      <c r="CM281" s="75">
        <f>+CL281/CH281-1</f>
        <v>-0.13912285407725322</v>
      </c>
      <c r="CN281" s="67">
        <v>61503</v>
      </c>
      <c r="CO281" s="67">
        <v>49767</v>
      </c>
      <c r="CP281" s="65">
        <f>CO281</f>
        <v>49767</v>
      </c>
      <c r="CQ281" s="75">
        <f>+CP281/CL281-1</f>
        <v>-0.22465608300746254</v>
      </c>
      <c r="CR281" s="67">
        <v>44165</v>
      </c>
      <c r="CS281" s="67">
        <v>51319</v>
      </c>
      <c r="CT281" s="65">
        <f>CS281</f>
        <v>51319</v>
      </c>
      <c r="CU281" s="75">
        <f>+CT281/CP281-1</f>
        <v>3.1185323608013293E-2</v>
      </c>
      <c r="CV281" s="67">
        <v>76341</v>
      </c>
      <c r="CW281" s="67">
        <v>79518</v>
      </c>
      <c r="CX281" s="65">
        <f>CW281</f>
        <v>79518</v>
      </c>
      <c r="CY281" s="75">
        <f>+CX281/CT281-1</f>
        <v>0.54948459634833102</v>
      </c>
      <c r="CZ281" s="67">
        <v>86857</v>
      </c>
      <c r="DA281" s="67">
        <v>102413</v>
      </c>
      <c r="DB281" s="65">
        <f>DA281</f>
        <v>102413</v>
      </c>
      <c r="DC281" s="75">
        <f>+DB281/CX281-1</f>
        <v>0.28792223144445273</v>
      </c>
      <c r="DD281" s="67">
        <v>102183</v>
      </c>
      <c r="DE281" s="67">
        <v>97468</v>
      </c>
      <c r="DF281" s="65">
        <f>DE281</f>
        <v>97468</v>
      </c>
      <c r="DG281" s="75">
        <f>+DF281/DB281-1</f>
        <v>-4.8284885707869152E-2</v>
      </c>
      <c r="DH281" s="65">
        <f>+DE281*(1+DH288)</f>
        <v>100392.04000000001</v>
      </c>
      <c r="DI281" s="65">
        <f>+DH281*(1+DI288)</f>
        <v>103403.80120000002</v>
      </c>
      <c r="DJ281" s="65">
        <f>DI281</f>
        <v>103403.80120000002</v>
      </c>
      <c r="DK281" s="75">
        <f>+DJ281/DF281-1</f>
        <v>6.0900000000000176E-2</v>
      </c>
      <c r="DL281" s="65">
        <f>+DI281*(1+DL288)</f>
        <v>106505.91523600002</v>
      </c>
      <c r="DM281" s="65">
        <f>+DL281*(1+DM288)</f>
        <v>109701.09269308002</v>
      </c>
      <c r="DN281" s="65">
        <f>DM281</f>
        <v>109701.09269308002</v>
      </c>
      <c r="DO281" s="75">
        <f>+DN281/DJ281-1</f>
        <v>6.0899999999999954E-2</v>
      </c>
      <c r="DP281" s="65">
        <f>+DM281*(1+DP288)</f>
        <v>112992.12547387242</v>
      </c>
      <c r="DQ281" s="65">
        <f>+DP281*(1+DQ288)</f>
        <v>116381.8892380886</v>
      </c>
      <c r="DR281" s="65">
        <f>DQ281</f>
        <v>116381.8892380886</v>
      </c>
      <c r="DS281" s="75">
        <f>+DR281/DN281-1</f>
        <v>6.0899999999999954E-2</v>
      </c>
    </row>
    <row r="282" spans="1:128" s="20" customFormat="1" ht="13.8">
      <c r="A282" s="20" t="s">
        <v>577</v>
      </c>
      <c r="B282" s="49" t="s">
        <v>544</v>
      </c>
      <c r="BD282" s="67"/>
      <c r="BE282" s="67"/>
      <c r="BF282" s="65"/>
      <c r="BH282" s="67">
        <v>5373</v>
      </c>
      <c r="BI282" s="67">
        <v>5701</v>
      </c>
      <c r="BJ282" s="65">
        <f>BI282</f>
        <v>5701</v>
      </c>
      <c r="BK282" s="49"/>
      <c r="BL282" s="67">
        <v>6157</v>
      </c>
      <c r="BM282" s="67">
        <v>6845</v>
      </c>
      <c r="BN282" s="65">
        <f>BM282</f>
        <v>6845</v>
      </c>
      <c r="BO282" s="49"/>
      <c r="BP282" s="67">
        <v>7133</v>
      </c>
      <c r="BQ282" s="67">
        <v>7782</v>
      </c>
      <c r="BR282" s="65">
        <f>BQ282</f>
        <v>7782</v>
      </c>
      <c r="BS282" s="75">
        <f t="shared" ref="BS282:BS283" si="469">+BR282/BN282-1</f>
        <v>0.13688823959094232</v>
      </c>
      <c r="BT282" s="67">
        <v>8116</v>
      </c>
      <c r="BU282" s="67">
        <v>8729</v>
      </c>
      <c r="BV282" s="65">
        <f>BU282</f>
        <v>8729</v>
      </c>
      <c r="BW282" s="75">
        <f t="shared" ref="BW282:BW283" si="470">+BV282/BR282-1</f>
        <v>0.12169108198406575</v>
      </c>
      <c r="BX282" s="67">
        <v>9268</v>
      </c>
      <c r="BY282" s="67">
        <v>10221</v>
      </c>
      <c r="BZ282" s="65">
        <f>BY282</f>
        <v>10221</v>
      </c>
      <c r="CA282" s="75">
        <f t="shared" ref="CA282:CA283" si="471">+BZ282/BV282-1</f>
        <v>0.17092450452514596</v>
      </c>
      <c r="CB282" s="67">
        <v>11303</v>
      </c>
      <c r="CC282" s="67">
        <v>11931</v>
      </c>
      <c r="CD282" s="65">
        <f>CC282</f>
        <v>11931</v>
      </c>
      <c r="CE282" s="75">
        <f t="shared" ref="CE282:CE283" si="472">+CD282/BZ282-1</f>
        <v>0.16730261226885834</v>
      </c>
      <c r="CF282" s="67">
        <v>12202</v>
      </c>
      <c r="CG282" s="67">
        <v>12765</v>
      </c>
      <c r="CH282" s="65">
        <f>CG282</f>
        <v>12765</v>
      </c>
      <c r="CI282" s="75">
        <f t="shared" ref="CI282:CI283" si="473">+CH282/CD282-1</f>
        <v>6.9901936132763298E-2</v>
      </c>
      <c r="CJ282" s="67">
        <v>14410</v>
      </c>
      <c r="CK282" s="67">
        <v>18771</v>
      </c>
      <c r="CL282" s="65">
        <f>CK282</f>
        <v>18771</v>
      </c>
      <c r="CM282" s="75">
        <f t="shared" ref="CM282:CM283" si="474">+CL282/CH282-1</f>
        <v>0.47050528789659229</v>
      </c>
      <c r="CN282" s="67">
        <v>20850</v>
      </c>
      <c r="CO282" s="67">
        <v>23209</v>
      </c>
      <c r="CP282" s="65">
        <f>CO282</f>
        <v>23209</v>
      </c>
      <c r="CQ282" s="75">
        <f t="shared" ref="CQ282:CQ283" si="475">+CP282/CL282-1</f>
        <v>0.23642853337595238</v>
      </c>
      <c r="CR282" s="67">
        <v>24785</v>
      </c>
      <c r="CS282" s="67">
        <v>25110</v>
      </c>
      <c r="CT282" s="65">
        <f>CS282</f>
        <v>25110</v>
      </c>
      <c r="CU282" s="75">
        <f t="shared" ref="CU282:CU283" si="476">+CT282/CP282-1</f>
        <v>8.1907880563574453E-2</v>
      </c>
      <c r="CV282" s="67">
        <v>22815</v>
      </c>
      <c r="CW282" s="67">
        <v>20856</v>
      </c>
      <c r="CX282" s="65">
        <f>CW282</f>
        <v>20856</v>
      </c>
      <c r="CY282" s="75">
        <f t="shared" ref="CY282:CY283" si="477">+CX282/CT282-1</f>
        <v>-0.1694145758661888</v>
      </c>
      <c r="CZ282" s="67">
        <v>19955</v>
      </c>
      <c r="DA282" s="67">
        <v>39964</v>
      </c>
      <c r="DB282" s="65">
        <f>DA282</f>
        <v>39964</v>
      </c>
      <c r="DC282" s="75">
        <f t="shared" ref="DC282:DC283" si="478">+DB282/CX282-1</f>
        <v>0.91618718833908708</v>
      </c>
      <c r="DD282" s="67">
        <v>39770</v>
      </c>
      <c r="DE282" s="67">
        <v>40664</v>
      </c>
      <c r="DF282" s="65">
        <f>DE282</f>
        <v>40664</v>
      </c>
      <c r="DG282" s="75">
        <f t="shared" ref="DG282:DG283" si="479">+DF282/DB282-1</f>
        <v>1.7515764187769012E-2</v>
      </c>
      <c r="DH282" s="65">
        <f>+DE282*(1+DH289)</f>
        <v>41477.279999999999</v>
      </c>
      <c r="DI282" s="65">
        <f>+DH282*(1+DI289)</f>
        <v>42306.825599999996</v>
      </c>
      <c r="DJ282" s="65">
        <f>DI282</f>
        <v>42306.825599999996</v>
      </c>
      <c r="DK282" s="75">
        <f t="shared" ref="DK282:DK283" si="480">+DJ282/DF282-1</f>
        <v>4.0399999999999991E-2</v>
      </c>
      <c r="DL282" s="65">
        <f>+DI282*(1+DL289)</f>
        <v>43152.962111999994</v>
      </c>
      <c r="DM282" s="65">
        <f>+DL282*(1+DM289)</f>
        <v>44016.021354239994</v>
      </c>
      <c r="DN282" s="65">
        <f>DM282</f>
        <v>44016.021354239994</v>
      </c>
      <c r="DO282" s="75">
        <f t="shared" ref="DO282:DO283" si="481">+DN282/DJ282-1</f>
        <v>4.0399999999999991E-2</v>
      </c>
      <c r="DP282" s="65">
        <f>+DM282*(1+DP289)</f>
        <v>44896.341781324794</v>
      </c>
      <c r="DQ282" s="65">
        <f>+DP282*(1+DQ289)</f>
        <v>45794.268616951289</v>
      </c>
      <c r="DR282" s="65">
        <f>DQ282</f>
        <v>45794.268616951289</v>
      </c>
      <c r="DS282" s="75">
        <f t="shared" ref="DS282:DS283" si="482">+DR282/DN282-1</f>
        <v>4.0399999999999991E-2</v>
      </c>
    </row>
    <row r="283" spans="1:128" s="20" customFormat="1" ht="13.8">
      <c r="A283" s="20" t="s">
        <v>578</v>
      </c>
      <c r="B283" s="49" t="s">
        <v>544</v>
      </c>
      <c r="BD283" s="65"/>
      <c r="BE283" s="65"/>
      <c r="BF283" s="65"/>
      <c r="BH283" s="67">
        <v>111895</v>
      </c>
      <c r="BI283" s="67">
        <v>121932</v>
      </c>
      <c r="BJ283" s="65">
        <f>BI283</f>
        <v>121932</v>
      </c>
      <c r="BK283" s="49"/>
      <c r="BL283" s="67">
        <v>132331</v>
      </c>
      <c r="BM283" s="67">
        <f>142244</f>
        <v>142244</v>
      </c>
      <c r="BN283" s="65">
        <f>BM283</f>
        <v>142244</v>
      </c>
      <c r="BO283" s="49"/>
      <c r="BP283" s="67">
        <v>151436</v>
      </c>
      <c r="BQ283" s="67">
        <v>164009</v>
      </c>
      <c r="BR283" s="65">
        <f>BQ283</f>
        <v>164009</v>
      </c>
      <c r="BS283" s="75">
        <f t="shared" si="469"/>
        <v>0.15301172632940574</v>
      </c>
      <c r="BT283" s="67">
        <v>169268</v>
      </c>
      <c r="BU283" s="67">
        <v>169773</v>
      </c>
      <c r="BV283" s="65">
        <f>BU283</f>
        <v>169773</v>
      </c>
      <c r="BW283" s="75">
        <f t="shared" si="470"/>
        <v>3.5144412806614289E-2</v>
      </c>
      <c r="BX283" s="67">
        <v>179928</v>
      </c>
      <c r="BY283" s="67">
        <v>190480</v>
      </c>
      <c r="BZ283" s="65">
        <f>BY283</f>
        <v>190480</v>
      </c>
      <c r="CA283" s="75">
        <f t="shared" si="471"/>
        <v>0.12196874650268308</v>
      </c>
      <c r="CB283" s="67">
        <v>190473</v>
      </c>
      <c r="CC283" s="67">
        <v>189287</v>
      </c>
      <c r="CD283" s="65">
        <f>CC283</f>
        <v>189287</v>
      </c>
      <c r="CE283" s="75">
        <f t="shared" si="472"/>
        <v>-6.2631247375052324E-3</v>
      </c>
      <c r="CF283" s="67">
        <v>180863</v>
      </c>
      <c r="CG283" s="67">
        <v>196261</v>
      </c>
      <c r="CH283" s="65">
        <f>CG283</f>
        <v>196261</v>
      </c>
      <c r="CI283" s="75">
        <f t="shared" si="473"/>
        <v>3.6843523327011463E-2</v>
      </c>
      <c r="CJ283" s="67">
        <v>220135</v>
      </c>
      <c r="CK283" s="67">
        <v>240945</v>
      </c>
      <c r="CL283" s="65">
        <f>CK283</f>
        <v>240945</v>
      </c>
      <c r="CM283" s="75">
        <f t="shared" si="474"/>
        <v>0.22767641049418885</v>
      </c>
      <c r="CN283" s="67">
        <v>247730</v>
      </c>
      <c r="CO283" s="67">
        <v>270839</v>
      </c>
      <c r="CP283" s="65">
        <f>CO283</f>
        <v>270839</v>
      </c>
      <c r="CQ283" s="75">
        <f t="shared" si="475"/>
        <v>0.12406980846251225</v>
      </c>
      <c r="CR283" s="67">
        <v>286191</v>
      </c>
      <c r="CS283" s="67">
        <v>285677</v>
      </c>
      <c r="CT283" s="65">
        <f>CS283</f>
        <v>285677</v>
      </c>
      <c r="CU283" s="75">
        <f t="shared" si="476"/>
        <v>5.4785315261095979E-2</v>
      </c>
      <c r="CV283" s="67">
        <v>270418</v>
      </c>
      <c r="CW283" s="67">
        <v>278014</v>
      </c>
      <c r="CX283" s="65">
        <f>CW283</f>
        <v>278014</v>
      </c>
      <c r="CY283" s="75">
        <f t="shared" si="477"/>
        <v>-2.6824000532069459E-2</v>
      </c>
      <c r="CZ283" s="67">
        <v>283155</v>
      </c>
      <c r="DA283" s="67">
        <v>308130</v>
      </c>
      <c r="DB283" s="65">
        <f>DA283</f>
        <v>308130</v>
      </c>
      <c r="DC283" s="75">
        <f t="shared" si="478"/>
        <v>0.10832548001179787</v>
      </c>
      <c r="DD283" s="67">
        <v>320976</v>
      </c>
      <c r="DE283" s="67">
        <v>337908</v>
      </c>
      <c r="DF283" s="65">
        <f>DE283</f>
        <v>337908</v>
      </c>
      <c r="DG283" s="75">
        <f t="shared" si="479"/>
        <v>9.6641028137474549E-2</v>
      </c>
      <c r="DH283" s="65">
        <f>DE283*(1+DH290)</f>
        <v>343314.52799999999</v>
      </c>
      <c r="DI283" s="65">
        <f>+DH283*(1+DI290)</f>
        <v>348807.56044799997</v>
      </c>
      <c r="DJ283" s="65">
        <f>DI283</f>
        <v>348807.56044799997</v>
      </c>
      <c r="DK283" s="75">
        <f t="shared" si="480"/>
        <v>3.225599999999984E-2</v>
      </c>
      <c r="DL283" s="65">
        <f>DI283*(1+DL290)</f>
        <v>354388.48141516797</v>
      </c>
      <c r="DM283" s="65">
        <f>+DL283*(1+DM290)</f>
        <v>360058.69711781066</v>
      </c>
      <c r="DN283" s="65">
        <f>DM283</f>
        <v>360058.69711781066</v>
      </c>
      <c r="DO283" s="75">
        <f t="shared" si="481"/>
        <v>3.2256000000000062E-2</v>
      </c>
      <c r="DP283" s="65">
        <f>DM283*(1+DP290)</f>
        <v>365819.63627169566</v>
      </c>
      <c r="DQ283" s="65">
        <f>+DP283*(1+DQ290)</f>
        <v>371672.75045204279</v>
      </c>
      <c r="DR283" s="65">
        <f>DQ283</f>
        <v>371672.75045204279</v>
      </c>
      <c r="DS283" s="75">
        <f t="shared" si="482"/>
        <v>3.2256000000000062E-2</v>
      </c>
    </row>
    <row r="284" spans="1:128" s="20" customFormat="1" ht="13.8">
      <c r="A284" s="21" t="s">
        <v>883</v>
      </c>
      <c r="B284" s="49" t="s">
        <v>544</v>
      </c>
      <c r="BD284" s="98"/>
      <c r="BE284" s="98"/>
      <c r="BF284" s="72"/>
      <c r="BH284" s="72">
        <f>SUM(BH280:BH283)</f>
        <v>248014</v>
      </c>
      <c r="BI284" s="72">
        <f>SUM(BI280:BI283)</f>
        <v>259378</v>
      </c>
      <c r="BJ284" s="72">
        <f>SUM(BJ280:BJ283)</f>
        <v>259378</v>
      </c>
      <c r="BK284" s="49"/>
      <c r="BL284" s="72">
        <f>SUM(BL280:BL283)</f>
        <v>267605</v>
      </c>
      <c r="BM284" s="72">
        <f>SUM(BM280:BM283)</f>
        <v>277314</v>
      </c>
      <c r="BN284" s="72">
        <f>SUM(BN280:BN283)</f>
        <v>277314</v>
      </c>
      <c r="BO284" s="49"/>
      <c r="BP284" s="72">
        <f>SUM(BP280:BP283)</f>
        <v>284021</v>
      </c>
      <c r="BQ284" s="72">
        <f>SUM(BQ280:BQ283)</f>
        <v>295575</v>
      </c>
      <c r="BR284" s="72">
        <f>SUM(BR280:BR283)</f>
        <v>295575</v>
      </c>
      <c r="BS284" s="79">
        <f>+BR284/BN284-1</f>
        <v>6.5849542395984395E-2</v>
      </c>
      <c r="BT284" s="72">
        <f>SUM(BT280:BT283)</f>
        <v>302324</v>
      </c>
      <c r="BU284" s="72">
        <f>SUM(BU280:BU283)</f>
        <v>300537</v>
      </c>
      <c r="BV284" s="72">
        <f>SUM(BV280:BV283)</f>
        <v>300537</v>
      </c>
      <c r="BW284" s="79">
        <f>+BV284/BR284-1</f>
        <v>1.6787617356001094E-2</v>
      </c>
      <c r="BX284" s="72">
        <f>SUM(BX280:BX283)</f>
        <v>313542</v>
      </c>
      <c r="BY284" s="72">
        <f>SUM(BY280:BY283)</f>
        <v>323945</v>
      </c>
      <c r="BZ284" s="72">
        <f>SUM(BZ280:BZ283)</f>
        <v>323945</v>
      </c>
      <c r="CA284" s="79">
        <f>+BZ284/BV284-1</f>
        <v>7.7887248491866234E-2</v>
      </c>
      <c r="CB284" s="72">
        <f>SUM(CB280:CB283)</f>
        <v>320049</v>
      </c>
      <c r="CC284" s="72">
        <f>SUM(CC280:CC283)</f>
        <v>316440</v>
      </c>
      <c r="CD284" s="72">
        <f>SUM(CD280:CD283)</f>
        <v>316440</v>
      </c>
      <c r="CE284" s="79">
        <f>+CD284/BZ284-1</f>
        <v>-2.3167513003750639E-2</v>
      </c>
      <c r="CF284" s="72">
        <f>SUM(CF280:CF283)</f>
        <v>310260</v>
      </c>
      <c r="CG284" s="72">
        <f>SUM(CG280:CG283)</f>
        <v>316539</v>
      </c>
      <c r="CH284" s="72">
        <f>SUM(CH280:CH283)</f>
        <v>316539</v>
      </c>
      <c r="CI284" s="79">
        <f>+CH284/CD284-1</f>
        <v>3.1285551763371444E-4</v>
      </c>
      <c r="CJ284" s="72">
        <f>SUM(CJ280:CJ283)</f>
        <v>338334</v>
      </c>
      <c r="CK284" s="72">
        <f>SUM(CK280:CK283)</f>
        <v>352161</v>
      </c>
      <c r="CL284" s="72">
        <f>SUM(CL280:CL283)</f>
        <v>352161</v>
      </c>
      <c r="CM284" s="79">
        <f>+CL284/CH284-1</f>
        <v>0.11253589605072367</v>
      </c>
      <c r="CN284" s="72">
        <f>SUM(CN280:CN283)</f>
        <v>364259</v>
      </c>
      <c r="CO284" s="72">
        <f>SUM(CO280:CO283)</f>
        <v>375730</v>
      </c>
      <c r="CP284" s="72">
        <f>SUM(CP280:CP283)</f>
        <v>375730</v>
      </c>
      <c r="CQ284" s="79">
        <f>+CP284/CL284-1</f>
        <v>6.6926774969403136E-2</v>
      </c>
      <c r="CR284" s="72">
        <f>SUM(CR280:CR283)</f>
        <v>385055</v>
      </c>
      <c r="CS284" s="72">
        <f>SUM(CS280:CS283)</f>
        <v>391518</v>
      </c>
      <c r="CT284" s="72">
        <f>SUM(CT280:CT283)</f>
        <v>391518</v>
      </c>
      <c r="CU284" s="79">
        <f>+CT284/CP284-1</f>
        <v>4.2019535304607114E-2</v>
      </c>
      <c r="CV284" s="72">
        <f>SUM(CV280:CV283)</f>
        <v>407494</v>
      </c>
      <c r="CW284" s="72">
        <f>SUM(CW280:CW283)</f>
        <v>412001</v>
      </c>
      <c r="CX284" s="72">
        <f>SUM(CX280:CX283)</f>
        <v>412001</v>
      </c>
      <c r="CY284" s="79">
        <f>+CX284/CT284-1</f>
        <v>5.2316879428276675E-2</v>
      </c>
      <c r="CZ284" s="72">
        <f>SUM(CZ280:CZ283)</f>
        <v>420539</v>
      </c>
      <c r="DA284" s="72">
        <f>SUM(DA280:DA283)</f>
        <v>484518</v>
      </c>
      <c r="DB284" s="72">
        <f>SUM(DB280:DB283)</f>
        <v>484518</v>
      </c>
      <c r="DC284" s="79">
        <f>+DB284/CX284-1</f>
        <v>0.17601170870944483</v>
      </c>
      <c r="DD284" s="72">
        <f>SUM(DD280:DD283)</f>
        <v>493144</v>
      </c>
      <c r="DE284" s="72">
        <f>SUM(DE280:DE283)</f>
        <v>514224</v>
      </c>
      <c r="DF284" s="72">
        <f>SUM(DF280:DF283)</f>
        <v>514224</v>
      </c>
      <c r="DG284" s="79">
        <f>+DF284/DB284-1</f>
        <v>6.1310415712109823E-2</v>
      </c>
      <c r="DH284" s="72">
        <f>SUM(DH280:DH283)</f>
        <v>524131.52799999999</v>
      </c>
      <c r="DI284" s="72">
        <f>SUM(DI280:DI283)</f>
        <v>534244.820848</v>
      </c>
      <c r="DJ284" s="72">
        <f>SUM(DJ280:DJ283)</f>
        <v>534244.820848</v>
      </c>
      <c r="DK284" s="79">
        <f>+DJ284/DF284-1</f>
        <v>3.8934045956625862E-2</v>
      </c>
      <c r="DL284" s="72">
        <f>SUM(DL280:DL283)</f>
        <v>544568.52503516804</v>
      </c>
      <c r="DM284" s="72">
        <f>SUM(DM280:DM283)</f>
        <v>555107.40076257067</v>
      </c>
      <c r="DN284" s="72">
        <f>SUM(DN280:DN283)</f>
        <v>555107.40076257067</v>
      </c>
      <c r="DO284" s="79">
        <f>+DN284/DJ284-1</f>
        <v>3.905059834076785E-2</v>
      </c>
      <c r="DP284" s="72">
        <f>SUM(DP280:DP283)</f>
        <v>565866.32491628174</v>
      </c>
      <c r="DQ284" s="72">
        <f>SUM(DQ280:DQ283)</f>
        <v>576850.29412425926</v>
      </c>
      <c r="DR284" s="72">
        <f>SUM(DR280:DR283)</f>
        <v>576850.29412425926</v>
      </c>
      <c r="DS284" s="79">
        <f>+DR284/DN284-1</f>
        <v>3.916880468864159E-2</v>
      </c>
    </row>
    <row r="285" spans="1:128" s="20" customFormat="1" ht="13.8">
      <c r="A285" s="47" t="s">
        <v>1112</v>
      </c>
      <c r="B285" s="49"/>
      <c r="BD285" s="67"/>
      <c r="BE285" s="79"/>
      <c r="BF285" s="72"/>
      <c r="BH285" s="67"/>
      <c r="BI285" s="79"/>
      <c r="BJ285" s="72"/>
      <c r="BK285" s="49"/>
      <c r="BL285" s="67"/>
      <c r="BM285" s="79"/>
      <c r="BN285" s="72"/>
      <c r="BO285" s="49"/>
      <c r="BP285" s="67"/>
      <c r="BQ285" s="79"/>
      <c r="BR285" s="72"/>
      <c r="BT285" s="67"/>
      <c r="BU285" s="79"/>
      <c r="BV285" s="72"/>
      <c r="BX285" s="67"/>
      <c r="BY285" s="79"/>
      <c r="BZ285" s="72"/>
      <c r="CB285" s="436">
        <f>CB281/CB284</f>
        <v>0.23470156132342235</v>
      </c>
      <c r="CC285" s="436">
        <f>CC281/CC284</f>
        <v>0.23875300214890657</v>
      </c>
      <c r="CD285" s="72"/>
      <c r="CF285" s="436">
        <f>CF281/CF284</f>
        <v>0.25048024237736094</v>
      </c>
      <c r="CG285" s="436">
        <f>CG281/CG284</f>
        <v>0.23554759445123666</v>
      </c>
      <c r="CH285" s="72"/>
      <c r="CJ285" s="436">
        <f>CJ281/CJ284</f>
        <v>0.2041060017615729</v>
      </c>
      <c r="CK285" s="436">
        <f>CK281/CK284</f>
        <v>0.18226606580512891</v>
      </c>
      <c r="CL285" s="72"/>
      <c r="CN285" s="436">
        <f>CN281/CN284</f>
        <v>0.16884414660996708</v>
      </c>
      <c r="CO285" s="436">
        <f>CO281/CO284</f>
        <v>0.13245415590982887</v>
      </c>
      <c r="CP285" s="72"/>
      <c r="CR285" s="436">
        <f>CR281/CR284</f>
        <v>0.11469790029995715</v>
      </c>
      <c r="CS285" s="436">
        <f>CS281/CS284</f>
        <v>0.13107698752036942</v>
      </c>
      <c r="CT285" s="72"/>
      <c r="CV285" s="436">
        <f>CV281/CV284</f>
        <v>0.18734263571978974</v>
      </c>
      <c r="CW285" s="436">
        <f>CW281/CW284</f>
        <v>0.19300438591168467</v>
      </c>
      <c r="CX285" s="72"/>
      <c r="CZ285" s="436">
        <f>CZ281/CZ284</f>
        <v>0.20653732471899158</v>
      </c>
      <c r="DA285" s="436">
        <f>DA281/DA284</f>
        <v>0.21137088818165684</v>
      </c>
      <c r="DB285" s="72"/>
      <c r="DD285" s="436">
        <f>DD281/DD284</f>
        <v>0.20720722547572312</v>
      </c>
      <c r="DE285" s="436">
        <f>DE281/DE284</f>
        <v>0.18954385637387597</v>
      </c>
      <c r="DF285" s="72"/>
      <c r="DH285" s="436">
        <f>DH281/DH284</f>
        <v>0.19153978464733762</v>
      </c>
      <c r="DI285" s="436">
        <f>DI281/DI284</f>
        <v>0.19355134044326061</v>
      </c>
      <c r="DJ285" s="49"/>
      <c r="DL285" s="436">
        <f>DL281/DL284</f>
        <v>0.1955785366572956</v>
      </c>
      <c r="DM285" s="436">
        <f>DM281/DM284</f>
        <v>0.19762138379416261</v>
      </c>
      <c r="DN285" s="49"/>
      <c r="DP285" s="436">
        <f>DP281/DP284</f>
        <v>0.19967988992910873</v>
      </c>
      <c r="DQ285" s="436">
        <f>DQ281/DQ284</f>
        <v>0.20175406066971474</v>
      </c>
      <c r="DR285" s="49"/>
    </row>
    <row r="286" spans="1:128" s="20" customFormat="1" ht="13.8">
      <c r="A286" s="78" t="s">
        <v>217</v>
      </c>
      <c r="B286" s="49"/>
      <c r="BD286" s="67"/>
      <c r="BE286" s="49"/>
      <c r="BF286" s="49"/>
      <c r="BH286" s="67"/>
      <c r="BI286" s="49"/>
      <c r="BJ286" s="49"/>
      <c r="BK286" s="49"/>
      <c r="BL286" s="67"/>
      <c r="BM286" s="49"/>
      <c r="BN286" s="49"/>
      <c r="BO286" s="49"/>
      <c r="BP286" s="67"/>
      <c r="BQ286" s="49"/>
      <c r="BR286" s="49"/>
      <c r="BT286" s="67"/>
      <c r="BU286" s="49"/>
      <c r="BV286" s="49"/>
      <c r="BX286" s="67"/>
      <c r="BY286" s="49"/>
      <c r="BZ286" s="49"/>
      <c r="CB286" s="67"/>
      <c r="CC286" s="49"/>
      <c r="CD286" s="49"/>
      <c r="CF286" s="67"/>
      <c r="CG286" s="49"/>
      <c r="CH286" s="49"/>
      <c r="CJ286" s="67"/>
      <c r="CK286" s="49"/>
      <c r="CL286" s="49"/>
      <c r="CN286" s="67"/>
      <c r="CO286" s="49"/>
      <c r="CP286" s="49"/>
      <c r="CR286" s="67"/>
      <c r="CS286" s="49"/>
      <c r="CT286" s="49"/>
      <c r="CV286" s="67"/>
      <c r="CW286" s="49"/>
      <c r="CX286" s="49"/>
      <c r="CZ286" s="67"/>
      <c r="DA286" s="49"/>
      <c r="DB286" s="49"/>
      <c r="DD286" s="67"/>
      <c r="DE286" s="49"/>
      <c r="DF286" s="49"/>
      <c r="DH286" s="49"/>
      <c r="DI286" s="49"/>
      <c r="DJ286" s="49"/>
      <c r="DL286" s="49"/>
      <c r="DM286" s="49"/>
      <c r="DN286" s="49"/>
      <c r="DP286" s="49"/>
      <c r="DQ286" s="49"/>
      <c r="DR286" s="49"/>
    </row>
    <row r="287" spans="1:128" s="325" customFormat="1" ht="13.8">
      <c r="A287" s="335" t="str">
        <f>+A280</f>
        <v>CoD</v>
      </c>
      <c r="B287" s="324" t="s">
        <v>546</v>
      </c>
      <c r="BD287" s="327"/>
      <c r="BE287" s="345"/>
      <c r="BF287" s="324"/>
      <c r="BH287" s="345"/>
      <c r="BI287" s="345">
        <f>+BI280/BH280-1</f>
        <v>-1.4991097241102036E-2</v>
      </c>
      <c r="BJ287" s="324"/>
      <c r="BK287" s="324"/>
      <c r="BL287" s="345">
        <f>+BL280/BI280-1</f>
        <v>-4.4899704556056186E-3</v>
      </c>
      <c r="BM287" s="345">
        <f>+BM280/BL280-1</f>
        <v>-3.4578362653025385E-2</v>
      </c>
      <c r="BN287" s="324"/>
      <c r="BO287" s="324"/>
      <c r="BP287" s="345">
        <f>+BP280/BM280-1</f>
        <v>0.12965659507341343</v>
      </c>
      <c r="BQ287" s="345">
        <f>+BQ280/BP280-1</f>
        <v>2.74450829797519E-2</v>
      </c>
      <c r="BR287" s="324"/>
      <c r="BT287" s="345">
        <f>+BT280/BQ280-1</f>
        <v>-1.5281407910785805E-2</v>
      </c>
      <c r="BU287" s="345">
        <f>+BU280/BT280-1</f>
        <v>-7.4637693981915665E-2</v>
      </c>
      <c r="BV287" s="324"/>
      <c r="BX287" s="345">
        <f>+BX280/BU280-1</f>
        <v>-8.0313605507218444E-3</v>
      </c>
      <c r="BY287" s="345">
        <f>+BY280/BX280-1</f>
        <v>-2.5253012048192747E-2</v>
      </c>
      <c r="BZ287" s="324"/>
      <c r="CB287" s="345">
        <f>+CB280/BY280-1</f>
        <v>-0.1465044991594977</v>
      </c>
      <c r="CC287" s="345">
        <f>+CC280/CB280-1</f>
        <v>-8.0774845332159284E-2</v>
      </c>
      <c r="CD287" s="324"/>
      <c r="CF287" s="345">
        <f>+CF280/CC280-1</f>
        <v>-4.7893927554132354E-3</v>
      </c>
      <c r="CG287" s="345">
        <f>+CG280/CF280-1</f>
        <v>-0.16534535599402245</v>
      </c>
      <c r="CH287" s="324"/>
      <c r="CJ287" s="345">
        <f>+CJ280/CG280-1</f>
        <v>5.4016326282887661E-2</v>
      </c>
      <c r="CK287" s="345">
        <f>+CK280/CJ280-1</f>
        <v>-0.18642213456942969</v>
      </c>
      <c r="CL287" s="324"/>
      <c r="CN287" s="345">
        <f>+CN280/CK280-1</f>
        <v>0.20942741878406124</v>
      </c>
      <c r="CO287" s="345">
        <f>+CO280/CN280-1</f>
        <v>-6.6157537453183535E-2</v>
      </c>
      <c r="CP287" s="324"/>
      <c r="CR287" s="345">
        <f>+CR280/CO280-1</f>
        <v>-6.2697791007363279E-2</v>
      </c>
      <c r="CS287" s="345">
        <f>+CS280/CR280-1</f>
        <v>-1.6781440128368019E-2</v>
      </c>
      <c r="CT287" s="324"/>
      <c r="CV287" s="345">
        <f>+CV280/CS280-1</f>
        <v>0.28926968584251322</v>
      </c>
      <c r="CW287" s="345">
        <f>+CW280/CV280-1</f>
        <v>-0.11358122362869194</v>
      </c>
      <c r="CX287" s="324"/>
      <c r="CZ287" s="345">
        <f>+CZ280/CW280-1</f>
        <v>-9.0470948740070778E-2</v>
      </c>
      <c r="DA287" s="345">
        <f>+DA280/CZ280-1</f>
        <v>0.11248855161585758</v>
      </c>
      <c r="DB287" s="324"/>
      <c r="DD287" s="345">
        <f>+DD280/DA280-1</f>
        <v>-0.11161094939872396</v>
      </c>
      <c r="DE287" s="345">
        <f>+DE280/DD280-1</f>
        <v>0.26374317392023827</v>
      </c>
      <c r="DF287" s="324"/>
      <c r="DH287" s="346">
        <v>0.02</v>
      </c>
      <c r="DI287" s="346">
        <v>0.02</v>
      </c>
      <c r="DJ287" s="324"/>
      <c r="DL287" s="346">
        <v>0.02</v>
      </c>
      <c r="DM287" s="346">
        <v>0.02</v>
      </c>
      <c r="DN287" s="324"/>
      <c r="DP287" s="346">
        <v>0.02</v>
      </c>
      <c r="DQ287" s="346">
        <v>0.02</v>
      </c>
      <c r="DR287" s="324"/>
      <c r="DW287" s="20"/>
      <c r="DX287" s="20"/>
    </row>
    <row r="288" spans="1:128" s="325" customFormat="1" ht="13.8">
      <c r="A288" s="335" t="str">
        <f>+A281</f>
        <v>Term Deposits</v>
      </c>
      <c r="B288" s="324" t="s">
        <v>546</v>
      </c>
      <c r="BD288" s="327"/>
      <c r="BE288" s="345"/>
      <c r="BF288" s="324"/>
      <c r="BH288" s="345"/>
      <c r="BI288" s="345">
        <f>+BI281/BH281-1</f>
        <v>2.2696300070050413E-2</v>
      </c>
      <c r="BJ288" s="324"/>
      <c r="BK288" s="324"/>
      <c r="BL288" s="345">
        <f>+BL281/BI281-1</f>
        <v>-2.9851675654134047E-2</v>
      </c>
      <c r="BM288" s="345">
        <f>+BM281/BL281-1</f>
        <v>1.1283697047496766E-2</v>
      </c>
      <c r="BN288" s="324"/>
      <c r="BO288" s="324"/>
      <c r="BP288" s="345">
        <f>+BP281/BM281-1</f>
        <v>-0.1165792914355348</v>
      </c>
      <c r="BQ288" s="345">
        <f>+BQ281/BP281-1</f>
        <v>-4.5994683526115354E-2</v>
      </c>
      <c r="BR288" s="324"/>
      <c r="BT288" s="345">
        <f>+BT281/BQ281-1</f>
        <v>3.0620236768382769E-2</v>
      </c>
      <c r="BU288" s="345">
        <f>+BU281/BT281-1</f>
        <v>1.9188332091133686E-2</v>
      </c>
      <c r="BV288" s="324"/>
      <c r="BX288" s="345">
        <f>+BX281/BU281-1</f>
        <v>3.9159736162890812E-2</v>
      </c>
      <c r="BY288" s="345">
        <f>+BY281/BX281-1</f>
        <v>2.8701135626665319E-3</v>
      </c>
      <c r="BZ288" s="324"/>
      <c r="CB288" s="345">
        <f>+CB281/BY281-1</f>
        <v>3.3531006205368863E-2</v>
      </c>
      <c r="CC288" s="345">
        <f>+CC281/CB281-1</f>
        <v>5.791043186538225E-3</v>
      </c>
      <c r="CD288" s="324"/>
      <c r="CF288" s="345">
        <f>+CF281/CC281-1</f>
        <v>2.8629667377003676E-2</v>
      </c>
      <c r="CG288" s="345">
        <f>+CG281/CF281-1</f>
        <v>-4.058470803201486E-2</v>
      </c>
      <c r="CH288" s="324"/>
      <c r="CJ288" s="345">
        <f>+CJ281/CG281-1</f>
        <v>-7.3819742489270368E-2</v>
      </c>
      <c r="CK288" s="345">
        <f>+CK281/CJ281-1</f>
        <v>-7.050799351251158E-2</v>
      </c>
      <c r="CL288" s="324"/>
      <c r="CN288" s="345">
        <f>+CN281/CK281-1</f>
        <v>-4.1815320859364014E-2</v>
      </c>
      <c r="CO288" s="345">
        <f>+CO281/CN281-1</f>
        <v>-0.19081996000195112</v>
      </c>
      <c r="CP288" s="324"/>
      <c r="CR288" s="345">
        <f>+CR281/CO281-1</f>
        <v>-0.11256455080675953</v>
      </c>
      <c r="CS288" s="345">
        <f>+CS281/CR281-1</f>
        <v>0.16198347107438016</v>
      </c>
      <c r="CT288" s="324"/>
      <c r="CV288" s="345">
        <f>+CV281/CS281-1</f>
        <v>0.48757770026695768</v>
      </c>
      <c r="CW288" s="345">
        <f>+CW281/CV281-1</f>
        <v>4.1615907572601918E-2</v>
      </c>
      <c r="CX288" s="324"/>
      <c r="CZ288" s="345">
        <f>+CZ281/CW281-1</f>
        <v>9.2293568751729227E-2</v>
      </c>
      <c r="DA288" s="345">
        <f>+DA281/CZ281-1</f>
        <v>0.17909897878121517</v>
      </c>
      <c r="DB288" s="324"/>
      <c r="DD288" s="345">
        <f>+DD281/DA281-1</f>
        <v>-2.2458086375752861E-3</v>
      </c>
      <c r="DE288" s="345">
        <f>+DE281/DD281-1</f>
        <v>-4.6142704755194108E-2</v>
      </c>
      <c r="DF288" s="324"/>
      <c r="DH288" s="346">
        <v>0.03</v>
      </c>
      <c r="DI288" s="346">
        <v>0.03</v>
      </c>
      <c r="DJ288" s="324"/>
      <c r="DL288" s="346">
        <v>0.03</v>
      </c>
      <c r="DM288" s="346">
        <v>0.03</v>
      </c>
      <c r="DN288" s="324"/>
      <c r="DP288" s="346">
        <v>0.03</v>
      </c>
      <c r="DQ288" s="346">
        <v>0.03</v>
      </c>
      <c r="DR288" s="324"/>
      <c r="DW288" s="20"/>
      <c r="DX288" s="20"/>
    </row>
    <row r="289" spans="1:128" s="325" customFormat="1" ht="13.8">
      <c r="A289" s="335" t="s">
        <v>577</v>
      </c>
      <c r="B289" s="324" t="s">
        <v>546</v>
      </c>
      <c r="BD289" s="327"/>
      <c r="BE289" s="345"/>
      <c r="BF289" s="324"/>
      <c r="BH289" s="345"/>
      <c r="BI289" s="345">
        <f>+BI282/BH282-1</f>
        <v>6.1045970593709198E-2</v>
      </c>
      <c r="BJ289" s="324"/>
      <c r="BK289" s="324"/>
      <c r="BL289" s="345">
        <f>+BL282/BI282-1</f>
        <v>7.9985967374144984E-2</v>
      </c>
      <c r="BM289" s="345">
        <f>+BM282/BL282-1</f>
        <v>0.11174273184992689</v>
      </c>
      <c r="BN289" s="324"/>
      <c r="BO289" s="324"/>
      <c r="BP289" s="345">
        <f>+BP282/BM282-1</f>
        <v>4.2074506939371759E-2</v>
      </c>
      <c r="BQ289" s="345">
        <f>+BQ282/BP282-1</f>
        <v>9.0985560072900595E-2</v>
      </c>
      <c r="BR289" s="324"/>
      <c r="BT289" s="345">
        <f>+BT282/BQ282-1</f>
        <v>4.2919557954253396E-2</v>
      </c>
      <c r="BU289" s="345">
        <f>+BU282/BT282-1</f>
        <v>7.5529817644159669E-2</v>
      </c>
      <c r="BV289" s="324"/>
      <c r="BX289" s="345">
        <f>+BX282/BU282-1</f>
        <v>6.1748195669607098E-2</v>
      </c>
      <c r="BY289" s="345">
        <f>+BY282/BX282-1</f>
        <v>0.10282693137678023</v>
      </c>
      <c r="BZ289" s="324"/>
      <c r="CB289" s="345">
        <f>+CB282/BY282-1</f>
        <v>0.10586048331865761</v>
      </c>
      <c r="CC289" s="345">
        <f>+CC282/CB282-1</f>
        <v>5.5560470671503159E-2</v>
      </c>
      <c r="CD289" s="324"/>
      <c r="CF289" s="345">
        <f>+CF282/CC282-1</f>
        <v>2.2713938479590912E-2</v>
      </c>
      <c r="CG289" s="345">
        <f>+CG282/CF282-1</f>
        <v>4.6139977052942038E-2</v>
      </c>
      <c r="CH289" s="324"/>
      <c r="CJ289" s="345">
        <f>+CJ282/CG282-1</f>
        <v>0.12886799843321572</v>
      </c>
      <c r="CK289" s="345">
        <f>+CK282/CJ282-1</f>
        <v>0.3026370575988897</v>
      </c>
      <c r="CL289" s="324"/>
      <c r="CN289" s="345">
        <f>+CN282/CK282-1</f>
        <v>0.11075595333226795</v>
      </c>
      <c r="CO289" s="345">
        <f>+CO282/CN282-1</f>
        <v>0.11314148681055158</v>
      </c>
      <c r="CP289" s="324"/>
      <c r="CR289" s="345">
        <f>+CR282/CO282-1</f>
        <v>6.7904692145288381E-2</v>
      </c>
      <c r="CS289" s="345">
        <f>+CS282/CR282-1</f>
        <v>1.3112769820455838E-2</v>
      </c>
      <c r="CT289" s="324"/>
      <c r="CV289" s="345">
        <f>+CV282/CS282-1</f>
        <v>-9.1397849462365621E-2</v>
      </c>
      <c r="CW289" s="345">
        <f>+CW282/CV282-1</f>
        <v>-8.5864562787639764E-2</v>
      </c>
      <c r="CX289" s="324"/>
      <c r="CZ289" s="345">
        <f>+CZ282/CW282-1</f>
        <v>-4.320099731492133E-2</v>
      </c>
      <c r="DA289" s="345">
        <f>+DA282/CZ282-1</f>
        <v>1.0027060886995742</v>
      </c>
      <c r="DB289" s="324"/>
      <c r="DD289" s="345">
        <f>+DD282/DA282-1</f>
        <v>-4.8543689320388328E-3</v>
      </c>
      <c r="DE289" s="345">
        <f>+DE282/DD282-1</f>
        <v>2.2479255720392333E-2</v>
      </c>
      <c r="DF289" s="324"/>
      <c r="DH289" s="346">
        <v>0.02</v>
      </c>
      <c r="DI289" s="346">
        <v>0.02</v>
      </c>
      <c r="DJ289" s="324"/>
      <c r="DL289" s="346">
        <v>0.02</v>
      </c>
      <c r="DM289" s="346">
        <v>0.02</v>
      </c>
      <c r="DN289" s="324"/>
      <c r="DP289" s="346">
        <v>0.02</v>
      </c>
      <c r="DQ289" s="346">
        <v>0.02</v>
      </c>
      <c r="DR289" s="324"/>
      <c r="DW289" s="20"/>
      <c r="DX289" s="20"/>
    </row>
    <row r="290" spans="1:128" s="325" customFormat="1" ht="13.8">
      <c r="A290" s="335" t="str">
        <f>+A283</f>
        <v>On demand &amp; ST deposits</v>
      </c>
      <c r="B290" s="324" t="s">
        <v>546</v>
      </c>
      <c r="BD290" s="327"/>
      <c r="BE290" s="345"/>
      <c r="BF290" s="324"/>
      <c r="BH290" s="345"/>
      <c r="BI290" s="345">
        <f>+BI283/BH283-1</f>
        <v>8.9700165333571613E-2</v>
      </c>
      <c r="BJ290" s="324"/>
      <c r="BK290" s="324"/>
      <c r="BL290" s="345">
        <f>+BL283/BI283-1</f>
        <v>8.5285240953974384E-2</v>
      </c>
      <c r="BM290" s="345">
        <f>+BM283/BL283-1</f>
        <v>7.4910640741776335E-2</v>
      </c>
      <c r="BN290" s="324"/>
      <c r="BO290" s="324"/>
      <c r="BP290" s="345">
        <f>+BP283/BM283-1</f>
        <v>6.4621354855037838E-2</v>
      </c>
      <c r="BQ290" s="345">
        <f>+BQ283/BP283-1</f>
        <v>8.3025172350035703E-2</v>
      </c>
      <c r="BR290" s="324"/>
      <c r="BT290" s="345">
        <f>+BT283/BQ283-1</f>
        <v>3.2065313488893965E-2</v>
      </c>
      <c r="BU290" s="345">
        <f>+BU283/BT283-1</f>
        <v>2.9834345534891504E-3</v>
      </c>
      <c r="BV290" s="324"/>
      <c r="BX290" s="345">
        <f>+BX283/BU283-1</f>
        <v>5.9815164955558275E-2</v>
      </c>
      <c r="BY290" s="345">
        <f>+BY283/BX283-1</f>
        <v>5.8645680494419983E-2</v>
      </c>
      <c r="BZ290" s="324"/>
      <c r="CB290" s="345">
        <f>+CB283/BY283-1</f>
        <v>-3.6749265014734966E-5</v>
      </c>
      <c r="CC290" s="345">
        <f>+CC283/CB283-1</f>
        <v>-6.2266042956219403E-3</v>
      </c>
      <c r="CD290" s="324"/>
      <c r="CF290" s="345">
        <f>+CF283/CC283-1</f>
        <v>-4.4503848653103528E-2</v>
      </c>
      <c r="CG290" s="345">
        <f>+CG283/CF283-1</f>
        <v>8.5136263359559372E-2</v>
      </c>
      <c r="CH290" s="324"/>
      <c r="CJ290" s="345">
        <f>+CJ283/CG283-1</f>
        <v>0.12164413714390521</v>
      </c>
      <c r="CK290" s="345">
        <f>+CK283/CJ283-1</f>
        <v>9.4532900265746012E-2</v>
      </c>
      <c r="CL290" s="324"/>
      <c r="CN290" s="345">
        <f>+CN283/CK283-1</f>
        <v>2.8159953516362579E-2</v>
      </c>
      <c r="CO290" s="345">
        <f>+CO283/CN283-1</f>
        <v>9.3283009728333255E-2</v>
      </c>
      <c r="CP290" s="324"/>
      <c r="CR290" s="345">
        <f>+CR283/CO283-1</f>
        <v>5.6683121706992079E-2</v>
      </c>
      <c r="CS290" s="345">
        <f>+CS283/CR283-1</f>
        <v>-1.7960033683798171E-3</v>
      </c>
      <c r="CT290" s="324"/>
      <c r="CV290" s="345">
        <f>+CV283/CS283-1</f>
        <v>-5.3413470457894796E-2</v>
      </c>
      <c r="CW290" s="345">
        <f>+CW283/CV283-1</f>
        <v>2.8089846090127102E-2</v>
      </c>
      <c r="CX290" s="324"/>
      <c r="CZ290" s="345">
        <f>+CZ283/CW283-1</f>
        <v>1.8491874509916739E-2</v>
      </c>
      <c r="DA290" s="345">
        <f>+DA283/CZ283-1</f>
        <v>8.8202574561635938E-2</v>
      </c>
      <c r="DB290" s="324"/>
      <c r="DD290" s="345">
        <f>+DD283/DA283-1</f>
        <v>4.1690195696621579E-2</v>
      </c>
      <c r="DE290" s="345">
        <f>+DE283/DD283-1</f>
        <v>5.275160759682973E-2</v>
      </c>
      <c r="DF290" s="324"/>
      <c r="DH290" s="346">
        <v>1.6E-2</v>
      </c>
      <c r="DI290" s="346">
        <v>1.6E-2</v>
      </c>
      <c r="DJ290" s="324"/>
      <c r="DL290" s="346">
        <v>1.6E-2</v>
      </c>
      <c r="DM290" s="346">
        <v>1.6E-2</v>
      </c>
      <c r="DN290" s="324"/>
      <c r="DP290" s="346">
        <v>1.6E-2</v>
      </c>
      <c r="DQ290" s="346">
        <v>1.6E-2</v>
      </c>
      <c r="DR290" s="324"/>
      <c r="DW290" s="20"/>
      <c r="DX290" s="20"/>
    </row>
    <row r="291" spans="1:128" s="20" customFormat="1" ht="13.8">
      <c r="A291" s="78" t="str">
        <f>+A284</f>
        <v>Total Deposits ex Repo's and Com Paper</v>
      </c>
      <c r="B291" s="49" t="s">
        <v>546</v>
      </c>
      <c r="BD291" s="67"/>
      <c r="BE291" s="79"/>
      <c r="BF291" s="49"/>
      <c r="BH291" s="79"/>
      <c r="BI291" s="79">
        <f>+BI284/BH284-1</f>
        <v>4.5819994032594957E-2</v>
      </c>
      <c r="BJ291" s="49"/>
      <c r="BK291" s="49"/>
      <c r="BL291" s="79">
        <f>+BL284/BI284-1</f>
        <v>3.171818735590537E-2</v>
      </c>
      <c r="BM291" s="79">
        <f>+BM284/BL284-1</f>
        <v>3.6281085928887791E-2</v>
      </c>
      <c r="BN291" s="49"/>
      <c r="BO291" s="49"/>
      <c r="BP291" s="79">
        <f>+BP284/BM284-1</f>
        <v>2.4185580244776572E-2</v>
      </c>
      <c r="BQ291" s="79">
        <f>+BQ284/BP284-1</f>
        <v>4.0680090556684201E-2</v>
      </c>
      <c r="BR291" s="49"/>
      <c r="BT291" s="79">
        <f>+BT284/BQ284-1</f>
        <v>2.2833460204685796E-2</v>
      </c>
      <c r="BU291" s="79">
        <f>+BU284/BT284-1</f>
        <v>-5.9108770722801074E-3</v>
      </c>
      <c r="BV291" s="49"/>
      <c r="BX291" s="79">
        <f>+BX284/BU284-1</f>
        <v>4.327254214955234E-2</v>
      </c>
      <c r="BY291" s="79">
        <f>+BY284/BX284-1</f>
        <v>3.3178968048937607E-2</v>
      </c>
      <c r="BZ291" s="49"/>
      <c r="CB291" s="79">
        <f>+CB284/BY284-1</f>
        <v>-1.202673293305967E-2</v>
      </c>
      <c r="CC291" s="79">
        <f>+CC284/CB284-1</f>
        <v>-1.127639830151006E-2</v>
      </c>
      <c r="CD291" s="49"/>
      <c r="CF291" s="79">
        <f>+CF284/CC284-1</f>
        <v>-1.9529768676526338E-2</v>
      </c>
      <c r="CG291" s="79">
        <f>+CG284/CF284-1</f>
        <v>2.0237865016437873E-2</v>
      </c>
      <c r="CH291" s="49"/>
      <c r="CJ291" s="79">
        <f>+CJ284/CG284-1</f>
        <v>6.8854074853335501E-2</v>
      </c>
      <c r="CK291" s="79">
        <f>+CK284/CJ284-1</f>
        <v>4.0867899767685234E-2</v>
      </c>
      <c r="CL291" s="49"/>
      <c r="CN291" s="79">
        <f>+CN284/CK284-1</f>
        <v>3.4353605311207014E-2</v>
      </c>
      <c r="CO291" s="79">
        <f>+CO284/CN284-1</f>
        <v>3.1491328971967825E-2</v>
      </c>
      <c r="CP291" s="49"/>
      <c r="CR291" s="79">
        <f>+CR284/CO284-1</f>
        <v>2.4818353604982191E-2</v>
      </c>
      <c r="CS291" s="79">
        <f>+CS284/CR284-1</f>
        <v>1.6784615184843643E-2</v>
      </c>
      <c r="CT291" s="49"/>
      <c r="CV291" s="79">
        <f>+CV284/CS284-1</f>
        <v>4.0805275874927771E-2</v>
      </c>
      <c r="CW291" s="79">
        <f>+CW284/CV284-1</f>
        <v>1.1060285550216653E-2</v>
      </c>
      <c r="CX291" s="49"/>
      <c r="CZ291" s="79">
        <f>+CZ284/CW284-1</f>
        <v>2.0723250671721649E-2</v>
      </c>
      <c r="DA291" s="79">
        <f>+DA284/CZ284-1</f>
        <v>0.15213571155112837</v>
      </c>
      <c r="DB291" s="49"/>
      <c r="DD291" s="79">
        <f>+DD284/DA284-1</f>
        <v>1.7803260147197797E-2</v>
      </c>
      <c r="DE291" s="79">
        <f>+DE284/DD284-1</f>
        <v>4.2746135003163266E-2</v>
      </c>
      <c r="DF291" s="49"/>
      <c r="DH291" s="79">
        <f>+DH284/DE284-1</f>
        <v>1.9266949811755252E-2</v>
      </c>
      <c r="DI291" s="79">
        <f>+DI284/DH284-1</f>
        <v>1.9295333914734591E-2</v>
      </c>
      <c r="DJ291" s="49"/>
      <c r="DL291" s="79">
        <f>+DL284/DI284-1</f>
        <v>1.9323920016260265E-2</v>
      </c>
      <c r="DM291" s="79">
        <f>+DM284/DL284-1</f>
        <v>1.9352708140306207E-2</v>
      </c>
      <c r="DN291" s="49"/>
      <c r="DP291" s="79">
        <f>+DP284/DM284-1</f>
        <v>1.9381698278443382E-2</v>
      </c>
      <c r="DQ291" s="79">
        <f>+DQ284/DP284-1</f>
        <v>1.9410890389355728E-2</v>
      </c>
      <c r="DR291" s="49"/>
    </row>
    <row r="292" spans="1:128" s="20" customFormat="1" ht="13.8">
      <c r="A292" s="78"/>
      <c r="B292" s="49"/>
      <c r="BD292" s="67"/>
      <c r="BE292" s="79"/>
      <c r="BF292" s="49"/>
      <c r="BH292" s="79"/>
      <c r="BI292" s="79"/>
      <c r="BJ292" s="49"/>
      <c r="BK292" s="49"/>
      <c r="BL292" s="79"/>
      <c r="BM292" s="79"/>
      <c r="BN292" s="49"/>
      <c r="BO292" s="49"/>
      <c r="BP292" s="79"/>
      <c r="BQ292" s="79"/>
      <c r="BR292" s="49"/>
      <c r="BT292" s="79"/>
      <c r="BU292" s="79"/>
      <c r="BV292" s="49"/>
      <c r="BX292" s="79"/>
      <c r="BY292" s="79"/>
      <c r="BZ292" s="49"/>
      <c r="CB292" s="79"/>
      <c r="CC292" s="79"/>
      <c r="CD292" s="49"/>
      <c r="CF292" s="79"/>
      <c r="CG292" s="79"/>
      <c r="CH292" s="49"/>
      <c r="CJ292" s="79"/>
      <c r="CK292" s="79"/>
      <c r="CL292" s="49"/>
      <c r="CN292" s="79"/>
      <c r="CO292" s="79"/>
      <c r="CP292" s="49"/>
      <c r="CR292" s="79"/>
      <c r="CS292" s="79"/>
      <c r="CT292" s="49"/>
      <c r="CV292" s="79"/>
      <c r="CW292" s="79"/>
      <c r="CX292" s="49"/>
      <c r="CZ292" s="79"/>
      <c r="DA292" s="79"/>
      <c r="DB292" s="49"/>
      <c r="DD292" s="79"/>
      <c r="DE292" s="79"/>
      <c r="DF292" s="49"/>
      <c r="DH292" s="79"/>
      <c r="DI292" s="79"/>
      <c r="DJ292" s="49"/>
      <c r="DL292" s="79"/>
      <c r="DM292" s="79"/>
      <c r="DN292" s="49"/>
      <c r="DP292" s="79"/>
      <c r="DQ292" s="79"/>
      <c r="DR292" s="49"/>
    </row>
    <row r="293" spans="1:128" s="20" customFormat="1" ht="13.8">
      <c r="A293" s="21" t="s">
        <v>476</v>
      </c>
      <c r="B293" s="49"/>
      <c r="BD293" s="67"/>
      <c r="BE293" s="49"/>
      <c r="BF293" s="49"/>
      <c r="BH293" s="67"/>
      <c r="BI293" s="49"/>
      <c r="BJ293" s="49"/>
      <c r="BK293" s="49"/>
      <c r="BL293" s="67"/>
      <c r="BM293" s="49"/>
      <c r="BN293" s="49"/>
      <c r="BO293" s="49"/>
      <c r="BP293" s="67"/>
      <c r="BQ293" s="49"/>
      <c r="BR293" s="49"/>
      <c r="BT293" s="67"/>
      <c r="BU293" s="49"/>
      <c r="BV293" s="49"/>
      <c r="BX293" s="67"/>
      <c r="BY293" s="49"/>
      <c r="BZ293" s="49"/>
      <c r="CB293" s="67"/>
      <c r="CC293" s="49"/>
      <c r="CD293" s="49"/>
      <c r="CF293" s="67"/>
      <c r="CG293" s="49"/>
      <c r="CH293" s="49"/>
      <c r="CJ293" s="67"/>
      <c r="CK293" s="49"/>
      <c r="CL293" s="49"/>
      <c r="CN293" s="67"/>
      <c r="CO293" s="49"/>
      <c r="CP293" s="49"/>
      <c r="CR293" s="67"/>
      <c r="CS293" s="49"/>
      <c r="CT293" s="49"/>
      <c r="CV293" s="67"/>
      <c r="CW293" s="49"/>
      <c r="CX293" s="49"/>
      <c r="CZ293" s="67"/>
      <c r="DA293" s="49"/>
      <c r="DB293" s="49"/>
      <c r="DD293" s="67"/>
      <c r="DE293" s="49"/>
      <c r="DF293" s="49"/>
      <c r="DH293" s="49"/>
      <c r="DI293" s="49"/>
      <c r="DJ293" s="49"/>
      <c r="DL293" s="49"/>
      <c r="DM293" s="49"/>
      <c r="DN293" s="49"/>
      <c r="DP293" s="49"/>
      <c r="DQ293" s="49"/>
      <c r="DR293" s="49"/>
    </row>
    <row r="294" spans="1:128" s="20" customFormat="1" ht="13.8">
      <c r="A294" s="20" t="s">
        <v>430</v>
      </c>
      <c r="B294" s="49" t="s">
        <v>544</v>
      </c>
      <c r="BD294" s="67"/>
      <c r="BE294" s="67"/>
      <c r="BF294" s="65"/>
      <c r="BH294" s="67">
        <v>8030</v>
      </c>
      <c r="BI294" s="67">
        <v>4725</v>
      </c>
      <c r="BJ294" s="65">
        <f>BI294</f>
        <v>4725</v>
      </c>
      <c r="BK294" s="49"/>
      <c r="BL294" s="67">
        <v>4986</v>
      </c>
      <c r="BM294" s="67">
        <v>2083</v>
      </c>
      <c r="BN294" s="65">
        <f>BM294</f>
        <v>2083</v>
      </c>
      <c r="BO294" s="49"/>
      <c r="BP294" s="67">
        <v>2354</v>
      </c>
      <c r="BQ294" s="67">
        <v>5379</v>
      </c>
      <c r="BR294" s="65">
        <f>BQ294</f>
        <v>5379</v>
      </c>
      <c r="BT294" s="67">
        <v>6888</v>
      </c>
      <c r="BU294" s="67">
        <v>7001</v>
      </c>
      <c r="BV294" s="65">
        <f>BU294</f>
        <v>7001</v>
      </c>
      <c r="BX294" s="67">
        <v>4629</v>
      </c>
      <c r="BY294" s="67">
        <v>2894</v>
      </c>
      <c r="BZ294" s="65">
        <f>BY294</f>
        <v>2894</v>
      </c>
      <c r="CB294" s="67">
        <v>5234</v>
      </c>
      <c r="CC294" s="67">
        <v>2242</v>
      </c>
      <c r="CD294" s="65">
        <f>CC294</f>
        <v>2242</v>
      </c>
      <c r="CF294" s="67">
        <v>3215</v>
      </c>
      <c r="CG294" s="67">
        <v>2318</v>
      </c>
      <c r="CH294" s="65">
        <f>CG294</f>
        <v>2318</v>
      </c>
      <c r="CJ294" s="67">
        <v>1494</v>
      </c>
      <c r="CK294" s="67">
        <v>2583</v>
      </c>
      <c r="CL294" s="65">
        <f>CK294</f>
        <v>2583</v>
      </c>
      <c r="CN294" s="67">
        <v>4532</v>
      </c>
      <c r="CO294" s="67">
        <v>4003</v>
      </c>
      <c r="CP294" s="65">
        <f>CO294</f>
        <v>4003</v>
      </c>
      <c r="CR294" s="67">
        <v>5013</v>
      </c>
      <c r="CS294" s="67">
        <v>3193</v>
      </c>
      <c r="CT294" s="65">
        <f>CS294</f>
        <v>3193</v>
      </c>
      <c r="CV294" s="67">
        <v>5233</v>
      </c>
      <c r="CW294" s="67">
        <v>6139</v>
      </c>
      <c r="CX294" s="65">
        <f>CW294</f>
        <v>6139</v>
      </c>
      <c r="CZ294" s="67">
        <v>6723</v>
      </c>
      <c r="DA294" s="67">
        <v>7116</v>
      </c>
      <c r="DB294" s="65">
        <f>DA294</f>
        <v>7116</v>
      </c>
      <c r="DD294" s="67">
        <v>8153</v>
      </c>
      <c r="DE294" s="67">
        <v>6803</v>
      </c>
      <c r="DF294" s="65">
        <f>DE294</f>
        <v>6803</v>
      </c>
      <c r="DH294" s="65">
        <f t="shared" ref="DH294:DI294" si="483">+DH307/DH$304</f>
        <v>6448.4391380281704</v>
      </c>
      <c r="DI294" s="65">
        <f t="shared" si="483"/>
        <v>6577.4079207887335</v>
      </c>
      <c r="DJ294" s="65">
        <f>DI294</f>
        <v>6577.4079207887335</v>
      </c>
      <c r="DL294" s="65">
        <f t="shared" ref="DL294:DM294" si="484">+DL307/DL$304</f>
        <v>6708.9560792045086</v>
      </c>
      <c r="DM294" s="65">
        <f t="shared" si="484"/>
        <v>6843.1352007885989</v>
      </c>
      <c r="DN294" s="65">
        <f>DM294</f>
        <v>6843.1352007885989</v>
      </c>
      <c r="DP294" s="65">
        <f t="shared" ref="DP294:DQ294" si="485">+DP307/DP$304</f>
        <v>6979.9979048043715</v>
      </c>
      <c r="DQ294" s="65">
        <f t="shared" si="485"/>
        <v>7119.5978629004585</v>
      </c>
      <c r="DR294" s="65">
        <f>DQ294</f>
        <v>7119.5978629004585</v>
      </c>
    </row>
    <row r="295" spans="1:128" s="20" customFormat="1" ht="13.8">
      <c r="A295" s="20" t="s">
        <v>184</v>
      </c>
      <c r="B295" s="49" t="s">
        <v>544</v>
      </c>
      <c r="BD295" s="67"/>
      <c r="BE295" s="67"/>
      <c r="BF295" s="65"/>
      <c r="BH295" s="67">
        <v>74601</v>
      </c>
      <c r="BI295" s="67">
        <v>76259</v>
      </c>
      <c r="BJ295" s="65">
        <f>BI295</f>
        <v>76259</v>
      </c>
      <c r="BK295" s="49"/>
      <c r="BL295" s="67">
        <v>79586</v>
      </c>
      <c r="BM295" s="67">
        <v>82956</v>
      </c>
      <c r="BN295" s="65">
        <f>BM295</f>
        <v>82956</v>
      </c>
      <c r="BO295" s="49"/>
      <c r="BP295" s="67">
        <v>101087</v>
      </c>
      <c r="BQ295" s="67">
        <v>96487</v>
      </c>
      <c r="BR295" s="65">
        <f>BQ295</f>
        <v>96487</v>
      </c>
      <c r="BT295" s="67">
        <v>90112</v>
      </c>
      <c r="BU295" s="67">
        <v>84583</v>
      </c>
      <c r="BV295" s="65">
        <f>BU295</f>
        <v>84583</v>
      </c>
      <c r="BX295" s="67">
        <v>90449</v>
      </c>
      <c r="BY295" s="67">
        <v>78863</v>
      </c>
      <c r="BZ295" s="65">
        <f>BY295</f>
        <v>78863</v>
      </c>
      <c r="CB295" s="67">
        <v>77335</v>
      </c>
      <c r="CC295" s="67">
        <v>92145</v>
      </c>
      <c r="CD295" s="65">
        <f>CC295</f>
        <v>92145</v>
      </c>
      <c r="CF295" s="67">
        <v>94396</v>
      </c>
      <c r="CG295" s="67">
        <v>101586</v>
      </c>
      <c r="CH295" s="65">
        <f>CG295</f>
        <v>101586</v>
      </c>
      <c r="CJ295" s="67">
        <v>121141</v>
      </c>
      <c r="CK295" s="67">
        <v>86735</v>
      </c>
      <c r="CL295" s="65">
        <f>CK295</f>
        <v>86735</v>
      </c>
      <c r="CN295" s="67">
        <v>84950</v>
      </c>
      <c r="CO295" s="67">
        <v>88481</v>
      </c>
      <c r="CP295" s="65">
        <f>CO295</f>
        <v>88481</v>
      </c>
      <c r="CR295" s="67">
        <v>97525</v>
      </c>
      <c r="CS295" s="67">
        <v>107557</v>
      </c>
      <c r="CT295" s="65">
        <f>CS295</f>
        <v>107557</v>
      </c>
      <c r="CV295" s="67">
        <v>127467</v>
      </c>
      <c r="CW295" s="67">
        <v>117924</v>
      </c>
      <c r="CX295" s="65">
        <f>CW295</f>
        <v>117924</v>
      </c>
      <c r="CZ295" s="67">
        <v>100919</v>
      </c>
      <c r="DA295" s="67">
        <v>116603</v>
      </c>
      <c r="DB295" s="65">
        <f>DA295</f>
        <v>116603</v>
      </c>
      <c r="DD295" s="67">
        <v>141641</v>
      </c>
      <c r="DE295" s="67">
        <v>117929</v>
      </c>
      <c r="DF295" s="65">
        <f>DE295</f>
        <v>117929</v>
      </c>
      <c r="DH295" s="65">
        <f t="shared" ref="DH295:DI295" si="486">+DH308/DH$304</f>
        <v>112878.64905070425</v>
      </c>
      <c r="DI295" s="65">
        <f t="shared" si="486"/>
        <v>116265.00852222538</v>
      </c>
      <c r="DJ295" s="65">
        <f>DI295</f>
        <v>116265.00852222538</v>
      </c>
      <c r="DL295" s="65">
        <f t="shared" ref="DL295:DM295" si="487">+DL308/DL$304</f>
        <v>119752.95877789214</v>
      </c>
      <c r="DM295" s="65">
        <f t="shared" si="487"/>
        <v>123345.54754122891</v>
      </c>
      <c r="DN295" s="65">
        <f>DM295</f>
        <v>123345.54754122891</v>
      </c>
      <c r="DP295" s="65">
        <f t="shared" ref="DP295:DQ295" si="488">+DP308/DP$304</f>
        <v>127045.91396746579</v>
      </c>
      <c r="DQ295" s="65">
        <f t="shared" si="488"/>
        <v>130857.29138648977</v>
      </c>
      <c r="DR295" s="65">
        <f>DQ295</f>
        <v>130857.29138648977</v>
      </c>
    </row>
    <row r="296" spans="1:128" s="20" customFormat="1" ht="13.8">
      <c r="A296" s="20" t="s">
        <v>577</v>
      </c>
      <c r="B296" s="49" t="s">
        <v>544</v>
      </c>
      <c r="BD296" s="67"/>
      <c r="BE296" s="67"/>
      <c r="BF296" s="65"/>
      <c r="BH296" s="67">
        <v>3012</v>
      </c>
      <c r="BI296" s="67">
        <v>3827</v>
      </c>
      <c r="BJ296" s="65">
        <f>BI296</f>
        <v>3827</v>
      </c>
      <c r="BK296" s="49"/>
      <c r="BL296" s="67">
        <v>3990</v>
      </c>
      <c r="BM296" s="67">
        <v>4211</v>
      </c>
      <c r="BN296" s="65">
        <f>BM296</f>
        <v>4211</v>
      </c>
      <c r="BO296" s="49"/>
      <c r="BP296" s="67">
        <v>4684</v>
      </c>
      <c r="BQ296" s="67">
        <v>5126</v>
      </c>
      <c r="BR296" s="65">
        <f>BQ296</f>
        <v>5126</v>
      </c>
      <c r="BT296" s="67">
        <v>4586</v>
      </c>
      <c r="BU296" s="67">
        <v>4745</v>
      </c>
      <c r="BV296" s="65">
        <f>BU296</f>
        <v>4745</v>
      </c>
      <c r="BX296" s="67">
        <v>4650</v>
      </c>
      <c r="BY296" s="67">
        <v>4519</v>
      </c>
      <c r="BZ296" s="65">
        <f>BY296</f>
        <v>4519</v>
      </c>
      <c r="CB296" s="67">
        <v>4362</v>
      </c>
      <c r="CC296" s="67">
        <v>4993</v>
      </c>
      <c r="CD296" s="65">
        <f>CC296</f>
        <v>4993</v>
      </c>
      <c r="CF296" s="67">
        <v>5234</v>
      </c>
      <c r="CG296" s="67">
        <v>4648</v>
      </c>
      <c r="CH296" s="65">
        <f>CG296</f>
        <v>4648</v>
      </c>
      <c r="CJ296" s="67">
        <v>7101</v>
      </c>
      <c r="CK296" s="67">
        <v>5473</v>
      </c>
      <c r="CL296" s="65">
        <f>CK296</f>
        <v>5473</v>
      </c>
      <c r="CN296" s="67">
        <v>6448</v>
      </c>
      <c r="CO296" s="67">
        <v>5709</v>
      </c>
      <c r="CP296" s="65">
        <f>CO296</f>
        <v>5709</v>
      </c>
      <c r="CR296" s="67">
        <v>7314</v>
      </c>
      <c r="CS296" s="67">
        <v>6957</v>
      </c>
      <c r="CT296" s="65">
        <f>CS296</f>
        <v>6957</v>
      </c>
      <c r="CV296" s="67">
        <v>5453</v>
      </c>
      <c r="CW296" s="67">
        <v>5612</v>
      </c>
      <c r="CX296" s="65">
        <f>CW296</f>
        <v>5612</v>
      </c>
      <c r="CZ296" s="67">
        <v>5479</v>
      </c>
      <c r="DA296" s="67">
        <v>5554</v>
      </c>
      <c r="DB296" s="65">
        <f>DA296</f>
        <v>5554</v>
      </c>
      <c r="DD296" s="67">
        <v>5770</v>
      </c>
      <c r="DE296" s="67">
        <v>5448</v>
      </c>
      <c r="DF296" s="65">
        <f>DE296</f>
        <v>5448</v>
      </c>
      <c r="DH296" s="65">
        <f t="shared" ref="DH296:DI296" si="489">+DH309/DH$304</f>
        <v>5164.0594478873245</v>
      </c>
      <c r="DI296" s="65">
        <f t="shared" si="489"/>
        <v>5267.3406368450715</v>
      </c>
      <c r="DJ296" s="65">
        <f>DI296</f>
        <v>5267.3406368450715</v>
      </c>
      <c r="DL296" s="65">
        <f t="shared" ref="DL296:DM296" si="490">+DL309/DL$304</f>
        <v>5372.6874495819729</v>
      </c>
      <c r="DM296" s="65">
        <f t="shared" si="490"/>
        <v>5480.1411985736122</v>
      </c>
      <c r="DN296" s="65">
        <f>DM296</f>
        <v>5480.1411985736122</v>
      </c>
      <c r="DP296" s="65">
        <f t="shared" ref="DP296:DQ296" si="491">+DP309/DP$304</f>
        <v>5589.7440225450846</v>
      </c>
      <c r="DQ296" s="65">
        <f t="shared" si="491"/>
        <v>5701.5389029959861</v>
      </c>
      <c r="DR296" s="65">
        <f>DQ296</f>
        <v>5701.5389029959861</v>
      </c>
    </row>
    <row r="297" spans="1:128" s="20" customFormat="1" ht="13.8">
      <c r="A297" s="20" t="s">
        <v>578</v>
      </c>
      <c r="B297" s="49" t="s">
        <v>544</v>
      </c>
      <c r="BD297" s="65"/>
      <c r="BE297" s="65"/>
      <c r="BF297" s="65"/>
      <c r="BH297" s="67">
        <v>15412</v>
      </c>
      <c r="BI297" s="67">
        <v>18308</v>
      </c>
      <c r="BJ297" s="65">
        <f>BI297</f>
        <v>18308</v>
      </c>
      <c r="BK297" s="49"/>
      <c r="BL297" s="67">
        <v>19077</v>
      </c>
      <c r="BM297" s="67">
        <v>20885</v>
      </c>
      <c r="BN297" s="65">
        <f>BM297</f>
        <v>20885</v>
      </c>
      <c r="BO297" s="49"/>
      <c r="BP297" s="67">
        <v>24531</v>
      </c>
      <c r="BQ297" s="67">
        <v>27663</v>
      </c>
      <c r="BR297" s="65">
        <f>BQ297</f>
        <v>27663</v>
      </c>
      <c r="BT297" s="67">
        <v>25010</v>
      </c>
      <c r="BU297" s="67">
        <v>24968</v>
      </c>
      <c r="BV297" s="65">
        <f>BU297</f>
        <v>24968</v>
      </c>
      <c r="BX297" s="67">
        <v>23468</v>
      </c>
      <c r="BY297" s="67">
        <v>21769</v>
      </c>
      <c r="BZ297" s="65">
        <f>BY297</f>
        <v>21769</v>
      </c>
      <c r="CB297" s="67">
        <v>19557</v>
      </c>
      <c r="CC297" s="67">
        <v>18056</v>
      </c>
      <c r="CD297" s="65">
        <f>CC297</f>
        <v>18056</v>
      </c>
      <c r="CF297" s="67">
        <v>19930</v>
      </c>
      <c r="CG297" s="67">
        <v>20787</v>
      </c>
      <c r="CH297" s="65">
        <f>CG297</f>
        <v>20787</v>
      </c>
      <c r="CJ297" s="67">
        <v>24211</v>
      </c>
      <c r="CK297" s="67">
        <v>24366</v>
      </c>
      <c r="CL297" s="65">
        <f>CK297</f>
        <v>24366</v>
      </c>
      <c r="CN297" s="67">
        <v>27332</v>
      </c>
      <c r="CO297" s="67">
        <v>36094</v>
      </c>
      <c r="CP297" s="65">
        <f>CO297</f>
        <v>36094</v>
      </c>
      <c r="CR297" s="67">
        <v>30841</v>
      </c>
      <c r="CS297" s="67">
        <v>28974</v>
      </c>
      <c r="CT297" s="65">
        <f>CS297</f>
        <v>28974</v>
      </c>
      <c r="CV297" s="67">
        <v>24125</v>
      </c>
      <c r="CW297" s="67">
        <v>21827</v>
      </c>
      <c r="CX297" s="65">
        <f>CW297</f>
        <v>21827</v>
      </c>
      <c r="CZ297" s="67">
        <v>20569</v>
      </c>
      <c r="DA297" s="67">
        <v>17423</v>
      </c>
      <c r="DB297" s="65">
        <f>DA297</f>
        <v>17423</v>
      </c>
      <c r="DD297" s="67">
        <v>18136</v>
      </c>
      <c r="DE297" s="67">
        <v>22536</v>
      </c>
      <c r="DF297" s="65">
        <f>DE297</f>
        <v>22536</v>
      </c>
      <c r="DH297" s="65">
        <f t="shared" ref="DH297:DI297" si="492">+DH310/DH$304</f>
        <v>20314.33129014085</v>
      </c>
      <c r="DI297" s="65">
        <f t="shared" si="492"/>
        <v>19704.90135143662</v>
      </c>
      <c r="DJ297" s="65">
        <f>DI297</f>
        <v>19704.90135143662</v>
      </c>
      <c r="DL297" s="65">
        <f t="shared" ref="DL297:DM297" si="493">+DL310/DL$304</f>
        <v>19113.754310893524</v>
      </c>
      <c r="DM297" s="65">
        <f t="shared" si="493"/>
        <v>18540.341681566715</v>
      </c>
      <c r="DN297" s="65">
        <f>DM297</f>
        <v>18540.341681566715</v>
      </c>
      <c r="DP297" s="65">
        <f t="shared" ref="DP297:DQ297" si="494">+DP310/DP$304</f>
        <v>17984.131431119713</v>
      </c>
      <c r="DQ297" s="65">
        <f t="shared" si="494"/>
        <v>17444.607488186124</v>
      </c>
      <c r="DR297" s="65">
        <f>DQ297</f>
        <v>17444.607488186124</v>
      </c>
    </row>
    <row r="298" spans="1:128" s="20" customFormat="1" ht="13.8">
      <c r="A298" s="21" t="s">
        <v>883</v>
      </c>
      <c r="B298" s="49" t="s">
        <v>544</v>
      </c>
      <c r="BD298" s="98"/>
      <c r="BE298" s="98"/>
      <c r="BF298" s="72"/>
      <c r="BH298" s="72">
        <f>SUM(BH294:BH297)</f>
        <v>101055</v>
      </c>
      <c r="BI298" s="72">
        <f>SUM(BI294:BI297)</f>
        <v>103119</v>
      </c>
      <c r="BJ298" s="72">
        <f>SUM(BJ294:BJ297)</f>
        <v>103119</v>
      </c>
      <c r="BK298" s="49"/>
      <c r="BL298" s="72">
        <f>SUM(BL294:BL297)</f>
        <v>107639</v>
      </c>
      <c r="BM298" s="72">
        <f>SUM(BM294:BM297)</f>
        <v>110135</v>
      </c>
      <c r="BN298" s="72">
        <f>SUM(BN294:BN297)</f>
        <v>110135</v>
      </c>
      <c r="BO298" s="49"/>
      <c r="BP298" s="72">
        <f>SUM(BP294:BP297)</f>
        <v>132656</v>
      </c>
      <c r="BQ298" s="72">
        <f>SUM(BQ294:BQ297)</f>
        <v>134655</v>
      </c>
      <c r="BR298" s="72">
        <f>SUM(BR294:BR297)</f>
        <v>134655</v>
      </c>
      <c r="BT298" s="72">
        <f>SUM(BT294:BT297)</f>
        <v>126596</v>
      </c>
      <c r="BU298" s="72">
        <f>SUM(BU294:BU297)</f>
        <v>121297</v>
      </c>
      <c r="BV298" s="72">
        <f>SUM(BV294:BV297)</f>
        <v>121297</v>
      </c>
      <c r="BX298" s="72">
        <f>SUM(BX294:BX297)</f>
        <v>123196</v>
      </c>
      <c r="BY298" s="72">
        <f>SUM(BY294:BY297)</f>
        <v>108045</v>
      </c>
      <c r="BZ298" s="72">
        <f>SUM(BZ294:BZ297)</f>
        <v>108045</v>
      </c>
      <c r="CB298" s="72">
        <f>SUM(CB294:CB297)</f>
        <v>106488</v>
      </c>
      <c r="CC298" s="72">
        <f>SUM(CC294:CC297)</f>
        <v>117436</v>
      </c>
      <c r="CD298" s="72">
        <f>SUM(CD294:CD297)</f>
        <v>117436</v>
      </c>
      <c r="CF298" s="72">
        <f>SUM(CF294:CF297)</f>
        <v>122775</v>
      </c>
      <c r="CG298" s="72">
        <f>SUM(CG294:CG297)</f>
        <v>129339</v>
      </c>
      <c r="CH298" s="72">
        <f>SUM(CH294:CH297)</f>
        <v>129339</v>
      </c>
      <c r="CJ298" s="72">
        <f>SUM(CJ294:CJ297)</f>
        <v>153947</v>
      </c>
      <c r="CK298" s="72">
        <f>SUM(CK294:CK297)</f>
        <v>119157</v>
      </c>
      <c r="CL298" s="72">
        <f>SUM(CL294:CL297)</f>
        <v>119157</v>
      </c>
      <c r="CN298" s="72">
        <f>SUM(CN294:CN297)</f>
        <v>123262</v>
      </c>
      <c r="CO298" s="72">
        <f>SUM(CO294:CO297)</f>
        <v>134287</v>
      </c>
      <c r="CP298" s="72">
        <f>SUM(CP294:CP297)</f>
        <v>134287</v>
      </c>
      <c r="CR298" s="72">
        <f>SUM(CR294:CR297)</f>
        <v>140693</v>
      </c>
      <c r="CS298" s="72">
        <f>SUM(CS294:CS297)</f>
        <v>146681</v>
      </c>
      <c r="CT298" s="72">
        <f>SUM(CT294:CT297)</f>
        <v>146681</v>
      </c>
      <c r="CV298" s="72">
        <f>SUM(CV294:CV297)</f>
        <v>162278</v>
      </c>
      <c r="CW298" s="72">
        <f>SUM(CW294:CW297)</f>
        <v>151502</v>
      </c>
      <c r="CX298" s="72">
        <f>SUM(CX294:CX297)</f>
        <v>151502</v>
      </c>
      <c r="CZ298" s="72">
        <f>SUM(CZ294:CZ297)</f>
        <v>133690</v>
      </c>
      <c r="DA298" s="72">
        <f>SUM(DA294:DA297)</f>
        <v>146696</v>
      </c>
      <c r="DB298" s="72">
        <f>SUM(DB294:DB297)</f>
        <v>146696</v>
      </c>
      <c r="DD298" s="72">
        <f>SUM(DD294:DD297)</f>
        <v>173700</v>
      </c>
      <c r="DE298" s="72">
        <f>SUM(DE294:DE297)</f>
        <v>152716</v>
      </c>
      <c r="DF298" s="72">
        <f>SUM(DF294:DF297)</f>
        <v>152716</v>
      </c>
      <c r="DH298" s="72">
        <f>SUM(DH294:DH297)</f>
        <v>144805.47892676061</v>
      </c>
      <c r="DI298" s="72">
        <f>SUM(DI294:DI297)</f>
        <v>147814.6584312958</v>
      </c>
      <c r="DJ298" s="72">
        <f>SUM(DJ294:DJ297)</f>
        <v>147814.6584312958</v>
      </c>
      <c r="DL298" s="72">
        <f>SUM(DL294:DL297)</f>
        <v>150948.35661757216</v>
      </c>
      <c r="DM298" s="72">
        <f>SUM(DM294:DM297)</f>
        <v>154209.16562215786</v>
      </c>
      <c r="DN298" s="72">
        <f>SUM(DN294:DN297)</f>
        <v>154209.16562215786</v>
      </c>
      <c r="DP298" s="72">
        <f>SUM(DP294:DP297)</f>
        <v>157599.78732593497</v>
      </c>
      <c r="DQ298" s="72">
        <f>SUM(DQ294:DQ297)</f>
        <v>161123.03564057234</v>
      </c>
      <c r="DR298" s="72">
        <f>SUM(DR294:DR297)</f>
        <v>161123.03564057234</v>
      </c>
    </row>
    <row r="299" spans="1:128" s="20" customFormat="1" ht="13.8">
      <c r="A299" s="78" t="s">
        <v>217</v>
      </c>
      <c r="B299" s="49"/>
      <c r="BD299" s="67"/>
      <c r="BE299" s="49"/>
      <c r="BF299" s="49"/>
      <c r="BH299" s="67"/>
      <c r="BI299" s="49"/>
      <c r="BJ299" s="49"/>
      <c r="BK299" s="49"/>
      <c r="BL299" s="67"/>
      <c r="BM299" s="49"/>
      <c r="BN299" s="49"/>
      <c r="BO299" s="49"/>
      <c r="BP299" s="67"/>
      <c r="BQ299" s="49"/>
      <c r="BR299" s="49"/>
      <c r="BT299" s="67"/>
      <c r="BU299" s="49"/>
      <c r="BV299" s="49"/>
      <c r="BX299" s="67"/>
      <c r="BY299" s="49"/>
      <c r="BZ299" s="49"/>
      <c r="CB299" s="67"/>
      <c r="CC299" s="49"/>
      <c r="CD299" s="49"/>
      <c r="CF299" s="67"/>
      <c r="CG299" s="49"/>
      <c r="CH299" s="49"/>
      <c r="CJ299" s="49"/>
      <c r="CK299" s="49"/>
      <c r="CL299" s="49"/>
      <c r="CN299" s="49"/>
      <c r="CO299" s="49"/>
      <c r="CP299" s="49"/>
      <c r="CR299" s="49"/>
      <c r="CS299" s="49"/>
      <c r="CT299" s="49"/>
      <c r="CV299" s="49"/>
      <c r="CW299" s="49"/>
      <c r="CX299" s="49"/>
      <c r="CZ299" s="49"/>
      <c r="DA299" s="49"/>
      <c r="DB299" s="49"/>
      <c r="DD299" s="49"/>
      <c r="DE299" s="49"/>
      <c r="DF299" s="49"/>
      <c r="DH299" s="49"/>
      <c r="DI299" s="49"/>
      <c r="DJ299" s="49"/>
      <c r="DL299" s="49"/>
      <c r="DM299" s="49"/>
      <c r="DN299" s="49"/>
      <c r="DP299" s="49"/>
      <c r="DQ299" s="49"/>
      <c r="DR299" s="49"/>
    </row>
    <row r="300" spans="1:128" s="20" customFormat="1" ht="13.8">
      <c r="A300" s="47" t="str">
        <f>+A294</f>
        <v>CoD</v>
      </c>
      <c r="B300" s="49" t="s">
        <v>546</v>
      </c>
      <c r="BD300" s="67"/>
      <c r="BE300" s="75"/>
      <c r="BF300" s="49"/>
      <c r="BH300" s="75"/>
      <c r="BI300" s="75">
        <f>+BI294/BH294-1</f>
        <v>-0.41158156911581567</v>
      </c>
      <c r="BJ300" s="49"/>
      <c r="BK300" s="49"/>
      <c r="BL300" s="75">
        <f>+BL294/BI294-1</f>
        <v>5.5238095238095308E-2</v>
      </c>
      <c r="BM300" s="75">
        <f>+BM294/BL294-1</f>
        <v>-0.58223024468511841</v>
      </c>
      <c r="BN300" s="49"/>
      <c r="BO300" s="49"/>
      <c r="BP300" s="75">
        <f>+BP294/BM294-1</f>
        <v>0.130100816130581</v>
      </c>
      <c r="BQ300" s="75">
        <f>+BQ294/BP294-1</f>
        <v>1.2850467289719627</v>
      </c>
      <c r="BR300" s="49"/>
      <c r="BT300" s="75">
        <f>+BT294/BQ294-1</f>
        <v>0.28053541550474059</v>
      </c>
      <c r="BU300" s="75">
        <f>+BU294/BT294-1</f>
        <v>1.6405342624854713E-2</v>
      </c>
      <c r="BV300" s="49"/>
      <c r="BX300" s="75">
        <f>+BX294/BU294-1</f>
        <v>-0.33880874160834162</v>
      </c>
      <c r="BY300" s="75">
        <f>+BY294/BX294-1</f>
        <v>-0.37481097429250376</v>
      </c>
      <c r="BZ300" s="49"/>
      <c r="CB300" s="75">
        <f>+CB294/BY294-1</f>
        <v>0.80856945404284719</v>
      </c>
      <c r="CC300" s="75">
        <f>+CC294/CB294-1</f>
        <v>-0.5716469239587314</v>
      </c>
      <c r="CD300" s="49"/>
      <c r="CF300" s="75">
        <f>+CF294/CC294-1</f>
        <v>0.43398751115075829</v>
      </c>
      <c r="CG300" s="75">
        <f>+CG294/CF294-1</f>
        <v>-0.27900466562986004</v>
      </c>
      <c r="CH300" s="49"/>
      <c r="CJ300" s="75">
        <f>+CJ294/CG294-1</f>
        <v>-0.3554788610871441</v>
      </c>
      <c r="CK300" s="75">
        <f>+CK294/CJ294-1</f>
        <v>0.72891566265060237</v>
      </c>
      <c r="CL300" s="49"/>
      <c r="CN300" s="75">
        <f>+CN294/CK294-1</f>
        <v>0.75454897406116928</v>
      </c>
      <c r="CO300" s="75">
        <f>+CO294/CN294-1</f>
        <v>-0.11672550750220656</v>
      </c>
      <c r="CP300" s="49"/>
      <c r="CR300" s="75">
        <f>+CR294/CO294-1</f>
        <v>0.25231076692480636</v>
      </c>
      <c r="CS300" s="75">
        <f>+CS294/CR294-1</f>
        <v>-0.36305605425892684</v>
      </c>
      <c r="CT300" s="49"/>
      <c r="CV300" s="75">
        <f>+CV294/CS294-1</f>
        <v>0.6388975884747885</v>
      </c>
      <c r="CW300" s="75">
        <f>+CW294/CV294-1</f>
        <v>0.17313204662717374</v>
      </c>
      <c r="CX300" s="49"/>
      <c r="CZ300" s="75">
        <f>+CZ294/CW294-1</f>
        <v>9.5129499918553462E-2</v>
      </c>
      <c r="DA300" s="75">
        <f>+DA294/CZ294-1</f>
        <v>5.8456046407853623E-2</v>
      </c>
      <c r="DB300" s="49"/>
      <c r="DD300" s="75">
        <f>+DD294/DA294-1</f>
        <v>0.14572793704328268</v>
      </c>
      <c r="DE300" s="75">
        <f>+DE294/DD294-1</f>
        <v>-0.1655832209002821</v>
      </c>
      <c r="DF300" s="49"/>
      <c r="DH300" s="75">
        <f>+DH294/DE294-1</f>
        <v>-5.2118309859154777E-2</v>
      </c>
      <c r="DI300" s="75">
        <f>+DI294/DH294-1</f>
        <v>2.0000000000000018E-2</v>
      </c>
      <c r="DJ300" s="49"/>
      <c r="DL300" s="75">
        <f>+DL294/DI294-1</f>
        <v>2.0000000000000018E-2</v>
      </c>
      <c r="DM300" s="75">
        <f>+DM294/DL294-1</f>
        <v>2.0000000000000018E-2</v>
      </c>
      <c r="DN300" s="49"/>
      <c r="DP300" s="75">
        <f>+DP294/DM294-1</f>
        <v>2.0000000000000018E-2</v>
      </c>
      <c r="DQ300" s="75">
        <f>+DQ294/DP294-1</f>
        <v>2.0000000000000018E-2</v>
      </c>
      <c r="DR300" s="49"/>
    </row>
    <row r="301" spans="1:128" s="20" customFormat="1" ht="13.8">
      <c r="A301" s="47" t="str">
        <f>+A295</f>
        <v>Term Deposits</v>
      </c>
      <c r="B301" s="49" t="s">
        <v>546</v>
      </c>
      <c r="BD301" s="67"/>
      <c r="BE301" s="75"/>
      <c r="BF301" s="49"/>
      <c r="BH301" s="75"/>
      <c r="BI301" s="75">
        <f>+BI295/BH295-1</f>
        <v>2.2224903151432329E-2</v>
      </c>
      <c r="BJ301" s="49"/>
      <c r="BK301" s="49"/>
      <c r="BL301" s="75">
        <f>+BL295/BI295-1</f>
        <v>4.3627637393619079E-2</v>
      </c>
      <c r="BM301" s="75">
        <f>+BM295/BL295-1</f>
        <v>4.2344130877290054E-2</v>
      </c>
      <c r="BN301" s="49"/>
      <c r="BO301" s="49"/>
      <c r="BP301" s="75">
        <f>+BP295/BM295-1</f>
        <v>0.21856164713824189</v>
      </c>
      <c r="BQ301" s="75">
        <f>+BQ295/BP295-1</f>
        <v>-4.5505356771889605E-2</v>
      </c>
      <c r="BR301" s="49"/>
      <c r="BT301" s="75">
        <f>+BT295/BQ295-1</f>
        <v>-6.6071076932643802E-2</v>
      </c>
      <c r="BU301" s="75">
        <f>+BU295/BT295-1</f>
        <v>-6.1356977982954586E-2</v>
      </c>
      <c r="BV301" s="49"/>
      <c r="BX301" s="75">
        <f>+BX295/BU295-1</f>
        <v>6.9351997446295277E-2</v>
      </c>
      <c r="BY301" s="75">
        <f>+BY295/BX295-1</f>
        <v>-0.12809428517728227</v>
      </c>
      <c r="BZ301" s="49"/>
      <c r="CB301" s="75">
        <f>+CB295/BY295-1</f>
        <v>-1.9375372481391762E-2</v>
      </c>
      <c r="CC301" s="75">
        <f>+CC295/CB295-1</f>
        <v>0.19150449343764153</v>
      </c>
      <c r="CD301" s="49"/>
      <c r="CF301" s="75">
        <f>+CF295/CC295-1</f>
        <v>2.4428889250637686E-2</v>
      </c>
      <c r="CG301" s="75">
        <f>+CG295/CF295-1</f>
        <v>7.6168481715326974E-2</v>
      </c>
      <c r="CH301" s="49"/>
      <c r="CJ301" s="75">
        <f>+CJ295/CG295-1</f>
        <v>0.19249699761778194</v>
      </c>
      <c r="CK301" s="75">
        <f>+CK295/CJ295-1</f>
        <v>-0.28401614647394358</v>
      </c>
      <c r="CL301" s="49"/>
      <c r="CN301" s="75">
        <f>+CN295/CK295-1</f>
        <v>-2.057992736496228E-2</v>
      </c>
      <c r="CO301" s="75">
        <f>+CO295/CN295-1</f>
        <v>4.1565626839317193E-2</v>
      </c>
      <c r="CP301" s="49"/>
      <c r="CR301" s="75">
        <f>+CR295/CO295-1</f>
        <v>0.10221403465150702</v>
      </c>
      <c r="CS301" s="75">
        <f>+CS295/CR295-1</f>
        <v>0.1028659318123557</v>
      </c>
      <c r="CT301" s="49"/>
      <c r="CV301" s="75">
        <f>+CV295/CS295-1</f>
        <v>0.18511115036678216</v>
      </c>
      <c r="CW301" s="75">
        <f>+CW295/CV295-1</f>
        <v>-7.4866436018734217E-2</v>
      </c>
      <c r="CX301" s="49"/>
      <c r="CZ301" s="75">
        <f>+CZ295/CW295-1</f>
        <v>-0.14420304602964618</v>
      </c>
      <c r="DA301" s="75">
        <f>+DA295/CZ295-1</f>
        <v>0.15541176587163963</v>
      </c>
      <c r="DB301" s="49"/>
      <c r="DD301" s="75">
        <f>+DD295/DA295-1</f>
        <v>0.21472860904093372</v>
      </c>
      <c r="DE301" s="75">
        <f>+DE295/DD295-1</f>
        <v>-0.16740915412910107</v>
      </c>
      <c r="DF301" s="49"/>
      <c r="DH301" s="75">
        <f>+DH295/DE295-1</f>
        <v>-4.2825352112675907E-2</v>
      </c>
      <c r="DI301" s="75">
        <f>+DI295/DH295-1</f>
        <v>3.0000000000000027E-2</v>
      </c>
      <c r="DJ301" s="49"/>
      <c r="DL301" s="75">
        <f>+DL295/DI295-1</f>
        <v>3.0000000000000027E-2</v>
      </c>
      <c r="DM301" s="75">
        <f>+DM295/DL295-1</f>
        <v>3.0000000000000027E-2</v>
      </c>
      <c r="DN301" s="49"/>
      <c r="DP301" s="75">
        <f>+DP295/DM295-1</f>
        <v>3.0000000000000027E-2</v>
      </c>
      <c r="DQ301" s="75">
        <f>+DQ295/DP295-1</f>
        <v>3.0000000000000027E-2</v>
      </c>
      <c r="DR301" s="49"/>
    </row>
    <row r="302" spans="1:128" s="20" customFormat="1" ht="13.8">
      <c r="A302" s="47" t="str">
        <f>+A297</f>
        <v>On demand &amp; ST deposits</v>
      </c>
      <c r="B302" s="49" t="s">
        <v>546</v>
      </c>
      <c r="BD302" s="67"/>
      <c r="BE302" s="75"/>
      <c r="BF302" s="49"/>
      <c r="BH302" s="75"/>
      <c r="BI302" s="75">
        <f>+BI297/BH297-1</f>
        <v>0.18790552815987538</v>
      </c>
      <c r="BJ302" s="49"/>
      <c r="BK302" s="49"/>
      <c r="BL302" s="75">
        <f>+BL296/BI296-1</f>
        <v>4.2592108701332565E-2</v>
      </c>
      <c r="BM302" s="75">
        <f>+BM297/BL297-1</f>
        <v>9.4773811395921781E-2</v>
      </c>
      <c r="BN302" s="49"/>
      <c r="BO302" s="49"/>
      <c r="BP302" s="75">
        <f>+BP296/BM296-1</f>
        <v>0.11232486345286152</v>
      </c>
      <c r="BQ302" s="75">
        <f>+BQ297/BP297-1</f>
        <v>0.12767518649871601</v>
      </c>
      <c r="BR302" s="49"/>
      <c r="BT302" s="75">
        <f>+BT296/BQ296-1</f>
        <v>-0.10534529847834573</v>
      </c>
      <c r="BU302" s="75">
        <f>+BU297/BT297-1</f>
        <v>-1.6793282686925481E-3</v>
      </c>
      <c r="BV302" s="49"/>
      <c r="BX302" s="75">
        <f>+BX296/BU296-1</f>
        <v>-2.0021074815595341E-2</v>
      </c>
      <c r="BY302" s="75">
        <f>+BY297/BX297-1</f>
        <v>-7.2396454746889383E-2</v>
      </c>
      <c r="BZ302" s="49"/>
      <c r="CB302" s="75">
        <f>+CB296/BY296-1</f>
        <v>-3.4742199601681789E-2</v>
      </c>
      <c r="CC302" s="75">
        <f>+CC297/CB297-1</f>
        <v>-7.6750012783146748E-2</v>
      </c>
      <c r="CD302" s="49"/>
      <c r="CF302" s="75">
        <f>+CF296/CC296-1</f>
        <v>4.8267574604446306E-2</v>
      </c>
      <c r="CG302" s="75">
        <f>+CG297/CF297-1</f>
        <v>4.3000501756146559E-2</v>
      </c>
      <c r="CH302" s="49"/>
      <c r="CJ302" s="75">
        <f>+CJ296/CG296-1</f>
        <v>0.5277538726333908</v>
      </c>
      <c r="CK302" s="75">
        <f>+CK297/CJ297-1</f>
        <v>6.4020486555698142E-3</v>
      </c>
      <c r="CL302" s="49"/>
      <c r="CN302" s="75">
        <f>+CN296/CK296-1</f>
        <v>0.178147268408551</v>
      </c>
      <c r="CO302" s="75">
        <f>+CO297/CN297-1</f>
        <v>0.32057661349334121</v>
      </c>
      <c r="CP302" s="49"/>
      <c r="CR302" s="75">
        <f>+CR296/CO296-1</f>
        <v>0.2811350499211771</v>
      </c>
      <c r="CS302" s="75">
        <f>+CS297/CR297-1</f>
        <v>-6.0536299082390332E-2</v>
      </c>
      <c r="CT302" s="49"/>
      <c r="CV302" s="75">
        <f>+CV296/CS296-1</f>
        <v>-0.21618513727181254</v>
      </c>
      <c r="CW302" s="75">
        <f>+CW297/CV297-1</f>
        <v>-9.5253886010362665E-2</v>
      </c>
      <c r="CX302" s="49"/>
      <c r="CZ302" s="75">
        <f>+CZ296/CW296-1</f>
        <v>-2.3699215965787612E-2</v>
      </c>
      <c r="DA302" s="75">
        <f>+DA297/CZ297-1</f>
        <v>-0.15294861198891541</v>
      </c>
      <c r="DB302" s="49"/>
      <c r="DD302" s="75">
        <f>+DD296/DA296-1</f>
        <v>3.889088944904584E-2</v>
      </c>
      <c r="DE302" s="75">
        <f>+DE297/DD297-1</f>
        <v>0.24261138067931176</v>
      </c>
      <c r="DF302" s="49"/>
      <c r="DH302" s="75">
        <f>+DH297/DE297-1</f>
        <v>-9.8583098591549123E-2</v>
      </c>
      <c r="DI302" s="75">
        <f>+DI297/DH297-1</f>
        <v>-3.0000000000000249E-2</v>
      </c>
      <c r="DJ302" s="49"/>
      <c r="DL302" s="75">
        <f>+DL297/DI297-1</f>
        <v>-2.9999999999999805E-2</v>
      </c>
      <c r="DM302" s="75">
        <f>+DM297/DL297-1</f>
        <v>-3.0000000000000138E-2</v>
      </c>
      <c r="DN302" s="49"/>
      <c r="DP302" s="75">
        <f>+DP297/DM297-1</f>
        <v>-3.0000000000000027E-2</v>
      </c>
      <c r="DQ302" s="75">
        <f>+DQ297/DP297-1</f>
        <v>-2.9999999999999805E-2</v>
      </c>
      <c r="DR302" s="49"/>
    </row>
    <row r="303" spans="1:128" s="20" customFormat="1" ht="13.8">
      <c r="A303" s="78" t="str">
        <f>+A298</f>
        <v>Total Deposits ex Repo's and Com Paper</v>
      </c>
      <c r="B303" s="49" t="s">
        <v>546</v>
      </c>
      <c r="BD303" s="67"/>
      <c r="BE303" s="79"/>
      <c r="BF303" s="49"/>
      <c r="BH303" s="79"/>
      <c r="BI303" s="79">
        <f>+BI298/BH298-1</f>
        <v>2.042452130028205E-2</v>
      </c>
      <c r="BJ303" s="49"/>
      <c r="BK303" s="49"/>
      <c r="BL303" s="79">
        <f>+BL297/BI297-1</f>
        <v>4.2003495739567409E-2</v>
      </c>
      <c r="BM303" s="79">
        <f>+BM298/BL298-1</f>
        <v>2.3188621224649042E-2</v>
      </c>
      <c r="BN303" s="49"/>
      <c r="BO303" s="49"/>
      <c r="BP303" s="79">
        <f>+BP297/BM297-1</f>
        <v>0.17457505386641126</v>
      </c>
      <c r="BQ303" s="79">
        <f>+BQ298/BP298-1</f>
        <v>1.5069050777952064E-2</v>
      </c>
      <c r="BR303" s="49"/>
      <c r="BT303" s="79">
        <f>+BT297/BQ297-1</f>
        <v>-9.5904276470375582E-2</v>
      </c>
      <c r="BU303" s="79">
        <f>+BU298/BT298-1</f>
        <v>-4.1857562640209789E-2</v>
      </c>
      <c r="BV303" s="49"/>
      <c r="BX303" s="79">
        <f>+BX297/BU297-1</f>
        <v>-6.0076898429990422E-2</v>
      </c>
      <c r="BY303" s="79">
        <f>+BY298/BX298-1</f>
        <v>-0.12298288905483945</v>
      </c>
      <c r="BZ303" s="49"/>
      <c r="CB303" s="79">
        <f>+CB297/BY297-1</f>
        <v>-0.10161238458358213</v>
      </c>
      <c r="CC303" s="79">
        <f>+CC298/CB298-1</f>
        <v>0.10280970625798203</v>
      </c>
      <c r="CD303" s="49"/>
      <c r="CF303" s="79">
        <f>+CF297/CC297-1</f>
        <v>0.10378821444395214</v>
      </c>
      <c r="CG303" s="79">
        <f>+CG298/CF298-1</f>
        <v>5.3463653023824165E-2</v>
      </c>
      <c r="CH303" s="49"/>
      <c r="CJ303" s="79">
        <f>+CJ297/CG297-1</f>
        <v>0.16471833357386823</v>
      </c>
      <c r="CK303" s="79">
        <f>+CK298/CJ298-1</f>
        <v>-0.22598686560959291</v>
      </c>
      <c r="CL303" s="49"/>
      <c r="CN303" s="79">
        <f>+CN297/CK297-1</f>
        <v>0.1217269966346548</v>
      </c>
      <c r="CO303" s="79">
        <f>+CO298/CN298-1</f>
        <v>8.9443624150184142E-2</v>
      </c>
      <c r="CP303" s="49"/>
      <c r="CR303" s="79">
        <f>+CR297/CO297-1</f>
        <v>-0.14553665429157203</v>
      </c>
      <c r="CS303" s="79">
        <f>+CS298/CR298-1</f>
        <v>4.2560752844846617E-2</v>
      </c>
      <c r="CT303" s="49"/>
      <c r="CV303" s="79">
        <f>+CV297/CS297-1</f>
        <v>-0.16735694070546003</v>
      </c>
      <c r="CW303" s="79">
        <f>+CW298/CV298-1</f>
        <v>-6.6404565005730887E-2</v>
      </c>
      <c r="CX303" s="49"/>
      <c r="CZ303" s="79">
        <f>+CZ297/CW297-1</f>
        <v>-5.7635039171668123E-2</v>
      </c>
      <c r="DA303" s="79">
        <f>+DA298/CZ298-1</f>
        <v>9.7284763258284057E-2</v>
      </c>
      <c r="DB303" s="49"/>
      <c r="DD303" s="79">
        <f>+DD297/DA297-1</f>
        <v>4.0922917981977891E-2</v>
      </c>
      <c r="DE303" s="79">
        <f>+DE298/DD298-1</f>
        <v>-0.12080598733448478</v>
      </c>
      <c r="DF303" s="49"/>
      <c r="DH303" s="79">
        <f>+DH298/DE298-1</f>
        <v>-5.1798901708003053E-2</v>
      </c>
      <c r="DI303" s="79">
        <f>+DI298/DH298-1</f>
        <v>2.0780840109352328E-2</v>
      </c>
      <c r="DJ303" s="49"/>
      <c r="DL303" s="79">
        <f>+DL298/DI298-1</f>
        <v>2.120018555353842E-2</v>
      </c>
      <c r="DM303" s="79">
        <f>+DM298/DL298-1</f>
        <v>2.1602149752759203E-2</v>
      </c>
      <c r="DN303" s="49"/>
      <c r="DP303" s="79">
        <f>+DP298/DM298-1</f>
        <v>2.1987160685926987E-2</v>
      </c>
      <c r="DQ303" s="79">
        <f>+DQ298/DP298-1</f>
        <v>2.2355666682156494E-2</v>
      </c>
      <c r="DR303" s="49"/>
    </row>
    <row r="304" spans="1:128" s="47" customFormat="1" ht="13.8">
      <c r="A304" s="47" t="s">
        <v>477</v>
      </c>
      <c r="B304" s="92"/>
      <c r="BD304" s="340"/>
      <c r="BE304" s="340"/>
      <c r="BF304" s="92"/>
      <c r="BH304" s="340">
        <f>BH79</f>
        <v>1.0424</v>
      </c>
      <c r="BI304" s="340">
        <f>BI79</f>
        <v>0.93120000000000003</v>
      </c>
      <c r="BJ304" s="92"/>
      <c r="BK304" s="92"/>
      <c r="BL304" s="340">
        <f>BL79</f>
        <v>0.92330000000000001</v>
      </c>
      <c r="BM304" s="340">
        <f>BM79</f>
        <v>0.87519999999999998</v>
      </c>
      <c r="BN304" s="92"/>
      <c r="BO304" s="92"/>
      <c r="BP304" s="340">
        <f>BP79</f>
        <v>0.76339999999999997</v>
      </c>
      <c r="BQ304" s="340">
        <f>BQ79</f>
        <v>0.70130000000000003</v>
      </c>
      <c r="BR304" s="92"/>
      <c r="BT304" s="340">
        <f>BT79</f>
        <v>0.7651</v>
      </c>
      <c r="BU304" s="340">
        <f>BU79</f>
        <v>0.76170000000000004</v>
      </c>
      <c r="BV304" s="92"/>
      <c r="BX304" s="340">
        <f>BX79</f>
        <v>0.76439999999999997</v>
      </c>
      <c r="BY304" s="340">
        <f>BY79</f>
        <v>0.78449999999999998</v>
      </c>
      <c r="BZ304" s="92"/>
      <c r="CB304" s="340">
        <f>CB79</f>
        <v>0.7671</v>
      </c>
      <c r="CC304" s="340">
        <f>CC79</f>
        <v>0.72160000000000002</v>
      </c>
      <c r="CD304" s="92"/>
      <c r="CF304" s="340">
        <f>CF79</f>
        <v>0.70940000000000003</v>
      </c>
      <c r="CG304" s="340">
        <f>CG79</f>
        <v>0.6754</v>
      </c>
      <c r="CH304" s="92"/>
      <c r="CJ304" s="340">
        <f>CJ79</f>
        <v>0.61890000000000001</v>
      </c>
      <c r="CK304" s="340">
        <f>CK79</f>
        <v>0.71099999999999997</v>
      </c>
      <c r="CL304" s="92"/>
      <c r="CN304" s="340">
        <f>CN79</f>
        <v>0.76</v>
      </c>
      <c r="CO304" s="340">
        <f>CO79</f>
        <v>0.72019999999999995</v>
      </c>
      <c r="CP304" s="92"/>
      <c r="CR304" s="340">
        <f>CR79</f>
        <v>0.74829999999999997</v>
      </c>
      <c r="CS304" s="340">
        <f>CS79</f>
        <v>0.64890000000000003</v>
      </c>
      <c r="CT304" s="92"/>
      <c r="CV304" s="340">
        <f>CV79</f>
        <v>0.67120000000000002</v>
      </c>
      <c r="CW304" s="340">
        <f>CW79</f>
        <v>0.64680000000000004</v>
      </c>
      <c r="CX304" s="92"/>
      <c r="CZ304" s="340">
        <f>CZ79</f>
        <v>0.65080000000000005</v>
      </c>
      <c r="DA304" s="340">
        <f>DA79</f>
        <v>0.69330000000000003</v>
      </c>
      <c r="DB304" s="92"/>
      <c r="DD304" s="340">
        <f>DD79</f>
        <v>0.62829999999999997</v>
      </c>
      <c r="DE304" s="340">
        <f>DE79</f>
        <v>0.65980000000000005</v>
      </c>
      <c r="DF304" s="92"/>
      <c r="DH304" s="340">
        <f>DH79</f>
        <v>0.71</v>
      </c>
      <c r="DI304" s="340">
        <f>DI79</f>
        <v>0.71</v>
      </c>
      <c r="DJ304" s="92"/>
      <c r="DL304" s="340">
        <f>DL79</f>
        <v>0.71</v>
      </c>
      <c r="DM304" s="340">
        <f>DM79</f>
        <v>0.71</v>
      </c>
      <c r="DN304" s="92"/>
      <c r="DP304" s="340">
        <f>DP79</f>
        <v>0.71</v>
      </c>
      <c r="DQ304" s="340">
        <f>DQ79</f>
        <v>0.71</v>
      </c>
      <c r="DR304" s="92"/>
      <c r="DW304" s="20"/>
      <c r="DX304" s="20"/>
    </row>
    <row r="305" spans="1:128" s="47" customFormat="1" ht="13.8">
      <c r="B305" s="92"/>
      <c r="BD305" s="340"/>
      <c r="BE305" s="340"/>
      <c r="BF305" s="92"/>
      <c r="BH305" s="340"/>
      <c r="BI305" s="340"/>
      <c r="BJ305" s="92"/>
      <c r="BK305" s="92"/>
      <c r="BL305" s="340"/>
      <c r="BM305" s="340"/>
      <c r="BN305" s="92"/>
      <c r="BO305" s="92"/>
      <c r="BP305" s="340"/>
      <c r="BQ305" s="340"/>
      <c r="BR305" s="92"/>
      <c r="BT305" s="340"/>
      <c r="BU305" s="340"/>
      <c r="BV305" s="92"/>
      <c r="BX305" s="340"/>
      <c r="BY305" s="340"/>
      <c r="BZ305" s="92"/>
      <c r="CB305" s="340"/>
      <c r="CC305" s="340"/>
      <c r="CD305" s="92"/>
      <c r="CF305" s="340"/>
      <c r="CG305" s="340"/>
      <c r="CH305" s="92"/>
      <c r="CJ305" s="340"/>
      <c r="CK305" s="340"/>
      <c r="CL305" s="92"/>
      <c r="CN305" s="340"/>
      <c r="CO305" s="340"/>
      <c r="CP305" s="92"/>
      <c r="CR305" s="340"/>
      <c r="CS305" s="340"/>
      <c r="CT305" s="92"/>
      <c r="CV305" s="340"/>
      <c r="CW305" s="340"/>
      <c r="CX305" s="92"/>
      <c r="CZ305" s="340"/>
      <c r="DA305" s="340"/>
      <c r="DB305" s="92"/>
      <c r="DD305" s="340"/>
      <c r="DE305" s="340"/>
      <c r="DF305" s="92"/>
      <c r="DH305" s="340"/>
      <c r="DI305" s="340"/>
      <c r="DJ305" s="92"/>
      <c r="DL305" s="340"/>
      <c r="DM305" s="340"/>
      <c r="DN305" s="92"/>
      <c r="DP305" s="340"/>
      <c r="DQ305" s="340"/>
      <c r="DR305" s="92"/>
      <c r="DW305" s="20"/>
      <c r="DX305" s="20"/>
    </row>
    <row r="306" spans="1:128" s="20" customFormat="1" ht="13.8">
      <c r="A306" s="21" t="str">
        <f>A293</f>
        <v>Asia Pacific, Europe &amp; America (APEA)</v>
      </c>
      <c r="B306" s="49"/>
      <c r="BD306" s="67"/>
      <c r="BE306" s="49"/>
      <c r="BF306" s="49"/>
      <c r="BH306" s="67"/>
      <c r="BI306" s="49"/>
      <c r="BJ306" s="49"/>
      <c r="BK306" s="49"/>
      <c r="BL306" s="67"/>
      <c r="BM306" s="49"/>
      <c r="BN306" s="49"/>
      <c r="BO306" s="49"/>
      <c r="BP306" s="67"/>
      <c r="BQ306" s="49"/>
      <c r="BR306" s="49"/>
      <c r="BT306" s="67"/>
      <c r="BU306" s="49"/>
      <c r="BV306" s="49"/>
      <c r="BX306" s="67"/>
      <c r="BY306" s="49"/>
      <c r="BZ306" s="49"/>
      <c r="CB306" s="67"/>
      <c r="CC306" s="49"/>
      <c r="CD306" s="49"/>
      <c r="CF306" s="67"/>
      <c r="CG306" s="49"/>
      <c r="CH306" s="49"/>
      <c r="CJ306" s="67"/>
      <c r="CK306" s="49"/>
      <c r="CL306" s="49"/>
      <c r="CN306" s="67"/>
      <c r="CO306" s="49"/>
      <c r="CP306" s="49"/>
      <c r="CR306" s="67"/>
      <c r="CS306" s="49"/>
      <c r="CT306" s="49"/>
      <c r="CV306" s="67"/>
      <c r="CW306" s="49"/>
      <c r="CX306" s="49"/>
      <c r="CZ306" s="67"/>
      <c r="DA306" s="49"/>
      <c r="DB306" s="49"/>
      <c r="DD306" s="67"/>
      <c r="DE306" s="49"/>
      <c r="DF306" s="49"/>
      <c r="DH306" s="49"/>
      <c r="DI306" s="49"/>
      <c r="DJ306" s="49"/>
      <c r="DL306" s="49"/>
      <c r="DM306" s="49"/>
      <c r="DN306" s="49"/>
      <c r="DP306" s="49"/>
      <c r="DQ306" s="49"/>
      <c r="DR306" s="49"/>
    </row>
    <row r="307" spans="1:128" s="20" customFormat="1" ht="13.8">
      <c r="A307" s="20" t="str">
        <f>A294</f>
        <v>CoD</v>
      </c>
      <c r="B307" s="49" t="s">
        <v>327</v>
      </c>
      <c r="BD307" s="65"/>
      <c r="BE307" s="65"/>
      <c r="BF307" s="65"/>
      <c r="BH307" s="65">
        <f t="shared" ref="BH307:BI311" si="495">+BH294*BH$304</f>
        <v>8370.4719999999998</v>
      </c>
      <c r="BI307" s="65">
        <f t="shared" si="495"/>
        <v>4399.92</v>
      </c>
      <c r="BJ307" s="65">
        <f>BI307</f>
        <v>4399.92</v>
      </c>
      <c r="BK307" s="49"/>
      <c r="BL307" s="65">
        <f t="shared" ref="BL307:BM311" si="496">+BL294*BL$304</f>
        <v>4603.5738000000001</v>
      </c>
      <c r="BM307" s="65">
        <f t="shared" si="496"/>
        <v>1823.0416</v>
      </c>
      <c r="BN307" s="65">
        <f>BM307</f>
        <v>1823.0416</v>
      </c>
      <c r="BO307" s="49"/>
      <c r="BP307" s="65">
        <f t="shared" ref="BP307:BQ311" si="497">+BP294*BP$304</f>
        <v>1797.0436</v>
      </c>
      <c r="BQ307" s="65">
        <f t="shared" si="497"/>
        <v>3772.2927</v>
      </c>
      <c r="BR307" s="65">
        <f>BQ307</f>
        <v>3772.2927</v>
      </c>
      <c r="BT307" s="65">
        <f t="shared" ref="BT307:BU311" si="498">+BT294*BT$304</f>
        <v>5270.0087999999996</v>
      </c>
      <c r="BU307" s="65">
        <f t="shared" si="498"/>
        <v>5332.6617000000006</v>
      </c>
      <c r="BV307" s="65">
        <f>BU307</f>
        <v>5332.6617000000006</v>
      </c>
      <c r="BX307" s="65">
        <f t="shared" ref="BX307:BY311" si="499">+BX294*BX$304</f>
        <v>3538.4076</v>
      </c>
      <c r="BY307" s="65">
        <f t="shared" si="499"/>
        <v>2270.3429999999998</v>
      </c>
      <c r="BZ307" s="65">
        <f>BY307</f>
        <v>2270.3429999999998</v>
      </c>
      <c r="CB307" s="65">
        <f t="shared" ref="CB307:CC311" si="500">+CB294*CB$304</f>
        <v>4015.0014000000001</v>
      </c>
      <c r="CC307" s="65">
        <f t="shared" si="500"/>
        <v>1617.8271999999999</v>
      </c>
      <c r="CD307" s="65">
        <f>CC307</f>
        <v>1617.8271999999999</v>
      </c>
      <c r="CF307" s="65">
        <f t="shared" ref="CF307:CG311" si="501">+CF294*CF$304</f>
        <v>2280.721</v>
      </c>
      <c r="CG307" s="65">
        <f t="shared" si="501"/>
        <v>1565.5771999999999</v>
      </c>
      <c r="CH307" s="65">
        <f>CG307</f>
        <v>1565.5771999999999</v>
      </c>
      <c r="CJ307" s="65">
        <f t="shared" ref="CJ307:CK311" si="502">+CJ294*CJ$304</f>
        <v>924.63660000000004</v>
      </c>
      <c r="CK307" s="65">
        <f t="shared" si="502"/>
        <v>1836.5129999999999</v>
      </c>
      <c r="CL307" s="65">
        <f>CK307</f>
        <v>1836.5129999999999</v>
      </c>
      <c r="CN307" s="65">
        <f t="shared" ref="CN307:CO307" si="503">+CN294*CN$304</f>
        <v>3444.32</v>
      </c>
      <c r="CO307" s="65">
        <f t="shared" si="503"/>
        <v>2882.9605999999999</v>
      </c>
      <c r="CP307" s="65">
        <f>CO307</f>
        <v>2882.9605999999999</v>
      </c>
      <c r="CR307" s="65">
        <f t="shared" ref="CR307:CS307" si="504">+CR294*CR$304</f>
        <v>3751.2278999999999</v>
      </c>
      <c r="CS307" s="65">
        <f t="shared" si="504"/>
        <v>2071.9376999999999</v>
      </c>
      <c r="CT307" s="65">
        <f>CS307</f>
        <v>2071.9376999999999</v>
      </c>
      <c r="CV307" s="65">
        <f t="shared" ref="CV307:CW307" si="505">+CV294*CV$304</f>
        <v>3512.3896</v>
      </c>
      <c r="CW307" s="65">
        <f t="shared" si="505"/>
        <v>3970.7052000000003</v>
      </c>
      <c r="CX307" s="65">
        <f>CW307</f>
        <v>3970.7052000000003</v>
      </c>
      <c r="CZ307" s="65">
        <f t="shared" ref="CZ307:DA307" si="506">+CZ294*CZ$304</f>
        <v>4375.3284000000003</v>
      </c>
      <c r="DA307" s="65">
        <f t="shared" si="506"/>
        <v>4933.5228000000006</v>
      </c>
      <c r="DB307" s="65">
        <f>DA307</f>
        <v>4933.5228000000006</v>
      </c>
      <c r="DC307" s="75">
        <f>+DB307/CX307-1</f>
        <v>0.24248025262615824</v>
      </c>
      <c r="DD307" s="65">
        <f t="shared" ref="DD307:DE307" si="507">+DD294*DD$304</f>
        <v>5122.5298999999995</v>
      </c>
      <c r="DE307" s="65">
        <f t="shared" si="507"/>
        <v>4488.6194000000005</v>
      </c>
      <c r="DF307" s="65">
        <f>DE307</f>
        <v>4488.6194000000005</v>
      </c>
      <c r="DG307" s="75">
        <f>+DF307/DB307-1</f>
        <v>-9.0179658235287841E-2</v>
      </c>
      <c r="DH307" s="65">
        <f>+DE307*(1+DH314)</f>
        <v>4578.3917880000008</v>
      </c>
      <c r="DI307" s="65">
        <f>+DH307*(1+DI314)</f>
        <v>4669.9596237600008</v>
      </c>
      <c r="DJ307" s="65">
        <f>DI307</f>
        <v>4669.9596237600008</v>
      </c>
      <c r="DK307" s="75">
        <f>+DJ307/DF307-1</f>
        <v>4.0399999999999991E-2</v>
      </c>
      <c r="DL307" s="65">
        <f>+DI307*(1+DL314)</f>
        <v>4763.3588162352007</v>
      </c>
      <c r="DM307" s="65">
        <f>+DL307*(1+DM314)</f>
        <v>4858.6259925599052</v>
      </c>
      <c r="DN307" s="65">
        <f>DM307</f>
        <v>4858.6259925599052</v>
      </c>
      <c r="DO307" s="75">
        <f>+DN307/DJ307-1</f>
        <v>4.0399999999999991E-2</v>
      </c>
      <c r="DP307" s="65">
        <f>+DM307*(1+DP314)</f>
        <v>4955.7985124111037</v>
      </c>
      <c r="DQ307" s="65">
        <f>+DP307*(1+DQ314)</f>
        <v>5054.9144826593256</v>
      </c>
      <c r="DR307" s="65">
        <f>DQ307</f>
        <v>5054.9144826593256</v>
      </c>
      <c r="DS307" s="75">
        <f>+DR307/DN307-1</f>
        <v>4.0399999999999991E-2</v>
      </c>
    </row>
    <row r="308" spans="1:128" s="20" customFormat="1" ht="13.8">
      <c r="A308" s="20" t="str">
        <f>A295</f>
        <v>Term Deposits</v>
      </c>
      <c r="B308" s="49" t="s">
        <v>327</v>
      </c>
      <c r="BD308" s="65"/>
      <c r="BE308" s="65"/>
      <c r="BF308" s="65"/>
      <c r="BH308" s="65">
        <f t="shared" si="495"/>
        <v>77764.082399999999</v>
      </c>
      <c r="BI308" s="65">
        <f t="shared" si="495"/>
        <v>71012.380799999999</v>
      </c>
      <c r="BJ308" s="65">
        <f>BI308</f>
        <v>71012.380799999999</v>
      </c>
      <c r="BK308" s="49"/>
      <c r="BL308" s="65">
        <f t="shared" si="496"/>
        <v>73481.753800000006</v>
      </c>
      <c r="BM308" s="65">
        <f t="shared" si="496"/>
        <v>72603.091199999995</v>
      </c>
      <c r="BN308" s="65">
        <f>BM308</f>
        <v>72603.091199999995</v>
      </c>
      <c r="BO308" s="49"/>
      <c r="BP308" s="65">
        <f t="shared" si="497"/>
        <v>77169.815799999997</v>
      </c>
      <c r="BQ308" s="65">
        <f t="shared" si="497"/>
        <v>67666.333100000003</v>
      </c>
      <c r="BR308" s="65">
        <f>BQ308</f>
        <v>67666.333100000003</v>
      </c>
      <c r="BT308" s="65">
        <f t="shared" si="498"/>
        <v>68944.691200000001</v>
      </c>
      <c r="BU308" s="65">
        <f t="shared" si="498"/>
        <v>64426.871100000004</v>
      </c>
      <c r="BV308" s="65">
        <f>BU308</f>
        <v>64426.871100000004</v>
      </c>
      <c r="BX308" s="65">
        <f t="shared" si="499"/>
        <v>69139.215599999996</v>
      </c>
      <c r="BY308" s="65">
        <f t="shared" si="499"/>
        <v>61868.023499999996</v>
      </c>
      <c r="BZ308" s="65">
        <f>BY308</f>
        <v>61868.023499999996</v>
      </c>
      <c r="CB308" s="65">
        <f t="shared" si="500"/>
        <v>59323.678500000002</v>
      </c>
      <c r="CC308" s="65">
        <f t="shared" si="500"/>
        <v>66491.831999999995</v>
      </c>
      <c r="CD308" s="65">
        <f>CC308</f>
        <v>66491.831999999995</v>
      </c>
      <c r="CF308" s="65">
        <f t="shared" si="501"/>
        <v>66964.522400000002</v>
      </c>
      <c r="CG308" s="65">
        <f t="shared" si="501"/>
        <v>68611.184399999998</v>
      </c>
      <c r="CH308" s="65">
        <f>CG308</f>
        <v>68611.184399999998</v>
      </c>
      <c r="CJ308" s="65">
        <f t="shared" si="502"/>
        <v>74974.164900000003</v>
      </c>
      <c r="CK308" s="65">
        <f t="shared" si="502"/>
        <v>61668.584999999999</v>
      </c>
      <c r="CL308" s="65">
        <f>CK308</f>
        <v>61668.584999999999</v>
      </c>
      <c r="CN308" s="65">
        <f t="shared" ref="CN308:CO308" si="508">+CN295*CN$304</f>
        <v>64562</v>
      </c>
      <c r="CO308" s="65">
        <f t="shared" si="508"/>
        <v>63724.016199999998</v>
      </c>
      <c r="CP308" s="65">
        <f>CO308</f>
        <v>63724.016199999998</v>
      </c>
      <c r="CR308" s="65">
        <f t="shared" ref="CR308:CS308" si="509">+CR295*CR$304</f>
        <v>72977.95749999999</v>
      </c>
      <c r="CS308" s="65">
        <f t="shared" si="509"/>
        <v>69793.737300000008</v>
      </c>
      <c r="CT308" s="65">
        <f>CS308</f>
        <v>69793.737300000008</v>
      </c>
      <c r="CV308" s="65">
        <f t="shared" ref="CV308:CW308" si="510">+CV295*CV$304</f>
        <v>85555.850399999996</v>
      </c>
      <c r="CW308" s="65">
        <f t="shared" si="510"/>
        <v>76273.243200000012</v>
      </c>
      <c r="CX308" s="65">
        <f>CW308</f>
        <v>76273.243200000012</v>
      </c>
      <c r="CZ308" s="65">
        <f t="shared" ref="CZ308:DA308" si="511">+CZ295*CZ$304</f>
        <v>65678.085200000001</v>
      </c>
      <c r="DA308" s="65">
        <f t="shared" si="511"/>
        <v>80840.85990000001</v>
      </c>
      <c r="DB308" s="65">
        <f>DA308</f>
        <v>80840.85990000001</v>
      </c>
      <c r="DC308" s="75">
        <f>+DB308/CX308-1</f>
        <v>5.9884915186089849E-2</v>
      </c>
      <c r="DD308" s="65">
        <f t="shared" ref="DD308:DE308" si="512">+DD295*DD$304</f>
        <v>88993.040299999993</v>
      </c>
      <c r="DE308" s="65">
        <f t="shared" si="512"/>
        <v>77809.554200000013</v>
      </c>
      <c r="DF308" s="65">
        <f>DE308</f>
        <v>77809.554200000013</v>
      </c>
      <c r="DG308" s="75">
        <f>+DF308/DB308-1</f>
        <v>-3.7497197626914391E-2</v>
      </c>
      <c r="DH308" s="65">
        <f>+DE308*(1+DH315)</f>
        <v>80143.840826000014</v>
      </c>
      <c r="DI308" s="65">
        <f>+DH308*(1+DI315)</f>
        <v>82548.156050780017</v>
      </c>
      <c r="DJ308" s="65">
        <f>DI308</f>
        <v>82548.156050780017</v>
      </c>
      <c r="DK308" s="75">
        <f>+DJ308/DF308-1</f>
        <v>6.0899999999999954E-2</v>
      </c>
      <c r="DL308" s="65">
        <f>+DI308*(1+DL315)</f>
        <v>85024.600732303414</v>
      </c>
      <c r="DM308" s="65">
        <f>+DL308*(1+DM315)</f>
        <v>87575.338754272525</v>
      </c>
      <c r="DN308" s="65">
        <f>DM308</f>
        <v>87575.338754272525</v>
      </c>
      <c r="DO308" s="75">
        <f>+DN308/DJ308-1</f>
        <v>6.0899999999999954E-2</v>
      </c>
      <c r="DP308" s="65">
        <f>+DM308*(1+DP315)</f>
        <v>90202.598916900708</v>
      </c>
      <c r="DQ308" s="65">
        <f>+DP308*(1+DQ315)</f>
        <v>92908.676884407731</v>
      </c>
      <c r="DR308" s="65">
        <f>DQ308</f>
        <v>92908.676884407731</v>
      </c>
      <c r="DS308" s="75">
        <f>+DR308/DN308-1</f>
        <v>6.0900000000000176E-2</v>
      </c>
    </row>
    <row r="309" spans="1:128" s="20" customFormat="1" ht="13.8">
      <c r="A309" s="20" t="s">
        <v>577</v>
      </c>
      <c r="B309" s="49" t="s">
        <v>327</v>
      </c>
      <c r="BD309" s="65"/>
      <c r="BE309" s="65"/>
      <c r="BF309" s="65"/>
      <c r="BH309" s="65">
        <f t="shared" si="495"/>
        <v>3139.7087999999999</v>
      </c>
      <c r="BI309" s="65">
        <f t="shared" si="495"/>
        <v>3563.7024000000001</v>
      </c>
      <c r="BJ309" s="65">
        <f>BI309</f>
        <v>3563.7024000000001</v>
      </c>
      <c r="BK309" s="49"/>
      <c r="BL309" s="65">
        <f t="shared" si="496"/>
        <v>3683.9670000000001</v>
      </c>
      <c r="BM309" s="65">
        <f t="shared" si="496"/>
        <v>3685.4672</v>
      </c>
      <c r="BN309" s="65">
        <f>BM309</f>
        <v>3685.4672</v>
      </c>
      <c r="BO309" s="49"/>
      <c r="BP309" s="65">
        <f t="shared" si="497"/>
        <v>3575.7655999999997</v>
      </c>
      <c r="BQ309" s="65">
        <f t="shared" si="497"/>
        <v>3594.8638000000001</v>
      </c>
      <c r="BR309" s="65">
        <f>BQ309</f>
        <v>3594.8638000000001</v>
      </c>
      <c r="BT309" s="65">
        <f t="shared" si="498"/>
        <v>3508.7485999999999</v>
      </c>
      <c r="BU309" s="65">
        <f t="shared" si="498"/>
        <v>3614.2665000000002</v>
      </c>
      <c r="BV309" s="65">
        <f>BU309</f>
        <v>3614.2665000000002</v>
      </c>
      <c r="BX309" s="65">
        <f t="shared" si="499"/>
        <v>3554.46</v>
      </c>
      <c r="BY309" s="65">
        <f t="shared" si="499"/>
        <v>3545.1554999999998</v>
      </c>
      <c r="BZ309" s="65">
        <f>BY309</f>
        <v>3545.1554999999998</v>
      </c>
      <c r="CB309" s="65">
        <f t="shared" si="500"/>
        <v>3346.0902000000001</v>
      </c>
      <c r="CC309" s="65">
        <f t="shared" si="500"/>
        <v>3602.9488000000001</v>
      </c>
      <c r="CD309" s="65">
        <f>CC309</f>
        <v>3602.9488000000001</v>
      </c>
      <c r="CF309" s="65">
        <f t="shared" si="501"/>
        <v>3712.9996000000001</v>
      </c>
      <c r="CG309" s="65">
        <f t="shared" si="501"/>
        <v>3139.2592</v>
      </c>
      <c r="CH309" s="65">
        <f>CG309</f>
        <v>3139.2592</v>
      </c>
      <c r="CJ309" s="65">
        <f t="shared" si="502"/>
        <v>4394.8089</v>
      </c>
      <c r="CK309" s="65">
        <f t="shared" si="502"/>
        <v>3891.3029999999999</v>
      </c>
      <c r="CL309" s="65">
        <f>CK309</f>
        <v>3891.3029999999999</v>
      </c>
      <c r="CN309" s="65">
        <f t="shared" ref="CN309:CO309" si="513">+CN296*CN$304</f>
        <v>4900.4800000000005</v>
      </c>
      <c r="CO309" s="65">
        <f t="shared" si="513"/>
        <v>4111.6217999999999</v>
      </c>
      <c r="CP309" s="65">
        <f>CO309</f>
        <v>4111.6217999999999</v>
      </c>
      <c r="CR309" s="65">
        <f t="shared" ref="CR309:CS309" si="514">+CR296*CR$304</f>
        <v>5473.0661999999993</v>
      </c>
      <c r="CS309" s="65">
        <f t="shared" si="514"/>
        <v>4514.3973000000005</v>
      </c>
      <c r="CT309" s="65">
        <f>CS309</f>
        <v>4514.3973000000005</v>
      </c>
      <c r="CV309" s="65">
        <f t="shared" ref="CV309:CW309" si="515">+CV296*CV$304</f>
        <v>3660.0536000000002</v>
      </c>
      <c r="CW309" s="65">
        <f t="shared" si="515"/>
        <v>3629.8416000000002</v>
      </c>
      <c r="CX309" s="65">
        <f>CW309</f>
        <v>3629.8416000000002</v>
      </c>
      <c r="CZ309" s="65">
        <f t="shared" ref="CZ309:DA309" si="516">+CZ296*CZ$304</f>
        <v>3565.7332000000001</v>
      </c>
      <c r="DA309" s="65">
        <f t="shared" si="516"/>
        <v>3850.5882000000001</v>
      </c>
      <c r="DB309" s="65">
        <f>DA309</f>
        <v>3850.5882000000001</v>
      </c>
      <c r="DC309" s="75">
        <f t="shared" ref="DC309:DC310" si="517">+DB309/CX309-1</f>
        <v>6.0814389255994028E-2</v>
      </c>
      <c r="DD309" s="65">
        <f t="shared" ref="DD309:DE309" si="518">+DD296*DD$304</f>
        <v>3625.2909999999997</v>
      </c>
      <c r="DE309" s="65">
        <f t="shared" si="518"/>
        <v>3594.5904000000005</v>
      </c>
      <c r="DF309" s="65">
        <f>DE309</f>
        <v>3594.5904000000005</v>
      </c>
      <c r="DG309" s="75">
        <f t="shared" ref="DG309:DG310" si="519">+DF309/DB309-1</f>
        <v>-6.648277787793555E-2</v>
      </c>
      <c r="DH309" s="65">
        <f>+DE309*(1+DH316)</f>
        <v>3666.4822080000004</v>
      </c>
      <c r="DI309" s="65">
        <f>+DH309*(1+DI316)</f>
        <v>3739.8118521600004</v>
      </c>
      <c r="DJ309" s="65">
        <f>DI309</f>
        <v>3739.8118521600004</v>
      </c>
      <c r="DK309" s="75">
        <f t="shared" ref="DK309:DK310" si="520">+DJ309/DF309-1</f>
        <v>4.0399999999999991E-2</v>
      </c>
      <c r="DL309" s="65">
        <f>+DI309*(1+DL316)</f>
        <v>3814.6080892032005</v>
      </c>
      <c r="DM309" s="65">
        <f>+DL309*(1+DM316)</f>
        <v>3890.9002509872644</v>
      </c>
      <c r="DN309" s="65">
        <f>DM309</f>
        <v>3890.9002509872644</v>
      </c>
      <c r="DO309" s="75">
        <f t="shared" ref="DO309:DO310" si="521">+DN309/DJ309-1</f>
        <v>4.0399999999999991E-2</v>
      </c>
      <c r="DP309" s="65">
        <f>+DM309*(1+DP316)</f>
        <v>3968.7182560070096</v>
      </c>
      <c r="DQ309" s="65">
        <f>+DP309*(1+DQ316)</f>
        <v>4048.0926211271499</v>
      </c>
      <c r="DR309" s="65">
        <f>DQ309</f>
        <v>4048.0926211271499</v>
      </c>
      <c r="DS309" s="75">
        <f t="shared" ref="DS309:DS310" si="522">+DR309/DN309-1</f>
        <v>4.0399999999999991E-2</v>
      </c>
    </row>
    <row r="310" spans="1:128" s="20" customFormat="1" ht="13.8">
      <c r="A310" s="20" t="str">
        <f>A297</f>
        <v>On demand &amp; ST deposits</v>
      </c>
      <c r="B310" s="49" t="s">
        <v>327</v>
      </c>
      <c r="BD310" s="65"/>
      <c r="BE310" s="65"/>
      <c r="BF310" s="65"/>
      <c r="BH310" s="65">
        <f t="shared" si="495"/>
        <v>16065.468800000001</v>
      </c>
      <c r="BI310" s="65">
        <f t="shared" si="495"/>
        <v>17048.409599999999</v>
      </c>
      <c r="BJ310" s="65">
        <f>BI310</f>
        <v>17048.409599999999</v>
      </c>
      <c r="BK310" s="49"/>
      <c r="BL310" s="65">
        <f t="shared" si="496"/>
        <v>17613.794099999999</v>
      </c>
      <c r="BM310" s="65">
        <f t="shared" si="496"/>
        <v>18278.552</v>
      </c>
      <c r="BN310" s="65">
        <f>BM310</f>
        <v>18278.552</v>
      </c>
      <c r="BO310" s="49"/>
      <c r="BP310" s="65">
        <f t="shared" si="497"/>
        <v>18726.965400000001</v>
      </c>
      <c r="BQ310" s="65">
        <f t="shared" si="497"/>
        <v>19400.061900000001</v>
      </c>
      <c r="BR310" s="65">
        <f>BQ310</f>
        <v>19400.061900000001</v>
      </c>
      <c r="BT310" s="65">
        <f t="shared" si="498"/>
        <v>19135.151000000002</v>
      </c>
      <c r="BU310" s="65">
        <f t="shared" si="498"/>
        <v>19018.125599999999</v>
      </c>
      <c r="BV310" s="65">
        <f>BU310</f>
        <v>19018.125599999999</v>
      </c>
      <c r="BX310" s="65">
        <f t="shared" si="499"/>
        <v>17938.939200000001</v>
      </c>
      <c r="BY310" s="65">
        <f t="shared" si="499"/>
        <v>17077.780500000001</v>
      </c>
      <c r="BZ310" s="65">
        <f>BY310</f>
        <v>17077.780500000001</v>
      </c>
      <c r="CB310" s="65">
        <f t="shared" si="500"/>
        <v>15002.1747</v>
      </c>
      <c r="CC310" s="65">
        <f t="shared" si="500"/>
        <v>13029.2096</v>
      </c>
      <c r="CD310" s="65">
        <f>CC310</f>
        <v>13029.2096</v>
      </c>
      <c r="CF310" s="65">
        <f t="shared" si="501"/>
        <v>14138.342000000001</v>
      </c>
      <c r="CG310" s="65">
        <f t="shared" si="501"/>
        <v>14039.5398</v>
      </c>
      <c r="CH310" s="65">
        <f>CG310</f>
        <v>14039.5398</v>
      </c>
      <c r="CJ310" s="65">
        <f t="shared" si="502"/>
        <v>14984.187900000001</v>
      </c>
      <c r="CK310" s="65">
        <f t="shared" si="502"/>
        <v>17324.225999999999</v>
      </c>
      <c r="CL310" s="65">
        <f>CK310</f>
        <v>17324.225999999999</v>
      </c>
      <c r="CN310" s="65">
        <f t="shared" ref="CN310:CO310" si="523">+CN297*CN$304</f>
        <v>20772.32</v>
      </c>
      <c r="CO310" s="65">
        <f t="shared" si="523"/>
        <v>25994.898799999999</v>
      </c>
      <c r="CP310" s="65">
        <f>CO310</f>
        <v>25994.898799999999</v>
      </c>
      <c r="CR310" s="65">
        <f t="shared" ref="CR310:CS310" si="524">+CR297*CR$304</f>
        <v>23078.320299999999</v>
      </c>
      <c r="CS310" s="65">
        <f t="shared" si="524"/>
        <v>18801.228600000002</v>
      </c>
      <c r="CT310" s="65">
        <f>CS310</f>
        <v>18801.228600000002</v>
      </c>
      <c r="CV310" s="65">
        <f t="shared" ref="CV310:CW310" si="525">+CV297*CV$304</f>
        <v>16192.7</v>
      </c>
      <c r="CW310" s="65">
        <f t="shared" si="525"/>
        <v>14117.703600000001</v>
      </c>
      <c r="CX310" s="65">
        <f>CW310</f>
        <v>14117.703600000001</v>
      </c>
      <c r="CZ310" s="65">
        <f t="shared" ref="CZ310:DA310" si="526">+CZ297*CZ$304</f>
        <v>13386.305200000001</v>
      </c>
      <c r="DA310" s="65">
        <f t="shared" si="526"/>
        <v>12079.365900000001</v>
      </c>
      <c r="DB310" s="65">
        <f>DA310</f>
        <v>12079.365900000001</v>
      </c>
      <c r="DC310" s="75">
        <f t="shared" si="517"/>
        <v>-0.14438167550138958</v>
      </c>
      <c r="DD310" s="65">
        <f t="shared" ref="DD310:DE310" si="527">+DD297*DD$304</f>
        <v>11394.8488</v>
      </c>
      <c r="DE310" s="65">
        <f t="shared" si="527"/>
        <v>14869.252800000002</v>
      </c>
      <c r="DF310" s="65">
        <f>DE310</f>
        <v>14869.252800000002</v>
      </c>
      <c r="DG310" s="75">
        <f t="shared" si="519"/>
        <v>0.23096302596479856</v>
      </c>
      <c r="DH310" s="65">
        <f>+DE310*(1+DH317)</f>
        <v>14423.175216000001</v>
      </c>
      <c r="DI310" s="65">
        <f>+DH310*(1+DI317)</f>
        <v>13990.47995952</v>
      </c>
      <c r="DJ310" s="65">
        <f>DI310</f>
        <v>13990.47995952</v>
      </c>
      <c r="DK310" s="75">
        <f t="shared" si="520"/>
        <v>-5.9100000000000152E-2</v>
      </c>
      <c r="DL310" s="65">
        <f>+DI310*(1+DL317)</f>
        <v>13570.7655607344</v>
      </c>
      <c r="DM310" s="65">
        <f>+DL310*(1+DM317)</f>
        <v>13163.642593912367</v>
      </c>
      <c r="DN310" s="65">
        <f>DM310</f>
        <v>13163.642593912367</v>
      </c>
      <c r="DO310" s="75">
        <f t="shared" si="521"/>
        <v>-5.9100000000000041E-2</v>
      </c>
      <c r="DP310" s="65">
        <f>+DM310*(1+DP317)</f>
        <v>12768.733316094997</v>
      </c>
      <c r="DQ310" s="65">
        <f>+DP310*(1+DQ317)</f>
        <v>12385.671316612146</v>
      </c>
      <c r="DR310" s="65">
        <f>DQ310</f>
        <v>12385.671316612146</v>
      </c>
      <c r="DS310" s="75">
        <f t="shared" si="522"/>
        <v>-5.9100000000000041E-2</v>
      </c>
    </row>
    <row r="311" spans="1:128" s="20" customFormat="1" ht="13.8">
      <c r="A311" s="21" t="str">
        <f>A298</f>
        <v>Total Deposits ex Repo's and Com Paper</v>
      </c>
      <c r="B311" s="27" t="s">
        <v>327</v>
      </c>
      <c r="C311" s="21"/>
      <c r="D311" s="21"/>
      <c r="E311" s="21"/>
      <c r="F311" s="21"/>
      <c r="G311" s="21"/>
      <c r="H311" s="21"/>
      <c r="I311" s="21"/>
      <c r="J311" s="21"/>
      <c r="K311" s="21"/>
      <c r="L311" s="21"/>
      <c r="M311" s="21"/>
      <c r="N311" s="21"/>
      <c r="O311" s="21"/>
      <c r="P311" s="21"/>
      <c r="Q311" s="21"/>
      <c r="R311" s="21"/>
      <c r="S311" s="21"/>
      <c r="T311" s="21"/>
      <c r="U311" s="21"/>
      <c r="V311" s="21"/>
      <c r="W311" s="21"/>
      <c r="X311" s="21"/>
      <c r="Y311" s="21"/>
      <c r="Z311" s="21"/>
      <c r="AA311" s="21"/>
      <c r="AB311" s="21"/>
      <c r="AC311" s="21"/>
      <c r="AD311" s="21"/>
      <c r="AE311" s="21"/>
      <c r="AF311" s="21"/>
      <c r="AG311" s="21"/>
      <c r="AH311" s="21"/>
      <c r="AI311" s="21"/>
      <c r="AJ311" s="21"/>
      <c r="AK311" s="21"/>
      <c r="AL311" s="21"/>
      <c r="AM311" s="21"/>
      <c r="AN311" s="21"/>
      <c r="AO311" s="21"/>
      <c r="AP311" s="21"/>
      <c r="AQ311" s="21"/>
      <c r="AR311" s="21"/>
      <c r="AS311" s="21"/>
      <c r="AT311" s="21"/>
      <c r="AU311" s="21"/>
      <c r="AV311" s="21"/>
      <c r="AW311" s="21"/>
      <c r="AX311" s="21"/>
      <c r="AY311" s="21"/>
      <c r="AZ311" s="21"/>
      <c r="BA311" s="21"/>
      <c r="BB311" s="21"/>
      <c r="BC311" s="21"/>
      <c r="BD311" s="72"/>
      <c r="BE311" s="72"/>
      <c r="BF311" s="72"/>
      <c r="BG311" s="21"/>
      <c r="BH311" s="72">
        <f t="shared" si="495"/>
        <v>105339.732</v>
      </c>
      <c r="BI311" s="72">
        <f t="shared" si="495"/>
        <v>96024.412800000006</v>
      </c>
      <c r="BJ311" s="72">
        <f>SUM(BJ307:BJ310)</f>
        <v>96024.412799999991</v>
      </c>
      <c r="BK311" s="27"/>
      <c r="BL311" s="72">
        <f t="shared" si="496"/>
        <v>99383.088700000008</v>
      </c>
      <c r="BM311" s="72">
        <f t="shared" si="496"/>
        <v>96390.152000000002</v>
      </c>
      <c r="BN311" s="72">
        <f>SUM(BN307:BN310)</f>
        <v>96390.151999999987</v>
      </c>
      <c r="BO311" s="27"/>
      <c r="BP311" s="72">
        <f t="shared" si="497"/>
        <v>101269.5904</v>
      </c>
      <c r="BQ311" s="72">
        <f t="shared" si="497"/>
        <v>94433.551500000001</v>
      </c>
      <c r="BR311" s="72">
        <f>SUM(BR307:BR310)</f>
        <v>94433.551500000016</v>
      </c>
      <c r="BT311" s="72">
        <f t="shared" si="498"/>
        <v>96858.599600000001</v>
      </c>
      <c r="BU311" s="72">
        <f t="shared" si="498"/>
        <v>92391.924899999998</v>
      </c>
      <c r="BV311" s="72">
        <f>SUM(BV307:BV310)</f>
        <v>92391.924899999998</v>
      </c>
      <c r="BX311" s="72">
        <f t="shared" si="499"/>
        <v>94171.022400000002</v>
      </c>
      <c r="BY311" s="72">
        <f t="shared" si="499"/>
        <v>84761.302499999991</v>
      </c>
      <c r="BZ311" s="72">
        <f>SUM(BZ307:BZ310)</f>
        <v>84761.302499999991</v>
      </c>
      <c r="CB311" s="72">
        <f t="shared" si="500"/>
        <v>81686.944799999997</v>
      </c>
      <c r="CC311" s="72">
        <f t="shared" si="500"/>
        <v>84741.817600000009</v>
      </c>
      <c r="CD311" s="72">
        <f>SUM(CD307:CD310)</f>
        <v>84741.817599999995</v>
      </c>
      <c r="CF311" s="72">
        <f t="shared" si="501"/>
        <v>87096.585000000006</v>
      </c>
      <c r="CG311" s="72">
        <f t="shared" si="501"/>
        <v>87355.560599999997</v>
      </c>
      <c r="CH311" s="72">
        <f>SUM(CH307:CH310)</f>
        <v>87355.560599999997</v>
      </c>
      <c r="CJ311" s="72">
        <f t="shared" si="502"/>
        <v>95277.798299999995</v>
      </c>
      <c r="CK311" s="72">
        <f t="shared" si="502"/>
        <v>84720.626999999993</v>
      </c>
      <c r="CL311" s="72">
        <f>SUM(CL307:CL310)</f>
        <v>84720.626999999993</v>
      </c>
      <c r="CN311" s="72">
        <f t="shared" ref="CN311:CO311" si="528">+CN298*CN$304</f>
        <v>93679.12</v>
      </c>
      <c r="CO311" s="72">
        <f t="shared" si="528"/>
        <v>96713.497399999993</v>
      </c>
      <c r="CP311" s="72">
        <f>SUM(CP307:CP310)</f>
        <v>96713.497399999993</v>
      </c>
      <c r="CR311" s="72">
        <f t="shared" ref="CR311:CS311" si="529">+CR298*CR$304</f>
        <v>105280.5719</v>
      </c>
      <c r="CS311" s="72">
        <f t="shared" si="529"/>
        <v>95181.300900000002</v>
      </c>
      <c r="CT311" s="72">
        <f>SUM(CT307:CT310)</f>
        <v>95181.300900000002</v>
      </c>
      <c r="CV311" s="72">
        <f t="shared" ref="CV311:CW311" si="530">+CV298*CV$304</f>
        <v>108920.9936</v>
      </c>
      <c r="CW311" s="72">
        <f t="shared" si="530"/>
        <v>97991.493600000002</v>
      </c>
      <c r="CX311" s="72">
        <f>SUM(CX307:CX310)</f>
        <v>97991.493600000016</v>
      </c>
      <c r="CZ311" s="72">
        <f t="shared" ref="CZ311:DA311" si="531">+CZ298*CZ$304</f>
        <v>87005.452000000005</v>
      </c>
      <c r="DA311" s="72">
        <f t="shared" si="531"/>
        <v>101704.3368</v>
      </c>
      <c r="DB311" s="72">
        <f>SUM(DB307:DB310)</f>
        <v>101704.33680000002</v>
      </c>
      <c r="DC311" s="79">
        <f>+DB311/CX311-1</f>
        <v>3.7889443905771758E-2</v>
      </c>
      <c r="DD311" s="72">
        <f t="shared" ref="DD311:DE311" si="532">+DD298*DD$304</f>
        <v>109135.70999999999</v>
      </c>
      <c r="DE311" s="72">
        <f t="shared" si="532"/>
        <v>100762.01680000001</v>
      </c>
      <c r="DF311" s="72">
        <f>SUM(DF307:DF310)</f>
        <v>100762.01680000001</v>
      </c>
      <c r="DG311" s="79">
        <f>+DF311/DB311-1</f>
        <v>-9.2652882821807614E-3</v>
      </c>
      <c r="DH311" s="72">
        <f>SUM(DH307:DH310)</f>
        <v>102811.89003800001</v>
      </c>
      <c r="DI311" s="72">
        <f>SUM(DI307:DI310)</f>
        <v>104948.40748622002</v>
      </c>
      <c r="DJ311" s="72">
        <f>SUM(DJ307:DJ310)</f>
        <v>104948.40748622002</v>
      </c>
      <c r="DK311" s="79">
        <f>+DJ311/DF311-1</f>
        <v>4.1547309384740494E-2</v>
      </c>
      <c r="DL311" s="72">
        <f>SUM(DL307:DL310)</f>
        <v>107173.33319847622</v>
      </c>
      <c r="DM311" s="72">
        <f>SUM(DM307:DM310)</f>
        <v>109488.50759173206</v>
      </c>
      <c r="DN311" s="72">
        <f>SUM(DN307:DN310)</f>
        <v>109488.50759173206</v>
      </c>
      <c r="DO311" s="79">
        <f>+DN311/DJ311-1</f>
        <v>4.3260304889411128E-2</v>
      </c>
      <c r="DP311" s="72">
        <f>SUM(DP307:DP310)</f>
        <v>111895.84900141381</v>
      </c>
      <c r="DQ311" s="72">
        <f>SUM(DQ307:DQ310)</f>
        <v>114397.35530480635</v>
      </c>
      <c r="DR311" s="72">
        <f>SUM(DR307:DR310)</f>
        <v>114397.35530480635</v>
      </c>
      <c r="DS311" s="79">
        <f>+DR311/DN311-1</f>
        <v>4.4834365003665111E-2</v>
      </c>
    </row>
    <row r="312" spans="1:128" s="20" customFormat="1" ht="13.8">
      <c r="A312" s="47" t="s">
        <v>1146</v>
      </c>
      <c r="B312" s="27"/>
      <c r="C312" s="21"/>
      <c r="D312" s="21"/>
      <c r="E312" s="21"/>
      <c r="F312" s="21"/>
      <c r="G312" s="21"/>
      <c r="H312" s="21"/>
      <c r="I312" s="21"/>
      <c r="J312" s="21"/>
      <c r="K312" s="21"/>
      <c r="L312" s="21"/>
      <c r="M312" s="21"/>
      <c r="N312" s="21"/>
      <c r="O312" s="21"/>
      <c r="P312" s="21"/>
      <c r="Q312" s="21"/>
      <c r="R312" s="21"/>
      <c r="S312" s="21"/>
      <c r="T312" s="21"/>
      <c r="U312" s="21"/>
      <c r="V312" s="21"/>
      <c r="W312" s="21"/>
      <c r="X312" s="21"/>
      <c r="Y312" s="21"/>
      <c r="Z312" s="21"/>
      <c r="AA312" s="21"/>
      <c r="AB312" s="21"/>
      <c r="AC312" s="21"/>
      <c r="AD312" s="21"/>
      <c r="AE312" s="21"/>
      <c r="AF312" s="21"/>
      <c r="AG312" s="21"/>
      <c r="AH312" s="21"/>
      <c r="AI312" s="21"/>
      <c r="AJ312" s="21"/>
      <c r="AK312" s="21"/>
      <c r="AL312" s="21"/>
      <c r="AM312" s="21"/>
      <c r="AN312" s="21"/>
      <c r="AO312" s="21"/>
      <c r="AP312" s="21"/>
      <c r="AQ312" s="21"/>
      <c r="AR312" s="21"/>
      <c r="AS312" s="21"/>
      <c r="AT312" s="21"/>
      <c r="AU312" s="21"/>
      <c r="AV312" s="21"/>
      <c r="AW312" s="21"/>
      <c r="AX312" s="21"/>
      <c r="AY312" s="21"/>
      <c r="AZ312" s="21"/>
      <c r="BA312" s="21"/>
      <c r="BB312" s="21"/>
      <c r="BC312" s="21"/>
      <c r="BD312" s="72"/>
      <c r="BE312" s="72"/>
      <c r="BF312" s="72"/>
      <c r="BG312" s="21"/>
      <c r="BH312" s="72"/>
      <c r="BI312" s="72"/>
      <c r="BJ312" s="72"/>
      <c r="BK312" s="27"/>
      <c r="BL312" s="72"/>
      <c r="BM312" s="72"/>
      <c r="BN312" s="72"/>
      <c r="BO312" s="27"/>
      <c r="BP312" s="72"/>
      <c r="BQ312" s="72"/>
      <c r="BR312" s="72"/>
      <c r="BT312" s="72"/>
      <c r="BU312" s="72"/>
      <c r="BV312" s="72"/>
      <c r="BX312" s="436">
        <f>BX308/BX311</f>
        <v>0.73418779830513969</v>
      </c>
      <c r="BY312" s="436">
        <f t="shared" ref="BY312:BZ312" si="533">BY308/BY311</f>
        <v>0.72990883428201214</v>
      </c>
      <c r="BZ312" s="436">
        <f t="shared" si="533"/>
        <v>0.72990883428201214</v>
      </c>
      <c r="CB312" s="436">
        <f t="shared" ref="CB312:CD312" si="534">CB308/CB311</f>
        <v>0.72623206370670879</v>
      </c>
      <c r="CC312" s="436">
        <f t="shared" si="534"/>
        <v>0.78464014441908769</v>
      </c>
      <c r="CD312" s="436">
        <f t="shared" si="534"/>
        <v>0.7846401444190878</v>
      </c>
      <c r="CF312" s="436">
        <f t="shared" ref="CF312:CH312" si="535">CF308/CF311</f>
        <v>0.76885359397271424</v>
      </c>
      <c r="CG312" s="436">
        <f t="shared" si="535"/>
        <v>0.78542434996404797</v>
      </c>
      <c r="CH312" s="436">
        <f t="shared" si="535"/>
        <v>0.78542434996404797</v>
      </c>
      <c r="CJ312" s="436">
        <f t="shared" ref="CJ312:CL312" si="536">CJ308/CJ311</f>
        <v>0.78690068659993384</v>
      </c>
      <c r="CK312" s="436">
        <f t="shared" si="536"/>
        <v>0.72790520070159537</v>
      </c>
      <c r="CL312" s="436">
        <f t="shared" si="536"/>
        <v>0.72790520070159537</v>
      </c>
      <c r="CN312" s="436">
        <f t="shared" ref="CN312:CP312" si="537">CN308/CN311</f>
        <v>0.68918239197806297</v>
      </c>
      <c r="CO312" s="436">
        <f t="shared" si="537"/>
        <v>0.65889475526298158</v>
      </c>
      <c r="CP312" s="436">
        <f t="shared" si="537"/>
        <v>0.65889475526298158</v>
      </c>
      <c r="CR312" s="436">
        <f t="shared" ref="CR312:CT312" si="538">CR308/CR311</f>
        <v>0.6931759220430298</v>
      </c>
      <c r="CS312" s="436">
        <f t="shared" si="538"/>
        <v>0.73327152119224714</v>
      </c>
      <c r="CT312" s="436">
        <f t="shared" si="538"/>
        <v>0.73327152119224714</v>
      </c>
      <c r="CV312" s="436">
        <f t="shared" ref="CV312:CX312" si="539">CV308/CV311</f>
        <v>0.78548540159479407</v>
      </c>
      <c r="CW312" s="436">
        <f t="shared" si="539"/>
        <v>0.77836596216551612</v>
      </c>
      <c r="CX312" s="436">
        <f t="shared" si="539"/>
        <v>0.77836596216551601</v>
      </c>
      <c r="CZ312" s="436">
        <f t="shared" ref="CZ312:DB312" si="540">CZ308/CZ311</f>
        <v>0.75487321415214303</v>
      </c>
      <c r="DA312" s="436">
        <f t="shared" si="540"/>
        <v>0.79486148224900477</v>
      </c>
      <c r="DB312" s="436">
        <f t="shared" si="540"/>
        <v>0.79486148224900466</v>
      </c>
      <c r="DD312" s="436">
        <f t="shared" ref="DD312:DF312" si="541">DD308/DD311</f>
        <v>0.81543465745538279</v>
      </c>
      <c r="DE312" s="436">
        <f t="shared" si="541"/>
        <v>0.77221116320490324</v>
      </c>
      <c r="DF312" s="436">
        <f t="shared" si="541"/>
        <v>0.77221116320490324</v>
      </c>
      <c r="DH312" s="436">
        <f t="shared" ref="DH312:DJ312" si="542">DH308/DH311</f>
        <v>0.77951918592663039</v>
      </c>
      <c r="DI312" s="436">
        <f t="shared" si="542"/>
        <v>0.78655939645028716</v>
      </c>
      <c r="DJ312" s="436">
        <f t="shared" si="542"/>
        <v>0.78655939645028716</v>
      </c>
      <c r="DL312" s="436">
        <f t="shared" ref="DL312:DN312" si="543">DL308/DL311</f>
        <v>0.79333728078462229</v>
      </c>
      <c r="DM312" s="436">
        <f t="shared" si="543"/>
        <v>0.79985873111750871</v>
      </c>
      <c r="DN312" s="436">
        <f t="shared" si="543"/>
        <v>0.79985873111750871</v>
      </c>
      <c r="DP312" s="436">
        <f t="shared" ref="DP312:DR312" si="544">DP308/DP311</f>
        <v>0.80612998356856824</v>
      </c>
      <c r="DQ312" s="436">
        <f t="shared" si="544"/>
        <v>0.81215755938462875</v>
      </c>
      <c r="DR312" s="436">
        <f t="shared" si="544"/>
        <v>0.81215755938462875</v>
      </c>
    </row>
    <row r="313" spans="1:128" s="20" customFormat="1" ht="13.8">
      <c r="A313" s="78" t="s">
        <v>217</v>
      </c>
      <c r="B313" s="49"/>
      <c r="BD313" s="67"/>
      <c r="BE313" s="49"/>
      <c r="BF313" s="49"/>
      <c r="BH313" s="67"/>
      <c r="BI313" s="49"/>
      <c r="BJ313" s="49"/>
      <c r="BK313" s="49"/>
      <c r="BL313" s="67"/>
      <c r="BM313" s="49"/>
      <c r="BN313" s="49"/>
      <c r="BO313" s="49"/>
      <c r="BP313" s="67"/>
      <c r="BQ313" s="49"/>
      <c r="BR313" s="49"/>
      <c r="BT313" s="67"/>
      <c r="BU313" s="49"/>
      <c r="BV313" s="49"/>
      <c r="BX313" s="67"/>
      <c r="BY313" s="49"/>
      <c r="BZ313" s="49"/>
      <c r="CB313" s="67"/>
      <c r="CC313" s="49"/>
      <c r="CD313" s="49"/>
      <c r="CF313" s="49"/>
      <c r="CG313" s="49"/>
      <c r="CH313" s="49"/>
      <c r="CJ313" s="49"/>
      <c r="CK313" s="49"/>
      <c r="CL313" s="49"/>
      <c r="CN313" s="49"/>
      <c r="CO313" s="49"/>
      <c r="CP313" s="49"/>
      <c r="CR313" s="49"/>
      <c r="CS313" s="49"/>
      <c r="CT313" s="49"/>
      <c r="CV313" s="49"/>
      <c r="CW313" s="49"/>
      <c r="CX313" s="49"/>
      <c r="CZ313" s="49"/>
      <c r="DA313" s="49"/>
      <c r="DB313" s="49"/>
      <c r="DD313" s="49"/>
      <c r="DE313" s="49"/>
      <c r="DF313" s="49"/>
      <c r="DH313" s="49"/>
      <c r="DI313" s="49"/>
      <c r="DJ313" s="49"/>
      <c r="DL313" s="49"/>
      <c r="DM313" s="49"/>
      <c r="DN313" s="49"/>
      <c r="DP313" s="49"/>
      <c r="DQ313" s="49"/>
      <c r="DR313" s="49"/>
    </row>
    <row r="314" spans="1:128" s="325" customFormat="1" ht="13.8">
      <c r="A314" s="335" t="str">
        <f>+A307</f>
        <v>CoD</v>
      </c>
      <c r="B314" s="324" t="s">
        <v>546</v>
      </c>
      <c r="BD314" s="327"/>
      <c r="BE314" s="345"/>
      <c r="BF314" s="324"/>
      <c r="BH314" s="345"/>
      <c r="BI314" s="345">
        <f>+BI307/BH307-1</f>
        <v>-0.47435222290929346</v>
      </c>
      <c r="BJ314" s="324"/>
      <c r="BK314" s="324"/>
      <c r="BL314" s="345">
        <f>+BL307/BI307-1</f>
        <v>4.6285796105383747E-2</v>
      </c>
      <c r="BM314" s="345">
        <f>+BM307/BL307-1</f>
        <v>-0.60399427071202805</v>
      </c>
      <c r="BN314" s="324"/>
      <c r="BO314" s="324"/>
      <c r="BP314" s="345">
        <f>+BP307/BM307-1</f>
        <v>-1.4260782639299086E-2</v>
      </c>
      <c r="BQ314" s="345">
        <f>+BQ307/BP307-1</f>
        <v>1.0991659300865044</v>
      </c>
      <c r="BR314" s="324"/>
      <c r="BT314" s="345">
        <f>+BT307/BQ307-1</f>
        <v>0.39703072351729229</v>
      </c>
      <c r="BU314" s="345">
        <f>+BU307/BT307-1</f>
        <v>1.1888575973535653E-2</v>
      </c>
      <c r="BV314" s="324"/>
      <c r="BX314" s="345">
        <f>+BX307/BU307-1</f>
        <v>-0.33646501520994676</v>
      </c>
      <c r="BY314" s="345">
        <f>+BY307/BX307-1</f>
        <v>-0.35837154543755789</v>
      </c>
      <c r="BZ314" s="324"/>
      <c r="CB314" s="345">
        <f>+CB307/BY307-1</f>
        <v>0.76845586768166774</v>
      </c>
      <c r="CC314" s="345">
        <f>+CC307/CB307-1</f>
        <v>-0.59705438707941672</v>
      </c>
      <c r="CD314" s="324"/>
      <c r="CF314" s="345">
        <f>+CF307/CC307-1</f>
        <v>0.40974326553540452</v>
      </c>
      <c r="CG314" s="345">
        <f>+CG307/CF307-1</f>
        <v>-0.31356040480181491</v>
      </c>
      <c r="CH314" s="324"/>
      <c r="CJ314" s="345">
        <f>+CJ307/CG307-1</f>
        <v>-0.40939571680016795</v>
      </c>
      <c r="CK314" s="345">
        <f>+CK307/CJ307-1</f>
        <v>0.98619976756273742</v>
      </c>
      <c r="CL314" s="324"/>
      <c r="CN314" s="345">
        <f>+CN307/CK307-1</f>
        <v>0.87546725778690404</v>
      </c>
      <c r="CO314" s="345">
        <f>+CO307/CN307-1</f>
        <v>-0.16298119803038058</v>
      </c>
      <c r="CP314" s="324"/>
      <c r="CR314" s="345">
        <f>+CR307/CO307-1</f>
        <v>0.30117210065236399</v>
      </c>
      <c r="CS314" s="345">
        <f>+CS307/CR307-1</f>
        <v>-0.44766413685502815</v>
      </c>
      <c r="CT314" s="324"/>
      <c r="CV314" s="345">
        <f>+CV307/CS307-1</f>
        <v>0.69521969700150743</v>
      </c>
      <c r="CW314" s="345">
        <f>+CW307/CV307-1</f>
        <v>0.13048541084394527</v>
      </c>
      <c r="CX314" s="324"/>
      <c r="CZ314" s="345">
        <f>+CZ307/CW307-1</f>
        <v>0.10190210041279313</v>
      </c>
      <c r="DA314" s="345">
        <f>+DA307/CZ307-1</f>
        <v>0.12757771508076976</v>
      </c>
      <c r="DB314" s="324"/>
      <c r="DD314" s="345">
        <f>+DD307/DA307-1</f>
        <v>3.8310778659014E-2</v>
      </c>
      <c r="DE314" s="345">
        <f>+DE307/DD307-1</f>
        <v>-0.12374949729429574</v>
      </c>
      <c r="DF314" s="324"/>
      <c r="DH314" s="346">
        <v>0.02</v>
      </c>
      <c r="DI314" s="346">
        <v>0.02</v>
      </c>
      <c r="DJ314" s="324"/>
      <c r="DL314" s="346">
        <v>0.02</v>
      </c>
      <c r="DM314" s="346">
        <v>0.02</v>
      </c>
      <c r="DN314" s="324"/>
      <c r="DP314" s="346">
        <v>0.02</v>
      </c>
      <c r="DQ314" s="346">
        <v>0.02</v>
      </c>
      <c r="DR314" s="324"/>
      <c r="DW314" s="20"/>
      <c r="DX314" s="20"/>
    </row>
    <row r="315" spans="1:128" s="325" customFormat="1" ht="13.8">
      <c r="A315" s="335" t="str">
        <f>+A308</f>
        <v>Term Deposits</v>
      </c>
      <c r="B315" s="324" t="s">
        <v>546</v>
      </c>
      <c r="BD315" s="327"/>
      <c r="BE315" s="345"/>
      <c r="BF315" s="324"/>
      <c r="BH315" s="345"/>
      <c r="BI315" s="345">
        <f>+BI308/BH308-1</f>
        <v>-8.6822880070401287E-2</v>
      </c>
      <c r="BJ315" s="324"/>
      <c r="BK315" s="324"/>
      <c r="BL315" s="345">
        <f>+BL308/BI308-1</f>
        <v>3.4773837634803018E-2</v>
      </c>
      <c r="BM315" s="345">
        <f>+BM308/BL308-1</f>
        <v>-1.1957561633484159E-2</v>
      </c>
      <c r="BN315" s="324"/>
      <c r="BO315" s="324"/>
      <c r="BP315" s="345">
        <f>+BP308/BM308-1</f>
        <v>6.2899864517063531E-2</v>
      </c>
      <c r="BQ315" s="345">
        <f>+BQ308/BP308-1</f>
        <v>-0.12315025766849108</v>
      </c>
      <c r="BR315" s="324"/>
      <c r="BT315" s="345">
        <f>+BT308/BQ308-1</f>
        <v>1.8892084755217864E-2</v>
      </c>
      <c r="BU315" s="345">
        <f>+BU308/BT308-1</f>
        <v>-6.5528179492375438E-2</v>
      </c>
      <c r="BV315" s="324"/>
      <c r="BX315" s="345">
        <f>+BX308/BU308-1</f>
        <v>7.3142532293485774E-2</v>
      </c>
      <c r="BY315" s="345">
        <f>+BY308/BX308-1</f>
        <v>-0.10516740806067226</v>
      </c>
      <c r="BZ315" s="324"/>
      <c r="CB315" s="345">
        <f>+CB308/BY308-1</f>
        <v>-4.1125364219854132E-2</v>
      </c>
      <c r="CC315" s="345">
        <f>+CC308/CB308-1</f>
        <v>0.1208312377325016</v>
      </c>
      <c r="CD315" s="324"/>
      <c r="CF315" s="345">
        <f>+CF308/CC308-1</f>
        <v>7.108999493351309E-3</v>
      </c>
      <c r="CG315" s="345">
        <f>+CG308/CF308-1</f>
        <v>2.4590065619582324E-2</v>
      </c>
      <c r="CH315" s="324"/>
      <c r="CJ315" s="345">
        <f>+CJ308/CG308-1</f>
        <v>9.2739697698616119E-2</v>
      </c>
      <c r="CK315" s="345">
        <f>+CK308/CJ308-1</f>
        <v>-0.17746886434476317</v>
      </c>
      <c r="CL315" s="324"/>
      <c r="CN315" s="345">
        <f>+CN308/CK308-1</f>
        <v>4.6918783688647991E-2</v>
      </c>
      <c r="CO315" s="345">
        <f>+CO308/CN308-1</f>
        <v>-1.2979520460952298E-2</v>
      </c>
      <c r="CP315" s="324"/>
      <c r="CR315" s="345">
        <f>+CR308/CO308-1</f>
        <v>0.14521905322094231</v>
      </c>
      <c r="CS315" s="345">
        <f>+CS308/CR308-1</f>
        <v>-4.3632629756731434E-2</v>
      </c>
      <c r="CT315" s="324"/>
      <c r="CV315" s="345">
        <f>+CV308/CS308-1</f>
        <v>0.22583850227490232</v>
      </c>
      <c r="CW315" s="345">
        <f>+CW308/CV308-1</f>
        <v>-0.10849763232556198</v>
      </c>
      <c r="CX315" s="324"/>
      <c r="CZ315" s="345">
        <f>+CZ308/CW308-1</f>
        <v>-0.13891054786038004</v>
      </c>
      <c r="DA315" s="345">
        <f>+DA308/CZ308-1</f>
        <v>0.230865054208371</v>
      </c>
      <c r="DB315" s="324"/>
      <c r="DD315" s="345">
        <f>+DD308/DA308-1</f>
        <v>0.10084232664130766</v>
      </c>
      <c r="DE315" s="345">
        <f>+DE308/DD308-1</f>
        <v>-0.12566697420719519</v>
      </c>
      <c r="DF315" s="324"/>
      <c r="DH315" s="346">
        <v>0.03</v>
      </c>
      <c r="DI315" s="346">
        <v>0.03</v>
      </c>
      <c r="DJ315" s="324"/>
      <c r="DL315" s="346">
        <v>0.03</v>
      </c>
      <c r="DM315" s="346">
        <v>0.03</v>
      </c>
      <c r="DN315" s="324"/>
      <c r="DP315" s="346">
        <v>0.03</v>
      </c>
      <c r="DQ315" s="346">
        <v>0.03</v>
      </c>
      <c r="DR315" s="324"/>
      <c r="DW315" s="20"/>
      <c r="DX315" s="20"/>
    </row>
    <row r="316" spans="1:128" s="325" customFormat="1" ht="13.8">
      <c r="A316" s="335" t="s">
        <v>577</v>
      </c>
      <c r="B316" s="324" t="s">
        <v>546</v>
      </c>
      <c r="BD316" s="327"/>
      <c r="BE316" s="345"/>
      <c r="BF316" s="324"/>
      <c r="BH316" s="345"/>
      <c r="BI316" s="345">
        <f>+BI309/BH309-1</f>
        <v>0.13504233258829612</v>
      </c>
      <c r="BJ316" s="324"/>
      <c r="BK316" s="324"/>
      <c r="BL316" s="345">
        <f>+BL309/BI309-1</f>
        <v>3.3747094033441227E-2</v>
      </c>
      <c r="BM316" s="345">
        <f>+BM309/BL309-1</f>
        <v>4.072240603674171E-4</v>
      </c>
      <c r="BN316" s="324"/>
      <c r="BO316" s="324"/>
      <c r="BP316" s="345">
        <f>+BP309/BM309-1</f>
        <v>-2.9765995475417695E-2</v>
      </c>
      <c r="BQ316" s="345">
        <f>+BQ309/BP309-1</f>
        <v>5.34101004830978E-3</v>
      </c>
      <c r="BR316" s="324"/>
      <c r="BT316" s="345">
        <f>+BT309/BQ309-1</f>
        <v>-2.3955066114048629E-2</v>
      </c>
      <c r="BU316" s="345">
        <f>+BU309/BT309-1</f>
        <v>3.0072801454056997E-2</v>
      </c>
      <c r="BV316" s="324"/>
      <c r="BX316" s="345">
        <f>+BX309/BU309-1</f>
        <v>-1.6547340933492305E-2</v>
      </c>
      <c r="BY316" s="345">
        <f>+BY309/BX309-1</f>
        <v>-2.6176972029506862E-3</v>
      </c>
      <c r="BZ316" s="324"/>
      <c r="CB316" s="345">
        <f>+CB309/BY309-1</f>
        <v>-5.6151359228107101E-2</v>
      </c>
      <c r="CC316" s="345">
        <f>+CC309/CB309-1</f>
        <v>7.6763800330307941E-2</v>
      </c>
      <c r="CD316" s="324"/>
      <c r="CF316" s="345">
        <f>+CF309/CC309-1</f>
        <v>3.0544647206754538E-2</v>
      </c>
      <c r="CG316" s="345">
        <f>+CG309/CF309-1</f>
        <v>-0.15452207428193643</v>
      </c>
      <c r="CH316" s="324"/>
      <c r="CJ316" s="345">
        <f>+CJ309/CG309-1</f>
        <v>0.39995095021143845</v>
      </c>
      <c r="CK316" s="345">
        <f>+CK309/CJ309-1</f>
        <v>-0.11456832628149094</v>
      </c>
      <c r="CL316" s="324"/>
      <c r="CN316" s="345">
        <f>+CN309/CK309-1</f>
        <v>0.25934166524683389</v>
      </c>
      <c r="CO316" s="345">
        <f>+CO309/CN309-1</f>
        <v>-0.16097570033955866</v>
      </c>
      <c r="CP316" s="324"/>
      <c r="CR316" s="345">
        <f>+CR309/CO309-1</f>
        <v>0.33112101896142287</v>
      </c>
      <c r="CS316" s="345">
        <f>+CS309/CR309-1</f>
        <v>-0.17516121036504162</v>
      </c>
      <c r="CT316" s="324"/>
      <c r="CV316" s="345">
        <f>+CV309/CS309-1</f>
        <v>-0.18924867335003948</v>
      </c>
      <c r="CW316" s="345">
        <f>+CW309/CV309-1</f>
        <v>-8.2545239228190015E-3</v>
      </c>
      <c r="CX316" s="324"/>
      <c r="CZ316" s="345">
        <f>+CZ309/CW309-1</f>
        <v>-1.7661486936509818E-2</v>
      </c>
      <c r="DA316" s="345">
        <f>+DA309/CZ309-1</f>
        <v>7.9886795792798004E-2</v>
      </c>
      <c r="DB316" s="324"/>
      <c r="DD316" s="345">
        <f>+DD309/DA309-1</f>
        <v>-5.8509814162937657E-2</v>
      </c>
      <c r="DE316" s="345">
        <f>+DE309/DD309-1</f>
        <v>-8.4684512222602537E-3</v>
      </c>
      <c r="DF316" s="324"/>
      <c r="DH316" s="346">
        <v>0.02</v>
      </c>
      <c r="DI316" s="346">
        <v>0.02</v>
      </c>
      <c r="DJ316" s="324"/>
      <c r="DL316" s="346">
        <v>0.02</v>
      </c>
      <c r="DM316" s="346">
        <v>0.02</v>
      </c>
      <c r="DN316" s="324"/>
      <c r="DP316" s="346">
        <v>0.02</v>
      </c>
      <c r="DQ316" s="346">
        <v>0.02</v>
      </c>
      <c r="DR316" s="324"/>
      <c r="DW316" s="20"/>
      <c r="DX316" s="20"/>
    </row>
    <row r="317" spans="1:128" s="325" customFormat="1" ht="13.8">
      <c r="A317" s="335" t="str">
        <f>+A310</f>
        <v>On demand &amp; ST deposits</v>
      </c>
      <c r="B317" s="324" t="s">
        <v>546</v>
      </c>
      <c r="BD317" s="327"/>
      <c r="BE317" s="345"/>
      <c r="BF317" s="324"/>
      <c r="BH317" s="345"/>
      <c r="BI317" s="345">
        <f>+BI310/BH310-1</f>
        <v>6.1183449561085901E-2</v>
      </c>
      <c r="BJ317" s="324"/>
      <c r="BK317" s="324"/>
      <c r="BL317" s="345">
        <f>+BL310/BI310-1</f>
        <v>3.3163474673907345E-2</v>
      </c>
      <c r="BM317" s="345">
        <f>+BM310/BL310-1</f>
        <v>3.7740755695560235E-2</v>
      </c>
      <c r="BN317" s="324"/>
      <c r="BO317" s="324"/>
      <c r="BP317" s="345">
        <f>+BP310/BM310-1</f>
        <v>2.4532216775158266E-2</v>
      </c>
      <c r="BQ317" s="345">
        <f>+BQ310/BP310-1</f>
        <v>3.5942635959588021E-2</v>
      </c>
      <c r="BR317" s="324"/>
      <c r="BT317" s="345">
        <f>+BT310/BQ310-1</f>
        <v>-1.3655157461121226E-2</v>
      </c>
      <c r="BU317" s="345">
        <f>+BU310/BT310-1</f>
        <v>-6.1157291102642564E-3</v>
      </c>
      <c r="BV317" s="324"/>
      <c r="BX317" s="345">
        <f>+BX310/BU310-1</f>
        <v>-5.6745150531553934E-2</v>
      </c>
      <c r="BY317" s="345">
        <f>+BY310/BX310-1</f>
        <v>-4.8004995746905754E-2</v>
      </c>
      <c r="BZ317" s="324"/>
      <c r="CB317" s="345">
        <f>+CB310/BY310-1</f>
        <v>-0.12153838140734985</v>
      </c>
      <c r="CC317" s="345">
        <f>+CC310/CB310-1</f>
        <v>-0.13151194006559597</v>
      </c>
      <c r="CD317" s="324"/>
      <c r="CF317" s="345">
        <f>+CF310/CC310-1</f>
        <v>8.5126606605514965E-2</v>
      </c>
      <c r="CG317" s="345">
        <f>+CG310/CF310-1</f>
        <v>-6.988245156327344E-3</v>
      </c>
      <c r="CH317" s="324"/>
      <c r="CJ317" s="345">
        <f>+CJ310/CG310-1</f>
        <v>6.7284833652453413E-2</v>
      </c>
      <c r="CK317" s="345">
        <f>+CK310/CJ310-1</f>
        <v>0.1561671620522056</v>
      </c>
      <c r="CL317" s="324"/>
      <c r="CN317" s="345">
        <f>+CN310/CK310-1</f>
        <v>0.19903307657150182</v>
      </c>
      <c r="CO317" s="345">
        <f>+CO310/CN310-1</f>
        <v>0.25142010136566362</v>
      </c>
      <c r="CP317" s="324"/>
      <c r="CR317" s="345">
        <f>+CR310/CO310-1</f>
        <v>-0.11219810942291497</v>
      </c>
      <c r="CS317" s="345">
        <f>+CS310/CR310-1</f>
        <v>-0.18532941931653479</v>
      </c>
      <c r="CT317" s="324"/>
      <c r="CV317" s="345">
        <f>+CV310/CS310-1</f>
        <v>-0.1387424543096083</v>
      </c>
      <c r="CW317" s="345">
        <f>+CW310/CV310-1</f>
        <v>-0.12814394140569518</v>
      </c>
      <c r="CX317" s="324"/>
      <c r="CZ317" s="345">
        <f>+CZ310/CW310-1</f>
        <v>-5.1807179178914087E-2</v>
      </c>
      <c r="DA317" s="345">
        <f>+DA310/CZ310-1</f>
        <v>-9.7632564062561489E-2</v>
      </c>
      <c r="DB317" s="324"/>
      <c r="DD317" s="345">
        <f>+DD310/DA310-1</f>
        <v>-5.6668297464190664E-2</v>
      </c>
      <c r="DE317" s="345">
        <f>+DE310/DD310-1</f>
        <v>0.30491005725323905</v>
      </c>
      <c r="DF317" s="324"/>
      <c r="DH317" s="346">
        <v>-0.03</v>
      </c>
      <c r="DI317" s="346">
        <v>-0.03</v>
      </c>
      <c r="DJ317" s="324"/>
      <c r="DL317" s="346">
        <v>-0.03</v>
      </c>
      <c r="DM317" s="346">
        <v>-0.03</v>
      </c>
      <c r="DN317" s="324"/>
      <c r="DP317" s="346">
        <v>-0.03</v>
      </c>
      <c r="DQ317" s="346">
        <v>-0.03</v>
      </c>
      <c r="DR317" s="324"/>
      <c r="DW317" s="20"/>
      <c r="DX317" s="20"/>
    </row>
    <row r="318" spans="1:128" s="20" customFormat="1" ht="13.8">
      <c r="A318" s="78" t="str">
        <f>+A311</f>
        <v>Total Deposits ex Repo's and Com Paper</v>
      </c>
      <c r="B318" s="49" t="s">
        <v>546</v>
      </c>
      <c r="BD318" s="67"/>
      <c r="BE318" s="79"/>
      <c r="BF318" s="49"/>
      <c r="BH318" s="79"/>
      <c r="BI318" s="79">
        <f>+BI311/BH311-1</f>
        <v>-8.8431202767821682E-2</v>
      </c>
      <c r="BJ318" s="49"/>
      <c r="BK318" s="49"/>
      <c r="BL318" s="79">
        <f>+BL311/BI311-1</f>
        <v>3.4977312561082385E-2</v>
      </c>
      <c r="BM318" s="79">
        <f>+BM311/BL311-1</f>
        <v>-3.0115150768100452E-2</v>
      </c>
      <c r="BN318" s="49"/>
      <c r="BO318" s="49"/>
      <c r="BP318" s="79">
        <f>+BP311/BM311-1</f>
        <v>5.0621752313452006E-2</v>
      </c>
      <c r="BQ318" s="79">
        <f>+BQ311/BP311-1</f>
        <v>-6.7503372661019467E-2</v>
      </c>
      <c r="BR318" s="49"/>
      <c r="BT318" s="79">
        <f>+BT311/BQ311-1</f>
        <v>2.5679941731302947E-2</v>
      </c>
      <c r="BU318" s="79">
        <f>+BU311/BT311-1</f>
        <v>-4.6115416890665006E-2</v>
      </c>
      <c r="BV318" s="49"/>
      <c r="BX318" s="79">
        <f>+BX311/BU311-1</f>
        <v>1.9255984783579372E-2</v>
      </c>
      <c r="BY318" s="79">
        <f>+BY311/BX311-1</f>
        <v>-9.9921607095135534E-2</v>
      </c>
      <c r="BZ318" s="49"/>
      <c r="CB318" s="79">
        <f>+CB311/BY311-1</f>
        <v>-3.6270769907057465E-2</v>
      </c>
      <c r="CC318" s="79">
        <f>+CC311/CB311-1</f>
        <v>3.7397319822396025E-2</v>
      </c>
      <c r="CD318" s="49"/>
      <c r="CF318" s="79">
        <f>+CF311/CC311-1</f>
        <v>2.778754889486823E-2</v>
      </c>
      <c r="CG318" s="79">
        <f>+CG311/CF311-1</f>
        <v>2.9734300145061177E-3</v>
      </c>
      <c r="CH318" s="49"/>
      <c r="CJ318" s="79">
        <f>+CJ311/CG311-1</f>
        <v>9.0689563956618979E-2</v>
      </c>
      <c r="CK318" s="79">
        <f>+CK311/CJ311-1</f>
        <v>-0.11080410639589688</v>
      </c>
      <c r="CL318" s="49"/>
      <c r="CN318" s="79">
        <f>+CN311/CK311-1</f>
        <v>0.10574158050081484</v>
      </c>
      <c r="CO318" s="79">
        <f>+CO311/CN311-1</f>
        <v>3.2391181727582374E-2</v>
      </c>
      <c r="CP318" s="49"/>
      <c r="CR318" s="79">
        <f>+CR311/CO311-1</f>
        <v>8.8581994554154164E-2</v>
      </c>
      <c r="CS318" s="79">
        <f>+CS311/CR311-1</f>
        <v>-9.5927204969903812E-2</v>
      </c>
      <c r="CT318" s="49"/>
      <c r="CV318" s="79">
        <f>+CV311/CS311-1</f>
        <v>0.14435285681202537</v>
      </c>
      <c r="CW318" s="79">
        <f>+CW311/CV311-1</f>
        <v>-0.10034337402518889</v>
      </c>
      <c r="CX318" s="49"/>
      <c r="CZ318" s="79">
        <f>+CZ311/CW311-1</f>
        <v>-0.11211219664479122</v>
      </c>
      <c r="DA318" s="79">
        <f>+DA311/CZ311-1</f>
        <v>0.16894211181156793</v>
      </c>
      <c r="DB318" s="49"/>
      <c r="DD318" s="79">
        <f>+DD311/DA311-1</f>
        <v>7.3068400363434538E-2</v>
      </c>
      <c r="DE318" s="79">
        <f>+DE311/DD311-1</f>
        <v>-7.6727344331199987E-2</v>
      </c>
      <c r="DF318" s="49"/>
      <c r="DH318" s="79">
        <f>+DH311/DE311-1</f>
        <v>2.0343709892873152E-2</v>
      </c>
      <c r="DI318" s="79">
        <f>+DI311/DH311-1</f>
        <v>2.078084010935255E-2</v>
      </c>
      <c r="DJ318" s="49"/>
      <c r="DL318" s="79">
        <f>+DL311/DI311-1</f>
        <v>2.1200185553538198E-2</v>
      </c>
      <c r="DM318" s="79">
        <f>+DM311/DL311-1</f>
        <v>2.1602149752759203E-2</v>
      </c>
      <c r="DN318" s="49"/>
      <c r="DP318" s="79">
        <f>+DP311/DM311-1</f>
        <v>2.1987160685926987E-2</v>
      </c>
      <c r="DQ318" s="79">
        <f>+DQ311/DP311-1</f>
        <v>2.2355666682156716E-2</v>
      </c>
      <c r="DR318" s="49"/>
    </row>
    <row r="319" spans="1:128" s="20" customFormat="1" ht="13.8">
      <c r="B319" s="49"/>
      <c r="BD319" s="67"/>
      <c r="BE319" s="49"/>
      <c r="BF319" s="49"/>
      <c r="BH319" s="67"/>
      <c r="BI319" s="49"/>
      <c r="BJ319" s="49"/>
      <c r="BK319" s="49"/>
      <c r="BL319" s="67"/>
      <c r="BM319" s="49"/>
      <c r="BN319" s="49"/>
      <c r="BO319" s="49"/>
      <c r="BP319" s="67"/>
      <c r="BQ319" s="49"/>
      <c r="BR319" s="49"/>
      <c r="BT319" s="67"/>
      <c r="BU319" s="49"/>
      <c r="BV319" s="49"/>
      <c r="BX319" s="67"/>
      <c r="BY319" s="49"/>
      <c r="BZ319" s="49"/>
      <c r="CB319" s="67"/>
      <c r="CC319" s="49"/>
      <c r="CD319" s="49"/>
      <c r="CF319" s="49"/>
      <c r="CG319" s="49"/>
      <c r="CH319" s="49"/>
      <c r="CJ319" s="49"/>
      <c r="CK319" s="49"/>
      <c r="CL319" s="49"/>
      <c r="CN319" s="49"/>
      <c r="CO319" s="49"/>
      <c r="CP319" s="49"/>
      <c r="CR319" s="49"/>
      <c r="CS319" s="49"/>
      <c r="CT319" s="49"/>
      <c r="CV319" s="49"/>
      <c r="CW319" s="49"/>
      <c r="CX319" s="49"/>
      <c r="CZ319" s="49"/>
      <c r="DA319" s="49"/>
      <c r="DB319" s="49"/>
      <c r="DD319" s="49"/>
      <c r="DE319" s="49"/>
      <c r="DF319" s="49"/>
      <c r="DH319" s="49"/>
      <c r="DI319" s="49"/>
      <c r="DJ319" s="49"/>
      <c r="DL319" s="49"/>
      <c r="DM319" s="49"/>
      <c r="DN319" s="49"/>
      <c r="DP319" s="49"/>
      <c r="DQ319" s="49"/>
      <c r="DR319" s="49"/>
    </row>
    <row r="320" spans="1:128" s="20" customFormat="1" ht="13.8">
      <c r="A320" s="21" t="s">
        <v>533</v>
      </c>
      <c r="B320" s="49"/>
      <c r="BD320" s="67"/>
      <c r="BE320" s="49"/>
      <c r="BF320" s="49"/>
      <c r="BH320" s="67"/>
      <c r="BI320" s="49"/>
      <c r="BJ320" s="49"/>
      <c r="BK320" s="49"/>
      <c r="BL320" s="67"/>
      <c r="BM320" s="49"/>
      <c r="BN320" s="49"/>
      <c r="BO320" s="49"/>
      <c r="BP320" s="67"/>
      <c r="BQ320" s="49"/>
      <c r="BR320" s="49"/>
      <c r="BT320" s="67"/>
      <c r="BU320" s="49"/>
      <c r="BV320" s="49"/>
      <c r="BX320" s="67"/>
      <c r="BY320" s="49"/>
      <c r="BZ320" s="49"/>
      <c r="CB320" s="67"/>
      <c r="CC320" s="49"/>
      <c r="CD320" s="49"/>
      <c r="CF320" s="49"/>
      <c r="CG320" s="49"/>
      <c r="CH320" s="49"/>
      <c r="CJ320" s="49"/>
      <c r="CK320" s="49"/>
      <c r="CL320" s="49"/>
      <c r="CN320" s="49"/>
      <c r="CO320" s="49"/>
      <c r="CP320" s="49"/>
      <c r="CR320" s="49"/>
      <c r="CS320" s="49">
        <v>1639</v>
      </c>
      <c r="CT320" s="49"/>
      <c r="CV320" s="49"/>
      <c r="CW320" s="49"/>
      <c r="CX320" s="49"/>
      <c r="CZ320" s="49"/>
      <c r="DA320" s="49"/>
      <c r="DB320" s="49"/>
      <c r="DD320" s="49"/>
      <c r="DE320" s="49"/>
      <c r="DF320" s="49"/>
      <c r="DH320" s="49"/>
      <c r="DI320" s="49"/>
      <c r="DJ320" s="49"/>
      <c r="DL320" s="49"/>
      <c r="DM320" s="49"/>
      <c r="DN320" s="49"/>
      <c r="DP320" s="49"/>
      <c r="DQ320" s="49"/>
      <c r="DR320" s="49"/>
    </row>
    <row r="321" spans="1:123" s="20" customFormat="1" ht="13.8">
      <c r="A321" s="20" t="s">
        <v>430</v>
      </c>
      <c r="B321" s="49" t="s">
        <v>544</v>
      </c>
      <c r="BD321" s="67"/>
      <c r="BE321" s="67"/>
      <c r="BF321" s="65"/>
      <c r="BH321" s="67">
        <v>1303</v>
      </c>
      <c r="BI321" s="67">
        <v>2103</v>
      </c>
      <c r="BJ321" s="65">
        <f>BI321</f>
        <v>2103</v>
      </c>
      <c r="BK321" s="49"/>
      <c r="BL321" s="67">
        <v>1504</v>
      </c>
      <c r="BM321" s="67">
        <v>1226</v>
      </c>
      <c r="BN321" s="65">
        <f>BM321</f>
        <v>1226</v>
      </c>
      <c r="BO321" s="49"/>
      <c r="BP321" s="67">
        <v>1435</v>
      </c>
      <c r="BQ321" s="67">
        <v>677</v>
      </c>
      <c r="BR321" s="65">
        <f>BQ321</f>
        <v>677</v>
      </c>
      <c r="BT321" s="67">
        <v>1675</v>
      </c>
      <c r="BU321" s="67">
        <v>2133</v>
      </c>
      <c r="BV321" s="65">
        <f>BU321</f>
        <v>2133</v>
      </c>
      <c r="BX321" s="67">
        <v>924</v>
      </c>
      <c r="BY321" s="67">
        <v>1763</v>
      </c>
      <c r="BZ321" s="65">
        <f>BY321</f>
        <v>1763</v>
      </c>
      <c r="CB321" s="67">
        <v>1897</v>
      </c>
      <c r="CC321" s="67">
        <v>833</v>
      </c>
      <c r="CD321" s="65">
        <f>CC321</f>
        <v>833</v>
      </c>
      <c r="CF321" s="67">
        <v>874</v>
      </c>
      <c r="CG321" s="67">
        <v>1375</v>
      </c>
      <c r="CH321" s="65">
        <f>CG321</f>
        <v>1375</v>
      </c>
      <c r="CJ321" s="67">
        <v>1651</v>
      </c>
      <c r="CK321" s="67">
        <v>1650</v>
      </c>
      <c r="CL321" s="65">
        <f>CK321</f>
        <v>1650</v>
      </c>
      <c r="CN321" s="67">
        <v>1292</v>
      </c>
      <c r="CO321" s="67">
        <v>1790</v>
      </c>
      <c r="CP321" s="65">
        <f>CO321</f>
        <v>1790</v>
      </c>
      <c r="CR321" s="67">
        <v>2018</v>
      </c>
      <c r="CS321" s="67">
        <v>1444</v>
      </c>
      <c r="CT321" s="65">
        <f>CS321</f>
        <v>1444</v>
      </c>
      <c r="CV321" s="67">
        <v>1392</v>
      </c>
      <c r="CW321" s="67">
        <v>2167</v>
      </c>
      <c r="CX321" s="65">
        <f>CW321</f>
        <v>2167</v>
      </c>
      <c r="CZ321" s="67">
        <v>1800</v>
      </c>
      <c r="DA321" s="67">
        <v>1079</v>
      </c>
      <c r="DB321" s="65">
        <f>DA321</f>
        <v>1079</v>
      </c>
      <c r="DD321" s="67">
        <v>1213</v>
      </c>
      <c r="DE321" s="67">
        <v>774</v>
      </c>
      <c r="DF321" s="65">
        <f>DE321</f>
        <v>774</v>
      </c>
      <c r="DH321" s="65">
        <f t="shared" ref="DH321:DI321" si="545">+DH333/DH$331</f>
        <v>768.08981538461546</v>
      </c>
      <c r="DI321" s="65">
        <f t="shared" si="545"/>
        <v>783.45161169230778</v>
      </c>
      <c r="DJ321" s="65">
        <f>DI321</f>
        <v>783.45161169230778</v>
      </c>
      <c r="DL321" s="65">
        <f t="shared" ref="DL321:DM321" si="546">+DL333/DL$331</f>
        <v>799.12064392615389</v>
      </c>
      <c r="DM321" s="65">
        <f t="shared" si="546"/>
        <v>815.10305680467695</v>
      </c>
      <c r="DN321" s="65">
        <f>DM321</f>
        <v>815.10305680467695</v>
      </c>
      <c r="DP321" s="65">
        <f t="shared" ref="DP321:DQ321" si="547">+DP333/DP$331</f>
        <v>831.40511794077054</v>
      </c>
      <c r="DQ321" s="65">
        <f t="shared" si="547"/>
        <v>848.03322029958599</v>
      </c>
      <c r="DR321" s="65">
        <f>DQ321</f>
        <v>848.03322029958599</v>
      </c>
    </row>
    <row r="322" spans="1:123" s="20" customFormat="1" ht="13.8">
      <c r="A322" s="20" t="s">
        <v>184</v>
      </c>
      <c r="B322" s="49" t="s">
        <v>544</v>
      </c>
      <c r="BD322" s="67"/>
      <c r="BE322" s="67"/>
      <c r="BF322" s="65"/>
      <c r="BH322" s="67">
        <v>27053</v>
      </c>
      <c r="BI322" s="67">
        <v>30135</v>
      </c>
      <c r="BJ322" s="65">
        <f>BI322</f>
        <v>30135</v>
      </c>
      <c r="BK322" s="49"/>
      <c r="BL322" s="67">
        <v>32686</v>
      </c>
      <c r="BM322" s="67">
        <v>30981</v>
      </c>
      <c r="BN322" s="65">
        <f>BM322</f>
        <v>30981</v>
      </c>
      <c r="BO322" s="49"/>
      <c r="BP322" s="67">
        <v>34211</v>
      </c>
      <c r="BQ322" s="67">
        <v>31795</v>
      </c>
      <c r="BR322" s="65">
        <f>BQ322</f>
        <v>31795</v>
      </c>
      <c r="BT322" s="67">
        <v>33871</v>
      </c>
      <c r="BU322" s="67">
        <v>37824</v>
      </c>
      <c r="BV322" s="65">
        <f>BU322</f>
        <v>37824</v>
      </c>
      <c r="BX322" s="67">
        <v>40236</v>
      </c>
      <c r="BY322" s="67">
        <v>41829</v>
      </c>
      <c r="BZ322" s="65">
        <f>BY322</f>
        <v>41829</v>
      </c>
      <c r="CB322" s="67">
        <v>44810</v>
      </c>
      <c r="CC322" s="67">
        <v>46986</v>
      </c>
      <c r="CD322" s="65">
        <f>CC322</f>
        <v>46986</v>
      </c>
      <c r="CF322" s="67">
        <v>50890</v>
      </c>
      <c r="CG322" s="67">
        <v>50941</v>
      </c>
      <c r="CH322" s="65">
        <f>CG322</f>
        <v>50941</v>
      </c>
      <c r="CJ322" s="67">
        <v>50414</v>
      </c>
      <c r="CK322" s="67">
        <v>46351</v>
      </c>
      <c r="CL322" s="65">
        <f>CK322</f>
        <v>46351</v>
      </c>
      <c r="CN322" s="67">
        <v>39715</v>
      </c>
      <c r="CO322" s="67">
        <v>38833</v>
      </c>
      <c r="CP322" s="65">
        <f>CO322</f>
        <v>38833</v>
      </c>
      <c r="CR322" s="67">
        <v>38931</v>
      </c>
      <c r="CS322" s="67">
        <v>41188</v>
      </c>
      <c r="CT322" s="65">
        <f>CS322</f>
        <v>41188</v>
      </c>
      <c r="CV322" s="67">
        <v>47598</v>
      </c>
      <c r="CW322" s="67">
        <v>50451</v>
      </c>
      <c r="CX322" s="65">
        <f>CW322</f>
        <v>50451</v>
      </c>
      <c r="CZ322" s="67">
        <v>52762</v>
      </c>
      <c r="DA322" s="67">
        <v>54500</v>
      </c>
      <c r="DB322" s="65">
        <f>DA322</f>
        <v>54500</v>
      </c>
      <c r="DD322" s="67">
        <v>54438</v>
      </c>
      <c r="DE322" s="67">
        <v>53421</v>
      </c>
      <c r="DF322" s="65">
        <f>DE322</f>
        <v>53421</v>
      </c>
      <c r="DH322" s="65">
        <f t="shared" ref="DH322:DI322" si="548">+DH334/DH$331</f>
        <v>53013.082723076928</v>
      </c>
      <c r="DI322" s="65">
        <f t="shared" si="548"/>
        <v>54073.344377538466</v>
      </c>
      <c r="DJ322" s="65">
        <f>DI322</f>
        <v>54073.344377538466</v>
      </c>
      <c r="DL322" s="65">
        <f t="shared" ref="DL322:DM322" si="549">+DL334/DL$331</f>
        <v>55154.811265089236</v>
      </c>
      <c r="DM322" s="65">
        <f t="shared" si="549"/>
        <v>56257.907490391022</v>
      </c>
      <c r="DN322" s="65">
        <f>DM322</f>
        <v>56257.907490391022</v>
      </c>
      <c r="DP322" s="65">
        <f t="shared" ref="DP322:DQ322" si="550">+DP334/DP$331</f>
        <v>57383.065640198845</v>
      </c>
      <c r="DQ322" s="65">
        <f t="shared" si="550"/>
        <v>58530.726953002821</v>
      </c>
      <c r="DR322" s="65">
        <f>DQ322</f>
        <v>58530.726953002821</v>
      </c>
    </row>
    <row r="323" spans="1:123" s="20" customFormat="1" ht="13.8">
      <c r="A323" s="20" t="s">
        <v>577</v>
      </c>
      <c r="B323" s="49" t="s">
        <v>544</v>
      </c>
      <c r="BD323" s="67"/>
      <c r="BE323" s="67"/>
      <c r="BF323" s="65"/>
      <c r="BH323" s="67">
        <v>4585</v>
      </c>
      <c r="BI323" s="67">
        <v>4918</v>
      </c>
      <c r="BJ323" s="65">
        <f>BI323</f>
        <v>4918</v>
      </c>
      <c r="BK323" s="49"/>
      <c r="BL323" s="67">
        <v>5468</v>
      </c>
      <c r="BM323" s="67">
        <v>5348</v>
      </c>
      <c r="BN323" s="65">
        <f>BM323</f>
        <v>5348</v>
      </c>
      <c r="BO323" s="49"/>
      <c r="BP323" s="67">
        <v>6148</v>
      </c>
      <c r="BQ323" s="67">
        <v>6103</v>
      </c>
      <c r="BR323" s="65">
        <f>BQ323</f>
        <v>6103</v>
      </c>
      <c r="BT323" s="67">
        <v>6552</v>
      </c>
      <c r="BU323" s="67">
        <v>7418</v>
      </c>
      <c r="BV323" s="65">
        <f>BU323</f>
        <v>7418</v>
      </c>
      <c r="BX323" s="67">
        <v>7832</v>
      </c>
      <c r="BY323" s="67">
        <v>8173</v>
      </c>
      <c r="BZ323" s="65">
        <f>BY323</f>
        <v>8173</v>
      </c>
      <c r="CB323" s="67">
        <v>9334</v>
      </c>
      <c r="CC323" s="67">
        <v>9365</v>
      </c>
      <c r="CD323" s="65">
        <f>CC323</f>
        <v>9365</v>
      </c>
      <c r="CF323" s="67">
        <v>10383</v>
      </c>
      <c r="CG323" s="67">
        <v>10929</v>
      </c>
      <c r="CH323" s="65">
        <f>CG323</f>
        <v>10929</v>
      </c>
      <c r="CJ323" s="67">
        <v>14050</v>
      </c>
      <c r="CK323" s="67">
        <v>15630</v>
      </c>
      <c r="CL323" s="65">
        <f>CK323</f>
        <v>15630</v>
      </c>
      <c r="CN323" s="67">
        <v>18618</v>
      </c>
      <c r="CO323" s="67">
        <v>20828</v>
      </c>
      <c r="CP323" s="65">
        <f>CO323</f>
        <v>20828</v>
      </c>
      <c r="CR323" s="67">
        <v>21712</v>
      </c>
      <c r="CS323" s="67">
        <v>18839</v>
      </c>
      <c r="CT323" s="65">
        <f>CS323</f>
        <v>18839</v>
      </c>
      <c r="CV323" s="67">
        <v>18103</v>
      </c>
      <c r="CW323" s="67">
        <v>16438</v>
      </c>
      <c r="CX323" s="65">
        <f>CW323</f>
        <v>16438</v>
      </c>
      <c r="CZ323" s="67">
        <v>15825</v>
      </c>
      <c r="DA323" s="67">
        <v>14586</v>
      </c>
      <c r="DB323" s="65">
        <f>DA323</f>
        <v>14586</v>
      </c>
      <c r="DD323" s="67">
        <v>15405</v>
      </c>
      <c r="DE323" s="67">
        <v>15224</v>
      </c>
      <c r="DF323" s="65">
        <f>DE323</f>
        <v>15224</v>
      </c>
      <c r="DH323" s="65">
        <f t="shared" ref="DH323:DI323" si="551">+DH335/DH$331</f>
        <v>15107.751097435901</v>
      </c>
      <c r="DI323" s="65">
        <f t="shared" si="551"/>
        <v>15409.906119384619</v>
      </c>
      <c r="DJ323" s="65">
        <f>DI323</f>
        <v>15409.906119384619</v>
      </c>
      <c r="DL323" s="65">
        <f t="shared" ref="DL323:DM323" si="552">+DL335/DL$331</f>
        <v>15718.104241772313</v>
      </c>
      <c r="DM323" s="65">
        <f t="shared" si="552"/>
        <v>16032.466326607759</v>
      </c>
      <c r="DN323" s="65">
        <f>DM323</f>
        <v>16032.466326607759</v>
      </c>
      <c r="DP323" s="65">
        <f t="shared" ref="DP323:DQ323" si="553">+DP335/DP$331</f>
        <v>16353.115653139916</v>
      </c>
      <c r="DQ323" s="65">
        <f t="shared" si="553"/>
        <v>16680.177966202711</v>
      </c>
      <c r="DR323" s="65">
        <f>DQ323</f>
        <v>16680.177966202711</v>
      </c>
    </row>
    <row r="324" spans="1:123" s="20" customFormat="1" ht="13.8">
      <c r="A324" s="20" t="s">
        <v>578</v>
      </c>
      <c r="B324" s="49" t="s">
        <v>544</v>
      </c>
      <c r="BD324" s="65"/>
      <c r="BE324" s="65"/>
      <c r="BF324" s="65"/>
      <c r="BH324" s="67">
        <v>22735</v>
      </c>
      <c r="BI324" s="67">
        <v>26419</v>
      </c>
      <c r="BJ324" s="65">
        <f>BI324</f>
        <v>26419</v>
      </c>
      <c r="BK324" s="49"/>
      <c r="BL324" s="67">
        <v>29841</v>
      </c>
      <c r="BM324" s="67">
        <v>30330</v>
      </c>
      <c r="BN324" s="65">
        <f>BM324</f>
        <v>30330</v>
      </c>
      <c r="BO324" s="49"/>
      <c r="BP324" s="67">
        <v>36896</v>
      </c>
      <c r="BQ324" s="67">
        <v>37662</v>
      </c>
      <c r="BR324" s="65">
        <f>BQ324</f>
        <v>37662</v>
      </c>
      <c r="BT324" s="67">
        <v>39276</v>
      </c>
      <c r="BU324" s="67">
        <v>40360</v>
      </c>
      <c r="BV324" s="65">
        <f>BU324</f>
        <v>40360</v>
      </c>
      <c r="BX324" s="67">
        <v>38762</v>
      </c>
      <c r="BY324" s="67">
        <v>38143</v>
      </c>
      <c r="BZ324" s="65">
        <f>BY324</f>
        <v>38143</v>
      </c>
      <c r="CB324" s="67">
        <v>39580</v>
      </c>
      <c r="CC324" s="67">
        <v>38106</v>
      </c>
      <c r="CD324" s="65">
        <f>CC324</f>
        <v>38106</v>
      </c>
      <c r="CF324" s="67">
        <v>41011</v>
      </c>
      <c r="CG324" s="67">
        <v>39216</v>
      </c>
      <c r="CH324" s="65">
        <f>CG324</f>
        <v>39216</v>
      </c>
      <c r="CJ324" s="67">
        <v>45978</v>
      </c>
      <c r="CK324" s="67">
        <v>49905</v>
      </c>
      <c r="CL324" s="65">
        <f>CK324</f>
        <v>49905</v>
      </c>
      <c r="CN324" s="67">
        <v>54379</v>
      </c>
      <c r="CO324" s="67">
        <v>59822</v>
      </c>
      <c r="CP324" s="65">
        <f>CO324</f>
        <v>59822</v>
      </c>
      <c r="CR324" s="67">
        <v>59590</v>
      </c>
      <c r="CS324" s="67">
        <v>54809</v>
      </c>
      <c r="CT324" s="65">
        <f>CS324</f>
        <v>54809</v>
      </c>
      <c r="CV324" s="67">
        <v>56307</v>
      </c>
      <c r="CW324" s="67">
        <v>56479</v>
      </c>
      <c r="CX324" s="65">
        <f>CW324</f>
        <v>56479</v>
      </c>
      <c r="CZ324" s="67">
        <v>55569</v>
      </c>
      <c r="DA324" s="67">
        <v>56038</v>
      </c>
      <c r="DB324" s="65">
        <f>DA324</f>
        <v>56038</v>
      </c>
      <c r="DD324" s="67">
        <v>58246</v>
      </c>
      <c r="DE324" s="67">
        <v>57459</v>
      </c>
      <c r="DF324" s="65">
        <f>DE324</f>
        <v>57459</v>
      </c>
      <c r="DH324" s="65">
        <f t="shared" ref="DH324:DI324" si="554">+DH336/DH$331</f>
        <v>56740.737944871798</v>
      </c>
      <c r="DI324" s="65">
        <f t="shared" si="554"/>
        <v>57591.849014044863</v>
      </c>
      <c r="DJ324" s="65">
        <f>DI324</f>
        <v>57591.849014044863</v>
      </c>
      <c r="DL324" s="65">
        <f t="shared" ref="DL324:DM324" si="555">+DL336/DL$331</f>
        <v>58455.726749255533</v>
      </c>
      <c r="DM324" s="65">
        <f t="shared" si="555"/>
        <v>59332.562650494358</v>
      </c>
      <c r="DN324" s="65">
        <f>DM324</f>
        <v>59332.562650494358</v>
      </c>
      <c r="DP324" s="65">
        <f t="shared" ref="DP324:DQ324" si="556">+DP336/DP$331</f>
        <v>60222.551090251764</v>
      </c>
      <c r="DQ324" s="65">
        <f t="shared" si="556"/>
        <v>61125.889356605541</v>
      </c>
      <c r="DR324" s="65">
        <f>DQ324</f>
        <v>61125.889356605541</v>
      </c>
    </row>
    <row r="325" spans="1:123" s="20" customFormat="1" ht="13.8">
      <c r="A325" s="21" t="s">
        <v>883</v>
      </c>
      <c r="B325" s="49" t="s">
        <v>544</v>
      </c>
      <c r="BD325" s="98"/>
      <c r="BE325" s="98"/>
      <c r="BF325" s="72"/>
      <c r="BH325" s="72">
        <f>SUM(BH321:BH324)</f>
        <v>55676</v>
      </c>
      <c r="BI325" s="72">
        <f>SUM(BI321:BI324)</f>
        <v>63575</v>
      </c>
      <c r="BJ325" s="72">
        <f>SUM(BJ321:BJ324)</f>
        <v>63575</v>
      </c>
      <c r="BK325" s="49"/>
      <c r="BL325" s="72">
        <f>SUM(BL321:BL324)</f>
        <v>69499</v>
      </c>
      <c r="BM325" s="72">
        <f>SUM(BM321:BM324)</f>
        <v>67885</v>
      </c>
      <c r="BN325" s="72">
        <f>SUM(BN321:BN324)</f>
        <v>67885</v>
      </c>
      <c r="BO325" s="49"/>
      <c r="BP325" s="72">
        <f>SUM(BP321:BP324)</f>
        <v>78690</v>
      </c>
      <c r="BQ325" s="72">
        <f>SUM(BQ321:BQ324)</f>
        <v>76237</v>
      </c>
      <c r="BR325" s="72">
        <f>SUM(BR321:BR324)</f>
        <v>76237</v>
      </c>
      <c r="BT325" s="72">
        <f>SUM(BT321:BT324)</f>
        <v>81374</v>
      </c>
      <c r="BU325" s="72">
        <f>SUM(BU321:BU324)</f>
        <v>87735</v>
      </c>
      <c r="BV325" s="72">
        <f>SUM(BV321:BV324)</f>
        <v>87735</v>
      </c>
      <c r="BX325" s="72">
        <f>SUM(BX321:BX324)</f>
        <v>87754</v>
      </c>
      <c r="BY325" s="72">
        <f>SUM(BY321:BY324)</f>
        <v>89908</v>
      </c>
      <c r="BZ325" s="72">
        <f>SUM(BZ321:BZ324)</f>
        <v>89908</v>
      </c>
      <c r="CB325" s="72">
        <f>SUM(CB321:CB324)</f>
        <v>95621</v>
      </c>
      <c r="CC325" s="72">
        <f>SUM(CC321:CC324)</f>
        <v>95290</v>
      </c>
      <c r="CD325" s="72">
        <f>SUM(CD321:CD324)</f>
        <v>95290</v>
      </c>
      <c r="CF325" s="72">
        <f>SUM(CF321:CF324)</f>
        <v>103158</v>
      </c>
      <c r="CG325" s="72">
        <f>SUM(CG321:CG324)</f>
        <v>102461</v>
      </c>
      <c r="CH325" s="72">
        <f>SUM(CH321:CH324)</f>
        <v>102461</v>
      </c>
      <c r="CJ325" s="72">
        <f>SUM(CJ321:CJ324)</f>
        <v>112093</v>
      </c>
      <c r="CK325" s="72">
        <f>SUM(CK321:CK324)</f>
        <v>113536</v>
      </c>
      <c r="CL325" s="72">
        <f>SUM(CL321:CL324)</f>
        <v>113536</v>
      </c>
      <c r="CN325" s="72">
        <f>SUM(CN321:CN324)</f>
        <v>114004</v>
      </c>
      <c r="CO325" s="72">
        <f>SUM(CO321:CO324)</f>
        <v>121273</v>
      </c>
      <c r="CP325" s="72">
        <f>SUM(CP321:CP324)</f>
        <v>121273</v>
      </c>
      <c r="CR325" s="72">
        <f>SUM(CR321:CR324)</f>
        <v>122251</v>
      </c>
      <c r="CS325" s="72">
        <f>SUM(CS321:CS324)</f>
        <v>116280</v>
      </c>
      <c r="CT325" s="72">
        <f>SUM(CT321:CT324)</f>
        <v>116280</v>
      </c>
      <c r="CV325" s="72">
        <f>SUM(CV321:CV324)</f>
        <v>123400</v>
      </c>
      <c r="CW325" s="72">
        <f>SUM(CW321:CW324)</f>
        <v>125535</v>
      </c>
      <c r="CX325" s="72">
        <f>SUM(CX321:CX324)</f>
        <v>125535</v>
      </c>
      <c r="CZ325" s="72">
        <f>SUM(CZ321:CZ324)</f>
        <v>125956</v>
      </c>
      <c r="DA325" s="72">
        <f>SUM(DA321:DA324)</f>
        <v>126203</v>
      </c>
      <c r="DB325" s="72">
        <f>SUM(DB321:DB324)</f>
        <v>126203</v>
      </c>
      <c r="DD325" s="72">
        <f>SUM(DD321:DD324)</f>
        <v>129302</v>
      </c>
      <c r="DE325" s="72">
        <f>SUM(DE321:DE324)</f>
        <v>126878</v>
      </c>
      <c r="DF325" s="72">
        <f>SUM(DF321:DF324)</f>
        <v>126878</v>
      </c>
      <c r="DH325" s="72">
        <f>SUM(DH321:DH324)</f>
        <v>125629.66158076924</v>
      </c>
      <c r="DI325" s="72">
        <f>SUM(DI321:DI324)</f>
        <v>127858.55112266025</v>
      </c>
      <c r="DJ325" s="72">
        <f>SUM(DJ321:DJ324)</f>
        <v>127858.55112266025</v>
      </c>
      <c r="DL325" s="72">
        <f>SUM(DL321:DL324)</f>
        <v>130127.76290004322</v>
      </c>
      <c r="DM325" s="72">
        <f>SUM(DM321:DM324)</f>
        <v>132438.03952429781</v>
      </c>
      <c r="DN325" s="72">
        <f>SUM(DN321:DN324)</f>
        <v>132438.03952429781</v>
      </c>
      <c r="DP325" s="72">
        <f>SUM(DP321:DP324)</f>
        <v>134790.13750153128</v>
      </c>
      <c r="DQ325" s="72">
        <f>SUM(DQ321:DQ324)</f>
        <v>137184.82749611067</v>
      </c>
      <c r="DR325" s="72">
        <f>SUM(DR321:DR324)</f>
        <v>137184.82749611067</v>
      </c>
    </row>
    <row r="326" spans="1:123" s="20" customFormat="1" ht="13.8">
      <c r="A326" s="78" t="s">
        <v>217</v>
      </c>
      <c r="B326" s="49"/>
      <c r="BD326" s="98"/>
      <c r="BE326" s="98"/>
      <c r="BF326" s="72"/>
      <c r="BH326" s="98"/>
      <c r="BI326" s="98"/>
      <c r="BJ326" s="72"/>
      <c r="BK326" s="49"/>
      <c r="BL326" s="98"/>
      <c r="BM326" s="98"/>
      <c r="BN326" s="72"/>
      <c r="BO326" s="49"/>
      <c r="BP326" s="98"/>
      <c r="BQ326" s="98"/>
      <c r="BR326" s="72"/>
      <c r="BT326" s="98"/>
      <c r="BU326" s="98"/>
      <c r="BV326" s="72"/>
      <c r="BX326" s="98"/>
      <c r="BY326" s="98"/>
      <c r="BZ326" s="72"/>
      <c r="CB326" s="98"/>
      <c r="CC326" s="98"/>
      <c r="CD326" s="72"/>
      <c r="CF326" s="98"/>
      <c r="CG326" s="98"/>
      <c r="CH326" s="72"/>
      <c r="CJ326" s="98"/>
      <c r="CK326" s="98"/>
      <c r="CL326" s="72"/>
      <c r="CN326" s="98"/>
      <c r="CO326" s="98"/>
      <c r="CP326" s="72"/>
      <c r="CR326" s="98"/>
      <c r="CS326" s="98"/>
      <c r="CT326" s="72"/>
      <c r="CV326" s="98"/>
      <c r="CW326" s="98"/>
      <c r="CX326" s="72"/>
      <c r="CZ326" s="98"/>
      <c r="DA326" s="98"/>
      <c r="DB326" s="72"/>
      <c r="DD326" s="98"/>
      <c r="DE326" s="98"/>
      <c r="DF326" s="72"/>
      <c r="DH326" s="72"/>
      <c r="DI326" s="72"/>
      <c r="DJ326" s="72"/>
      <c r="DL326" s="72"/>
      <c r="DM326" s="72"/>
      <c r="DN326" s="72"/>
      <c r="DP326" s="72"/>
      <c r="DQ326" s="72"/>
      <c r="DR326" s="72"/>
    </row>
    <row r="327" spans="1:123" s="20" customFormat="1" ht="13.8">
      <c r="A327" s="47" t="str">
        <f>+A321</f>
        <v>CoD</v>
      </c>
      <c r="B327" s="49" t="s">
        <v>546</v>
      </c>
      <c r="BD327" s="98"/>
      <c r="BE327" s="98"/>
      <c r="BF327" s="72"/>
      <c r="BH327" s="75"/>
      <c r="BI327" s="75">
        <f>+BI321/BH321-1</f>
        <v>0.61396776669224873</v>
      </c>
      <c r="BJ327" s="49"/>
      <c r="BK327" s="49"/>
      <c r="BL327" s="75">
        <f>+BL321/BI321-1</f>
        <v>-0.28483119353304798</v>
      </c>
      <c r="BM327" s="75">
        <f>+BM321/BL321-1</f>
        <v>-0.18484042553191493</v>
      </c>
      <c r="BN327" s="49"/>
      <c r="BO327" s="49"/>
      <c r="BP327" s="75">
        <f>+BP321/BM321-1</f>
        <v>0.17047308319738996</v>
      </c>
      <c r="BQ327" s="75">
        <f>+BQ321/BP321-1</f>
        <v>-0.5282229965156795</v>
      </c>
      <c r="BR327" s="49"/>
      <c r="BT327" s="75">
        <f>+BT321/BQ321-1</f>
        <v>1.4741506646971936</v>
      </c>
      <c r="BU327" s="75">
        <f>+BU321/BT321-1</f>
        <v>0.2734328358208955</v>
      </c>
      <c r="BV327" s="49"/>
      <c r="BX327" s="75">
        <f>+BX321/BU321-1</f>
        <v>-0.56680731364275672</v>
      </c>
      <c r="BY327" s="75">
        <f>+BY321/BX321-1</f>
        <v>0.90800865800865793</v>
      </c>
      <c r="BZ327" s="49"/>
      <c r="CB327" s="96">
        <f>+CB321/BY321-1</f>
        <v>7.600680657969372E-2</v>
      </c>
      <c r="CC327" s="75">
        <f>+CC321/CB321-1</f>
        <v>-0.56088560885608851</v>
      </c>
      <c r="CD327" s="49"/>
      <c r="CF327" s="96">
        <f>+CF321/CC321-1</f>
        <v>4.9219687875150075E-2</v>
      </c>
      <c r="CG327" s="75">
        <f>+CG321/CF321-1</f>
        <v>0.57322654462242562</v>
      </c>
      <c r="CH327" s="49"/>
      <c r="CJ327" s="96">
        <f>+CJ321/CG321-1</f>
        <v>0.20072727272727264</v>
      </c>
      <c r="CK327" s="75">
        <f>+CK321/CJ321-1</f>
        <v>-6.0569351907935332E-4</v>
      </c>
      <c r="CL327" s="49"/>
      <c r="CN327" s="96">
        <f>+CN321/CK321-1</f>
        <v>-0.21696969696969692</v>
      </c>
      <c r="CO327" s="75">
        <f>+CO321/CN321-1</f>
        <v>0.38544891640866874</v>
      </c>
      <c r="CP327" s="49"/>
      <c r="CR327" s="96">
        <f>+CR321/CO321-1</f>
        <v>0.12737430167597763</v>
      </c>
      <c r="CS327" s="75">
        <f>+CS321/CR321-1</f>
        <v>-0.28444003964321107</v>
      </c>
      <c r="CT327" s="49"/>
      <c r="CV327" s="96">
        <f>+CV321/CS321-1</f>
        <v>-3.6011080332409962E-2</v>
      </c>
      <c r="CW327" s="75">
        <f>+CW321/CV321-1</f>
        <v>0.55675287356321834</v>
      </c>
      <c r="CX327" s="49"/>
      <c r="CZ327" s="96">
        <f>+CZ321/CW321-1</f>
        <v>-0.16935856022150442</v>
      </c>
      <c r="DA327" s="75">
        <f>+DA321/CZ321-1</f>
        <v>-0.40055555555555555</v>
      </c>
      <c r="DB327" s="49"/>
      <c r="DD327" s="96">
        <f>+DD321/DA321-1</f>
        <v>0.12418906394810003</v>
      </c>
      <c r="DE327" s="75">
        <f>+DE321/DD321-1</f>
        <v>-0.36191261335531744</v>
      </c>
      <c r="DF327" s="49"/>
      <c r="DH327" s="75">
        <f>+DH321/DE321-1</f>
        <v>-7.6358974358973208E-3</v>
      </c>
      <c r="DI327" s="75">
        <f>+DI321/DH321-1</f>
        <v>2.0000000000000018E-2</v>
      </c>
      <c r="DJ327" s="72"/>
      <c r="DL327" s="75">
        <f>+DL321/DI321-1</f>
        <v>2.0000000000000018E-2</v>
      </c>
      <c r="DM327" s="75">
        <f>+DM321/DL321-1</f>
        <v>2.0000000000000018E-2</v>
      </c>
      <c r="DN327" s="72"/>
      <c r="DP327" s="75">
        <f>+DP321/DM321-1</f>
        <v>2.0000000000000018E-2</v>
      </c>
      <c r="DQ327" s="75">
        <f>+DQ321/DP321-1</f>
        <v>2.0000000000000018E-2</v>
      </c>
      <c r="DR327" s="72"/>
    </row>
    <row r="328" spans="1:123" s="20" customFormat="1" ht="13.8">
      <c r="A328" s="47" t="str">
        <f>+A322</f>
        <v>Term Deposits</v>
      </c>
      <c r="B328" s="49" t="s">
        <v>546</v>
      </c>
      <c r="BD328" s="98"/>
      <c r="BE328" s="98"/>
      <c r="BF328" s="72"/>
      <c r="BH328" s="75"/>
      <c r="BI328" s="75">
        <f>+BI322/BH322-1</f>
        <v>0.11392451853768537</v>
      </c>
      <c r="BJ328" s="49"/>
      <c r="BK328" s="49"/>
      <c r="BL328" s="75">
        <f>+BL322/BI322-1</f>
        <v>8.4652397544383584E-2</v>
      </c>
      <c r="BM328" s="75">
        <f>+BM322/BL322-1</f>
        <v>-5.2163005568133136E-2</v>
      </c>
      <c r="BN328" s="49"/>
      <c r="BO328" s="49"/>
      <c r="BP328" s="75">
        <f>+BP322/BM322-1</f>
        <v>0.1042574481133598</v>
      </c>
      <c r="BQ328" s="75">
        <f>+BQ322/BP322-1</f>
        <v>-7.0620560638391172E-2</v>
      </c>
      <c r="BR328" s="49"/>
      <c r="BT328" s="75">
        <f>+BT322/BQ322-1</f>
        <v>6.5293285107721255E-2</v>
      </c>
      <c r="BU328" s="75">
        <f>+BU322/BT322-1</f>
        <v>0.11670750789761142</v>
      </c>
      <c r="BV328" s="49"/>
      <c r="BX328" s="75">
        <f>+BX322/BU322-1</f>
        <v>6.3769035532994955E-2</v>
      </c>
      <c r="BY328" s="75">
        <f>+BY322/BX322-1</f>
        <v>3.9591410677005667E-2</v>
      </c>
      <c r="BZ328" s="49"/>
      <c r="CB328" s="75">
        <f>+CB322/BY322-1</f>
        <v>7.1266346314757811E-2</v>
      </c>
      <c r="CC328" s="75">
        <f>+CC322/CB322-1</f>
        <v>4.856058915420669E-2</v>
      </c>
      <c r="CD328" s="49"/>
      <c r="CF328" s="75">
        <f>+CF322/CC322-1</f>
        <v>8.3088579576895194E-2</v>
      </c>
      <c r="CG328" s="75">
        <f>+CG322/CF322-1</f>
        <v>1.0021615248574367E-3</v>
      </c>
      <c r="CH328" s="49"/>
      <c r="CJ328" s="75">
        <f>+CJ322/CG322-1</f>
        <v>-1.0345301427141185E-2</v>
      </c>
      <c r="CK328" s="75">
        <f>+CK322/CJ322-1</f>
        <v>-8.0592692506049946E-2</v>
      </c>
      <c r="CL328" s="49"/>
      <c r="CN328" s="75">
        <f>+CN322/CK322-1</f>
        <v>-0.14316843218053543</v>
      </c>
      <c r="CO328" s="75">
        <f>+CO322/CN322-1</f>
        <v>-2.2208233664862131E-2</v>
      </c>
      <c r="CP328" s="49"/>
      <c r="CR328" s="75">
        <f>+CR322/CO322-1</f>
        <v>2.5236268122472705E-3</v>
      </c>
      <c r="CS328" s="75">
        <f>+CS322/CR322-1</f>
        <v>5.7974364902006137E-2</v>
      </c>
      <c r="CT328" s="49"/>
      <c r="CV328" s="75">
        <f>+CV322/CS322-1</f>
        <v>0.15562785277265223</v>
      </c>
      <c r="CW328" s="75">
        <f>+CW322/CV322-1</f>
        <v>5.9939493256019105E-2</v>
      </c>
      <c r="CX328" s="49"/>
      <c r="CZ328" s="75">
        <f>+CZ322/CW322-1</f>
        <v>4.5806822461398111E-2</v>
      </c>
      <c r="DA328" s="75">
        <f>+DA322/CZ322-1</f>
        <v>3.294037375383807E-2</v>
      </c>
      <c r="DB328" s="49"/>
      <c r="DD328" s="75">
        <f>+DD322/DA322-1</f>
        <v>-1.1376146788990571E-3</v>
      </c>
      <c r="DE328" s="75">
        <f>+DE322/DD322-1</f>
        <v>-1.8681803152209908E-2</v>
      </c>
      <c r="DF328" s="49"/>
      <c r="DH328" s="75">
        <f>+DH322/DE322-1</f>
        <v>-7.6358974358973208E-3</v>
      </c>
      <c r="DI328" s="75">
        <f>+DI322/DH322-1</f>
        <v>2.0000000000000018E-2</v>
      </c>
      <c r="DJ328" s="72"/>
      <c r="DL328" s="75">
        <f>+DL322/DI322-1</f>
        <v>2.0000000000000018E-2</v>
      </c>
      <c r="DM328" s="75">
        <f>+DM322/DL322-1</f>
        <v>2.0000000000000018E-2</v>
      </c>
      <c r="DN328" s="72"/>
      <c r="DP328" s="75">
        <f>+DP322/DM322-1</f>
        <v>2.0000000000000018E-2</v>
      </c>
      <c r="DQ328" s="75">
        <f>+DQ322/DP322-1</f>
        <v>2.0000000000000018E-2</v>
      </c>
      <c r="DR328" s="72"/>
    </row>
    <row r="329" spans="1:123" s="20" customFormat="1" ht="13.8">
      <c r="A329" s="47" t="str">
        <f>+A324</f>
        <v>On demand &amp; ST deposits</v>
      </c>
      <c r="B329" s="49" t="s">
        <v>546</v>
      </c>
      <c r="BD329" s="98"/>
      <c r="BE329" s="98"/>
      <c r="BF329" s="72"/>
      <c r="BH329" s="75"/>
      <c r="BI329" s="75">
        <f>+BI324/BH324-1</f>
        <v>0.16204090609192878</v>
      </c>
      <c r="BJ329" s="49"/>
      <c r="BK329" s="49"/>
      <c r="BL329" s="75">
        <f>+BL323/BI323-1</f>
        <v>0.11183407889385921</v>
      </c>
      <c r="BM329" s="75">
        <f>+BM324/BL324-1</f>
        <v>1.6386850306625123E-2</v>
      </c>
      <c r="BN329" s="49"/>
      <c r="BO329" s="49"/>
      <c r="BP329" s="75">
        <f>+BP323/BM323-1</f>
        <v>0.149588631264024</v>
      </c>
      <c r="BQ329" s="75">
        <f>+BQ324/BP324-1</f>
        <v>2.0761058109280084E-2</v>
      </c>
      <c r="BR329" s="49"/>
      <c r="BT329" s="75">
        <f>+BT323/BQ323-1</f>
        <v>7.3570375225298967E-2</v>
      </c>
      <c r="BU329" s="75">
        <f>+BU324/BT324-1</f>
        <v>2.7599551889194496E-2</v>
      </c>
      <c r="BV329" s="49"/>
      <c r="BX329" s="75">
        <f>+BX323/BU323-1</f>
        <v>5.5810191426260536E-2</v>
      </c>
      <c r="BY329" s="75">
        <f>+BY324/BX324-1</f>
        <v>-1.5969248232805322E-2</v>
      </c>
      <c r="BZ329" s="49"/>
      <c r="CB329" s="75">
        <f>+CB323/BY323-1</f>
        <v>0.14205310167625118</v>
      </c>
      <c r="CC329" s="75">
        <f>+CC324/CB324-1</f>
        <v>-3.7241030823648269E-2</v>
      </c>
      <c r="CD329" s="49"/>
      <c r="CF329" s="75">
        <f>+CF323/CC323-1</f>
        <v>0.10870261612386556</v>
      </c>
      <c r="CG329" s="75">
        <f>+CG324/CF324-1</f>
        <v>-4.3768744970861473E-2</v>
      </c>
      <c r="CH329" s="49"/>
      <c r="CJ329" s="75">
        <f>+CJ323/CG323-1</f>
        <v>0.28557050050324828</v>
      </c>
      <c r="CK329" s="75">
        <f>+CK324/CJ324-1</f>
        <v>8.5410413676106023E-2</v>
      </c>
      <c r="CL329" s="49"/>
      <c r="CN329" s="75">
        <f>+CN323/CK323-1</f>
        <v>0.19117082533589258</v>
      </c>
      <c r="CO329" s="75">
        <f>+CO324/CN324-1</f>
        <v>0.10009378620423326</v>
      </c>
      <c r="CP329" s="49"/>
      <c r="CR329" s="75">
        <f>+CR323/CO323-1</f>
        <v>4.2442865373535588E-2</v>
      </c>
      <c r="CS329" s="75">
        <f>+CS324/CR324-1</f>
        <v>-8.0231582480281949E-2</v>
      </c>
      <c r="CT329" s="49"/>
      <c r="CV329" s="75">
        <f>+CV323/CS323-1</f>
        <v>-3.9067891077021022E-2</v>
      </c>
      <c r="CW329" s="75">
        <f>+CW324/CV324-1</f>
        <v>3.0546823663133438E-3</v>
      </c>
      <c r="CX329" s="49"/>
      <c r="CZ329" s="75">
        <f>+CZ323/CW323-1</f>
        <v>-3.7291641318895286E-2</v>
      </c>
      <c r="DA329" s="75">
        <f>+DA324/CZ324-1</f>
        <v>8.4399575302775975E-3</v>
      </c>
      <c r="DB329" s="49"/>
      <c r="DD329" s="75">
        <f>+DD323/DA323-1</f>
        <v>5.6149732620320858E-2</v>
      </c>
      <c r="DE329" s="75">
        <f>+DE324/DD324-1</f>
        <v>-1.3511657452872305E-2</v>
      </c>
      <c r="DF329" s="49"/>
      <c r="DH329" s="75">
        <f>+DH324/DE324-1</f>
        <v>-1.2500427350427334E-2</v>
      </c>
      <c r="DI329" s="75">
        <f>+DI324/DH324-1</f>
        <v>1.499999999999968E-2</v>
      </c>
      <c r="DJ329" s="72"/>
      <c r="DL329" s="75">
        <f>+DL324/DI324-1</f>
        <v>1.4999999999999902E-2</v>
      </c>
      <c r="DM329" s="75">
        <f>+DM324/DL324-1</f>
        <v>1.4999999999999902E-2</v>
      </c>
      <c r="DN329" s="72"/>
      <c r="DP329" s="75">
        <f>+DP324/DM324-1</f>
        <v>1.4999999999999902E-2</v>
      </c>
      <c r="DQ329" s="75">
        <f>+DQ324/DP324-1</f>
        <v>1.5000000000000124E-2</v>
      </c>
      <c r="DR329" s="72"/>
    </row>
    <row r="330" spans="1:123" s="20" customFormat="1" ht="13.8">
      <c r="A330" s="78" t="str">
        <f>+A325</f>
        <v>Total Deposits ex Repo's and Com Paper</v>
      </c>
      <c r="B330" s="49" t="s">
        <v>546</v>
      </c>
      <c r="BD330" s="98"/>
      <c r="BE330" s="98"/>
      <c r="BF330" s="72"/>
      <c r="BH330" s="79"/>
      <c r="BI330" s="79">
        <f>+BI325/BH325-1</f>
        <v>0.14187441626553632</v>
      </c>
      <c r="BJ330" s="49"/>
      <c r="BK330" s="49"/>
      <c r="BL330" s="79">
        <f>+BL324/BI324-1</f>
        <v>0.12952799121844127</v>
      </c>
      <c r="BM330" s="79">
        <f>+BM325/BL325-1</f>
        <v>-2.3223355731737172E-2</v>
      </c>
      <c r="BN330" s="49"/>
      <c r="BO330" s="49"/>
      <c r="BP330" s="79">
        <f>+BP324/BM324-1</f>
        <v>0.21648532805802834</v>
      </c>
      <c r="BQ330" s="79">
        <f>+BQ325/BP325-1</f>
        <v>-3.1172957173719706E-2</v>
      </c>
      <c r="BR330" s="49"/>
      <c r="BT330" s="79">
        <f>+BT324/BQ324-1</f>
        <v>4.2854866974669337E-2</v>
      </c>
      <c r="BU330" s="79">
        <f>+BU325/BT325-1</f>
        <v>7.8169931427728656E-2</v>
      </c>
      <c r="BV330" s="49"/>
      <c r="BX330" s="79">
        <f>+BX324/BU324-1</f>
        <v>-3.9593657086223977E-2</v>
      </c>
      <c r="BY330" s="79">
        <f>+BY325/BX325-1</f>
        <v>2.4545889646055974E-2</v>
      </c>
      <c r="BZ330" s="49"/>
      <c r="CB330" s="79">
        <f>+CB324/BY324-1</f>
        <v>3.7674016202186467E-2</v>
      </c>
      <c r="CC330" s="79">
        <f>+CC325/CB325-1</f>
        <v>-3.4615827067275839E-3</v>
      </c>
      <c r="CD330" s="49"/>
      <c r="CF330" s="79">
        <f>+CF324/CC324-1</f>
        <v>7.6234713693381639E-2</v>
      </c>
      <c r="CG330" s="79">
        <f>+CG325/CF325-1</f>
        <v>-6.7566257585451872E-3</v>
      </c>
      <c r="CH330" s="49"/>
      <c r="CJ330" s="79">
        <f>+CJ324/CG324-1</f>
        <v>0.17242962056303557</v>
      </c>
      <c r="CK330" s="79">
        <f>+CK325/CJ325-1</f>
        <v>1.2873239185319241E-2</v>
      </c>
      <c r="CL330" s="49"/>
      <c r="CN330" s="79">
        <f>+CN324/CK324-1</f>
        <v>8.9650335637711631E-2</v>
      </c>
      <c r="CO330" s="79">
        <f>+CO325/CN325-1</f>
        <v>6.3760920669450272E-2</v>
      </c>
      <c r="CP330" s="49"/>
      <c r="CR330" s="79">
        <f>+CR324/CO324-1</f>
        <v>-3.878171909999617E-3</v>
      </c>
      <c r="CS330" s="79">
        <f>+CS325/CR325-1</f>
        <v>-4.8842136260644042E-2</v>
      </c>
      <c r="CT330" s="49"/>
      <c r="CV330" s="79">
        <f>+CV324/CS324-1</f>
        <v>2.7331277709865098E-2</v>
      </c>
      <c r="CW330" s="79">
        <f>+CW325/CV325-1</f>
        <v>1.7301458670988756E-2</v>
      </c>
      <c r="CX330" s="49"/>
      <c r="CZ330" s="79">
        <f>+CZ324/CW324-1</f>
        <v>-1.6112183289364146E-2</v>
      </c>
      <c r="DA330" s="79">
        <f>+DA325/CZ325-1</f>
        <v>1.961002254755595E-3</v>
      </c>
      <c r="DB330" s="49"/>
      <c r="DD330" s="79">
        <f>+DD324/DA324-1</f>
        <v>3.9401834469467101E-2</v>
      </c>
      <c r="DE330" s="79">
        <f>+DE325/DD325-1</f>
        <v>-1.8746809794125352E-2</v>
      </c>
      <c r="DF330" s="49"/>
      <c r="DH330" s="79">
        <f>+DH325/DE325-1</f>
        <v>-9.8388879020062658E-3</v>
      </c>
      <c r="DI330" s="79">
        <f>+DI325/DH325-1</f>
        <v>1.7741745968630429E-2</v>
      </c>
      <c r="DJ330" s="72"/>
      <c r="DL330" s="79">
        <f>+DL325/DI325-1</f>
        <v>1.7747829593391939E-2</v>
      </c>
      <c r="DM330" s="79">
        <f>+DM325/DL325-1</f>
        <v>1.7753910255332794E-2</v>
      </c>
      <c r="DN330" s="72"/>
      <c r="DP330" s="79">
        <f>+DP325/DM325-1</f>
        <v>1.7759987883254169E-2</v>
      </c>
      <c r="DQ330" s="79">
        <f>+DQ325/DP325-1</f>
        <v>1.77660624061029E-2</v>
      </c>
      <c r="DR330" s="72"/>
    </row>
    <row r="331" spans="1:123" s="20" customFormat="1" ht="13.8">
      <c r="A331" s="47" t="s">
        <v>478</v>
      </c>
      <c r="B331" s="92"/>
      <c r="BD331" s="98"/>
      <c r="BE331" s="98"/>
      <c r="BF331" s="72"/>
      <c r="BH331" s="340">
        <f>BH77</f>
        <v>1.2468999999999999</v>
      </c>
      <c r="BI331" s="340">
        <f>BI77</f>
        <v>1.1236999999999999</v>
      </c>
      <c r="BJ331" s="92"/>
      <c r="BK331" s="92"/>
      <c r="BL331" s="340">
        <f>BL77</f>
        <v>1.0668</v>
      </c>
      <c r="BM331" s="340">
        <f>BM77</f>
        <v>1.1218999999999999</v>
      </c>
      <c r="BN331" s="92"/>
      <c r="BO331" s="92"/>
      <c r="BP331" s="340">
        <f>BP77</f>
        <v>1.0187999999999999</v>
      </c>
      <c r="BQ331" s="340">
        <f>BQ77</f>
        <v>1.1003000000000001</v>
      </c>
      <c r="BR331" s="92"/>
      <c r="BS331" s="47"/>
      <c r="BT331" s="340">
        <f>BT77</f>
        <v>1.1093</v>
      </c>
      <c r="BU331" s="340">
        <f>BU77</f>
        <v>1.0487</v>
      </c>
      <c r="BV331" s="92"/>
      <c r="BW331" s="47"/>
      <c r="BX331" s="340">
        <f>BX77</f>
        <v>1.0939000000000001</v>
      </c>
      <c r="BY331" s="340">
        <f>BY77</f>
        <v>1.0867</v>
      </c>
      <c r="BZ331" s="92"/>
      <c r="CB331" s="340">
        <f>CB77</f>
        <v>1.0649999999999999</v>
      </c>
      <c r="CC331" s="340">
        <f>CC77</f>
        <v>1.0918000000000001</v>
      </c>
      <c r="CD331" s="92"/>
      <c r="CF331" s="340">
        <f>CF77</f>
        <v>1.0436000000000001</v>
      </c>
      <c r="CG331" s="340">
        <f>CG77</f>
        <v>1.0793999999999999</v>
      </c>
      <c r="CH331" s="92"/>
      <c r="CJ331" s="340">
        <f>CJ77</f>
        <v>1.0268999999999999</v>
      </c>
      <c r="CK331" s="340">
        <f>CK77</f>
        <v>1.0802</v>
      </c>
      <c r="CL331" s="92"/>
      <c r="CN331" s="340">
        <f>CN77</f>
        <v>1.0893999999999999</v>
      </c>
      <c r="CO331" s="340">
        <f>CO77</f>
        <v>1.0472999999999999</v>
      </c>
      <c r="CP331" s="92"/>
      <c r="CR331" s="340">
        <f>CR77</f>
        <v>1.0760000000000001</v>
      </c>
      <c r="CS331" s="340">
        <f>CS77</f>
        <v>1.1349</v>
      </c>
      <c r="CT331" s="92"/>
      <c r="CV331" s="340">
        <f>CV77</f>
        <v>1.0679000000000001</v>
      </c>
      <c r="CW331" s="340">
        <f>CW77</f>
        <v>1.0742</v>
      </c>
      <c r="CX331" s="92"/>
      <c r="CZ331" s="340">
        <f>CZ77</f>
        <v>1.0903</v>
      </c>
      <c r="DA331" s="340">
        <f>DA77</f>
        <v>1.0882000000000001</v>
      </c>
      <c r="DB331" s="92"/>
      <c r="DD331" s="340">
        <f>DD77</f>
        <v>1.1000000000000001</v>
      </c>
      <c r="DE331" s="340">
        <f>DE77</f>
        <v>1.1383000000000001</v>
      </c>
      <c r="DF331" s="92"/>
      <c r="DH331" s="340">
        <f>DH77</f>
        <v>1.17</v>
      </c>
      <c r="DI331" s="340">
        <f>DI77</f>
        <v>1.17</v>
      </c>
      <c r="DJ331" s="72"/>
      <c r="DL331" s="340">
        <f>DL77</f>
        <v>1.17</v>
      </c>
      <c r="DM331" s="340">
        <f>DM77</f>
        <v>1.17</v>
      </c>
      <c r="DN331" s="72"/>
      <c r="DP331" s="340">
        <f>DP77</f>
        <v>1.17</v>
      </c>
      <c r="DQ331" s="340">
        <f>DQ77</f>
        <v>1.17</v>
      </c>
      <c r="DR331" s="72"/>
    </row>
    <row r="332" spans="1:123" s="20" customFormat="1" ht="13.8">
      <c r="A332" s="21" t="str">
        <f>A320</f>
        <v>New Zealand</v>
      </c>
      <c r="B332" s="49"/>
      <c r="BD332" s="98"/>
      <c r="BE332" s="98"/>
      <c r="BF332" s="72"/>
      <c r="BH332" s="98"/>
      <c r="BI332" s="98"/>
      <c r="BJ332" s="72"/>
      <c r="BK332" s="49"/>
      <c r="BL332" s="98"/>
      <c r="BM332" s="98"/>
      <c r="BN332" s="72"/>
      <c r="BO332" s="49"/>
      <c r="BP332" s="98"/>
      <c r="BQ332" s="98"/>
      <c r="BR332" s="72"/>
      <c r="BT332" s="98"/>
      <c r="BU332" s="98"/>
      <c r="BV332" s="72"/>
      <c r="BX332" s="98"/>
      <c r="BY332" s="98"/>
      <c r="BZ332" s="72"/>
      <c r="CB332" s="98"/>
      <c r="CC332" s="98"/>
      <c r="CD332" s="72"/>
      <c r="CF332" s="98"/>
      <c r="CG332" s="98"/>
      <c r="CH332" s="72"/>
      <c r="CJ332" s="98"/>
      <c r="CK332" s="98"/>
      <c r="CL332" s="72"/>
      <c r="CN332" s="98"/>
      <c r="CO332" s="98"/>
      <c r="CP332" s="72"/>
      <c r="CR332" s="98"/>
      <c r="CS332" s="98"/>
      <c r="CT332" s="72"/>
      <c r="CV332" s="98"/>
      <c r="CW332" s="98"/>
      <c r="CX332" s="72"/>
      <c r="CZ332" s="98"/>
      <c r="DA332" s="98"/>
      <c r="DB332" s="72"/>
      <c r="DD332" s="98"/>
      <c r="DE332" s="98"/>
      <c r="DF332" s="72"/>
      <c r="DH332" s="72"/>
      <c r="DI332" s="72"/>
      <c r="DJ332" s="72"/>
      <c r="DL332" s="72"/>
      <c r="DM332" s="72"/>
      <c r="DN332" s="72"/>
      <c r="DP332" s="72"/>
      <c r="DQ332" s="72"/>
      <c r="DR332" s="72"/>
    </row>
    <row r="333" spans="1:123" s="20" customFormat="1" ht="13.8">
      <c r="A333" s="20" t="str">
        <f>A321</f>
        <v>CoD</v>
      </c>
      <c r="B333" s="49" t="s">
        <v>701</v>
      </c>
      <c r="BD333" s="98"/>
      <c r="BE333" s="98"/>
      <c r="BF333" s="72"/>
      <c r="BH333" s="65">
        <f t="shared" ref="BH333:BI337" si="557">+BH321*BH$331</f>
        <v>1624.7106999999999</v>
      </c>
      <c r="BI333" s="65">
        <f t="shared" si="557"/>
        <v>2363.1410999999998</v>
      </c>
      <c r="BJ333" s="65">
        <f>BI333</f>
        <v>2363.1410999999998</v>
      </c>
      <c r="BK333" s="49"/>
      <c r="BL333" s="65">
        <f t="shared" ref="BL333:BM337" si="558">+BL321*BL$331</f>
        <v>1604.4672</v>
      </c>
      <c r="BM333" s="65">
        <f t="shared" si="558"/>
        <v>1375.4494</v>
      </c>
      <c r="BN333" s="65">
        <f>BM333</f>
        <v>1375.4494</v>
      </c>
      <c r="BO333" s="49"/>
      <c r="BP333" s="65">
        <f t="shared" ref="BP333:BQ337" si="559">+BP321*BP$331</f>
        <v>1461.9779999999998</v>
      </c>
      <c r="BQ333" s="65">
        <f t="shared" si="559"/>
        <v>744.90309999999999</v>
      </c>
      <c r="BR333" s="65">
        <f>BQ333</f>
        <v>744.90309999999999</v>
      </c>
      <c r="BT333" s="65">
        <f t="shared" ref="BT333:BU337" si="560">+BT321*BT$331</f>
        <v>1858.0774999999999</v>
      </c>
      <c r="BU333" s="65">
        <f t="shared" si="560"/>
        <v>2236.8770999999997</v>
      </c>
      <c r="BV333" s="65">
        <f>BU333</f>
        <v>2236.8770999999997</v>
      </c>
      <c r="BX333" s="65">
        <f t="shared" ref="BX333:BY337" si="561">+BX321*BX$331</f>
        <v>1010.7636000000001</v>
      </c>
      <c r="BY333" s="65">
        <f t="shared" si="561"/>
        <v>1915.8521000000001</v>
      </c>
      <c r="BZ333" s="65">
        <f>BY333</f>
        <v>1915.8521000000001</v>
      </c>
      <c r="CB333" s="65">
        <f t="shared" ref="CB333:CC337" si="562">+CB321*CB$331</f>
        <v>2020.3049999999998</v>
      </c>
      <c r="CC333" s="65">
        <f t="shared" si="562"/>
        <v>909.46940000000006</v>
      </c>
      <c r="CD333" s="65">
        <f>CC333</f>
        <v>909.46940000000006</v>
      </c>
      <c r="CF333" s="65">
        <f t="shared" ref="CF333:CG337" si="563">+CF321*CF$331</f>
        <v>912.10640000000012</v>
      </c>
      <c r="CG333" s="65">
        <f t="shared" si="563"/>
        <v>1484.175</v>
      </c>
      <c r="CH333" s="65">
        <f>CG333</f>
        <v>1484.175</v>
      </c>
      <c r="CJ333" s="65">
        <f t="shared" ref="CJ333:CK337" si="564">+CJ321*CJ$331</f>
        <v>1695.4118999999998</v>
      </c>
      <c r="CK333" s="65">
        <f t="shared" si="564"/>
        <v>1782.3300000000002</v>
      </c>
      <c r="CL333" s="65">
        <f>CK333</f>
        <v>1782.3300000000002</v>
      </c>
      <c r="CN333" s="65">
        <f t="shared" ref="CN333:CO333" si="565">+CN321*CN$331</f>
        <v>1407.5047999999999</v>
      </c>
      <c r="CO333" s="65">
        <f t="shared" si="565"/>
        <v>1874.6669999999999</v>
      </c>
      <c r="CP333" s="65">
        <f>CO333</f>
        <v>1874.6669999999999</v>
      </c>
      <c r="CQ333" s="75">
        <f>+CP333/CL333-1</f>
        <v>5.1806904445304669E-2</v>
      </c>
      <c r="CR333" s="65">
        <f t="shared" ref="CR333:CS333" si="566">+CR321*CR$331</f>
        <v>2171.3679999999999</v>
      </c>
      <c r="CS333" s="65">
        <f t="shared" si="566"/>
        <v>1638.7955999999999</v>
      </c>
      <c r="CT333" s="65">
        <f>CS333</f>
        <v>1638.7955999999999</v>
      </c>
      <c r="CU333" s="75">
        <f>+CT333/CP333-1</f>
        <v>-0.12582042570760565</v>
      </c>
      <c r="CV333" s="65">
        <f t="shared" ref="CV333:CW333" si="567">+CV321*CV$331</f>
        <v>1486.5168000000001</v>
      </c>
      <c r="CW333" s="65">
        <f t="shared" si="567"/>
        <v>2327.7914000000001</v>
      </c>
      <c r="CX333" s="65">
        <f>CW333</f>
        <v>2327.7914000000001</v>
      </c>
      <c r="CY333" s="75">
        <f>+CX333/CT333-1</f>
        <v>0.42042814857447763</v>
      </c>
      <c r="CZ333" s="65">
        <f t="shared" ref="CZ333:DA333" si="568">+CZ321*CZ$331</f>
        <v>1962.5400000000002</v>
      </c>
      <c r="DA333" s="65">
        <f t="shared" si="568"/>
        <v>1174.1678000000002</v>
      </c>
      <c r="DB333" s="65">
        <f>DA333</f>
        <v>1174.1678000000002</v>
      </c>
      <c r="DC333" s="75">
        <f>+DB333/CX333-1</f>
        <v>-0.49558719050169175</v>
      </c>
      <c r="DD333" s="65">
        <f t="shared" ref="DD333:DE333" si="569">+DD321*DD$331</f>
        <v>1334.3000000000002</v>
      </c>
      <c r="DE333" s="65">
        <f t="shared" si="569"/>
        <v>881.04420000000005</v>
      </c>
      <c r="DF333" s="65">
        <f>DE333</f>
        <v>881.04420000000005</v>
      </c>
      <c r="DG333" s="75">
        <f>+DF333/DB333-1</f>
        <v>-0.24964370509904976</v>
      </c>
      <c r="DH333" s="65">
        <f>+DE333*(1+DH340)</f>
        <v>898.66508400000009</v>
      </c>
      <c r="DI333" s="65">
        <f>+DH333*(1+DI340)</f>
        <v>916.63838568000006</v>
      </c>
      <c r="DJ333" s="65">
        <f>DI333</f>
        <v>916.63838568000006</v>
      </c>
      <c r="DK333" s="75">
        <f>+DJ333/DF333-1</f>
        <v>4.0399999999999991E-2</v>
      </c>
      <c r="DL333" s="65">
        <f>+DI333*(1+DL340)</f>
        <v>934.97115339360005</v>
      </c>
      <c r="DM333" s="65">
        <f>+DL333*(1+DM340)</f>
        <v>953.67057646147202</v>
      </c>
      <c r="DN333" s="65">
        <f>DM333</f>
        <v>953.67057646147202</v>
      </c>
      <c r="DO333" s="75">
        <f>+DN333/DJ333-1</f>
        <v>4.0399999999999991E-2</v>
      </c>
      <c r="DP333" s="65">
        <f>+DM333*(1+DP340)</f>
        <v>972.7439879907015</v>
      </c>
      <c r="DQ333" s="65">
        <f>+DP333*(1+DQ340)</f>
        <v>992.19886775051555</v>
      </c>
      <c r="DR333" s="65">
        <f>DQ333</f>
        <v>992.19886775051555</v>
      </c>
      <c r="DS333" s="75">
        <f>+DR333/DN333-1</f>
        <v>4.0399999999999991E-2</v>
      </c>
    </row>
    <row r="334" spans="1:123" s="20" customFormat="1" ht="13.8">
      <c r="A334" s="20" t="str">
        <f>A322</f>
        <v>Term Deposits</v>
      </c>
      <c r="B334" s="49" t="s">
        <v>701</v>
      </c>
      <c r="BD334" s="98"/>
      <c r="BE334" s="98"/>
      <c r="BF334" s="72"/>
      <c r="BH334" s="65">
        <f t="shared" si="557"/>
        <v>33732.385699999999</v>
      </c>
      <c r="BI334" s="65">
        <f t="shared" si="557"/>
        <v>33862.699499999995</v>
      </c>
      <c r="BJ334" s="65">
        <f>BI334</f>
        <v>33862.699499999995</v>
      </c>
      <c r="BK334" s="49"/>
      <c r="BL334" s="65">
        <f t="shared" si="558"/>
        <v>34869.424800000001</v>
      </c>
      <c r="BM334" s="65">
        <f t="shared" si="558"/>
        <v>34757.583899999998</v>
      </c>
      <c r="BN334" s="65">
        <f>BM334</f>
        <v>34757.583899999998</v>
      </c>
      <c r="BO334" s="49"/>
      <c r="BP334" s="65">
        <f t="shared" si="559"/>
        <v>34854.166799999999</v>
      </c>
      <c r="BQ334" s="65">
        <f t="shared" si="559"/>
        <v>34984.038500000002</v>
      </c>
      <c r="BR334" s="65">
        <f>BQ334</f>
        <v>34984.038500000002</v>
      </c>
      <c r="BT334" s="65">
        <f t="shared" si="560"/>
        <v>37573.100299999998</v>
      </c>
      <c r="BU334" s="65">
        <f t="shared" si="560"/>
        <v>39666.0288</v>
      </c>
      <c r="BV334" s="65">
        <f>BU334</f>
        <v>39666.0288</v>
      </c>
      <c r="BX334" s="65">
        <f t="shared" si="561"/>
        <v>44014.160400000001</v>
      </c>
      <c r="BY334" s="65">
        <f t="shared" si="561"/>
        <v>45455.5743</v>
      </c>
      <c r="BZ334" s="65">
        <f>BY334</f>
        <v>45455.5743</v>
      </c>
      <c r="CB334" s="65">
        <f t="shared" si="562"/>
        <v>47722.649999999994</v>
      </c>
      <c r="CC334" s="65">
        <f t="shared" si="562"/>
        <v>51299.314800000007</v>
      </c>
      <c r="CD334" s="65">
        <f>CC334</f>
        <v>51299.314800000007</v>
      </c>
      <c r="CF334" s="65">
        <f t="shared" si="563"/>
        <v>53108.804000000004</v>
      </c>
      <c r="CG334" s="65">
        <f t="shared" si="563"/>
        <v>54985.715399999994</v>
      </c>
      <c r="CH334" s="65">
        <f>CG334</f>
        <v>54985.715399999994</v>
      </c>
      <c r="CJ334" s="65">
        <f t="shared" si="564"/>
        <v>51770.136599999998</v>
      </c>
      <c r="CK334" s="65">
        <f t="shared" si="564"/>
        <v>50068.350200000001</v>
      </c>
      <c r="CL334" s="65">
        <f>CK334</f>
        <v>50068.350200000001</v>
      </c>
      <c r="CN334" s="65">
        <f t="shared" ref="CN334:CO334" si="570">+CN322*CN$331</f>
        <v>43265.520999999993</v>
      </c>
      <c r="CO334" s="65">
        <f t="shared" si="570"/>
        <v>40669.800899999995</v>
      </c>
      <c r="CP334" s="65">
        <f>CO334</f>
        <v>40669.800899999995</v>
      </c>
      <c r="CQ334" s="75">
        <f>+CP334/CL334-1</f>
        <v>-0.18771437969210347</v>
      </c>
      <c r="CR334" s="65">
        <f t="shared" ref="CR334:CS334" si="571">+CR322*CR$331</f>
        <v>41889.756000000001</v>
      </c>
      <c r="CS334" s="65">
        <f t="shared" si="571"/>
        <v>46744.261200000001</v>
      </c>
      <c r="CT334" s="65">
        <f>CS334</f>
        <v>46744.261200000001</v>
      </c>
      <c r="CU334" s="75">
        <f>+CT334/CP334-1</f>
        <v>0.14936046318338403</v>
      </c>
      <c r="CV334" s="65">
        <f t="shared" ref="CV334:CW334" si="572">+CV322*CV$331</f>
        <v>50829.904200000004</v>
      </c>
      <c r="CW334" s="65">
        <f t="shared" si="572"/>
        <v>54194.464200000002</v>
      </c>
      <c r="CX334" s="65">
        <f>CW334</f>
        <v>54194.464200000002</v>
      </c>
      <c r="CY334" s="75">
        <f>+CX334/CT334-1</f>
        <v>0.15938219599029635</v>
      </c>
      <c r="CZ334" s="65">
        <f t="shared" ref="CZ334:DA334" si="573">+CZ322*CZ$331</f>
        <v>57526.408600000002</v>
      </c>
      <c r="DA334" s="65">
        <f t="shared" si="573"/>
        <v>59306.9</v>
      </c>
      <c r="DB334" s="65">
        <f>DA334</f>
        <v>59306.9</v>
      </c>
      <c r="DC334" s="75">
        <f>+DB334/CX334-1</f>
        <v>9.4335018815445704E-2</v>
      </c>
      <c r="DD334" s="65">
        <f t="shared" ref="DD334:DE334" si="574">+DD322*DD$331</f>
        <v>59881.8</v>
      </c>
      <c r="DE334" s="65">
        <f t="shared" si="574"/>
        <v>60809.124300000003</v>
      </c>
      <c r="DF334" s="65">
        <f>DE334</f>
        <v>60809.124300000003</v>
      </c>
      <c r="DG334" s="75">
        <f>+DF334/DB334-1</f>
        <v>2.5329671589646496E-2</v>
      </c>
      <c r="DH334" s="65">
        <f>+DE334*(1+DH341)</f>
        <v>62025.306786000001</v>
      </c>
      <c r="DI334" s="65">
        <f>+DH334*(1+DI341)</f>
        <v>63265.812921720004</v>
      </c>
      <c r="DJ334" s="65">
        <f>DI334</f>
        <v>63265.812921720004</v>
      </c>
      <c r="DK334" s="75">
        <f>+DJ334/DF334-1</f>
        <v>4.0399999999999991E-2</v>
      </c>
      <c r="DL334" s="65">
        <f>+DI334*(1+DL341)</f>
        <v>64531.129180154407</v>
      </c>
      <c r="DM334" s="65">
        <f>+DL334*(1+DM341)</f>
        <v>65821.751763757493</v>
      </c>
      <c r="DN334" s="65">
        <f>DM334</f>
        <v>65821.751763757493</v>
      </c>
      <c r="DO334" s="75">
        <f>+DN334/DJ334-1</f>
        <v>4.0399999999999991E-2</v>
      </c>
      <c r="DP334" s="65">
        <f>+DM334*(1+DP341)</f>
        <v>67138.186799032643</v>
      </c>
      <c r="DQ334" s="65">
        <f>+DP334*(1+DQ341)</f>
        <v>68480.950535013297</v>
      </c>
      <c r="DR334" s="65">
        <f>DQ334</f>
        <v>68480.950535013297</v>
      </c>
      <c r="DS334" s="75">
        <f>+DR334/DN334-1</f>
        <v>4.0399999999999991E-2</v>
      </c>
    </row>
    <row r="335" spans="1:123" s="20" customFormat="1" ht="13.8">
      <c r="A335" s="20" t="s">
        <v>577</v>
      </c>
      <c r="B335" s="49" t="s">
        <v>701</v>
      </c>
      <c r="BD335" s="98"/>
      <c r="BE335" s="98"/>
      <c r="BF335" s="72"/>
      <c r="BH335" s="65">
        <f t="shared" si="557"/>
        <v>5717.0364999999993</v>
      </c>
      <c r="BI335" s="65">
        <f t="shared" si="557"/>
        <v>5526.3565999999992</v>
      </c>
      <c r="BJ335" s="65">
        <f>BI335</f>
        <v>5526.3565999999992</v>
      </c>
      <c r="BK335" s="49"/>
      <c r="BL335" s="65">
        <f t="shared" si="558"/>
        <v>5833.2623999999996</v>
      </c>
      <c r="BM335" s="65">
        <f t="shared" si="558"/>
        <v>5999.9211999999998</v>
      </c>
      <c r="BN335" s="65">
        <f>BM335</f>
        <v>5999.9211999999998</v>
      </c>
      <c r="BO335" s="49"/>
      <c r="BP335" s="65">
        <f t="shared" si="559"/>
        <v>6263.5823999999993</v>
      </c>
      <c r="BQ335" s="65">
        <f t="shared" si="559"/>
        <v>6715.1309000000001</v>
      </c>
      <c r="BR335" s="65">
        <f>BQ335</f>
        <v>6715.1309000000001</v>
      </c>
      <c r="BT335" s="65">
        <f t="shared" si="560"/>
        <v>7268.1336000000001</v>
      </c>
      <c r="BU335" s="65">
        <f t="shared" si="560"/>
        <v>7779.2565999999997</v>
      </c>
      <c r="BV335" s="65">
        <f>BU335</f>
        <v>7779.2565999999997</v>
      </c>
      <c r="BX335" s="65">
        <f t="shared" si="561"/>
        <v>8567.4248000000007</v>
      </c>
      <c r="BY335" s="65">
        <f t="shared" si="561"/>
        <v>8881.5990999999995</v>
      </c>
      <c r="BZ335" s="65">
        <f>BY335</f>
        <v>8881.5990999999995</v>
      </c>
      <c r="CB335" s="65">
        <f t="shared" si="562"/>
        <v>9940.7099999999991</v>
      </c>
      <c r="CC335" s="65">
        <f t="shared" si="562"/>
        <v>10224.707</v>
      </c>
      <c r="CD335" s="65">
        <f>CC335</f>
        <v>10224.707</v>
      </c>
      <c r="CF335" s="65">
        <f t="shared" si="563"/>
        <v>10835.6988</v>
      </c>
      <c r="CG335" s="65">
        <f t="shared" si="563"/>
        <v>11796.762599999998</v>
      </c>
      <c r="CH335" s="65">
        <f>CG335</f>
        <v>11796.762599999998</v>
      </c>
      <c r="CJ335" s="65">
        <f t="shared" si="564"/>
        <v>14427.945</v>
      </c>
      <c r="CK335" s="65">
        <f t="shared" si="564"/>
        <v>16883.526000000002</v>
      </c>
      <c r="CL335" s="65">
        <f>CK335</f>
        <v>16883.526000000002</v>
      </c>
      <c r="CN335" s="65">
        <f t="shared" ref="CN335:CO335" si="575">+CN323*CN$331</f>
        <v>20282.449199999999</v>
      </c>
      <c r="CO335" s="65">
        <f t="shared" si="575"/>
        <v>21813.164399999998</v>
      </c>
      <c r="CP335" s="65">
        <f>CO335</f>
        <v>21813.164399999998</v>
      </c>
      <c r="CQ335" s="75">
        <f t="shared" ref="CQ335:CQ336" si="576">+CP335/CL335-1</f>
        <v>0.29197919913174508</v>
      </c>
      <c r="CR335" s="65">
        <f t="shared" ref="CR335:CS335" si="577">+CR323*CR$331</f>
        <v>23362.112000000001</v>
      </c>
      <c r="CS335" s="65">
        <f t="shared" si="577"/>
        <v>21380.381099999999</v>
      </c>
      <c r="CT335" s="65">
        <f>CS335</f>
        <v>21380.381099999999</v>
      </c>
      <c r="CU335" s="75">
        <f t="shared" ref="CU335:CU336" si="578">+CT335/CP335-1</f>
        <v>-1.9840463862272006E-2</v>
      </c>
      <c r="CV335" s="65">
        <f t="shared" ref="CV335:CW335" si="579">+CV323*CV$331</f>
        <v>19332.1937</v>
      </c>
      <c r="CW335" s="65">
        <f t="shared" si="579"/>
        <v>17657.6996</v>
      </c>
      <c r="CX335" s="65">
        <f>CW335</f>
        <v>17657.6996</v>
      </c>
      <c r="CY335" s="75">
        <f t="shared" ref="CY335:CY336" si="580">+CX335/CT335-1</f>
        <v>-0.17411670458951733</v>
      </c>
      <c r="CZ335" s="65">
        <f t="shared" ref="CZ335:DA335" si="581">+CZ323*CZ$331</f>
        <v>17253.997500000001</v>
      </c>
      <c r="DA335" s="65">
        <f t="shared" si="581"/>
        <v>15872.485200000001</v>
      </c>
      <c r="DB335" s="65">
        <f>DA335</f>
        <v>15872.485200000001</v>
      </c>
      <c r="DC335" s="75">
        <f t="shared" ref="DC335:DC336" si="582">+DB335/CX335-1</f>
        <v>-0.10110118760883202</v>
      </c>
      <c r="DD335" s="65">
        <f t="shared" ref="DD335:DE335" si="583">+DD323*DD$331</f>
        <v>16945.5</v>
      </c>
      <c r="DE335" s="65">
        <f t="shared" si="583"/>
        <v>17329.479200000002</v>
      </c>
      <c r="DF335" s="65">
        <f>DE335</f>
        <v>17329.479200000002</v>
      </c>
      <c r="DG335" s="75">
        <f t="shared" ref="DG335:DG336" si="584">+DF335/DB335-1</f>
        <v>9.1793690883391177E-2</v>
      </c>
      <c r="DH335" s="65">
        <f>+DE335*(1+DH342)</f>
        <v>17676.068784000003</v>
      </c>
      <c r="DI335" s="65">
        <f>+DH335*(1+DI342)</f>
        <v>18029.590159680003</v>
      </c>
      <c r="DJ335" s="65">
        <f>DI335</f>
        <v>18029.590159680003</v>
      </c>
      <c r="DK335" s="75">
        <f t="shared" ref="DK335:DK336" si="585">+DJ335/DF335-1</f>
        <v>4.0399999999999991E-2</v>
      </c>
      <c r="DL335" s="65">
        <f>+DI335*(1+DL342)</f>
        <v>18390.181962873605</v>
      </c>
      <c r="DM335" s="65">
        <f>+DL335*(1+DM342)</f>
        <v>18757.985602131077</v>
      </c>
      <c r="DN335" s="65">
        <f>DM335</f>
        <v>18757.985602131077</v>
      </c>
      <c r="DO335" s="75">
        <f t="shared" ref="DO335:DO336" si="586">+DN335/DJ335-1</f>
        <v>4.0399999999999991E-2</v>
      </c>
      <c r="DP335" s="65">
        <f>+DM335*(1+DP342)</f>
        <v>19133.1453141737</v>
      </c>
      <c r="DQ335" s="65">
        <f>+DP335*(1+DQ342)</f>
        <v>19515.808220457173</v>
      </c>
      <c r="DR335" s="65">
        <f>DQ335</f>
        <v>19515.808220457173</v>
      </c>
      <c r="DS335" s="75">
        <f t="shared" ref="DS335:DS336" si="587">+DR335/DN335-1</f>
        <v>4.0399999999999991E-2</v>
      </c>
    </row>
    <row r="336" spans="1:123" s="20" customFormat="1" ht="13.8">
      <c r="A336" s="20" t="str">
        <f>A324</f>
        <v>On demand &amp; ST deposits</v>
      </c>
      <c r="B336" s="49" t="s">
        <v>701</v>
      </c>
      <c r="BD336" s="98"/>
      <c r="BE336" s="98"/>
      <c r="BF336" s="72"/>
      <c r="BH336" s="65">
        <f t="shared" si="557"/>
        <v>28348.271499999999</v>
      </c>
      <c r="BI336" s="65">
        <f t="shared" si="557"/>
        <v>29687.030299999999</v>
      </c>
      <c r="BJ336" s="65">
        <f>BI336</f>
        <v>29687.030299999999</v>
      </c>
      <c r="BK336" s="49"/>
      <c r="BL336" s="65">
        <f t="shared" si="558"/>
        <v>31834.378799999999</v>
      </c>
      <c r="BM336" s="65">
        <f t="shared" si="558"/>
        <v>34027.226999999999</v>
      </c>
      <c r="BN336" s="65">
        <f>BM336</f>
        <v>34027.226999999999</v>
      </c>
      <c r="BO336" s="49"/>
      <c r="BP336" s="65">
        <f t="shared" si="559"/>
        <v>37589.644799999995</v>
      </c>
      <c r="BQ336" s="65">
        <f t="shared" si="559"/>
        <v>41439.498599999999</v>
      </c>
      <c r="BR336" s="65">
        <f>BQ336</f>
        <v>41439.498599999999</v>
      </c>
      <c r="BT336" s="65">
        <f t="shared" si="560"/>
        <v>43568.866799999996</v>
      </c>
      <c r="BU336" s="65">
        <f t="shared" si="560"/>
        <v>42325.531999999999</v>
      </c>
      <c r="BV336" s="65">
        <f>BU336</f>
        <v>42325.531999999999</v>
      </c>
      <c r="BX336" s="65">
        <f t="shared" si="561"/>
        <v>42401.751800000005</v>
      </c>
      <c r="BY336" s="65">
        <f t="shared" si="561"/>
        <v>41449.998099999997</v>
      </c>
      <c r="BZ336" s="65">
        <f>BY336</f>
        <v>41449.998099999997</v>
      </c>
      <c r="CB336" s="65">
        <f t="shared" si="562"/>
        <v>42152.7</v>
      </c>
      <c r="CC336" s="65">
        <f t="shared" si="562"/>
        <v>41604.130800000006</v>
      </c>
      <c r="CD336" s="65">
        <f>CC336</f>
        <v>41604.130800000006</v>
      </c>
      <c r="CF336" s="65">
        <f t="shared" si="563"/>
        <v>42799.079600000005</v>
      </c>
      <c r="CG336" s="65">
        <f t="shared" si="563"/>
        <v>42329.750399999997</v>
      </c>
      <c r="CH336" s="65">
        <f>CG336</f>
        <v>42329.750399999997</v>
      </c>
      <c r="CJ336" s="65">
        <f t="shared" si="564"/>
        <v>47214.808199999999</v>
      </c>
      <c r="CK336" s="65">
        <f t="shared" si="564"/>
        <v>53907.381000000001</v>
      </c>
      <c r="CL336" s="65">
        <f>CK336</f>
        <v>53907.381000000001</v>
      </c>
      <c r="CN336" s="65">
        <f t="shared" ref="CN336:CO336" si="588">+CN324*CN$331</f>
        <v>59240.482599999996</v>
      </c>
      <c r="CO336" s="65">
        <f t="shared" si="588"/>
        <v>62651.580599999994</v>
      </c>
      <c r="CP336" s="65">
        <f>CO336</f>
        <v>62651.580599999994</v>
      </c>
      <c r="CQ336" s="75">
        <f t="shared" si="576"/>
        <v>0.16220783569507846</v>
      </c>
      <c r="CR336" s="65">
        <f t="shared" ref="CR336:CS336" si="589">+CR324*CR$331</f>
        <v>64118.840000000004</v>
      </c>
      <c r="CS336" s="65">
        <f t="shared" si="589"/>
        <v>62202.734100000001</v>
      </c>
      <c r="CT336" s="65">
        <f>CS336</f>
        <v>62202.734100000001</v>
      </c>
      <c r="CU336" s="75">
        <f t="shared" si="578"/>
        <v>-7.1641688158781136E-3</v>
      </c>
      <c r="CV336" s="65">
        <f t="shared" ref="CV336:CW336" si="590">+CV324*CV$331</f>
        <v>60130.245300000002</v>
      </c>
      <c r="CW336" s="65">
        <f t="shared" si="590"/>
        <v>60669.741800000003</v>
      </c>
      <c r="CX336" s="65">
        <f>CW336</f>
        <v>60669.741800000003</v>
      </c>
      <c r="CY336" s="75">
        <f t="shared" si="580"/>
        <v>-2.4645095142208473E-2</v>
      </c>
      <c r="CZ336" s="65">
        <f t="shared" ref="CZ336:DA336" si="591">+CZ324*CZ$331</f>
        <v>60586.880700000002</v>
      </c>
      <c r="DA336" s="65">
        <f t="shared" si="591"/>
        <v>60980.551600000006</v>
      </c>
      <c r="DB336" s="65">
        <f>DA336</f>
        <v>60980.551600000006</v>
      </c>
      <c r="DC336" s="75">
        <f t="shared" si="582"/>
        <v>5.1229787828106499E-3</v>
      </c>
      <c r="DD336" s="65">
        <f t="shared" ref="DD336:DE336" si="592">+DD324*DD$331</f>
        <v>64070.600000000006</v>
      </c>
      <c r="DE336" s="65">
        <f t="shared" si="592"/>
        <v>65405.579700000002</v>
      </c>
      <c r="DF336" s="65">
        <f>DE336</f>
        <v>65405.579700000002</v>
      </c>
      <c r="DG336" s="75">
        <f t="shared" si="584"/>
        <v>7.2564579753653602E-2</v>
      </c>
      <c r="DH336" s="65">
        <f>+DE336*(1+DH343)</f>
        <v>66386.6633955</v>
      </c>
      <c r="DI336" s="65">
        <f>+DH336*(1+DI343)</f>
        <v>67382.463346432487</v>
      </c>
      <c r="DJ336" s="65">
        <f>DI336</f>
        <v>67382.463346432487</v>
      </c>
      <c r="DK336" s="75">
        <f t="shared" si="585"/>
        <v>3.0224999999999724E-2</v>
      </c>
      <c r="DL336" s="65">
        <f>+DI336*(1+DL343)</f>
        <v>68393.200296628973</v>
      </c>
      <c r="DM336" s="65">
        <f>+DL336*(1+DM343)</f>
        <v>69419.098301078397</v>
      </c>
      <c r="DN336" s="65">
        <f>DM336</f>
        <v>69419.098301078397</v>
      </c>
      <c r="DO336" s="75">
        <f t="shared" si="586"/>
        <v>3.0224999999999724E-2</v>
      </c>
      <c r="DP336" s="65">
        <f>+DM336*(1+DP343)</f>
        <v>70460.384775594561</v>
      </c>
      <c r="DQ336" s="65">
        <f>+DP336*(1+DQ343)</f>
        <v>71517.290547228476</v>
      </c>
      <c r="DR336" s="65">
        <f>DQ336</f>
        <v>71517.290547228476</v>
      </c>
      <c r="DS336" s="75">
        <f t="shared" si="587"/>
        <v>3.0224999999999724E-2</v>
      </c>
    </row>
    <row r="337" spans="1:126" s="20" customFormat="1" ht="13.8">
      <c r="A337" s="21" t="str">
        <f>A325</f>
        <v>Total Deposits ex Repo's and Com Paper</v>
      </c>
      <c r="B337" s="27" t="s">
        <v>701</v>
      </c>
      <c r="BD337" s="98"/>
      <c r="BE337" s="98"/>
      <c r="BF337" s="72"/>
      <c r="BH337" s="72">
        <f t="shared" si="557"/>
        <v>69422.404399999999</v>
      </c>
      <c r="BI337" s="72">
        <f t="shared" si="557"/>
        <v>71439.227499999994</v>
      </c>
      <c r="BJ337" s="72">
        <f>SUM(BJ333:BJ336)</f>
        <v>71439.227499999994</v>
      </c>
      <c r="BK337" s="27"/>
      <c r="BL337" s="72">
        <f t="shared" si="558"/>
        <v>74141.533199999991</v>
      </c>
      <c r="BM337" s="72">
        <f t="shared" si="558"/>
        <v>76160.181499999992</v>
      </c>
      <c r="BN337" s="72">
        <f>SUM(BN333:BN336)</f>
        <v>76160.181499999992</v>
      </c>
      <c r="BO337" s="27"/>
      <c r="BP337" s="72">
        <f t="shared" si="559"/>
        <v>80169.371999999988</v>
      </c>
      <c r="BQ337" s="72">
        <f t="shared" si="559"/>
        <v>83883.571100000001</v>
      </c>
      <c r="BR337" s="72">
        <f>SUM(BR333:BR336)</f>
        <v>83883.571100000001</v>
      </c>
      <c r="BT337" s="72">
        <f t="shared" si="560"/>
        <v>90268.178199999995</v>
      </c>
      <c r="BU337" s="72">
        <f t="shared" si="560"/>
        <v>92007.694499999998</v>
      </c>
      <c r="BV337" s="72">
        <f>SUM(BV333:BV336)</f>
        <v>92007.694499999998</v>
      </c>
      <c r="BX337" s="72">
        <f t="shared" si="561"/>
        <v>95994.100600000005</v>
      </c>
      <c r="BY337" s="72">
        <f t="shared" si="561"/>
        <v>97703.0236</v>
      </c>
      <c r="BZ337" s="72">
        <f>SUM(BZ333:BZ336)</f>
        <v>97703.023599999986</v>
      </c>
      <c r="CB337" s="72">
        <f t="shared" si="562"/>
        <v>101836.36499999999</v>
      </c>
      <c r="CC337" s="72">
        <f t="shared" si="562"/>
        <v>104037.622</v>
      </c>
      <c r="CD337" s="72">
        <f>SUM(CD333:CD336)</f>
        <v>104037.62200000002</v>
      </c>
      <c r="CF337" s="72">
        <f t="shared" si="563"/>
        <v>107655.6888</v>
      </c>
      <c r="CG337" s="72">
        <f t="shared" si="563"/>
        <v>110596.4034</v>
      </c>
      <c r="CH337" s="72">
        <f>SUM(CH333:CH336)</f>
        <v>110596.40339999998</v>
      </c>
      <c r="CJ337" s="72">
        <f t="shared" si="564"/>
        <v>115108.3017</v>
      </c>
      <c r="CK337" s="72">
        <f t="shared" si="564"/>
        <v>122641.58720000001</v>
      </c>
      <c r="CL337" s="72">
        <f>SUM(CL333:CL336)</f>
        <v>122641.58720000001</v>
      </c>
      <c r="CN337" s="72">
        <f t="shared" ref="CN337:CO337" si="593">+CN325*CN$331</f>
        <v>124195.95759999999</v>
      </c>
      <c r="CO337" s="72">
        <f t="shared" si="593"/>
        <v>127009.21289999998</v>
      </c>
      <c r="CP337" s="72">
        <f>SUM(CP333:CP336)</f>
        <v>127009.21289999998</v>
      </c>
      <c r="CQ337" s="79">
        <f>+CP337/CL337-1</f>
        <v>3.5612925433502252E-2</v>
      </c>
      <c r="CR337" s="72">
        <f t="shared" ref="CR337:CS337" si="594">+CR325*CR$331</f>
        <v>131542.076</v>
      </c>
      <c r="CS337" s="72">
        <f t="shared" si="594"/>
        <v>131966.17199999999</v>
      </c>
      <c r="CT337" s="72">
        <f>SUM(CT333:CT336)</f>
        <v>131966.17199999999</v>
      </c>
      <c r="CU337" s="79">
        <f>+CT337/CP337-1</f>
        <v>3.90283428014222E-2</v>
      </c>
      <c r="CV337" s="72">
        <f t="shared" ref="CV337:CW337" si="595">+CV325*CV$331</f>
        <v>131778.86000000002</v>
      </c>
      <c r="CW337" s="72">
        <f t="shared" si="595"/>
        <v>134849.69700000001</v>
      </c>
      <c r="CX337" s="72">
        <f>SUM(CX333:CX336)</f>
        <v>134849.69699999999</v>
      </c>
      <c r="CY337" s="79">
        <f>+CX337/CT337-1</f>
        <v>2.1850486047287898E-2</v>
      </c>
      <c r="CZ337" s="72">
        <f t="shared" ref="CZ337:DA337" si="596">+CZ325*CZ$331</f>
        <v>137329.82680000001</v>
      </c>
      <c r="DA337" s="72">
        <f t="shared" si="596"/>
        <v>137334.10460000002</v>
      </c>
      <c r="DB337" s="72">
        <f>SUM(DB333:DB336)</f>
        <v>137334.10460000002</v>
      </c>
      <c r="DC337" s="79">
        <f>+DB337/CX337-1</f>
        <v>1.8423531200074006E-2</v>
      </c>
      <c r="DD337" s="72">
        <f t="shared" ref="DD337:DE337" si="597">+DD325*DD$331</f>
        <v>142232.20000000001</v>
      </c>
      <c r="DE337" s="72">
        <f t="shared" si="597"/>
        <v>144425.2274</v>
      </c>
      <c r="DF337" s="72">
        <f>SUM(DF333:DF336)</f>
        <v>144425.2274</v>
      </c>
      <c r="DG337" s="79">
        <f>+DF337/DB337-1</f>
        <v>5.163409934228369E-2</v>
      </c>
      <c r="DH337" s="72">
        <f>SUM(DH333:DH336)</f>
        <v>146986.7040495</v>
      </c>
      <c r="DI337" s="72">
        <f>SUM(DI333:DI336)</f>
        <v>149594.5048135125</v>
      </c>
      <c r="DJ337" s="72">
        <f>SUM(DJ333:DJ336)</f>
        <v>149594.5048135125</v>
      </c>
      <c r="DK337" s="79">
        <f>+DJ337/DF337-1</f>
        <v>3.5792066985608217E-2</v>
      </c>
      <c r="DL337" s="72">
        <f>SUM(DL333:DL336)</f>
        <v>152249.48259305058</v>
      </c>
      <c r="DM337" s="72">
        <f>SUM(DM333:DM336)</f>
        <v>154952.50624342845</v>
      </c>
      <c r="DN337" s="72">
        <f>SUM(DN333:DN336)</f>
        <v>154952.50624342845</v>
      </c>
      <c r="DO337" s="79">
        <f>+DN337/DJ337-1</f>
        <v>3.5816833222552802E-2</v>
      </c>
      <c r="DP337" s="72">
        <f>SUM(DP333:DP336)</f>
        <v>157704.46087679162</v>
      </c>
      <c r="DQ337" s="72">
        <f>SUM(DQ333:DQ336)</f>
        <v>160506.24817044946</v>
      </c>
      <c r="DR337" s="72">
        <f>SUM(DR333:DR336)</f>
        <v>160506.24817044946</v>
      </c>
      <c r="DS337" s="79">
        <f>+DR337/DN337-1</f>
        <v>3.5841575342422383E-2</v>
      </c>
    </row>
    <row r="338" spans="1:126" s="20" customFormat="1" ht="13.8">
      <c r="A338" s="47" t="s">
        <v>1112</v>
      </c>
      <c r="B338" s="49"/>
      <c r="BD338" s="67"/>
      <c r="BE338" s="79"/>
      <c r="BF338" s="72"/>
      <c r="BH338" s="67"/>
      <c r="BI338" s="79"/>
      <c r="BJ338" s="72"/>
      <c r="BK338" s="49"/>
      <c r="BL338" s="67"/>
      <c r="BM338" s="79"/>
      <c r="BN338" s="72"/>
      <c r="BO338" s="49"/>
      <c r="BP338" s="67"/>
      <c r="BQ338" s="79"/>
      <c r="BR338" s="72"/>
      <c r="BT338" s="67"/>
      <c r="BU338" s="79"/>
      <c r="BV338" s="72"/>
      <c r="BX338" s="67"/>
      <c r="BY338" s="79"/>
      <c r="BZ338" s="72"/>
      <c r="CB338" s="436">
        <f>CB334/CB337</f>
        <v>0.46862090963282121</v>
      </c>
      <c r="CC338" s="436">
        <f>CC334/CC337</f>
        <v>0.49308426907335506</v>
      </c>
      <c r="CD338" s="72"/>
      <c r="CF338" s="436">
        <f>CF334/CF337</f>
        <v>0.49332092518272941</v>
      </c>
      <c r="CG338" s="436">
        <f>CG334/CG337</f>
        <v>0.49717453470100814</v>
      </c>
      <c r="CH338" s="72"/>
      <c r="CJ338" s="436">
        <f>CJ334/CJ337</f>
        <v>0.44975154559160696</v>
      </c>
      <c r="CK338" s="436">
        <f>CK334/CK337</f>
        <v>0.40824936583990978</v>
      </c>
      <c r="CL338" s="72"/>
      <c r="CN338" s="436">
        <f>CN334/CN337</f>
        <v>0.34836496965018765</v>
      </c>
      <c r="CO338" s="436">
        <f>CO334/CO337</f>
        <v>0.32021142381239021</v>
      </c>
      <c r="CP338" s="72"/>
      <c r="CR338" s="436">
        <f>CR334/CR337</f>
        <v>0.31845138281077456</v>
      </c>
      <c r="CS338" s="436">
        <f>CS334/CS337</f>
        <v>0.35421396628826973</v>
      </c>
      <c r="CT338" s="72"/>
      <c r="CV338" s="436">
        <f>CV334/CV337</f>
        <v>0.3857212317666126</v>
      </c>
      <c r="CW338" s="436">
        <f>CW334/CW337</f>
        <v>0.40188791970366827</v>
      </c>
      <c r="CX338" s="72"/>
      <c r="CZ338" s="436">
        <f>CZ334/CZ337</f>
        <v>0.41889231160087648</v>
      </c>
      <c r="DA338" s="436">
        <f>DA334/DA337</f>
        <v>0.43184393397938237</v>
      </c>
      <c r="DB338" s="72"/>
      <c r="DD338" s="436">
        <f>DD334/DD337</f>
        <v>0.42101436946064252</v>
      </c>
      <c r="DE338" s="436">
        <f>DE334/DE337</f>
        <v>0.42104226106968901</v>
      </c>
      <c r="DF338" s="72"/>
      <c r="DH338" s="436">
        <f>DH334/DH337</f>
        <v>0.4219790299203664</v>
      </c>
      <c r="DI338" s="436">
        <f>DI334/DI337</f>
        <v>0.42291535374637212</v>
      </c>
      <c r="DJ338" s="49"/>
      <c r="DL338" s="436">
        <f>DL334/DL337</f>
        <v>0.4238512215679604</v>
      </c>
      <c r="DM338" s="436">
        <f>DM334/DM337</f>
        <v>0.4247866224270832</v>
      </c>
      <c r="DN338" s="49"/>
      <c r="DP338" s="436">
        <f>DP334/DP337</f>
        <v>0.42572154538789553</v>
      </c>
      <c r="DQ338" s="436">
        <f>DQ334/DQ337</f>
        <v>0.42665597953725776</v>
      </c>
      <c r="DR338" s="49"/>
    </row>
    <row r="339" spans="1:126" s="20" customFormat="1" ht="13.8">
      <c r="A339" s="78" t="s">
        <v>217</v>
      </c>
      <c r="B339" s="49"/>
      <c r="BD339" s="98"/>
      <c r="BE339" s="98"/>
      <c r="BF339" s="72"/>
      <c r="BH339" s="98"/>
      <c r="BI339" s="98"/>
      <c r="BJ339" s="72"/>
      <c r="BK339" s="49"/>
      <c r="BL339" s="98"/>
      <c r="BM339" s="98"/>
      <c r="BN339" s="72"/>
      <c r="BO339" s="49"/>
      <c r="BP339" s="98"/>
      <c r="BQ339" s="98"/>
      <c r="BR339" s="72"/>
      <c r="BT339" s="98"/>
      <c r="BU339" s="98"/>
      <c r="BV339" s="72"/>
      <c r="BX339" s="98"/>
      <c r="BY339" s="98"/>
      <c r="BZ339" s="72"/>
      <c r="CB339" s="98"/>
      <c r="CC339" s="98"/>
      <c r="CD339" s="72"/>
      <c r="CF339" s="98"/>
      <c r="CG339" s="98"/>
      <c r="CH339" s="72"/>
      <c r="CJ339" s="98"/>
      <c r="CK339" s="98"/>
      <c r="CL339" s="72"/>
      <c r="CN339" s="98"/>
      <c r="CO339" s="98"/>
      <c r="CP339" s="72"/>
      <c r="CR339" s="98"/>
      <c r="CS339" s="98"/>
      <c r="CT339" s="72"/>
      <c r="CV339" s="98"/>
      <c r="CW339" s="98"/>
      <c r="CX339" s="72"/>
      <c r="CZ339" s="98"/>
      <c r="DA339" s="98"/>
      <c r="DB339" s="72"/>
      <c r="DD339" s="98"/>
      <c r="DE339" s="98"/>
      <c r="DF339" s="72"/>
      <c r="DH339" s="72"/>
      <c r="DI339" s="72"/>
      <c r="DJ339" s="72"/>
      <c r="DL339" s="72"/>
      <c r="DM339" s="72"/>
      <c r="DN339" s="72"/>
      <c r="DP339" s="72"/>
      <c r="DQ339" s="72"/>
      <c r="DR339" s="72"/>
    </row>
    <row r="340" spans="1:126" s="20" customFormat="1" ht="13.8">
      <c r="A340" s="335" t="str">
        <f>+A333</f>
        <v>CoD</v>
      </c>
      <c r="B340" s="324" t="s">
        <v>546</v>
      </c>
      <c r="C340" s="325"/>
      <c r="D340" s="325"/>
      <c r="E340" s="325"/>
      <c r="F340" s="325"/>
      <c r="G340" s="325"/>
      <c r="H340" s="325"/>
      <c r="I340" s="325"/>
      <c r="J340" s="325"/>
      <c r="K340" s="325"/>
      <c r="L340" s="325"/>
      <c r="M340" s="325"/>
      <c r="N340" s="325"/>
      <c r="O340" s="325"/>
      <c r="P340" s="325"/>
      <c r="Q340" s="325"/>
      <c r="R340" s="325"/>
      <c r="S340" s="325"/>
      <c r="T340" s="325"/>
      <c r="U340" s="325"/>
      <c r="V340" s="325"/>
      <c r="W340" s="325"/>
      <c r="X340" s="325"/>
      <c r="Y340" s="325"/>
      <c r="Z340" s="325"/>
      <c r="AA340" s="325"/>
      <c r="AB340" s="325"/>
      <c r="AC340" s="325"/>
      <c r="AD340" s="325"/>
      <c r="AE340" s="325"/>
      <c r="AF340" s="325"/>
      <c r="AG340" s="325"/>
      <c r="AH340" s="325"/>
      <c r="AI340" s="325"/>
      <c r="AJ340" s="325"/>
      <c r="AK340" s="325"/>
      <c r="AL340" s="325"/>
      <c r="AM340" s="325"/>
      <c r="AN340" s="325"/>
      <c r="AO340" s="325"/>
      <c r="AP340" s="325"/>
      <c r="AQ340" s="325"/>
      <c r="AR340" s="325"/>
      <c r="AS340" s="325"/>
      <c r="AT340" s="325"/>
      <c r="AU340" s="325"/>
      <c r="AV340" s="325"/>
      <c r="AW340" s="325"/>
      <c r="AX340" s="325"/>
      <c r="AY340" s="325"/>
      <c r="AZ340" s="325"/>
      <c r="BA340" s="325"/>
      <c r="BB340" s="325"/>
      <c r="BC340" s="325"/>
      <c r="BD340" s="327"/>
      <c r="BE340" s="345"/>
      <c r="BF340" s="324"/>
      <c r="BG340" s="325"/>
      <c r="BH340" s="345"/>
      <c r="BI340" s="345">
        <f>+BI333/BH333-1</f>
        <v>0.45449962260973598</v>
      </c>
      <c r="BJ340" s="324"/>
      <c r="BK340" s="324"/>
      <c r="BL340" s="345">
        <f>+BL333/BI333-1</f>
        <v>-0.32104468920624329</v>
      </c>
      <c r="BM340" s="345">
        <f>+BM333/BL333-1</f>
        <v>-0.14273760161628735</v>
      </c>
      <c r="BN340" s="324"/>
      <c r="BO340" s="324"/>
      <c r="BP340" s="345">
        <f>+BP333/BM333-1</f>
        <v>6.2909329852482987E-2</v>
      </c>
      <c r="BQ340" s="345">
        <f>+BQ333/BP333-1</f>
        <v>-0.49048268852198862</v>
      </c>
      <c r="BR340" s="324"/>
      <c r="BS340" s="325"/>
      <c r="BT340" s="345">
        <f>+BT333/BQ333-1</f>
        <v>1.4943881962633796</v>
      </c>
      <c r="BU340" s="345">
        <f>+BU333/BT333-1</f>
        <v>0.20386641569041108</v>
      </c>
      <c r="BV340" s="324"/>
      <c r="BW340" s="325"/>
      <c r="BX340" s="345">
        <f>+BX333/BU333-1</f>
        <v>-0.54813628339259224</v>
      </c>
      <c r="BY340" s="345">
        <f>+BY333/BX333-1</f>
        <v>0.89545023188409223</v>
      </c>
      <c r="BZ340" s="324"/>
      <c r="CA340" s="325"/>
      <c r="CB340" s="345">
        <f>+CB333/BY333-1</f>
        <v>5.4520335886052873E-2</v>
      </c>
      <c r="CC340" s="345">
        <f>+CC333/CB333-1</f>
        <v>-0.54983559413058913</v>
      </c>
      <c r="CD340" s="324"/>
      <c r="CE340" s="325"/>
      <c r="CF340" s="345">
        <f>+CF333/CC333-1</f>
        <v>2.8994928251573349E-3</v>
      </c>
      <c r="CG340" s="345">
        <f>+CG333/CF333-1</f>
        <v>0.62719502900100221</v>
      </c>
      <c r="CH340" s="324"/>
      <c r="CI340" s="325"/>
      <c r="CJ340" s="345">
        <f>+CJ333/CG333-1</f>
        <v>0.14232614078528472</v>
      </c>
      <c r="CK340" s="345">
        <f>+CK333/CJ333-1</f>
        <v>5.1266656792960053E-2</v>
      </c>
      <c r="CL340" s="324"/>
      <c r="CM340" s="325"/>
      <c r="CN340" s="345">
        <f>+CN333/CK333-1</f>
        <v>-0.21030067383705608</v>
      </c>
      <c r="CO340" s="345">
        <f>+CO333/CN333-1</f>
        <v>0.33190806880374413</v>
      </c>
      <c r="CP340" s="324"/>
      <c r="CQ340" s="325"/>
      <c r="CR340" s="345">
        <f>+CR333/CO333-1</f>
        <v>0.15826864184412481</v>
      </c>
      <c r="CS340" s="345">
        <f>+CS333/CR333-1</f>
        <v>-0.2452704470177326</v>
      </c>
      <c r="CT340" s="324"/>
      <c r="CU340" s="325"/>
      <c r="CV340" s="345">
        <f>+CV333/CS333-1</f>
        <v>-9.2921167227932422E-2</v>
      </c>
      <c r="CW340" s="345">
        <f>+CW333/CV333-1</f>
        <v>0.5659368262773754</v>
      </c>
      <c r="CX340" s="324"/>
      <c r="CY340" s="325"/>
      <c r="CZ340" s="345">
        <f>+CZ333/CW333-1</f>
        <v>-0.15690899107196632</v>
      </c>
      <c r="DA340" s="345">
        <f>+DA333/CZ333-1</f>
        <v>-0.40171013074892736</v>
      </c>
      <c r="DB340" s="324"/>
      <c r="DC340" s="325"/>
      <c r="DD340" s="345">
        <f>+DD333/DA333-1</f>
        <v>0.13637931477936971</v>
      </c>
      <c r="DE340" s="345">
        <f>+DE333/DD333-1</f>
        <v>-0.33969557071123446</v>
      </c>
      <c r="DF340" s="324"/>
      <c r="DG340" s="325"/>
      <c r="DH340" s="346">
        <v>0.02</v>
      </c>
      <c r="DI340" s="346">
        <v>0.02</v>
      </c>
      <c r="DJ340" s="324"/>
      <c r="DK340" s="325"/>
      <c r="DL340" s="346">
        <v>0.02</v>
      </c>
      <c r="DM340" s="346">
        <v>0.02</v>
      </c>
      <c r="DN340" s="324"/>
      <c r="DO340" s="325"/>
      <c r="DP340" s="346">
        <v>0.02</v>
      </c>
      <c r="DQ340" s="346">
        <v>0.02</v>
      </c>
      <c r="DR340" s="324"/>
      <c r="DS340" s="325"/>
      <c r="DT340" s="325"/>
      <c r="DU340" s="325"/>
      <c r="DV340" s="325"/>
    </row>
    <row r="341" spans="1:126" s="20" customFormat="1" ht="13.8">
      <c r="A341" s="335" t="str">
        <f>+A334</f>
        <v>Term Deposits</v>
      </c>
      <c r="B341" s="324" t="s">
        <v>546</v>
      </c>
      <c r="C341" s="325"/>
      <c r="D341" s="325"/>
      <c r="E341" s="325"/>
      <c r="F341" s="325"/>
      <c r="G341" s="325"/>
      <c r="H341" s="325"/>
      <c r="I341" s="325"/>
      <c r="J341" s="325"/>
      <c r="K341" s="325"/>
      <c r="L341" s="325"/>
      <c r="M341" s="325"/>
      <c r="N341" s="325"/>
      <c r="O341" s="325"/>
      <c r="P341" s="325"/>
      <c r="Q341" s="325"/>
      <c r="R341" s="325"/>
      <c r="S341" s="325"/>
      <c r="T341" s="325"/>
      <c r="U341" s="325"/>
      <c r="V341" s="325"/>
      <c r="W341" s="325"/>
      <c r="X341" s="325"/>
      <c r="Y341" s="325"/>
      <c r="Z341" s="325"/>
      <c r="AA341" s="325"/>
      <c r="AB341" s="325"/>
      <c r="AC341" s="325"/>
      <c r="AD341" s="325"/>
      <c r="AE341" s="325"/>
      <c r="AF341" s="325"/>
      <c r="AG341" s="325"/>
      <c r="AH341" s="325"/>
      <c r="AI341" s="325"/>
      <c r="AJ341" s="325"/>
      <c r="AK341" s="325"/>
      <c r="AL341" s="325"/>
      <c r="AM341" s="325"/>
      <c r="AN341" s="325"/>
      <c r="AO341" s="325"/>
      <c r="AP341" s="325"/>
      <c r="AQ341" s="325"/>
      <c r="AR341" s="325"/>
      <c r="AS341" s="325"/>
      <c r="AT341" s="325"/>
      <c r="AU341" s="325"/>
      <c r="AV341" s="325"/>
      <c r="AW341" s="325"/>
      <c r="AX341" s="325"/>
      <c r="AY341" s="325"/>
      <c r="AZ341" s="325"/>
      <c r="BA341" s="325"/>
      <c r="BB341" s="325"/>
      <c r="BC341" s="325"/>
      <c r="BD341" s="327"/>
      <c r="BE341" s="345"/>
      <c r="BF341" s="324"/>
      <c r="BG341" s="325"/>
      <c r="BH341" s="345"/>
      <c r="BI341" s="345">
        <f>+BI334/BH334-1</f>
        <v>3.8631658359105092E-3</v>
      </c>
      <c r="BJ341" s="324"/>
      <c r="BK341" s="324"/>
      <c r="BL341" s="345">
        <f>+BL334/BI334-1</f>
        <v>2.9729623298343499E-2</v>
      </c>
      <c r="BM341" s="345">
        <f>+BM334/BL334-1</f>
        <v>-3.2074202726740664E-3</v>
      </c>
      <c r="BN341" s="324"/>
      <c r="BO341" s="324"/>
      <c r="BP341" s="345">
        <f>+BP334/BM334-1</f>
        <v>2.7787575879232307E-3</v>
      </c>
      <c r="BQ341" s="345">
        <f>+BQ334/BP334-1</f>
        <v>3.7261455924404441E-3</v>
      </c>
      <c r="BR341" s="324"/>
      <c r="BS341" s="325"/>
      <c r="BT341" s="345">
        <f>+BT334/BQ334-1</f>
        <v>7.4006944624188886E-2</v>
      </c>
      <c r="BU341" s="345">
        <f>+BU334/BT334-1</f>
        <v>5.5702842812787479E-2</v>
      </c>
      <c r="BV341" s="324"/>
      <c r="BW341" s="325"/>
      <c r="BX341" s="345">
        <f>+BX334/BU334-1</f>
        <v>0.10961852576479747</v>
      </c>
      <c r="BY341" s="345">
        <f>+BY334/BX334-1</f>
        <v>3.2748867339521093E-2</v>
      </c>
      <c r="BZ341" s="324"/>
      <c r="CA341" s="325"/>
      <c r="CB341" s="345">
        <f>+CB334/BY334-1</f>
        <v>4.9874536509815881E-2</v>
      </c>
      <c r="CC341" s="345">
        <f>+CC334/CB334-1</f>
        <v>7.494690257142067E-2</v>
      </c>
      <c r="CD341" s="324"/>
      <c r="CE341" s="325"/>
      <c r="CF341" s="345">
        <f>+CF334/CC334-1</f>
        <v>3.5273165091086023E-2</v>
      </c>
      <c r="CG341" s="345">
        <f>+CG334/CF334-1</f>
        <v>3.534087116704776E-2</v>
      </c>
      <c r="CH341" s="324"/>
      <c r="CI341" s="325"/>
      <c r="CJ341" s="345">
        <f>+CJ334/CG334-1</f>
        <v>-5.8480257583408579E-2</v>
      </c>
      <c r="CK341" s="345">
        <f>+CK334/CJ334-1</f>
        <v>-3.2871970440193854E-2</v>
      </c>
      <c r="CL341" s="324"/>
      <c r="CM341" s="325"/>
      <c r="CN341" s="345">
        <f>+CN334/CK334-1</f>
        <v>-0.13587084800729077</v>
      </c>
      <c r="CO341" s="345">
        <f>+CO334/CN334-1</f>
        <v>-5.9995119439333666E-2</v>
      </c>
      <c r="CP341" s="324"/>
      <c r="CQ341" s="325"/>
      <c r="CR341" s="345">
        <f>+CR334/CO334-1</f>
        <v>2.9996584025568929E-2</v>
      </c>
      <c r="CS341" s="345">
        <f>+CS334/CR334-1</f>
        <v>0.11588764565732967</v>
      </c>
      <c r="CT341" s="324"/>
      <c r="CU341" s="325"/>
      <c r="CV341" s="345">
        <f>+CV334/CS334-1</f>
        <v>8.7404162460054113E-2</v>
      </c>
      <c r="CW341" s="345">
        <f>+CW334/CV334-1</f>
        <v>6.619253081338683E-2</v>
      </c>
      <c r="CX341" s="324"/>
      <c r="CY341" s="325"/>
      <c r="CZ341" s="345">
        <f>+CZ334/CW334-1</f>
        <v>6.1481268413388968E-2</v>
      </c>
      <c r="DA341" s="345">
        <f>+DA334/CZ334-1</f>
        <v>3.0950852718450328E-2</v>
      </c>
      <c r="DB341" s="324"/>
      <c r="DC341" s="325"/>
      <c r="DD341" s="345">
        <f>+DD334/DA334-1</f>
        <v>9.6936444157424972E-3</v>
      </c>
      <c r="DE341" s="345">
        <f>+DE334/DD334-1</f>
        <v>1.5485912247126921E-2</v>
      </c>
      <c r="DF341" s="324"/>
      <c r="DG341" s="325"/>
      <c r="DH341" s="346">
        <v>0.02</v>
      </c>
      <c r="DI341" s="346">
        <v>0.02</v>
      </c>
      <c r="DJ341" s="324"/>
      <c r="DK341" s="325"/>
      <c r="DL341" s="346">
        <v>0.02</v>
      </c>
      <c r="DM341" s="346">
        <v>0.02</v>
      </c>
      <c r="DN341" s="324"/>
      <c r="DO341" s="325"/>
      <c r="DP341" s="346">
        <v>0.02</v>
      </c>
      <c r="DQ341" s="346">
        <v>0.02</v>
      </c>
      <c r="DR341" s="324"/>
      <c r="DS341" s="325"/>
      <c r="DT341" s="325"/>
      <c r="DU341" s="325"/>
      <c r="DV341" s="325"/>
    </row>
    <row r="342" spans="1:126" s="20" customFormat="1" ht="13.8">
      <c r="A342" s="335" t="s">
        <v>577</v>
      </c>
      <c r="B342" s="324" t="s">
        <v>546</v>
      </c>
      <c r="C342" s="325"/>
      <c r="D342" s="325"/>
      <c r="E342" s="325"/>
      <c r="F342" s="325"/>
      <c r="G342" s="325"/>
      <c r="H342" s="325"/>
      <c r="I342" s="325"/>
      <c r="J342" s="325"/>
      <c r="K342" s="325"/>
      <c r="L342" s="325"/>
      <c r="M342" s="325"/>
      <c r="N342" s="325"/>
      <c r="O342" s="325"/>
      <c r="P342" s="325"/>
      <c r="Q342" s="325"/>
      <c r="R342" s="325"/>
      <c r="S342" s="325"/>
      <c r="T342" s="325"/>
      <c r="U342" s="325"/>
      <c r="V342" s="325"/>
      <c r="W342" s="325"/>
      <c r="X342" s="325"/>
      <c r="Y342" s="325"/>
      <c r="Z342" s="325"/>
      <c r="AA342" s="325"/>
      <c r="AB342" s="325"/>
      <c r="AC342" s="325"/>
      <c r="AD342" s="325"/>
      <c r="AE342" s="325"/>
      <c r="AF342" s="325"/>
      <c r="AG342" s="325"/>
      <c r="AH342" s="325"/>
      <c r="AI342" s="325"/>
      <c r="AJ342" s="325"/>
      <c r="AK342" s="325"/>
      <c r="AL342" s="325"/>
      <c r="AM342" s="325"/>
      <c r="AN342" s="325"/>
      <c r="AO342" s="325"/>
      <c r="AP342" s="325"/>
      <c r="AQ342" s="325"/>
      <c r="AR342" s="325"/>
      <c r="AS342" s="325"/>
      <c r="AT342" s="325"/>
      <c r="AU342" s="325"/>
      <c r="AV342" s="325"/>
      <c r="AW342" s="325"/>
      <c r="AX342" s="325"/>
      <c r="AY342" s="325"/>
      <c r="AZ342" s="325"/>
      <c r="BA342" s="325"/>
      <c r="BB342" s="325"/>
      <c r="BC342" s="325"/>
      <c r="BD342" s="327"/>
      <c r="BE342" s="345"/>
      <c r="BF342" s="324"/>
      <c r="BG342" s="325"/>
      <c r="BH342" s="345"/>
      <c r="BI342" s="345">
        <f>+BI335/BH335-1</f>
        <v>-3.3352926817941442E-2</v>
      </c>
      <c r="BJ342" s="324"/>
      <c r="BK342" s="324"/>
      <c r="BL342" s="345">
        <f>+BL335/BI335-1</f>
        <v>5.5534925125895862E-2</v>
      </c>
      <c r="BM342" s="345">
        <f>+BM335/BL335-1</f>
        <v>2.857042741639737E-2</v>
      </c>
      <c r="BN342" s="324"/>
      <c r="BO342" s="324"/>
      <c r="BP342" s="345">
        <f>+BP335/BM335-1</f>
        <v>4.3944110465984121E-2</v>
      </c>
      <c r="BQ342" s="345">
        <f>+BQ335/BP335-1</f>
        <v>7.2091092790605105E-2</v>
      </c>
      <c r="BR342" s="324"/>
      <c r="BS342" s="325"/>
      <c r="BT342" s="345">
        <f>+BT335/BQ335-1</f>
        <v>8.2351737923679114E-2</v>
      </c>
      <c r="BU342" s="345">
        <f>+BU335/BT335-1</f>
        <v>7.0323831141463788E-2</v>
      </c>
      <c r="BV342" s="324"/>
      <c r="BW342" s="325"/>
      <c r="BX342" s="345">
        <f>+BX335/BU335-1</f>
        <v>0.1013166476601377</v>
      </c>
      <c r="BY342" s="345">
        <f>+BY335/BX335-1</f>
        <v>3.6670797507320829E-2</v>
      </c>
      <c r="BZ342" s="324"/>
      <c r="CA342" s="325"/>
      <c r="CB342" s="345">
        <f>+CB335/BY335-1</f>
        <v>0.11924777149646393</v>
      </c>
      <c r="CC342" s="345">
        <f>+CC335/CB335-1</f>
        <v>2.8569086111555508E-2</v>
      </c>
      <c r="CD342" s="324"/>
      <c r="CE342" s="325"/>
      <c r="CF342" s="345">
        <f>+CF335/CC335-1</f>
        <v>5.9756411601818993E-2</v>
      </c>
      <c r="CG342" s="345">
        <f>+CG335/CF335-1</f>
        <v>8.8694215088370498E-2</v>
      </c>
      <c r="CH342" s="324"/>
      <c r="CI342" s="325"/>
      <c r="CJ342" s="345">
        <f>+CJ335/CG335-1</f>
        <v>0.22304275242429661</v>
      </c>
      <c r="CK342" s="345">
        <f>+CK335/CJ335-1</f>
        <v>0.17019617138823318</v>
      </c>
      <c r="CL342" s="324"/>
      <c r="CM342" s="325"/>
      <c r="CN342" s="345">
        <f>+CN335/CK335-1</f>
        <v>0.20131595734208574</v>
      </c>
      <c r="CO342" s="345">
        <f>+CO335/CN335-1</f>
        <v>7.5469938807981807E-2</v>
      </c>
      <c r="CP342" s="324"/>
      <c r="CQ342" s="325"/>
      <c r="CR342" s="345">
        <f>+CR335/CO335-1</f>
        <v>7.1009761426453322E-2</v>
      </c>
      <c r="CS342" s="345">
        <f>+CS335/CR335-1</f>
        <v>-8.4826701455758879E-2</v>
      </c>
      <c r="CT342" s="324"/>
      <c r="CU342" s="325"/>
      <c r="CV342" s="345">
        <f>+CV335/CS335-1</f>
        <v>-9.5797515975989733E-2</v>
      </c>
      <c r="CW342" s="345">
        <f>+CW335/CV335-1</f>
        <v>-8.6616869558885035E-2</v>
      </c>
      <c r="CX342" s="324"/>
      <c r="CY342" s="325"/>
      <c r="CZ342" s="345">
        <f>+CZ335/CW335-1</f>
        <v>-2.286266666355552E-2</v>
      </c>
      <c r="DA342" s="345">
        <f>+DA335/CZ335-1</f>
        <v>-8.0069114418267473E-2</v>
      </c>
      <c r="DB342" s="324"/>
      <c r="DC342" s="325"/>
      <c r="DD342" s="345">
        <f>+DD335/DA335-1</f>
        <v>6.7602192503540603E-2</v>
      </c>
      <c r="DE342" s="345">
        <f>+DE335/DD335-1</f>
        <v>2.2659655955858504E-2</v>
      </c>
      <c r="DF342" s="324"/>
      <c r="DG342" s="325"/>
      <c r="DH342" s="346">
        <v>0.02</v>
      </c>
      <c r="DI342" s="346">
        <v>0.02</v>
      </c>
      <c r="DJ342" s="324"/>
      <c r="DK342" s="325"/>
      <c r="DL342" s="346">
        <v>0.02</v>
      </c>
      <c r="DM342" s="346">
        <v>0.02</v>
      </c>
      <c r="DN342" s="324"/>
      <c r="DO342" s="325"/>
      <c r="DP342" s="346">
        <v>0.02</v>
      </c>
      <c r="DQ342" s="346">
        <v>0.02</v>
      </c>
      <c r="DR342" s="324"/>
      <c r="DS342" s="325"/>
      <c r="DT342" s="325"/>
      <c r="DU342" s="325"/>
      <c r="DV342" s="325"/>
    </row>
    <row r="343" spans="1:126" s="20" customFormat="1" ht="13.8">
      <c r="A343" s="335" t="str">
        <f>+A336</f>
        <v>On demand &amp; ST deposits</v>
      </c>
      <c r="B343" s="324" t="s">
        <v>546</v>
      </c>
      <c r="C343" s="325"/>
      <c r="D343" s="325"/>
      <c r="E343" s="325"/>
      <c r="F343" s="325"/>
      <c r="G343" s="325"/>
      <c r="H343" s="325"/>
      <c r="I343" s="325"/>
      <c r="J343" s="325"/>
      <c r="K343" s="325"/>
      <c r="L343" s="325"/>
      <c r="M343" s="325"/>
      <c r="N343" s="325"/>
      <c r="O343" s="325"/>
      <c r="P343" s="325"/>
      <c r="Q343" s="325"/>
      <c r="R343" s="325"/>
      <c r="S343" s="325"/>
      <c r="T343" s="325"/>
      <c r="U343" s="325"/>
      <c r="V343" s="325"/>
      <c r="W343" s="325"/>
      <c r="X343" s="325"/>
      <c r="Y343" s="325"/>
      <c r="Z343" s="325"/>
      <c r="AA343" s="325"/>
      <c r="AB343" s="325"/>
      <c r="AC343" s="325"/>
      <c r="AD343" s="325"/>
      <c r="AE343" s="325"/>
      <c r="AF343" s="325"/>
      <c r="AG343" s="325"/>
      <c r="AH343" s="325"/>
      <c r="AI343" s="325"/>
      <c r="AJ343" s="325"/>
      <c r="AK343" s="325"/>
      <c r="AL343" s="325"/>
      <c r="AM343" s="325"/>
      <c r="AN343" s="325"/>
      <c r="AO343" s="325"/>
      <c r="AP343" s="325"/>
      <c r="AQ343" s="325"/>
      <c r="AR343" s="325"/>
      <c r="AS343" s="325"/>
      <c r="AT343" s="325"/>
      <c r="AU343" s="325"/>
      <c r="AV343" s="325"/>
      <c r="AW343" s="325"/>
      <c r="AX343" s="325"/>
      <c r="AY343" s="325"/>
      <c r="AZ343" s="325"/>
      <c r="BA343" s="325"/>
      <c r="BB343" s="325"/>
      <c r="BC343" s="325"/>
      <c r="BD343" s="327"/>
      <c r="BE343" s="345"/>
      <c r="BF343" s="324"/>
      <c r="BG343" s="325"/>
      <c r="BH343" s="345"/>
      <c r="BI343" s="345">
        <f>+BI336/BH336-1</f>
        <v>4.7225411962066088E-2</v>
      </c>
      <c r="BJ343" s="324"/>
      <c r="BK343" s="324"/>
      <c r="BL343" s="345">
        <f>+BL336/BI336-1</f>
        <v>7.2332883360179068E-2</v>
      </c>
      <c r="BM343" s="345">
        <f>+BM336/BL336-1</f>
        <v>6.8883021521374932E-2</v>
      </c>
      <c r="BN343" s="324"/>
      <c r="BO343" s="324"/>
      <c r="BP343" s="345">
        <f>+BP336/BM336-1</f>
        <v>0.10469315645380073</v>
      </c>
      <c r="BQ343" s="345">
        <f>+BQ336/BP336-1</f>
        <v>0.10241793505854058</v>
      </c>
      <c r="BR343" s="324"/>
      <c r="BS343" s="325"/>
      <c r="BT343" s="345">
        <f>+BT336/BQ336-1</f>
        <v>5.138498948923087E-2</v>
      </c>
      <c r="BU343" s="345">
        <f>+BU336/BT336-1</f>
        <v>-2.8537230626342502E-2</v>
      </c>
      <c r="BV343" s="324"/>
      <c r="BW343" s="325"/>
      <c r="BX343" s="345">
        <f>+BX336/BU336-1</f>
        <v>1.8007995741200489E-3</v>
      </c>
      <c r="BY343" s="345">
        <f>+BY336/BX336-1</f>
        <v>-2.2446093842755088E-2</v>
      </c>
      <c r="BZ343" s="324"/>
      <c r="CA343" s="325"/>
      <c r="CB343" s="345">
        <f>+CB336/BY336-1</f>
        <v>1.6953001983370353E-2</v>
      </c>
      <c r="CC343" s="345">
        <f>+CC336/CB336-1</f>
        <v>-1.3013856763623433E-2</v>
      </c>
      <c r="CD343" s="324"/>
      <c r="CE343" s="325"/>
      <c r="CF343" s="345">
        <f>+CF336/CC336-1</f>
        <v>2.8721878741906126E-2</v>
      </c>
      <c r="CG343" s="345">
        <f>+CG336/CF336-1</f>
        <v>-1.0965871331494847E-2</v>
      </c>
      <c r="CH343" s="324"/>
      <c r="CI343" s="325"/>
      <c r="CJ343" s="345">
        <f>+CJ336/CG336-1</f>
        <v>0.11540483357067011</v>
      </c>
      <c r="CK343" s="345">
        <f>+CK336/CJ336-1</f>
        <v>0.14174732578920013</v>
      </c>
      <c r="CL343" s="324"/>
      <c r="CM343" s="325"/>
      <c r="CN343" s="345">
        <f>+CN336/CK336-1</f>
        <v>9.8930823591671047E-2</v>
      </c>
      <c r="CO343" s="345">
        <f>+CO336/CN336-1</f>
        <v>5.7580523491548963E-2</v>
      </c>
      <c r="CP343" s="324"/>
      <c r="CQ343" s="325"/>
      <c r="CR343" s="345">
        <f>+CR336/CO336-1</f>
        <v>2.3419351689907941E-2</v>
      </c>
      <c r="CS343" s="345">
        <f>+CS336/CR336-1</f>
        <v>-2.9883664458059456E-2</v>
      </c>
      <c r="CT343" s="324"/>
      <c r="CU343" s="325"/>
      <c r="CV343" s="345">
        <f>+CV336/CS336-1</f>
        <v>-3.3318291068495043E-2</v>
      </c>
      <c r="CW343" s="345">
        <f>+CW336/CV336-1</f>
        <v>8.972132032862401E-3</v>
      </c>
      <c r="CX343" s="324"/>
      <c r="CY343" s="325"/>
      <c r="CZ343" s="345">
        <f>+CZ336/CW336-1</f>
        <v>-1.3657730780057831E-3</v>
      </c>
      <c r="DA343" s="345">
        <f>+DA336/CZ336-1</f>
        <v>6.4976261436744398E-3</v>
      </c>
      <c r="DB343" s="324"/>
      <c r="DC343" s="325"/>
      <c r="DD343" s="345">
        <f>+DD336/DA336-1</f>
        <v>5.0672686929253752E-2</v>
      </c>
      <c r="DE343" s="345">
        <f>+DE336/DD336-1</f>
        <v>2.0836073019450341E-2</v>
      </c>
      <c r="DF343" s="324"/>
      <c r="DG343" s="325"/>
      <c r="DH343" s="346">
        <v>1.4999999999999999E-2</v>
      </c>
      <c r="DI343" s="346">
        <v>1.4999999999999999E-2</v>
      </c>
      <c r="DJ343" s="324"/>
      <c r="DK343" s="325"/>
      <c r="DL343" s="346">
        <v>1.4999999999999999E-2</v>
      </c>
      <c r="DM343" s="346">
        <v>1.4999999999999999E-2</v>
      </c>
      <c r="DN343" s="324"/>
      <c r="DO343" s="325"/>
      <c r="DP343" s="346">
        <v>1.4999999999999999E-2</v>
      </c>
      <c r="DQ343" s="346">
        <v>1.4999999999999999E-2</v>
      </c>
      <c r="DR343" s="324"/>
      <c r="DS343" s="325"/>
      <c r="DT343" s="325"/>
      <c r="DU343" s="325"/>
      <c r="DV343" s="325"/>
    </row>
    <row r="344" spans="1:126" s="20" customFormat="1" ht="13.8">
      <c r="A344" s="78" t="str">
        <f>+A337</f>
        <v>Total Deposits ex Repo's and Com Paper</v>
      </c>
      <c r="B344" s="49" t="s">
        <v>546</v>
      </c>
      <c r="BD344" s="67"/>
      <c r="BE344" s="79"/>
      <c r="BF344" s="49"/>
      <c r="BH344" s="79"/>
      <c r="BI344" s="79">
        <f>+BI337/BH337-1</f>
        <v>2.9051472898855568E-2</v>
      </c>
      <c r="BJ344" s="49"/>
      <c r="BK344" s="49"/>
      <c r="BL344" s="79">
        <f>+BL337/BI337-1</f>
        <v>3.7826636633213839E-2</v>
      </c>
      <c r="BM344" s="79">
        <f>+BM337/BL337-1</f>
        <v>2.7226956509715183E-2</v>
      </c>
      <c r="BN344" s="49"/>
      <c r="BO344" s="49"/>
      <c r="BP344" s="79">
        <f>+BP337/BM337-1</f>
        <v>5.2641556533055134E-2</v>
      </c>
      <c r="BQ344" s="79">
        <f>+BQ337/BP337-1</f>
        <v>4.6329402455591362E-2</v>
      </c>
      <c r="BR344" s="49"/>
      <c r="BT344" s="79">
        <f>+BT337/BQ337-1</f>
        <v>7.6112724056403458E-2</v>
      </c>
      <c r="BU344" s="79">
        <f>+BU337/BT337-1</f>
        <v>1.9270537355322359E-2</v>
      </c>
      <c r="BV344" s="49"/>
      <c r="BX344" s="79">
        <f>+BX337/BU337-1</f>
        <v>4.3326877405889253E-2</v>
      </c>
      <c r="BY344" s="79">
        <f>+BY337/BX337-1</f>
        <v>1.7802375243046953E-2</v>
      </c>
      <c r="BZ344" s="49"/>
      <c r="CB344" s="79">
        <f>+CB337/BY337-1</f>
        <v>4.2305153389336825E-2</v>
      </c>
      <c r="CC344" s="79">
        <f>+CC337/CB337-1</f>
        <v>2.1615628169760592E-2</v>
      </c>
      <c r="CD344" s="49"/>
      <c r="CF344" s="79">
        <f>+CF337/CC337-1</f>
        <v>3.4776523438799778E-2</v>
      </c>
      <c r="CG344" s="79">
        <f>+CG337/CF337-1</f>
        <v>2.7315923875264714E-2</v>
      </c>
      <c r="CH344" s="49"/>
      <c r="CJ344" s="79">
        <f>+CJ337/CG337-1</f>
        <v>4.0796067153120452E-2</v>
      </c>
      <c r="CK344" s="79">
        <f>+CK337/CJ337-1</f>
        <v>6.5445197164263336E-2</v>
      </c>
      <c r="CL344" s="49"/>
      <c r="CN344" s="79">
        <f>+CN337/CK337-1</f>
        <v>1.2674089071149863E-2</v>
      </c>
      <c r="CO344" s="79">
        <f>+CO337/CN337-1</f>
        <v>2.265174611448062E-2</v>
      </c>
      <c r="CP344" s="49"/>
      <c r="CR344" s="79">
        <f>+CR337/CO337-1</f>
        <v>3.56892464452081E-2</v>
      </c>
      <c r="CS344" s="79">
        <f>+CS337/CR337-1</f>
        <v>3.2240330462778299E-3</v>
      </c>
      <c r="CT344" s="49"/>
      <c r="CV344" s="79">
        <f>+CV337/CS337-1</f>
        <v>-1.4193940550156769E-3</v>
      </c>
      <c r="CW344" s="79">
        <f>+CW337/CV337-1</f>
        <v>2.330295617976974E-2</v>
      </c>
      <c r="CX344" s="49"/>
      <c r="CZ344" s="79">
        <f>+CZ337/CW337-1</f>
        <v>1.8391808473993132E-2</v>
      </c>
      <c r="DA344" s="79">
        <f>+DA337/CZ337-1</f>
        <v>3.1149824475162902E-5</v>
      </c>
      <c r="DB344" s="49"/>
      <c r="DD344" s="79">
        <f>+DD337/DA337-1</f>
        <v>3.5665542905501946E-2</v>
      </c>
      <c r="DE344" s="79">
        <f>+DE337/DD337-1</f>
        <v>1.5418642192133625E-2</v>
      </c>
      <c r="DF344" s="49"/>
      <c r="DH344" s="79">
        <f>+DH337/DE337-1</f>
        <v>1.7735659452387198E-2</v>
      </c>
      <c r="DI344" s="79">
        <f>+DI337/DH337-1</f>
        <v>1.7741745968630429E-2</v>
      </c>
      <c r="DJ344" s="49"/>
      <c r="DL344" s="79">
        <f>+DL337/DI337-1</f>
        <v>1.7747829593391939E-2</v>
      </c>
      <c r="DM344" s="79">
        <f>+DM337/DL337-1</f>
        <v>1.7753910255332794E-2</v>
      </c>
      <c r="DN344" s="49"/>
      <c r="DP344" s="79">
        <f>+DP337/DM337-1</f>
        <v>1.7759987883254391E-2</v>
      </c>
      <c r="DQ344" s="79">
        <f>+DQ337/DP337-1</f>
        <v>1.7766062406102456E-2</v>
      </c>
      <c r="DR344" s="49"/>
    </row>
    <row r="345" spans="1:126" s="20" customFormat="1" ht="13.8">
      <c r="A345" s="21"/>
      <c r="B345" s="49"/>
      <c r="BD345" s="98"/>
      <c r="BE345" s="98"/>
      <c r="BF345" s="72"/>
      <c r="BH345" s="98"/>
      <c r="BI345" s="98"/>
      <c r="BJ345" s="72"/>
      <c r="BK345" s="49"/>
      <c r="BL345" s="98"/>
      <c r="BM345" s="98"/>
      <c r="BN345" s="72"/>
      <c r="BO345" s="49"/>
      <c r="BP345" s="98"/>
      <c r="BQ345" s="98"/>
      <c r="BR345" s="72"/>
      <c r="BT345" s="98"/>
      <c r="BU345" s="98"/>
      <c r="BV345" s="72"/>
      <c r="BX345" s="98"/>
      <c r="BY345" s="98"/>
      <c r="BZ345" s="72"/>
      <c r="CB345" s="98"/>
      <c r="CC345" s="98"/>
      <c r="CD345" s="72"/>
      <c r="CF345" s="72"/>
      <c r="CG345" s="98"/>
      <c r="CH345" s="72"/>
      <c r="CJ345" s="72"/>
      <c r="CK345" s="72"/>
      <c r="CL345" s="72"/>
      <c r="CN345" s="72"/>
      <c r="CO345" s="72"/>
      <c r="CP345" s="72"/>
      <c r="CR345" s="72"/>
      <c r="CS345" s="72"/>
      <c r="CT345" s="72"/>
      <c r="CV345" s="72"/>
      <c r="CW345" s="72"/>
      <c r="CX345" s="72"/>
      <c r="CZ345" s="72"/>
      <c r="DA345" s="72"/>
      <c r="DB345" s="72"/>
      <c r="DD345" s="72"/>
      <c r="DE345" s="72"/>
      <c r="DF345" s="72"/>
      <c r="DH345" s="72"/>
      <c r="DI345" s="72"/>
      <c r="DJ345" s="72"/>
      <c r="DL345" s="72"/>
      <c r="DM345" s="72"/>
      <c r="DN345" s="72"/>
      <c r="DP345" s="72"/>
      <c r="DQ345" s="72"/>
      <c r="DR345" s="72"/>
    </row>
    <row r="346" spans="1:126" s="20" customFormat="1" ht="13.8">
      <c r="A346" s="78"/>
      <c r="B346" s="49"/>
      <c r="BD346" s="67"/>
      <c r="BE346" s="79"/>
      <c r="BF346" s="49"/>
      <c r="BH346" s="67"/>
      <c r="BI346" s="79"/>
      <c r="BJ346" s="49"/>
      <c r="BK346" s="49"/>
      <c r="BL346" s="67"/>
      <c r="BM346" s="79"/>
      <c r="BN346" s="49"/>
      <c r="BO346" s="49"/>
      <c r="BP346" s="67"/>
      <c r="BQ346" s="79"/>
      <c r="BR346" s="49"/>
      <c r="BT346" s="67"/>
      <c r="BU346" s="79"/>
      <c r="BV346" s="49"/>
      <c r="BX346" s="67"/>
      <c r="BY346" s="79"/>
      <c r="BZ346" s="49"/>
      <c r="CB346" s="67"/>
      <c r="CC346" s="79"/>
      <c r="CD346" s="49"/>
      <c r="CF346" s="79"/>
      <c r="CG346" s="79"/>
      <c r="CH346" s="49"/>
      <c r="CJ346" s="79"/>
      <c r="CK346" s="79"/>
      <c r="CL346" s="49"/>
      <c r="CN346" s="79"/>
      <c r="CO346" s="79"/>
      <c r="CP346" s="49"/>
      <c r="CR346" s="79"/>
      <c r="CS346" s="79"/>
      <c r="CT346" s="49"/>
      <c r="CV346" s="79"/>
      <c r="CW346" s="79"/>
      <c r="CX346" s="49"/>
      <c r="CZ346" s="79"/>
      <c r="DA346" s="79"/>
      <c r="DB346" s="49"/>
      <c r="DD346" s="79"/>
      <c r="DE346" s="79"/>
      <c r="DF346" s="49"/>
      <c r="DH346" s="79"/>
      <c r="DI346" s="79"/>
      <c r="DJ346" s="49"/>
      <c r="DL346" s="79"/>
      <c r="DM346" s="79"/>
      <c r="DN346" s="49"/>
      <c r="DP346" s="79"/>
      <c r="DQ346" s="79"/>
      <c r="DR346" s="49"/>
    </row>
    <row r="347" spans="1:126" s="20" customFormat="1" ht="13.8">
      <c r="A347" s="21" t="s">
        <v>579</v>
      </c>
      <c r="B347" s="49"/>
      <c r="BD347" s="49"/>
      <c r="BE347" s="49"/>
      <c r="BF347" s="49"/>
      <c r="BH347" s="49"/>
      <c r="BI347" s="49"/>
      <c r="BJ347" s="49"/>
      <c r="BK347" s="49"/>
      <c r="BL347" s="49"/>
      <c r="BM347" s="49"/>
      <c r="BN347" s="49"/>
      <c r="BO347" s="49"/>
      <c r="BP347" s="49"/>
      <c r="BQ347" s="49"/>
      <c r="BR347" s="49"/>
      <c r="BT347" s="49"/>
      <c r="BU347" s="49"/>
      <c r="BV347" s="49"/>
      <c r="BX347" s="49"/>
      <c r="BY347" s="49"/>
      <c r="BZ347" s="49"/>
      <c r="CB347" s="49"/>
      <c r="CC347" s="49"/>
      <c r="CD347" s="49"/>
      <c r="CF347" s="49"/>
      <c r="CG347" s="49"/>
      <c r="CH347" s="49"/>
      <c r="CJ347" s="49"/>
      <c r="CK347" s="49"/>
      <c r="CL347" s="49"/>
      <c r="CN347" s="49"/>
      <c r="CO347" s="49"/>
      <c r="CP347" s="49"/>
      <c r="CR347" s="49"/>
      <c r="CS347" s="49"/>
      <c r="CT347" s="49"/>
      <c r="CV347" s="49"/>
      <c r="CW347" s="49"/>
      <c r="CX347" s="49"/>
      <c r="CZ347" s="49"/>
      <c r="DA347" s="49"/>
      <c r="DB347" s="49"/>
      <c r="DD347" s="49"/>
      <c r="DE347" s="49"/>
      <c r="DF347" s="49"/>
      <c r="DH347" s="49"/>
      <c r="DI347" s="49"/>
      <c r="DJ347" s="49"/>
      <c r="DL347" s="49"/>
      <c r="DM347" s="49"/>
      <c r="DN347" s="49"/>
      <c r="DP347" s="49"/>
      <c r="DQ347" s="49"/>
      <c r="DR347" s="49"/>
    </row>
    <row r="348" spans="1:126" s="20" customFormat="1" ht="13.8">
      <c r="A348" s="20" t="s">
        <v>430</v>
      </c>
      <c r="B348" s="49" t="s">
        <v>544</v>
      </c>
      <c r="BD348" s="65"/>
      <c r="BE348" s="65"/>
      <c r="BF348" s="65"/>
      <c r="BH348" s="65">
        <f t="shared" ref="BH348:BJ352" si="598">+BH280+BH294+BH321</f>
        <v>61564</v>
      </c>
      <c r="BI348" s="65">
        <f t="shared" si="598"/>
        <v>58276</v>
      </c>
      <c r="BJ348" s="65">
        <f t="shared" si="598"/>
        <v>58276</v>
      </c>
      <c r="BK348" s="49"/>
      <c r="BL348" s="65">
        <f t="shared" ref="BL348:BN352" si="599">+BL280+BL294+BL321</f>
        <v>57707</v>
      </c>
      <c r="BM348" s="65">
        <f t="shared" si="599"/>
        <v>52755</v>
      </c>
      <c r="BN348" s="65">
        <f t="shared" si="599"/>
        <v>52755</v>
      </c>
      <c r="BO348" s="49"/>
      <c r="BP348" s="65">
        <f t="shared" ref="BP348:BR352" si="600">+BP280+BP294+BP321</f>
        <v>59646</v>
      </c>
      <c r="BQ348" s="65">
        <f t="shared" si="600"/>
        <v>63446</v>
      </c>
      <c r="BR348" s="65">
        <f t="shared" si="600"/>
        <v>63446</v>
      </c>
      <c r="BT348" s="65">
        <f t="shared" ref="BT348:BV352" si="601">+BT280+BT294+BT321</f>
        <v>65076</v>
      </c>
      <c r="BU348" s="65">
        <f t="shared" si="601"/>
        <v>61429</v>
      </c>
      <c r="BV348" s="65">
        <f t="shared" si="601"/>
        <v>61429</v>
      </c>
      <c r="BX348" s="65">
        <f t="shared" ref="BX348:BZ352" si="602">+BX280+BX294+BX321</f>
        <v>57428</v>
      </c>
      <c r="BY348" s="65">
        <f t="shared" si="602"/>
        <v>55222</v>
      </c>
      <c r="BZ348" s="65">
        <f t="shared" si="602"/>
        <v>55222</v>
      </c>
      <c r="CB348" s="65">
        <f t="shared" ref="CB348:CD352" si="603">+CB280+CB294+CB321</f>
        <v>50288</v>
      </c>
      <c r="CC348" s="65">
        <f t="shared" si="603"/>
        <v>42746</v>
      </c>
      <c r="CD348" s="65">
        <f t="shared" si="603"/>
        <v>42746</v>
      </c>
      <c r="CF348" s="65">
        <f t="shared" ref="CF348:CH352" si="604">+CF280+CF294+CF321</f>
        <v>43570</v>
      </c>
      <c r="CG348" s="65">
        <f t="shared" si="604"/>
        <v>36646</v>
      </c>
      <c r="CH348" s="65">
        <f t="shared" si="604"/>
        <v>36646</v>
      </c>
      <c r="CJ348" s="65">
        <f t="shared" ref="CJ348:CL352" si="605">+CJ280+CJ294+CJ321</f>
        <v>37878</v>
      </c>
      <c r="CK348" s="65">
        <f t="shared" si="605"/>
        <v>32491</v>
      </c>
      <c r="CL348" s="65">
        <f t="shared" si="605"/>
        <v>32491</v>
      </c>
      <c r="CN348" s="65">
        <f t="shared" ref="CN348:CP352" si="606">+CN280+CN294+CN321</f>
        <v>40000</v>
      </c>
      <c r="CO348" s="65">
        <f t="shared" si="606"/>
        <v>37708</v>
      </c>
      <c r="CP348" s="65">
        <f t="shared" si="606"/>
        <v>37708</v>
      </c>
      <c r="CR348" s="65">
        <f t="shared" ref="CR348:CT352" si="607">+CR280+CR294+CR321</f>
        <v>36945</v>
      </c>
      <c r="CS348" s="65">
        <f t="shared" si="607"/>
        <v>34049</v>
      </c>
      <c r="CT348" s="65">
        <f t="shared" si="607"/>
        <v>34049</v>
      </c>
      <c r="CV348" s="65">
        <f t="shared" ref="CV348:CW348" si="608">+CV280+CV294+CV321</f>
        <v>44545</v>
      </c>
      <c r="CW348" s="65">
        <f t="shared" si="608"/>
        <v>41919</v>
      </c>
      <c r="CX348" s="65">
        <f>CW348</f>
        <v>41919</v>
      </c>
      <c r="CZ348" s="65">
        <f>+CZ280+CZ294+CZ321</f>
        <v>39095</v>
      </c>
      <c r="DA348" s="65">
        <f t="shared" ref="DA348" si="609">+DA280+DA294+DA321</f>
        <v>42206</v>
      </c>
      <c r="DB348" s="65">
        <f>DA348</f>
        <v>42206</v>
      </c>
      <c r="DD348" s="65">
        <f>+DD280+DD294+DD321</f>
        <v>39581</v>
      </c>
      <c r="DE348" s="65">
        <f t="shared" ref="DE348" si="610">+DE280+DE294+DE321</f>
        <v>45761</v>
      </c>
      <c r="DF348" s="65">
        <f>DE348</f>
        <v>45761</v>
      </c>
      <c r="DH348" s="65">
        <f t="shared" ref="DH348:DJ348" si="611">+DH280+DH294+DH321</f>
        <v>46164.208953412781</v>
      </c>
      <c r="DI348" s="65">
        <f t="shared" si="611"/>
        <v>47087.493132481046</v>
      </c>
      <c r="DJ348" s="65">
        <f t="shared" si="611"/>
        <v>47087.493132481046</v>
      </c>
      <c r="DL348" s="65">
        <f t="shared" ref="DL348:DN348" si="612">+DL280+DL294+DL321</f>
        <v>48029.242995130662</v>
      </c>
      <c r="DM348" s="65">
        <f t="shared" si="612"/>
        <v>48989.827855033283</v>
      </c>
      <c r="DN348" s="65">
        <f t="shared" si="612"/>
        <v>48989.827855033283</v>
      </c>
      <c r="DP348" s="65">
        <f t="shared" ref="DP348:DR348" si="613">+DP280+DP294+DP321</f>
        <v>49969.62441213394</v>
      </c>
      <c r="DQ348" s="65">
        <f t="shared" si="613"/>
        <v>50969.016900376628</v>
      </c>
      <c r="DR348" s="65">
        <f t="shared" si="613"/>
        <v>50969.016900376628</v>
      </c>
    </row>
    <row r="349" spans="1:126" s="20" customFormat="1" ht="13.8">
      <c r="A349" s="20" t="s">
        <v>184</v>
      </c>
      <c r="B349" s="49" t="s">
        <v>544</v>
      </c>
      <c r="BD349" s="65"/>
      <c r="BE349" s="65"/>
      <c r="BF349" s="65"/>
      <c r="BH349" s="65">
        <f t="shared" si="598"/>
        <v>180169</v>
      </c>
      <c r="BI349" s="65">
        <f t="shared" si="598"/>
        <v>186691</v>
      </c>
      <c r="BJ349" s="65">
        <f t="shared" si="598"/>
        <v>186691</v>
      </c>
      <c r="BK349" s="49"/>
      <c r="BL349" s="65">
        <f t="shared" si="599"/>
        <v>190172</v>
      </c>
      <c r="BM349" s="65">
        <f t="shared" si="599"/>
        <v>192716</v>
      </c>
      <c r="BN349" s="65">
        <f t="shared" si="599"/>
        <v>192716</v>
      </c>
      <c r="BO349" s="49"/>
      <c r="BP349" s="65">
        <f t="shared" si="600"/>
        <v>204893</v>
      </c>
      <c r="BQ349" s="65">
        <f t="shared" si="600"/>
        <v>194676</v>
      </c>
      <c r="BR349" s="65">
        <f t="shared" si="600"/>
        <v>194676</v>
      </c>
      <c r="BT349" s="65">
        <f t="shared" si="601"/>
        <v>192410</v>
      </c>
      <c r="BU349" s="65">
        <f t="shared" si="601"/>
        <v>192147</v>
      </c>
      <c r="BV349" s="65">
        <f t="shared" si="601"/>
        <v>192147</v>
      </c>
      <c r="BX349" s="65">
        <f t="shared" si="602"/>
        <v>203156</v>
      </c>
      <c r="BY349" s="65">
        <f t="shared" si="602"/>
        <v>193371</v>
      </c>
      <c r="BZ349" s="65">
        <f t="shared" si="602"/>
        <v>193371</v>
      </c>
      <c r="CB349" s="65">
        <f t="shared" si="603"/>
        <v>197261</v>
      </c>
      <c r="CC349" s="65">
        <f t="shared" si="603"/>
        <v>214682</v>
      </c>
      <c r="CD349" s="65">
        <f t="shared" si="603"/>
        <v>214682</v>
      </c>
      <c r="CF349" s="65">
        <f t="shared" si="604"/>
        <v>223000</v>
      </c>
      <c r="CG349" s="65">
        <f t="shared" si="604"/>
        <v>227087</v>
      </c>
      <c r="CH349" s="65">
        <f t="shared" si="604"/>
        <v>227087</v>
      </c>
      <c r="CJ349" s="65">
        <f t="shared" si="605"/>
        <v>240611</v>
      </c>
      <c r="CK349" s="65">
        <f t="shared" si="605"/>
        <v>197273</v>
      </c>
      <c r="CL349" s="65">
        <f t="shared" si="605"/>
        <v>197273</v>
      </c>
      <c r="CN349" s="65">
        <f t="shared" si="606"/>
        <v>186168</v>
      </c>
      <c r="CO349" s="65">
        <f t="shared" si="606"/>
        <v>177081</v>
      </c>
      <c r="CP349" s="65">
        <f t="shared" si="606"/>
        <v>177081</v>
      </c>
      <c r="CR349" s="65">
        <f t="shared" si="607"/>
        <v>180621</v>
      </c>
      <c r="CS349" s="65">
        <f t="shared" si="607"/>
        <v>200064</v>
      </c>
      <c r="CT349" s="65">
        <f t="shared" si="607"/>
        <v>200064</v>
      </c>
      <c r="CV349" s="65">
        <f t="shared" ref="CV349:CW349" si="614">+CV281+CV295+CV322</f>
        <v>251406</v>
      </c>
      <c r="CW349" s="65">
        <f t="shared" si="614"/>
        <v>247893</v>
      </c>
      <c r="CX349" s="65">
        <f t="shared" ref="CX349:CX352" si="615">CW349</f>
        <v>247893</v>
      </c>
      <c r="CZ349" s="65">
        <f t="shared" ref="CZ349:DA349" si="616">+CZ281+CZ295+CZ322</f>
        <v>240538</v>
      </c>
      <c r="DA349" s="65">
        <f t="shared" si="616"/>
        <v>273516</v>
      </c>
      <c r="DB349" s="65">
        <f t="shared" ref="DB349:DB352" si="617">DA349</f>
        <v>273516</v>
      </c>
      <c r="DD349" s="65">
        <f t="shared" ref="DD349:DE349" si="618">+DD281+DD295+DD322</f>
        <v>298262</v>
      </c>
      <c r="DE349" s="65">
        <f t="shared" si="618"/>
        <v>268818</v>
      </c>
      <c r="DF349" s="65">
        <f t="shared" ref="DF349:DF352" si="619">DE349</f>
        <v>268818</v>
      </c>
      <c r="DH349" s="65">
        <f t="shared" ref="DH349:DJ349" si="620">+DH281+DH295+DH322</f>
        <v>266283.77177378116</v>
      </c>
      <c r="DI349" s="65">
        <f t="shared" si="620"/>
        <v>273742.15409976389</v>
      </c>
      <c r="DJ349" s="65">
        <f t="shared" si="620"/>
        <v>273742.15409976389</v>
      </c>
      <c r="DL349" s="65">
        <f t="shared" ref="DL349:DN349" si="621">+DL281+DL295+DL322</f>
        <v>281413.6852789814</v>
      </c>
      <c r="DM349" s="65">
        <f t="shared" si="621"/>
        <v>289304.54772469995</v>
      </c>
      <c r="DN349" s="65">
        <f t="shared" si="621"/>
        <v>289304.54772469995</v>
      </c>
      <c r="DP349" s="65">
        <f t="shared" ref="DP349:DR349" si="622">+DP281+DP295+DP322</f>
        <v>297421.10508153704</v>
      </c>
      <c r="DQ349" s="65">
        <f t="shared" si="622"/>
        <v>305769.90757758118</v>
      </c>
      <c r="DR349" s="65">
        <f t="shared" si="622"/>
        <v>305769.90757758118</v>
      </c>
    </row>
    <row r="350" spans="1:126" s="20" customFormat="1" ht="13.8">
      <c r="A350" s="20" t="s">
        <v>577</v>
      </c>
      <c r="B350" s="49" t="s">
        <v>544</v>
      </c>
      <c r="BD350" s="65"/>
      <c r="BE350" s="65"/>
      <c r="BF350" s="65"/>
      <c r="BH350" s="65">
        <f t="shared" si="598"/>
        <v>12970</v>
      </c>
      <c r="BI350" s="65">
        <f t="shared" si="598"/>
        <v>14446</v>
      </c>
      <c r="BJ350" s="65">
        <f t="shared" si="598"/>
        <v>14446</v>
      </c>
      <c r="BK350" s="49"/>
      <c r="BL350" s="65">
        <f t="shared" si="599"/>
        <v>15615</v>
      </c>
      <c r="BM350" s="65">
        <f t="shared" si="599"/>
        <v>16404</v>
      </c>
      <c r="BN350" s="65">
        <f t="shared" si="599"/>
        <v>16404</v>
      </c>
      <c r="BO350" s="49"/>
      <c r="BP350" s="65">
        <f t="shared" si="600"/>
        <v>17965</v>
      </c>
      <c r="BQ350" s="65">
        <f t="shared" si="600"/>
        <v>19011</v>
      </c>
      <c r="BR350" s="65">
        <f t="shared" si="600"/>
        <v>19011</v>
      </c>
      <c r="BT350" s="65">
        <f t="shared" si="601"/>
        <v>19254</v>
      </c>
      <c r="BU350" s="65">
        <f t="shared" si="601"/>
        <v>20892</v>
      </c>
      <c r="BV350" s="65">
        <f t="shared" si="601"/>
        <v>20892</v>
      </c>
      <c r="BX350" s="65">
        <f t="shared" si="602"/>
        <v>21750</v>
      </c>
      <c r="BY350" s="65">
        <f t="shared" si="602"/>
        <v>22913</v>
      </c>
      <c r="BZ350" s="65">
        <f t="shared" si="602"/>
        <v>22913</v>
      </c>
      <c r="CB350" s="65">
        <f t="shared" si="603"/>
        <v>24999</v>
      </c>
      <c r="CC350" s="65">
        <f t="shared" si="603"/>
        <v>26289</v>
      </c>
      <c r="CD350" s="65">
        <f t="shared" si="603"/>
        <v>26289</v>
      </c>
      <c r="CF350" s="65">
        <f t="shared" si="604"/>
        <v>27819</v>
      </c>
      <c r="CG350" s="65">
        <f t="shared" si="604"/>
        <v>28342</v>
      </c>
      <c r="CH350" s="65">
        <f t="shared" si="604"/>
        <v>28342</v>
      </c>
      <c r="CJ350" s="65">
        <f t="shared" si="605"/>
        <v>35561</v>
      </c>
      <c r="CK350" s="65">
        <f t="shared" si="605"/>
        <v>39874</v>
      </c>
      <c r="CL350" s="65">
        <f t="shared" si="605"/>
        <v>39874</v>
      </c>
      <c r="CN350" s="65">
        <f t="shared" si="606"/>
        <v>45916</v>
      </c>
      <c r="CO350" s="65">
        <f t="shared" si="606"/>
        <v>49746</v>
      </c>
      <c r="CP350" s="65">
        <f t="shared" si="606"/>
        <v>49746</v>
      </c>
      <c r="CR350" s="65">
        <f t="shared" si="607"/>
        <v>53811</v>
      </c>
      <c r="CS350" s="65">
        <f t="shared" si="607"/>
        <v>50906</v>
      </c>
      <c r="CT350" s="65">
        <f t="shared" si="607"/>
        <v>50906</v>
      </c>
      <c r="CV350" s="65">
        <f t="shared" ref="CV350:CW350" si="623">+CV282+CV296+CV323</f>
        <v>46371</v>
      </c>
      <c r="CW350" s="65">
        <f t="shared" si="623"/>
        <v>42906</v>
      </c>
      <c r="CX350" s="65">
        <f t="shared" si="615"/>
        <v>42906</v>
      </c>
      <c r="CZ350" s="65">
        <f t="shared" ref="CZ350:DA350" si="624">+CZ282+CZ296+CZ323</f>
        <v>41259</v>
      </c>
      <c r="DA350" s="65">
        <f t="shared" si="624"/>
        <v>60104</v>
      </c>
      <c r="DB350" s="65">
        <f t="shared" si="617"/>
        <v>60104</v>
      </c>
      <c r="DD350" s="65">
        <f t="shared" ref="DD350:DE350" si="625">+DD282+DD296+DD323</f>
        <v>60945</v>
      </c>
      <c r="DE350" s="65">
        <f t="shared" si="625"/>
        <v>61336</v>
      </c>
      <c r="DF350" s="65">
        <f t="shared" si="619"/>
        <v>61336</v>
      </c>
      <c r="DH350" s="65">
        <f t="shared" ref="DH350:DJ350" si="626">+DH282+DH296+DH323</f>
        <v>61749.090545323226</v>
      </c>
      <c r="DI350" s="65">
        <f t="shared" si="626"/>
        <v>62984.072356229692</v>
      </c>
      <c r="DJ350" s="65">
        <f t="shared" si="626"/>
        <v>62984.072356229692</v>
      </c>
      <c r="DL350" s="65">
        <f t="shared" ref="DL350:DN350" si="627">+DL282+DL296+DL323</f>
        <v>64243.753803354281</v>
      </c>
      <c r="DM350" s="65">
        <f t="shared" si="627"/>
        <v>65528.628879421361</v>
      </c>
      <c r="DN350" s="65">
        <f t="shared" si="627"/>
        <v>65528.628879421361</v>
      </c>
      <c r="DP350" s="65">
        <f t="shared" ref="DP350:DR350" si="628">+DP282+DP296+DP323</f>
        <v>66839.201457009796</v>
      </c>
      <c r="DQ350" s="65">
        <f t="shared" si="628"/>
        <v>68175.985486149992</v>
      </c>
      <c r="DR350" s="65">
        <f t="shared" si="628"/>
        <v>68175.985486149992</v>
      </c>
    </row>
    <row r="351" spans="1:126" s="20" customFormat="1" ht="13.8">
      <c r="A351" s="20" t="s">
        <v>578</v>
      </c>
      <c r="B351" s="49" t="s">
        <v>544</v>
      </c>
      <c r="BD351" s="65"/>
      <c r="BE351" s="65"/>
      <c r="BF351" s="65"/>
      <c r="BH351" s="65">
        <f t="shared" si="598"/>
        <v>150042</v>
      </c>
      <c r="BI351" s="65">
        <f t="shared" si="598"/>
        <v>166659</v>
      </c>
      <c r="BJ351" s="65">
        <f t="shared" si="598"/>
        <v>166659</v>
      </c>
      <c r="BK351" s="49"/>
      <c r="BL351" s="65">
        <f t="shared" si="599"/>
        <v>181249</v>
      </c>
      <c r="BM351" s="65">
        <f t="shared" si="599"/>
        <v>193459</v>
      </c>
      <c r="BN351" s="65">
        <f t="shared" si="599"/>
        <v>193459</v>
      </c>
      <c r="BO351" s="49"/>
      <c r="BP351" s="65">
        <f t="shared" si="600"/>
        <v>212863</v>
      </c>
      <c r="BQ351" s="65">
        <f t="shared" si="600"/>
        <v>229334</v>
      </c>
      <c r="BR351" s="65">
        <f t="shared" si="600"/>
        <v>229334</v>
      </c>
      <c r="BT351" s="65">
        <f t="shared" si="601"/>
        <v>233554</v>
      </c>
      <c r="BU351" s="65">
        <f t="shared" si="601"/>
        <v>235101</v>
      </c>
      <c r="BV351" s="65">
        <f t="shared" si="601"/>
        <v>235101</v>
      </c>
      <c r="BX351" s="65">
        <f t="shared" si="602"/>
        <v>242158</v>
      </c>
      <c r="BY351" s="65">
        <f t="shared" si="602"/>
        <v>250392</v>
      </c>
      <c r="BZ351" s="65">
        <f t="shared" si="602"/>
        <v>250392</v>
      </c>
      <c r="CB351" s="65">
        <f t="shared" si="603"/>
        <v>249610</v>
      </c>
      <c r="CC351" s="65">
        <f t="shared" si="603"/>
        <v>245449</v>
      </c>
      <c r="CD351" s="65">
        <f t="shared" si="603"/>
        <v>245449</v>
      </c>
      <c r="CF351" s="65">
        <f t="shared" si="604"/>
        <v>241804</v>
      </c>
      <c r="CG351" s="65">
        <f t="shared" si="604"/>
        <v>256264</v>
      </c>
      <c r="CH351" s="65">
        <f t="shared" si="604"/>
        <v>256264</v>
      </c>
      <c r="CJ351" s="65">
        <f t="shared" si="605"/>
        <v>290324</v>
      </c>
      <c r="CK351" s="65">
        <f t="shared" si="605"/>
        <v>315216</v>
      </c>
      <c r="CL351" s="65">
        <f t="shared" si="605"/>
        <v>315216</v>
      </c>
      <c r="CN351" s="65">
        <f t="shared" si="606"/>
        <v>329441</v>
      </c>
      <c r="CO351" s="65">
        <f t="shared" si="606"/>
        <v>366755</v>
      </c>
      <c r="CP351" s="65">
        <f t="shared" si="606"/>
        <v>366755</v>
      </c>
      <c r="CR351" s="65">
        <f t="shared" si="607"/>
        <v>376622</v>
      </c>
      <c r="CS351" s="65">
        <f t="shared" si="607"/>
        <v>369460</v>
      </c>
      <c r="CT351" s="65">
        <f t="shared" si="607"/>
        <v>369460</v>
      </c>
      <c r="CV351" s="65">
        <f t="shared" ref="CV351:CW351" si="629">+CV283+CV297+CV324</f>
        <v>350850</v>
      </c>
      <c r="CW351" s="65">
        <f t="shared" si="629"/>
        <v>356320</v>
      </c>
      <c r="CX351" s="65">
        <f t="shared" si="615"/>
        <v>356320</v>
      </c>
      <c r="CZ351" s="65">
        <f t="shared" ref="CZ351:DA351" si="630">+CZ283+CZ297+CZ324</f>
        <v>359293</v>
      </c>
      <c r="DA351" s="65">
        <f t="shared" si="630"/>
        <v>381591</v>
      </c>
      <c r="DB351" s="65">
        <f t="shared" si="617"/>
        <v>381591</v>
      </c>
      <c r="DD351" s="65">
        <f t="shared" ref="DD351:DE351" si="631">+DD283+DD297+DD324</f>
        <v>397358</v>
      </c>
      <c r="DE351" s="65">
        <f t="shared" si="631"/>
        <v>417903</v>
      </c>
      <c r="DF351" s="65">
        <f t="shared" si="619"/>
        <v>417903</v>
      </c>
      <c r="DH351" s="65">
        <f t="shared" ref="DH351:DJ351" si="632">+DH283+DH297+DH324</f>
        <v>420369.59723501268</v>
      </c>
      <c r="DI351" s="65">
        <f t="shared" si="632"/>
        <v>426104.31081348145</v>
      </c>
      <c r="DJ351" s="65">
        <f t="shared" si="632"/>
        <v>426104.31081348145</v>
      </c>
      <c r="DL351" s="65">
        <f t="shared" ref="DL351:DN351" si="633">+DL283+DL297+DL324</f>
        <v>431957.96247531706</v>
      </c>
      <c r="DM351" s="65">
        <f t="shared" si="633"/>
        <v>437931.60144987173</v>
      </c>
      <c r="DN351" s="65">
        <f t="shared" si="633"/>
        <v>437931.60144987173</v>
      </c>
      <c r="DP351" s="65">
        <f t="shared" ref="DP351:DR351" si="634">+DP283+DP297+DP324</f>
        <v>444026.31879306713</v>
      </c>
      <c r="DQ351" s="65">
        <f t="shared" si="634"/>
        <v>450243.24729683442</v>
      </c>
      <c r="DR351" s="65">
        <f t="shared" si="634"/>
        <v>450243.24729683442</v>
      </c>
    </row>
    <row r="352" spans="1:126" s="20" customFormat="1" ht="13.8">
      <c r="A352" s="21" t="s">
        <v>883</v>
      </c>
      <c r="B352" s="49"/>
      <c r="BD352" s="72"/>
      <c r="BE352" s="72"/>
      <c r="BF352" s="72"/>
      <c r="BH352" s="72">
        <f t="shared" si="598"/>
        <v>404745</v>
      </c>
      <c r="BI352" s="72">
        <f t="shared" si="598"/>
        <v>426072</v>
      </c>
      <c r="BJ352" s="72">
        <f t="shared" si="598"/>
        <v>426072</v>
      </c>
      <c r="BK352" s="49"/>
      <c r="BL352" s="72">
        <f t="shared" si="599"/>
        <v>444743</v>
      </c>
      <c r="BM352" s="72">
        <f t="shared" si="599"/>
        <v>455334</v>
      </c>
      <c r="BN352" s="72">
        <f t="shared" si="599"/>
        <v>455334</v>
      </c>
      <c r="BO352" s="49"/>
      <c r="BP352" s="72">
        <f t="shared" si="600"/>
        <v>495367</v>
      </c>
      <c r="BQ352" s="72">
        <f t="shared" si="600"/>
        <v>506467</v>
      </c>
      <c r="BR352" s="72">
        <f t="shared" si="600"/>
        <v>506467</v>
      </c>
      <c r="BS352" s="75">
        <f>+BR352/BN352-1</f>
        <v>0.11229778580119198</v>
      </c>
      <c r="BT352" s="72">
        <f t="shared" si="601"/>
        <v>510294</v>
      </c>
      <c r="BU352" s="72">
        <f t="shared" si="601"/>
        <v>509569</v>
      </c>
      <c r="BV352" s="72">
        <f t="shared" si="601"/>
        <v>509569</v>
      </c>
      <c r="BW352" s="75">
        <f>+BV352/BR352-1</f>
        <v>6.1247820687231336E-3</v>
      </c>
      <c r="BX352" s="72">
        <f t="shared" si="602"/>
        <v>524492</v>
      </c>
      <c r="BY352" s="72">
        <f t="shared" si="602"/>
        <v>521898</v>
      </c>
      <c r="BZ352" s="72">
        <f t="shared" si="602"/>
        <v>521898</v>
      </c>
      <c r="CA352" s="75">
        <f>+BZ352/BV352-1</f>
        <v>2.4194956914568966E-2</v>
      </c>
      <c r="CB352" s="72">
        <f t="shared" si="603"/>
        <v>522158</v>
      </c>
      <c r="CC352" s="72">
        <f t="shared" si="603"/>
        <v>529166</v>
      </c>
      <c r="CD352" s="72">
        <f t="shared" si="603"/>
        <v>529166</v>
      </c>
      <c r="CE352" s="75">
        <f>+CD352/BZ352-1</f>
        <v>1.392609283806423E-2</v>
      </c>
      <c r="CF352" s="72">
        <f t="shared" si="604"/>
        <v>536193</v>
      </c>
      <c r="CG352" s="72">
        <f t="shared" si="604"/>
        <v>548339</v>
      </c>
      <c r="CH352" s="72">
        <f t="shared" si="604"/>
        <v>548339</v>
      </c>
      <c r="CI352" s="75">
        <f>+CH352/CD352-1</f>
        <v>3.6232486592109092E-2</v>
      </c>
      <c r="CJ352" s="72">
        <f t="shared" si="605"/>
        <v>604374</v>
      </c>
      <c r="CK352" s="72">
        <f t="shared" si="605"/>
        <v>584854</v>
      </c>
      <c r="CL352" s="72">
        <f t="shared" si="605"/>
        <v>584854</v>
      </c>
      <c r="CM352" s="75">
        <f>+CL352/CH352-1</f>
        <v>6.6592016982195412E-2</v>
      </c>
      <c r="CN352" s="72">
        <f t="shared" si="606"/>
        <v>601525</v>
      </c>
      <c r="CO352" s="72">
        <f t="shared" si="606"/>
        <v>631290</v>
      </c>
      <c r="CP352" s="72">
        <f t="shared" si="606"/>
        <v>631290</v>
      </c>
      <c r="CQ352" s="75">
        <f>+CP352/CL352-1</f>
        <v>7.9397593245493781E-2</v>
      </c>
      <c r="CR352" s="72">
        <f t="shared" si="607"/>
        <v>647999</v>
      </c>
      <c r="CS352" s="72">
        <f t="shared" si="607"/>
        <v>654479</v>
      </c>
      <c r="CT352" s="72">
        <f t="shared" si="607"/>
        <v>654479</v>
      </c>
      <c r="CU352" s="75">
        <f>+CT352/CP352-1</f>
        <v>3.6732721886929998E-2</v>
      </c>
      <c r="CV352" s="72">
        <f t="shared" ref="CV352:CW352" si="635">+CV284+CV298+CV325</f>
        <v>693172</v>
      </c>
      <c r="CW352" s="72">
        <f t="shared" si="635"/>
        <v>689038</v>
      </c>
      <c r="CX352" s="65">
        <f t="shared" si="615"/>
        <v>689038</v>
      </c>
      <c r="CY352" s="75">
        <f>+CX352/CT352-1</f>
        <v>5.2803833278073142E-2</v>
      </c>
      <c r="CZ352" s="72">
        <f t="shared" ref="CZ352:DA352" si="636">+CZ284+CZ298+CZ325</f>
        <v>680185</v>
      </c>
      <c r="DA352" s="72">
        <f t="shared" si="636"/>
        <v>757417</v>
      </c>
      <c r="DB352" s="65">
        <f t="shared" si="617"/>
        <v>757417</v>
      </c>
      <c r="DC352" s="75">
        <f>+DB352/CX352-1</f>
        <v>9.9238358406938287E-2</v>
      </c>
      <c r="DD352" s="72">
        <f t="shared" ref="DD352:DE352" si="637">+DD284+DD298+DD325</f>
        <v>796146</v>
      </c>
      <c r="DE352" s="72">
        <f t="shared" si="637"/>
        <v>793818</v>
      </c>
      <c r="DF352" s="65">
        <f t="shared" si="619"/>
        <v>793818</v>
      </c>
      <c r="DG352" s="75">
        <f>+DF352/DB352-1</f>
        <v>4.8059391326046308E-2</v>
      </c>
      <c r="DH352" s="72">
        <f t="shared" ref="DH352:DJ352" si="638">+DH284+DH298+DH325</f>
        <v>794566.66850752977</v>
      </c>
      <c r="DI352" s="72">
        <f t="shared" si="638"/>
        <v>809918.03040195606</v>
      </c>
      <c r="DJ352" s="72">
        <f t="shared" si="638"/>
        <v>809918.03040195606</v>
      </c>
      <c r="DK352" s="75">
        <f>+DJ352/DF352-1</f>
        <v>2.0281765344141833E-2</v>
      </c>
      <c r="DL352" s="72">
        <f t="shared" ref="DL352:DN352" si="639">+DL284+DL298+DL325</f>
        <v>825644.64455278334</v>
      </c>
      <c r="DM352" s="72">
        <f t="shared" si="639"/>
        <v>841754.60590902634</v>
      </c>
      <c r="DN352" s="72">
        <f t="shared" si="639"/>
        <v>841754.60590902634</v>
      </c>
      <c r="DO352" s="75">
        <f>+DN352/DJ352-1</f>
        <v>3.9308392098975853E-2</v>
      </c>
      <c r="DP352" s="72">
        <f t="shared" ref="DP352:DR352" si="640">+DP284+DP298+DP325</f>
        <v>858256.24974374799</v>
      </c>
      <c r="DQ352" s="72">
        <f t="shared" si="640"/>
        <v>875158.15726094227</v>
      </c>
      <c r="DR352" s="72">
        <f t="shared" si="640"/>
        <v>875158.15726094227</v>
      </c>
      <c r="DS352" s="75">
        <f>+DR352/DN352-1</f>
        <v>3.968324154976588E-2</v>
      </c>
      <c r="DT352" s="75"/>
      <c r="DU352" s="75"/>
      <c r="DV352" s="75"/>
    </row>
    <row r="353" spans="1:128" s="20" customFormat="1" ht="13.8">
      <c r="A353" s="20" t="s">
        <v>580</v>
      </c>
      <c r="B353" s="49" t="s">
        <v>544</v>
      </c>
      <c r="BD353" s="72"/>
      <c r="BE353" s="72"/>
      <c r="BF353" s="72"/>
      <c r="BH353" s="65">
        <f>BH352</f>
        <v>404745</v>
      </c>
      <c r="BI353" s="65">
        <f>BI352</f>
        <v>426072</v>
      </c>
      <c r="BJ353" s="65">
        <f>BJ352</f>
        <v>426072</v>
      </c>
      <c r="BK353" s="49"/>
      <c r="BL353" s="65">
        <f>BL352</f>
        <v>444743</v>
      </c>
      <c r="BM353" s="65">
        <f>BM352</f>
        <v>455334</v>
      </c>
      <c r="BN353" s="65">
        <f>BN352</f>
        <v>455334</v>
      </c>
      <c r="BO353" s="49"/>
      <c r="BP353" s="65">
        <f>BP352</f>
        <v>495367</v>
      </c>
      <c r="BQ353" s="65">
        <f>BQ352</f>
        <v>506467</v>
      </c>
      <c r="BR353" s="65">
        <f>BR352</f>
        <v>506467</v>
      </c>
      <c r="BT353" s="65">
        <f>BT352</f>
        <v>510294</v>
      </c>
      <c r="BU353" s="65">
        <f>BU352</f>
        <v>509569</v>
      </c>
      <c r="BV353" s="65">
        <f>BV352</f>
        <v>509569</v>
      </c>
      <c r="BX353" s="65">
        <f>BX352</f>
        <v>524492</v>
      </c>
      <c r="BY353" s="65">
        <f>BY352</f>
        <v>521898</v>
      </c>
      <c r="BZ353" s="65">
        <f>BZ352</f>
        <v>521898</v>
      </c>
      <c r="CB353" s="65">
        <f>CB352</f>
        <v>522158</v>
      </c>
      <c r="CC353" s="65">
        <f>CC352</f>
        <v>529166</v>
      </c>
      <c r="CD353" s="65">
        <f>CD352</f>
        <v>529166</v>
      </c>
      <c r="CF353" s="65">
        <f>CF352</f>
        <v>536193</v>
      </c>
      <c r="CG353" s="65">
        <f>CG352</f>
        <v>548339</v>
      </c>
      <c r="CH353" s="65">
        <f>CH352</f>
        <v>548339</v>
      </c>
      <c r="CJ353" s="65">
        <f>CJ352</f>
        <v>604374</v>
      </c>
      <c r="CK353" s="65">
        <f>CK352</f>
        <v>584854</v>
      </c>
      <c r="CL353" s="65">
        <f>CL352</f>
        <v>584854</v>
      </c>
      <c r="CN353" s="65">
        <f>CN352</f>
        <v>601525</v>
      </c>
      <c r="CO353" s="65">
        <f>CO352</f>
        <v>631290</v>
      </c>
      <c r="CP353" s="65">
        <f>CP352</f>
        <v>631290</v>
      </c>
      <c r="CR353" s="65">
        <f>CR352</f>
        <v>647999</v>
      </c>
      <c r="CS353" s="65">
        <f>CS352</f>
        <v>654479</v>
      </c>
      <c r="CT353" s="65">
        <f>CT352</f>
        <v>654479</v>
      </c>
      <c r="CV353" s="65">
        <f>CV352</f>
        <v>693172</v>
      </c>
      <c r="CW353" s="65">
        <f>CW352</f>
        <v>689038</v>
      </c>
      <c r="CX353" s="65">
        <f>CX352</f>
        <v>689038</v>
      </c>
      <c r="CZ353" s="65">
        <f>CZ352</f>
        <v>680185</v>
      </c>
      <c r="DA353" s="65">
        <f>DA352</f>
        <v>757417</v>
      </c>
      <c r="DB353" s="65">
        <f>DB352</f>
        <v>757417</v>
      </c>
      <c r="DD353" s="65">
        <f>DD352</f>
        <v>796146</v>
      </c>
      <c r="DE353" s="65">
        <f>DE352</f>
        <v>793818</v>
      </c>
      <c r="DF353" s="65">
        <f>DF352</f>
        <v>793818</v>
      </c>
      <c r="DH353" s="65">
        <f>DH352</f>
        <v>794566.66850752977</v>
      </c>
      <c r="DI353" s="65">
        <f>DI352</f>
        <v>809918.03040195606</v>
      </c>
      <c r="DJ353" s="65">
        <f>DJ352</f>
        <v>809918.03040195606</v>
      </c>
      <c r="DL353" s="65">
        <f>DL352</f>
        <v>825644.64455278334</v>
      </c>
      <c r="DM353" s="65">
        <f>DM352</f>
        <v>841754.60590902634</v>
      </c>
      <c r="DN353" s="65">
        <f>DN352</f>
        <v>841754.60590902634</v>
      </c>
      <c r="DP353" s="65">
        <f>DP352</f>
        <v>858256.24974374799</v>
      </c>
      <c r="DQ353" s="65">
        <f>DQ352</f>
        <v>875158.15726094227</v>
      </c>
      <c r="DR353" s="65">
        <f>DR352</f>
        <v>875158.15726094227</v>
      </c>
    </row>
    <row r="354" spans="1:128" s="20" customFormat="1" ht="13.8">
      <c r="A354" s="20" t="s">
        <v>581</v>
      </c>
      <c r="B354" s="49" t="s">
        <v>544</v>
      </c>
      <c r="BD354" s="72"/>
      <c r="BE354" s="72"/>
      <c r="BF354" s="72"/>
      <c r="BH354" s="65">
        <f>+BH352-BH348</f>
        <v>343181</v>
      </c>
      <c r="BI354" s="65">
        <f>+BI352-BI348</f>
        <v>367796</v>
      </c>
      <c r="BJ354" s="65">
        <f>+BJ352-BJ348</f>
        <v>367796</v>
      </c>
      <c r="BK354" s="49"/>
      <c r="BL354" s="65">
        <f>+BL352-BL348</f>
        <v>387036</v>
      </c>
      <c r="BM354" s="65">
        <f>+BM352-BM348</f>
        <v>402579</v>
      </c>
      <c r="BN354" s="65">
        <f>+BN352-BN348</f>
        <v>402579</v>
      </c>
      <c r="BO354" s="49"/>
      <c r="BP354" s="65">
        <f>+BP352-BP348</f>
        <v>435721</v>
      </c>
      <c r="BQ354" s="65">
        <f>+BQ352-BQ348</f>
        <v>443021</v>
      </c>
      <c r="BR354" s="65">
        <f>+BR352-BR348</f>
        <v>443021</v>
      </c>
      <c r="BT354" s="65">
        <f>+BT352-BT348</f>
        <v>445218</v>
      </c>
      <c r="BU354" s="65">
        <f>+BU352-BU348</f>
        <v>448140</v>
      </c>
      <c r="BV354" s="65">
        <f>+BV352-BV348</f>
        <v>448140</v>
      </c>
      <c r="BX354" s="65">
        <f>+BX352-BX348</f>
        <v>467064</v>
      </c>
      <c r="BY354" s="65">
        <f>+BY352-BY348</f>
        <v>466676</v>
      </c>
      <c r="BZ354" s="65">
        <f>+BZ352-BZ348</f>
        <v>466676</v>
      </c>
      <c r="CA354" s="75">
        <f>+BZ354/BV354-1</f>
        <v>4.1362074351765088E-2</v>
      </c>
      <c r="CB354" s="65">
        <f>+CB352-CB348</f>
        <v>471870</v>
      </c>
      <c r="CC354" s="65">
        <f>+CC352-CC348</f>
        <v>486420</v>
      </c>
      <c r="CD354" s="65">
        <f>+CD352-CD348</f>
        <v>486420</v>
      </c>
      <c r="CF354" s="65">
        <f>+CF352-CF348</f>
        <v>492623</v>
      </c>
      <c r="CG354" s="65">
        <f>+CG352-CG348</f>
        <v>511693</v>
      </c>
      <c r="CH354" s="65">
        <f>+CH352-CH348</f>
        <v>511693</v>
      </c>
      <c r="CJ354" s="65">
        <f>+CJ352-CJ348</f>
        <v>566496</v>
      </c>
      <c r="CK354" s="65">
        <f>+CK352-CK348</f>
        <v>552363</v>
      </c>
      <c r="CL354" s="65">
        <f>+CL352-CL348</f>
        <v>552363</v>
      </c>
      <c r="CN354" s="65">
        <f>+CN352-CN348</f>
        <v>561525</v>
      </c>
      <c r="CO354" s="65">
        <f>+CO352-CO348</f>
        <v>593582</v>
      </c>
      <c r="CP354" s="65">
        <f>+CP352-CP348</f>
        <v>593582</v>
      </c>
      <c r="CR354" s="65">
        <f>+CR352-CR348</f>
        <v>611054</v>
      </c>
      <c r="CS354" s="65">
        <f>+CS352-CS348</f>
        <v>620430</v>
      </c>
      <c r="CT354" s="65">
        <f>+CT352-CT348</f>
        <v>620430</v>
      </c>
      <c r="CV354" s="65">
        <f>+CV352-CV348</f>
        <v>648627</v>
      </c>
      <c r="CW354" s="65">
        <f>+CW352-CW348</f>
        <v>647119</v>
      </c>
      <c r="CX354" s="65">
        <f>+CX352-CX348</f>
        <v>647119</v>
      </c>
      <c r="CZ354" s="65">
        <f>+CZ352-CZ348</f>
        <v>641090</v>
      </c>
      <c r="DA354" s="65">
        <f>+DA352-DA348</f>
        <v>715211</v>
      </c>
      <c r="DB354" s="65">
        <f>+DB352-DB348</f>
        <v>715211</v>
      </c>
      <c r="DD354" s="65">
        <f>+DD352-DD348</f>
        <v>756565</v>
      </c>
      <c r="DE354" s="65">
        <f>+DE352-DE348</f>
        <v>748057</v>
      </c>
      <c r="DF354" s="65">
        <f>+DF352-DF348</f>
        <v>748057</v>
      </c>
      <c r="DH354" s="65">
        <f>+DH352-DH348</f>
        <v>748402.45955411694</v>
      </c>
      <c r="DI354" s="65">
        <f>+DI352-DI348</f>
        <v>762830.53726947505</v>
      </c>
      <c r="DJ354" s="65">
        <f>+DJ352-DJ348</f>
        <v>762830.53726947505</v>
      </c>
      <c r="DL354" s="65">
        <f>+DL352-DL348</f>
        <v>777615.40155765263</v>
      </c>
      <c r="DM354" s="65">
        <f>+DM352-DM348</f>
        <v>792764.77805399301</v>
      </c>
      <c r="DN354" s="65">
        <f>+DN352-DN348</f>
        <v>792764.77805399301</v>
      </c>
      <c r="DP354" s="65">
        <f>+DP352-DP348</f>
        <v>808286.62533161405</v>
      </c>
      <c r="DQ354" s="65">
        <f>+DQ352-DQ348</f>
        <v>824189.14036056562</v>
      </c>
      <c r="DR354" s="65">
        <f>+DR352-DR348</f>
        <v>824189.14036056562</v>
      </c>
    </row>
    <row r="355" spans="1:128" s="20" customFormat="1" ht="13.8">
      <c r="A355" s="78" t="s">
        <v>217</v>
      </c>
      <c r="B355" s="49"/>
      <c r="BD355" s="67"/>
      <c r="BE355" s="49"/>
      <c r="BF355" s="72"/>
      <c r="BH355" s="67"/>
      <c r="BI355" s="49"/>
      <c r="BJ355" s="72"/>
      <c r="BK355" s="49"/>
      <c r="BL355" s="67"/>
      <c r="BM355" s="49"/>
      <c r="BN355" s="72"/>
      <c r="BO355" s="49"/>
      <c r="BP355" s="67"/>
      <c r="BQ355" s="49"/>
      <c r="BR355" s="72"/>
      <c r="BT355" s="67"/>
      <c r="BU355" s="49"/>
      <c r="BV355" s="72"/>
      <c r="BX355" s="67"/>
      <c r="BY355" s="49"/>
      <c r="BZ355" s="72"/>
      <c r="CB355" s="67"/>
      <c r="CC355" s="49"/>
      <c r="CD355" s="416">
        <f>+CD354/822000</f>
        <v>0.5917518248175182</v>
      </c>
      <c r="CF355" s="67"/>
      <c r="CG355" s="49"/>
      <c r="CH355" s="416">
        <f>+CH354/822000</f>
        <v>0.62249756690997571</v>
      </c>
      <c r="CJ355" s="67"/>
      <c r="CK355" s="49"/>
      <c r="CL355" s="416">
        <f>+CL354/822000</f>
        <v>0.67197445255474453</v>
      </c>
      <c r="CN355" s="67"/>
      <c r="CO355" s="49"/>
      <c r="CP355" s="416">
        <f>+CP354/822000</f>
        <v>0.72211922141119222</v>
      </c>
      <c r="CR355" s="67"/>
      <c r="CS355" s="49"/>
      <c r="CT355" s="416">
        <f>+CT354/822000</f>
        <v>0.75478102189781027</v>
      </c>
      <c r="CV355" s="67"/>
      <c r="CW355" s="49"/>
      <c r="CX355" s="416">
        <f>+CX354/822000</f>
        <v>0.78724939172749386</v>
      </c>
      <c r="CZ355" s="67"/>
      <c r="DA355" s="49"/>
      <c r="DB355" s="416">
        <f>+DB354/822000</f>
        <v>0.8700863746958637</v>
      </c>
      <c r="DD355" s="67"/>
      <c r="DE355" s="49"/>
      <c r="DF355" s="416">
        <f>+DF354/822000</f>
        <v>0.91004501216545008</v>
      </c>
      <c r="DH355" s="49"/>
      <c r="DI355" s="49"/>
      <c r="DJ355" s="72"/>
      <c r="DL355" s="49"/>
      <c r="DM355" s="49"/>
      <c r="DN355" s="72"/>
      <c r="DP355" s="49"/>
      <c r="DQ355" s="49"/>
      <c r="DR355" s="72"/>
    </row>
    <row r="356" spans="1:128" s="20" customFormat="1" ht="13.8">
      <c r="A356" s="47" t="str">
        <f>A348</f>
        <v>CoD</v>
      </c>
      <c r="B356" s="49" t="s">
        <v>546</v>
      </c>
      <c r="BD356" s="67"/>
      <c r="BE356" s="75"/>
      <c r="BF356" s="72"/>
      <c r="BH356" s="75"/>
      <c r="BI356" s="75">
        <f>+BI348/BH348-1</f>
        <v>-5.3407835748164545E-2</v>
      </c>
      <c r="BJ356" s="72"/>
      <c r="BK356" s="49"/>
      <c r="BL356" s="75">
        <f>+BL348/BI348-1</f>
        <v>-9.7638822156633776E-3</v>
      </c>
      <c r="BM356" s="75">
        <f>+BM348/BL348-1</f>
        <v>-8.5812813003621757E-2</v>
      </c>
      <c r="BN356" s="72"/>
      <c r="BO356" s="49"/>
      <c r="BP356" s="75">
        <f>+BP348/BM348-1</f>
        <v>0.13062268979243674</v>
      </c>
      <c r="BQ356" s="75">
        <f>+BQ348/BP348-1</f>
        <v>6.370921771786886E-2</v>
      </c>
      <c r="BR356" s="72"/>
      <c r="BT356" s="75">
        <f>+BT348/BQ348-1</f>
        <v>2.5691138921287493E-2</v>
      </c>
      <c r="BU356" s="75">
        <f>+BU348/BT348-1</f>
        <v>-5.6042166082734046E-2</v>
      </c>
      <c r="BV356" s="72"/>
      <c r="BX356" s="75">
        <f>+BX348/BU348-1</f>
        <v>-6.5132103729508839E-2</v>
      </c>
      <c r="BY356" s="75">
        <f>+BY348/BX348-1</f>
        <v>-3.8413317545448189E-2</v>
      </c>
      <c r="BZ356" s="72"/>
      <c r="CB356" s="75">
        <f>+CB348/BY348-1</f>
        <v>-8.9348448082286036E-2</v>
      </c>
      <c r="CC356" s="75">
        <f>+CC348/CB348-1</f>
        <v>-0.14997613744829785</v>
      </c>
      <c r="CD356" s="72"/>
      <c r="CF356" s="75">
        <f>+CF348/CC348-1</f>
        <v>1.9276657465026048E-2</v>
      </c>
      <c r="CG356" s="75">
        <f>+CG348/CF348-1</f>
        <v>-0.1589166857929768</v>
      </c>
      <c r="CH356" s="72"/>
      <c r="CJ356" s="75">
        <f>+CJ348/CG348-1</f>
        <v>3.361894886208594E-2</v>
      </c>
      <c r="CK356" s="75">
        <f>+CK348/CJ348-1</f>
        <v>-0.14221975817096999</v>
      </c>
      <c r="CL356" s="72"/>
      <c r="CN356" s="75">
        <f>+CN348/CK348-1</f>
        <v>0.23111015358099163</v>
      </c>
      <c r="CO356" s="75">
        <f>+CO348/CN348-1</f>
        <v>-5.7300000000000018E-2</v>
      </c>
      <c r="CP356" s="72"/>
      <c r="CR356" s="75">
        <f>+CR348/CO348-1</f>
        <v>-2.023443301156258E-2</v>
      </c>
      <c r="CS356" s="75">
        <f>+CS348/CR348-1</f>
        <v>-7.8386791176072501E-2</v>
      </c>
      <c r="CT356" s="72"/>
      <c r="CV356" s="75">
        <f>+CV348/CS348-1</f>
        <v>0.30826162295515291</v>
      </c>
      <c r="CW356" s="75">
        <f>+CW348/CV348-1</f>
        <v>-5.8951621955326106E-2</v>
      </c>
      <c r="CX356" s="72"/>
      <c r="CZ356" s="75">
        <f>+CZ348/CW348-1</f>
        <v>-6.736801927526892E-2</v>
      </c>
      <c r="DA356" s="75">
        <f>+DA348/CZ348-1</f>
        <v>7.9575393272796946E-2</v>
      </c>
      <c r="DB356" s="72"/>
      <c r="DD356" s="75">
        <f>+DD348/DA348-1</f>
        <v>-6.2194948585509224E-2</v>
      </c>
      <c r="DE356" s="75">
        <f>+DE348/DD348-1</f>
        <v>0.15613551956746918</v>
      </c>
      <c r="DF356" s="72"/>
      <c r="DH356" s="75">
        <f>+DH348/DE348-1</f>
        <v>8.8111919191622423E-3</v>
      </c>
      <c r="DI356" s="75">
        <f>+DI348/DH348-1</f>
        <v>2.000000000000024E-2</v>
      </c>
      <c r="DJ356" s="72"/>
      <c r="DL356" s="75">
        <f>+DL348/DI348-1</f>
        <v>1.9999999999999796E-2</v>
      </c>
      <c r="DM356" s="75">
        <f>+DM348/DL348-1</f>
        <v>2.000000000000024E-2</v>
      </c>
      <c r="DN356" s="72"/>
      <c r="DP356" s="75">
        <f>+DP348/DM348-1</f>
        <v>1.9999999999999796E-2</v>
      </c>
      <c r="DQ356" s="75">
        <f>+DQ348/DP348-1</f>
        <v>2.000000000000024E-2</v>
      </c>
      <c r="DR356" s="72"/>
    </row>
    <row r="357" spans="1:128" s="20" customFormat="1" ht="13.8">
      <c r="A357" s="47" t="str">
        <f>A349</f>
        <v>Term Deposits</v>
      </c>
      <c r="B357" s="49" t="s">
        <v>546</v>
      </c>
      <c r="BD357" s="67"/>
      <c r="BE357" s="75"/>
      <c r="BF357" s="72"/>
      <c r="BH357" s="75"/>
      <c r="BI357" s="75">
        <f>+BI349/BH349-1</f>
        <v>3.619934616942988E-2</v>
      </c>
      <c r="BJ357" s="72"/>
      <c r="BK357" s="49"/>
      <c r="BL357" s="75">
        <f>+BL349/BI349-1</f>
        <v>1.8645783674628102E-2</v>
      </c>
      <c r="BM357" s="75">
        <f>+BM349/BL349-1</f>
        <v>1.337736364974873E-2</v>
      </c>
      <c r="BN357" s="72"/>
      <c r="BO357" s="49"/>
      <c r="BP357" s="75">
        <f>+BP349/BM349-1</f>
        <v>6.3186242968928275E-2</v>
      </c>
      <c r="BQ357" s="75">
        <f>+BQ349/BP349-1</f>
        <v>-4.9865051514693004E-2</v>
      </c>
      <c r="BR357" s="72"/>
      <c r="BT357" s="75">
        <f>+BT349/BQ349-1</f>
        <v>-1.16398528837659E-2</v>
      </c>
      <c r="BU357" s="75">
        <f>+BU349/BT349-1</f>
        <v>-1.3668728236577721E-3</v>
      </c>
      <c r="BV357" s="72"/>
      <c r="BX357" s="75">
        <f>+BX349/BU349-1</f>
        <v>5.7294675430789921E-2</v>
      </c>
      <c r="BY357" s="75">
        <f>+BY349/BX349-1</f>
        <v>-4.8164956978873352E-2</v>
      </c>
      <c r="BZ357" s="72"/>
      <c r="CB357" s="75">
        <f>+CB349/BY349-1</f>
        <v>2.0116770353362234E-2</v>
      </c>
      <c r="CC357" s="75">
        <f>+CC349/CB349-1</f>
        <v>8.8314466620365906E-2</v>
      </c>
      <c r="CD357" s="72"/>
      <c r="CF357" s="75">
        <f>+CF349/CC349-1</f>
        <v>3.8745679656422061E-2</v>
      </c>
      <c r="CG357" s="75">
        <f>+CG349/CF349-1</f>
        <v>1.832735426008969E-2</v>
      </c>
      <c r="CH357" s="72"/>
      <c r="CJ357" s="75">
        <f>+CJ349/CG349-1</f>
        <v>5.9554267747603307E-2</v>
      </c>
      <c r="CK357" s="75">
        <f>+CK349/CJ349-1</f>
        <v>-0.18011645352872474</v>
      </c>
      <c r="CL357" s="72"/>
      <c r="CN357" s="75">
        <f>+CN349/CK349-1</f>
        <v>-5.6292548904310236E-2</v>
      </c>
      <c r="CO357" s="75">
        <f>+CO349/CN349-1</f>
        <v>-4.881075157921877E-2</v>
      </c>
      <c r="CP357" s="72"/>
      <c r="CR357" s="75">
        <f>+CR349/CO349-1</f>
        <v>1.9990851644162921E-2</v>
      </c>
      <c r="CS357" s="75">
        <f>+CS349/CR349-1</f>
        <v>0.10764529041473581</v>
      </c>
      <c r="CT357" s="72"/>
      <c r="CV357" s="75">
        <f>+CV349/CS349-1</f>
        <v>0.25662787907869489</v>
      </c>
      <c r="CW357" s="75">
        <f>+CW349/CV349-1</f>
        <v>-1.3973413522350264E-2</v>
      </c>
      <c r="CX357" s="72"/>
      <c r="CZ357" s="75">
        <f>+CZ349/CW349-1</f>
        <v>-2.9670059259438553E-2</v>
      </c>
      <c r="DA357" s="75">
        <f>+DA349/CZ349-1</f>
        <v>0.13710099859481661</v>
      </c>
      <c r="DB357" s="72"/>
      <c r="DD357" s="75">
        <f>+DD349/DA349-1</f>
        <v>9.0473683440822406E-2</v>
      </c>
      <c r="DE357" s="75">
        <f>+DE349/DD349-1</f>
        <v>-9.8718576285279358E-2</v>
      </c>
      <c r="DF357" s="72"/>
      <c r="DH357" s="75">
        <f>+DH349/DE349-1</f>
        <v>-9.427301096722851E-3</v>
      </c>
      <c r="DI357" s="75">
        <f>+DI349/DH349-1</f>
        <v>2.8009150825454521E-2</v>
      </c>
      <c r="DJ357" s="72"/>
      <c r="DL357" s="75">
        <f>+DL349/DI349-1</f>
        <v>2.8024661398776241E-2</v>
      </c>
      <c r="DM357" s="75">
        <f>+DM349/DL349-1</f>
        <v>2.8040080701462244E-2</v>
      </c>
      <c r="DN357" s="72"/>
      <c r="DP357" s="75">
        <f>+DP349/DM349-1</f>
        <v>2.8055408809407156E-2</v>
      </c>
      <c r="DQ357" s="75">
        <f>+DQ349/DP349-1</f>
        <v>2.8070645806239414E-2</v>
      </c>
      <c r="DR357" s="72"/>
    </row>
    <row r="358" spans="1:128" s="20" customFormat="1" ht="13.8">
      <c r="A358" s="47" t="s">
        <v>577</v>
      </c>
      <c r="B358" s="49" t="s">
        <v>546</v>
      </c>
      <c r="BD358" s="67"/>
      <c r="BE358" s="75"/>
      <c r="BF358" s="72"/>
      <c r="BH358" s="75"/>
      <c r="BI358" s="75">
        <f>+BI350/BH350-1</f>
        <v>0.11380107941403228</v>
      </c>
      <c r="BJ358" s="72"/>
      <c r="BK358" s="49"/>
      <c r="BL358" s="75">
        <f>+BL350/BI350-1</f>
        <v>8.0922054547971856E-2</v>
      </c>
      <c r="BM358" s="75">
        <f>+BM350/BL350-1</f>
        <v>5.0528338136407225E-2</v>
      </c>
      <c r="BN358" s="72"/>
      <c r="BO358" s="49"/>
      <c r="BP358" s="75">
        <f>+BP350/BM350-1</f>
        <v>9.5159717142160538E-2</v>
      </c>
      <c r="BQ358" s="75">
        <f>+BQ350/BP350-1</f>
        <v>5.8224325076537742E-2</v>
      </c>
      <c r="BR358" s="72"/>
      <c r="BT358" s="75">
        <f>+BT350/BQ350-1</f>
        <v>1.2782073536373728E-2</v>
      </c>
      <c r="BU358" s="75">
        <f>+BU350/BT350-1</f>
        <v>8.5073231536304084E-2</v>
      </c>
      <c r="BV358" s="72"/>
      <c r="BX358" s="75">
        <f>+BX350/BU350-1</f>
        <v>4.1068351522113744E-2</v>
      </c>
      <c r="BY358" s="75">
        <f>+BY350/BX350-1</f>
        <v>5.3471264367816129E-2</v>
      </c>
      <c r="BZ358" s="72"/>
      <c r="CB358" s="75">
        <f>+CB350/BY350-1</f>
        <v>9.1040020948806255E-2</v>
      </c>
      <c r="CC358" s="75">
        <f>+CC350/CB350-1</f>
        <v>5.1602064082563404E-2</v>
      </c>
      <c r="CD358" s="72"/>
      <c r="CF358" s="75">
        <f>+CF350/CC350-1</f>
        <v>5.8199246833276375E-2</v>
      </c>
      <c r="CG358" s="75">
        <f>+CG350/CF350-1</f>
        <v>1.8800100650634421E-2</v>
      </c>
      <c r="CH358" s="72"/>
      <c r="CJ358" s="75">
        <f>+CJ350/CG350-1</f>
        <v>0.25471032390092452</v>
      </c>
      <c r="CK358" s="75">
        <f>+CK350/CJ350-1</f>
        <v>0.12128455330277554</v>
      </c>
      <c r="CL358" s="72"/>
      <c r="CN358" s="75">
        <f>+CN350/CK350-1</f>
        <v>0.15152731102974371</v>
      </c>
      <c r="CO358" s="75">
        <f>+CO350/CN350-1</f>
        <v>8.3413189302204094E-2</v>
      </c>
      <c r="CP358" s="72"/>
      <c r="CR358" s="75">
        <f>+CR350/CO350-1</f>
        <v>8.1715112772886345E-2</v>
      </c>
      <c r="CS358" s="75">
        <f>+CS350/CR350-1</f>
        <v>-5.3985244652580366E-2</v>
      </c>
      <c r="CT358" s="72"/>
      <c r="CV358" s="75">
        <f>+CV350/CS350-1</f>
        <v>-8.9085765921502413E-2</v>
      </c>
      <c r="CW358" s="75">
        <f>+CW350/CV350-1</f>
        <v>-7.4723426279355687E-2</v>
      </c>
      <c r="CX358" s="72"/>
      <c r="CZ358" s="75">
        <f>+CZ350/CW350-1</f>
        <v>-3.838623968675714E-2</v>
      </c>
      <c r="DA358" s="75">
        <f>+DA350/CZ350-1</f>
        <v>0.45674883055818127</v>
      </c>
      <c r="DB358" s="72"/>
      <c r="DD358" s="75">
        <f>+DD350/DA350-1</f>
        <v>1.3992413150539118E-2</v>
      </c>
      <c r="DE358" s="75">
        <f>+DE350/DD350-1</f>
        <v>6.415620641561981E-3</v>
      </c>
      <c r="DF358" s="72"/>
      <c r="DH358" s="75">
        <f>+DH350/DE350-1</f>
        <v>6.7348791137868957E-3</v>
      </c>
      <c r="DI358" s="75">
        <f>+DI350/DH350-1</f>
        <v>2.0000000000000018E-2</v>
      </c>
      <c r="DJ358" s="72"/>
      <c r="DL358" s="75">
        <f>+DL350/DI350-1</f>
        <v>2.0000000000000018E-2</v>
      </c>
      <c r="DM358" s="75">
        <f>+DM350/DL350-1</f>
        <v>2.0000000000000018E-2</v>
      </c>
      <c r="DN358" s="72"/>
      <c r="DP358" s="75">
        <f>+DP350/DM350-1</f>
        <v>2.0000000000000018E-2</v>
      </c>
      <c r="DQ358" s="75">
        <f>+DQ350/DP350-1</f>
        <v>2.0000000000000018E-2</v>
      </c>
      <c r="DR358" s="72"/>
    </row>
    <row r="359" spans="1:128" s="20" customFormat="1" ht="13.8">
      <c r="A359" s="47" t="str">
        <f>A351</f>
        <v>On demand &amp; ST deposits</v>
      </c>
      <c r="B359" s="49" t="s">
        <v>546</v>
      </c>
      <c r="BD359" s="67"/>
      <c r="BE359" s="75"/>
      <c r="BF359" s="72"/>
      <c r="BH359" s="75"/>
      <c r="BI359" s="75">
        <f>+BI351/BH351-1</f>
        <v>0.11074899028272078</v>
      </c>
      <c r="BJ359" s="72"/>
      <c r="BK359" s="49"/>
      <c r="BL359" s="75">
        <f>+BL351/BI351-1</f>
        <v>8.7544027025243221E-2</v>
      </c>
      <c r="BM359" s="75">
        <f>+BM351/BL351-1</f>
        <v>6.7365888915249084E-2</v>
      </c>
      <c r="BN359" s="72"/>
      <c r="BO359" s="49"/>
      <c r="BP359" s="75">
        <f>+BP351/BM351-1</f>
        <v>0.10030032203205841</v>
      </c>
      <c r="BQ359" s="75">
        <f>+BQ351/BP351-1</f>
        <v>7.7378407708244223E-2</v>
      </c>
      <c r="BR359" s="72"/>
      <c r="BT359" s="75">
        <f>+BT351/BQ351-1</f>
        <v>1.8401109299100771E-2</v>
      </c>
      <c r="BU359" s="75">
        <f>+BU351/BT351-1</f>
        <v>6.6237358383929301E-3</v>
      </c>
      <c r="BV359" s="72"/>
      <c r="BX359" s="75">
        <f>+BX351/BU351-1</f>
        <v>3.0016886359479633E-2</v>
      </c>
      <c r="BY359" s="75">
        <f>+BY351/BX351-1</f>
        <v>3.4002593348144705E-2</v>
      </c>
      <c r="BZ359" s="72"/>
      <c r="CB359" s="75">
        <f>+CB351/BY351-1</f>
        <v>-3.1231029745358851E-3</v>
      </c>
      <c r="CC359" s="75">
        <f>+CC351/CB351-1</f>
        <v>-1.6670005208124672E-2</v>
      </c>
      <c r="CD359" s="72"/>
      <c r="CF359" s="75">
        <f>+CF351/CC351-1</f>
        <v>-1.485033550757997E-2</v>
      </c>
      <c r="CG359" s="75">
        <f>+CG351/CF351-1</f>
        <v>5.9800499578170685E-2</v>
      </c>
      <c r="CH359" s="72"/>
      <c r="CJ359" s="75">
        <f>+CJ351/CG351-1</f>
        <v>0.13290981175662608</v>
      </c>
      <c r="CK359" s="75">
        <f>+CK351/CJ351-1</f>
        <v>8.5738691944172718E-2</v>
      </c>
      <c r="CL359" s="72"/>
      <c r="CN359" s="75">
        <f>+CN351/CK351-1</f>
        <v>4.5127785391604558E-2</v>
      </c>
      <c r="CO359" s="75">
        <f>+CO351/CN351-1</f>
        <v>0.11326459062472494</v>
      </c>
      <c r="CP359" s="72"/>
      <c r="CR359" s="75">
        <f>+CR351/CO351-1</f>
        <v>2.6903518697768192E-2</v>
      </c>
      <c r="CS359" s="75">
        <f>+CS351/CR351-1</f>
        <v>-1.9016414335859322E-2</v>
      </c>
      <c r="CT359" s="72"/>
      <c r="CV359" s="75">
        <f>+CV351/CS351-1</f>
        <v>-5.0370811454555242E-2</v>
      </c>
      <c r="CW359" s="75">
        <f>+CW351/CV351-1</f>
        <v>1.5590708279891619E-2</v>
      </c>
      <c r="CX359" s="72"/>
      <c r="CZ359" s="75">
        <f>+CZ351/CW351-1</f>
        <v>8.3436237090255272E-3</v>
      </c>
      <c r="DA359" s="75">
        <f>+DA351/CZ351-1</f>
        <v>6.2060769344239874E-2</v>
      </c>
      <c r="DB359" s="72"/>
      <c r="DD359" s="75">
        <f>+DD351/DA351-1</f>
        <v>4.1319108679187977E-2</v>
      </c>
      <c r="DE359" s="75">
        <f>+DE351/DD351-1</f>
        <v>5.1704004952712657E-2</v>
      </c>
      <c r="DF359" s="72"/>
      <c r="DH359" s="75">
        <f>+DH351/DE351-1</f>
        <v>5.9023200001260268E-3</v>
      </c>
      <c r="DI359" s="75">
        <f>+DI351/DH351-1</f>
        <v>1.3642075012534116E-2</v>
      </c>
      <c r="DJ359" s="72"/>
      <c r="DL359" s="75">
        <f>+DL351/DI351-1</f>
        <v>1.3737602538355764E-2</v>
      </c>
      <c r="DM359" s="75">
        <f>+DM351/DL351-1</f>
        <v>1.3829213704785071E-2</v>
      </c>
      <c r="DN359" s="72"/>
      <c r="DP359" s="75">
        <f>+DP351/DM351-1</f>
        <v>1.3917053080932051E-2</v>
      </c>
      <c r="DQ359" s="75">
        <f>+DQ351/DP351-1</f>
        <v>1.4001261278083321E-2</v>
      </c>
      <c r="DR359" s="72"/>
    </row>
    <row r="360" spans="1:128" s="21" customFormat="1" ht="13.8">
      <c r="A360" s="78" t="str">
        <f>A352</f>
        <v>Total Deposits ex Repo's and Com Paper</v>
      </c>
      <c r="B360" s="27"/>
      <c r="BD360" s="98"/>
      <c r="BE360" s="79"/>
      <c r="BF360" s="72"/>
      <c r="BH360" s="79"/>
      <c r="BI360" s="79">
        <f>+BI352/BH352-1</f>
        <v>5.2692435978208607E-2</v>
      </c>
      <c r="BJ360" s="72"/>
      <c r="BK360" s="27"/>
      <c r="BL360" s="79">
        <f>+BL352/BI352-1</f>
        <v>4.3821232092228435E-2</v>
      </c>
      <c r="BM360" s="79">
        <f>+BM352/BL352-1</f>
        <v>2.3813753111347369E-2</v>
      </c>
      <c r="BN360" s="72"/>
      <c r="BO360" s="27"/>
      <c r="BP360" s="79">
        <f>+BP352/BM352-1</f>
        <v>8.7920076251718493E-2</v>
      </c>
      <c r="BQ360" s="79">
        <f>+BQ352/BP352-1</f>
        <v>2.2407629091158787E-2</v>
      </c>
      <c r="BR360" s="72"/>
      <c r="BT360" s="79">
        <f>+BT352/BQ352-1</f>
        <v>7.5562672395239616E-3</v>
      </c>
      <c r="BU360" s="79">
        <f>+BU352/BT352-1</f>
        <v>-1.4207496070892667E-3</v>
      </c>
      <c r="BV360" s="72"/>
      <c r="BX360" s="79">
        <f>+BX352/BU352-1</f>
        <v>2.9285533460630564E-2</v>
      </c>
      <c r="BY360" s="79">
        <f>+BY352/BX352-1</f>
        <v>-4.9457379712178895E-3</v>
      </c>
      <c r="BZ360" s="72"/>
      <c r="CB360" s="79">
        <f>+CB352/BY352-1</f>
        <v>4.9818163702486373E-4</v>
      </c>
      <c r="CC360" s="79">
        <f>+CC352/CB352-1</f>
        <v>1.3421224993201308E-2</v>
      </c>
      <c r="CD360" s="72"/>
      <c r="CF360" s="79">
        <f>+CF352/CC352-1</f>
        <v>1.3279386808676241E-2</v>
      </c>
      <c r="CG360" s="79">
        <f>+CG352/CF352-1</f>
        <v>2.2652291245875977E-2</v>
      </c>
      <c r="CH360" s="72"/>
      <c r="CJ360" s="79">
        <f>+CJ352/CG352-1</f>
        <v>0.10219043329035515</v>
      </c>
      <c r="CK360" s="79">
        <f>+CK352/CJ352-1</f>
        <v>-3.2297881775192216E-2</v>
      </c>
      <c r="CL360" s="72"/>
      <c r="CN360" s="79">
        <f>+CN352/CK352-1</f>
        <v>2.8504549853467731E-2</v>
      </c>
      <c r="CO360" s="79">
        <f>+CO352/CN352-1</f>
        <v>4.9482565146918178E-2</v>
      </c>
      <c r="CP360" s="72"/>
      <c r="CR360" s="79">
        <f>+CR352/CO352-1</f>
        <v>2.6468025788464855E-2</v>
      </c>
      <c r="CS360" s="79">
        <f>+CS352/CR352-1</f>
        <v>1.0000015432122478E-2</v>
      </c>
      <c r="CT360" s="72"/>
      <c r="CV360" s="79">
        <f>+CV352/CS352-1</f>
        <v>5.9120307909038994E-2</v>
      </c>
      <c r="CW360" s="79">
        <f>+CW352/CV352-1</f>
        <v>-5.963887750803587E-3</v>
      </c>
      <c r="CX360" s="72"/>
      <c r="CZ360" s="79">
        <f>+CZ352/CW352-1</f>
        <v>-1.2848347986613273E-2</v>
      </c>
      <c r="DA360" s="79">
        <f>+DA352/CZ352-1</f>
        <v>0.11354557951145638</v>
      </c>
      <c r="DB360" s="72"/>
      <c r="DD360" s="79">
        <f>+DD352/DA352-1</f>
        <v>5.113299543052241E-2</v>
      </c>
      <c r="DE360" s="79">
        <f>+DE352/DD352-1</f>
        <v>-2.9240867881016319E-3</v>
      </c>
      <c r="DF360" s="72"/>
      <c r="DH360" s="79">
        <f>+DH352/DE352-1</f>
        <v>9.4312362220283497E-4</v>
      </c>
      <c r="DI360" s="79">
        <f>+DI352/DH352-1</f>
        <v>1.9320420177278974E-2</v>
      </c>
      <c r="DJ360" s="72"/>
      <c r="DL360" s="79">
        <f>+DL352/DI352-1</f>
        <v>1.9417538022980185E-2</v>
      </c>
      <c r="DM360" s="79">
        <f>+DM352/DL352-1</f>
        <v>1.9511979472681018E-2</v>
      </c>
      <c r="DN360" s="72"/>
      <c r="DP360" s="79">
        <f>+DP352/DM352-1</f>
        <v>1.9603865210694238E-2</v>
      </c>
      <c r="DQ360" s="79">
        <f>+DQ352/DP352-1</f>
        <v>1.9693311318432771E-2</v>
      </c>
      <c r="DR360" s="72"/>
      <c r="DW360" s="20"/>
      <c r="DX360" s="20"/>
    </row>
    <row r="361" spans="1:128" s="20" customFormat="1" ht="13.8">
      <c r="A361" s="78"/>
      <c r="B361" s="49"/>
      <c r="BH361" s="67"/>
      <c r="BI361" s="79"/>
      <c r="BJ361" s="72"/>
      <c r="BK361" s="49"/>
      <c r="BL361" s="67"/>
      <c r="BM361" s="79"/>
      <c r="BN361" s="72"/>
      <c r="BO361" s="49"/>
      <c r="BP361" s="67"/>
      <c r="BQ361" s="49"/>
      <c r="BR361" s="49"/>
      <c r="BT361" s="49"/>
      <c r="BU361" s="49"/>
      <c r="BV361" s="49"/>
      <c r="BX361" s="49"/>
      <c r="BY361" s="49"/>
      <c r="BZ361" s="49"/>
      <c r="CB361" s="49"/>
      <c r="CC361" s="49"/>
      <c r="CD361" s="49"/>
      <c r="CF361" s="49"/>
      <c r="CG361" s="49"/>
      <c r="CH361" s="49"/>
      <c r="CJ361" s="49"/>
      <c r="CK361" s="49"/>
      <c r="CL361" s="49"/>
      <c r="CN361" s="49"/>
      <c r="CO361" s="49"/>
      <c r="CP361" s="49"/>
      <c r="CR361" s="49"/>
      <c r="CS361" s="49"/>
      <c r="CT361" s="49"/>
      <c r="CV361" s="49"/>
      <c r="CW361" s="49"/>
      <c r="CX361" s="49"/>
      <c r="CZ361" s="49"/>
      <c r="DA361" s="49"/>
      <c r="DB361" s="49"/>
      <c r="DD361" s="49"/>
      <c r="DE361" s="49"/>
      <c r="DF361" s="49"/>
      <c r="DH361" s="49"/>
      <c r="DI361" s="49"/>
      <c r="DJ361" s="49"/>
      <c r="DL361" s="49"/>
      <c r="DM361" s="49"/>
      <c r="DN361" s="49"/>
      <c r="DP361" s="49"/>
      <c r="DQ361" s="49"/>
      <c r="DR361" s="49"/>
    </row>
    <row r="362" spans="1:128" s="343" customFormat="1" ht="13.8">
      <c r="A362" s="343" t="s">
        <v>582</v>
      </c>
      <c r="B362" s="344"/>
      <c r="BH362" s="344"/>
      <c r="BI362" s="344"/>
      <c r="BJ362" s="344"/>
      <c r="BK362" s="344"/>
      <c r="BL362" s="344"/>
      <c r="BM362" s="344"/>
      <c r="BN362" s="344"/>
      <c r="BO362" s="344"/>
      <c r="BP362" s="344"/>
      <c r="BT362" s="344"/>
      <c r="BX362" s="344"/>
      <c r="CB362" s="344"/>
      <c r="CF362" s="344"/>
      <c r="CJ362" s="344"/>
      <c r="CN362" s="344"/>
      <c r="CR362" s="344"/>
      <c r="CV362" s="344"/>
      <c r="CZ362" s="344"/>
      <c r="DD362" s="344"/>
      <c r="DH362" s="344"/>
      <c r="DL362" s="344"/>
      <c r="DP362" s="344"/>
      <c r="DT362" s="743"/>
      <c r="DU362" s="743"/>
      <c r="DV362" s="743"/>
      <c r="DW362" s="20"/>
      <c r="DX362" s="20"/>
    </row>
    <row r="363" spans="1:128" s="20" customFormat="1" ht="13.8">
      <c r="A363" s="78"/>
      <c r="B363" s="49"/>
      <c r="BH363" s="67"/>
      <c r="BI363" s="79"/>
      <c r="BJ363" s="72"/>
      <c r="BK363" s="49"/>
      <c r="BL363" s="67"/>
      <c r="BM363" s="79"/>
      <c r="BN363" s="72"/>
      <c r="BO363" s="49"/>
      <c r="BP363" s="67"/>
      <c r="BT363" s="49"/>
      <c r="BX363" s="49"/>
      <c r="CB363" s="49"/>
      <c r="CF363" s="49"/>
      <c r="CJ363" s="49"/>
      <c r="CN363" s="49"/>
      <c r="CR363" s="49"/>
      <c r="CV363" s="49"/>
      <c r="CZ363" s="49"/>
      <c r="DD363" s="49"/>
      <c r="DH363" s="49"/>
      <c r="DL363" s="49"/>
      <c r="DP363" s="49"/>
    </row>
    <row r="364" spans="1:128" s="20" customFormat="1" ht="13.8">
      <c r="A364" s="21" t="s">
        <v>736</v>
      </c>
      <c r="B364" s="49"/>
      <c r="BH364" s="65">
        <f>BH154</f>
        <v>459715</v>
      </c>
      <c r="BI364" s="65">
        <f>BI154</f>
        <v>488571</v>
      </c>
      <c r="BJ364" s="65">
        <f>BJ154</f>
        <v>488571</v>
      </c>
      <c r="BK364" s="75"/>
      <c r="BL364" s="65">
        <f>BL154</f>
        <v>514485</v>
      </c>
      <c r="BM364" s="65">
        <f>BM154</f>
        <v>526577</v>
      </c>
      <c r="BN364" s="65">
        <f>BN154</f>
        <v>526577</v>
      </c>
      <c r="BO364" s="75"/>
      <c r="BP364" s="65">
        <f>BP154</f>
        <v>563034</v>
      </c>
      <c r="BQ364" s="65">
        <f>BQ154</f>
        <v>574994</v>
      </c>
      <c r="BR364" s="65">
        <f>BR154</f>
        <v>574994</v>
      </c>
      <c r="BS364" s="75">
        <f>+BR364/BN364-1</f>
        <v>9.1946666869232807E-2</v>
      </c>
      <c r="BT364" s="65">
        <f>BT154</f>
        <v>566464</v>
      </c>
      <c r="BU364" s="65">
        <f>BU154</f>
        <v>580579</v>
      </c>
      <c r="BV364" s="65">
        <f>BV154</f>
        <v>580579</v>
      </c>
      <c r="BW364" s="75">
        <f>+BV364/BR364-1</f>
        <v>9.7131448328156011E-3</v>
      </c>
      <c r="BX364" s="65">
        <f>BX154</f>
        <v>580816</v>
      </c>
      <c r="BY364" s="65">
        <f>BY154</f>
        <v>584502</v>
      </c>
      <c r="BZ364" s="65">
        <f>BZ154</f>
        <v>584502</v>
      </c>
      <c r="CA364" s="75">
        <f>+BZ364/BV364-1</f>
        <v>6.757047705824748E-3</v>
      </c>
      <c r="CB364" s="65">
        <f>CB154</f>
        <v>595983</v>
      </c>
      <c r="CC364" s="65">
        <f>CC154</f>
        <v>608810</v>
      </c>
      <c r="CD364" s="65">
        <f>CD154</f>
        <v>608810</v>
      </c>
      <c r="CE364" s="75">
        <f>+CD364/BZ364-1</f>
        <v>4.1587539478051383E-2</v>
      </c>
      <c r="CF364" s="65">
        <f>CF154</f>
        <v>614216</v>
      </c>
      <c r="CG364" s="65">
        <f>CG154</f>
        <v>619165</v>
      </c>
      <c r="CH364" s="65">
        <f>CH154</f>
        <v>619165</v>
      </c>
      <c r="CI364" s="75">
        <f>+CH364/CD364-1</f>
        <v>1.7008590529064893E-2</v>
      </c>
      <c r="CJ364" s="65">
        <f>CJ154</f>
        <v>661939</v>
      </c>
      <c r="CK364" s="65">
        <f>CK154</f>
        <v>622534</v>
      </c>
      <c r="CL364" s="65">
        <f>CL154</f>
        <v>622534</v>
      </c>
      <c r="CM364" s="75">
        <f>+CL364/CH364-1</f>
        <v>5.441199034183164E-3</v>
      </c>
      <c r="CN364" s="65">
        <f>CN154</f>
        <v>619046</v>
      </c>
      <c r="CO364" s="65">
        <f>CO154</f>
        <v>634198</v>
      </c>
      <c r="CP364" s="65">
        <f>CP154</f>
        <v>634198</v>
      </c>
      <c r="CQ364" s="75">
        <f>+CP364/CL364-1</f>
        <v>1.8736326048055307E-2</v>
      </c>
      <c r="CR364" s="65">
        <f>CR154</f>
        <v>655455</v>
      </c>
      <c r="CS364" s="65">
        <f>CS154</f>
        <v>676507</v>
      </c>
      <c r="CT364" s="65">
        <f>CT154</f>
        <v>676507</v>
      </c>
      <c r="CU364" s="75">
        <f>+CT364/CP364-1</f>
        <v>6.6712603950185967E-2</v>
      </c>
      <c r="CV364" s="65">
        <f>CV154</f>
        <v>694271</v>
      </c>
      <c r="CW364" s="65">
        <f>CW154</f>
        <v>711105</v>
      </c>
      <c r="CX364" s="65">
        <f>CX154</f>
        <v>711105</v>
      </c>
      <c r="CY364" s="75">
        <f>+CX364/CT364-1</f>
        <v>5.1142116785192204E-2</v>
      </c>
      <c r="CZ364" s="65">
        <f>CZ154</f>
        <v>719154</v>
      </c>
      <c r="DA364" s="65">
        <f>DA154</f>
        <v>807572</v>
      </c>
      <c r="DB364" s="65">
        <f>DB154</f>
        <v>807572</v>
      </c>
      <c r="DC364" s="75">
        <f>+DB364/CX364-1</f>
        <v>0.13565788455994543</v>
      </c>
      <c r="DD364" s="65">
        <f>DD154</f>
        <v>824547</v>
      </c>
      <c r="DE364" s="65">
        <f>DE154</f>
        <v>833971</v>
      </c>
      <c r="DF364" s="65">
        <f>DF154</f>
        <v>833971</v>
      </c>
      <c r="DG364" s="75">
        <f>+DF364/DB364-1</f>
        <v>3.2689345346297305E-2</v>
      </c>
      <c r="DH364" s="65">
        <f>DH154</f>
        <v>839814.53258427838</v>
      </c>
      <c r="DI364" s="65">
        <f>DI154</f>
        <v>858051.63310989505</v>
      </c>
      <c r="DJ364" s="65">
        <f>DJ154</f>
        <v>858051.63310989505</v>
      </c>
      <c r="DK364" s="75">
        <f>+DJ364/DF364-1</f>
        <v>2.8874664838339781E-2</v>
      </c>
      <c r="DL364" s="65">
        <f>DL154</f>
        <v>877164.28884523176</v>
      </c>
      <c r="DM364" s="65">
        <f>DM154</f>
        <v>898441.30052072858</v>
      </c>
      <c r="DN364" s="65">
        <f>DN154</f>
        <v>898441.30052072858</v>
      </c>
      <c r="DO364" s="75">
        <f>+DN364/DJ364-1</f>
        <v>4.7071371759350278E-2</v>
      </c>
      <c r="DP364" s="65">
        <f>DP154</f>
        <v>916529.72743910458</v>
      </c>
      <c r="DQ364" s="65">
        <f>DQ154</f>
        <v>936390.7061425281</v>
      </c>
      <c r="DR364" s="65">
        <f>DR154</f>
        <v>936390.7061425281</v>
      </c>
      <c r="DS364" s="75">
        <f>+DR364/DN364-1</f>
        <v>4.2239159753457933E-2</v>
      </c>
      <c r="DT364" s="75"/>
      <c r="DU364" s="75"/>
      <c r="DV364" s="75"/>
    </row>
    <row r="365" spans="1:128" s="20" customFormat="1" ht="13.8">
      <c r="A365" s="20" t="s">
        <v>182</v>
      </c>
      <c r="B365" s="49"/>
      <c r="BH365" s="65">
        <f>BH155+BH157</f>
        <v>-5399</v>
      </c>
      <c r="BI365" s="65">
        <f>BI155+BI157</f>
        <v>-5308</v>
      </c>
      <c r="BJ365" s="65">
        <f>BI365</f>
        <v>-5308</v>
      </c>
      <c r="BK365" s="49"/>
      <c r="BL365" s="65">
        <f>BL155+BL157</f>
        <v>-5235</v>
      </c>
      <c r="BM365" s="65">
        <f>BM155+BM157</f>
        <v>-4825</v>
      </c>
      <c r="BN365" s="65">
        <f>BM365</f>
        <v>-4825</v>
      </c>
      <c r="BO365" s="49"/>
      <c r="BP365" s="65">
        <f>BP155+BP157</f>
        <v>-4831</v>
      </c>
      <c r="BQ365" s="65">
        <f>BQ155+BQ157</f>
        <v>-4756</v>
      </c>
      <c r="BR365" s="65">
        <f>BQ365</f>
        <v>-4756</v>
      </c>
      <c r="BT365" s="65">
        <f>BT155+BT157</f>
        <v>-4696</v>
      </c>
      <c r="BU365" s="65">
        <f>BU155+BU157</f>
        <v>-4727</v>
      </c>
      <c r="BV365" s="65">
        <f>BU365</f>
        <v>-4727</v>
      </c>
      <c r="BX365" s="65">
        <f>BX155+BX157</f>
        <v>-4512</v>
      </c>
      <c r="BY365" s="65">
        <f>BY155+BY157</f>
        <v>-4209</v>
      </c>
      <c r="BZ365" s="65">
        <f>BY365</f>
        <v>-4209</v>
      </c>
      <c r="CB365" s="65">
        <f>CB155+CB157</f>
        <v>-4036</v>
      </c>
      <c r="CC365" s="65">
        <f>CC155+CC157</f>
        <v>-3873</v>
      </c>
      <c r="CD365" s="65">
        <f>CC365</f>
        <v>-3873</v>
      </c>
      <c r="CF365" s="65">
        <f>CF155+CF157</f>
        <v>-4047</v>
      </c>
      <c r="CG365" s="65">
        <f>CG155+CG157</f>
        <v>-3907</v>
      </c>
      <c r="CH365" s="65">
        <f>CG365</f>
        <v>-3907</v>
      </c>
      <c r="CJ365" s="65">
        <f>CJ155+CJ157</f>
        <v>-5330</v>
      </c>
      <c r="CK365" s="65">
        <f>CK155+CK157</f>
        <v>-5441</v>
      </c>
      <c r="CL365" s="65">
        <f>CK365</f>
        <v>-5441</v>
      </c>
      <c r="CN365" s="65">
        <f>CN155+CN157</f>
        <v>-4687</v>
      </c>
      <c r="CO365" s="65">
        <f>CO155+CO157</f>
        <v>-4479</v>
      </c>
      <c r="CP365" s="65">
        <f>CO365</f>
        <v>-4479</v>
      </c>
      <c r="CR365" s="65">
        <f>CR155+CR157</f>
        <v>-4019</v>
      </c>
      <c r="CS365" s="65">
        <f>CS155+CS157</f>
        <v>-4100</v>
      </c>
      <c r="CT365" s="65">
        <f>CS365</f>
        <v>-4100</v>
      </c>
      <c r="CV365" s="65">
        <f>CV155+CV157</f>
        <v>-4184</v>
      </c>
      <c r="CW365" s="65">
        <f>CW155+CW157</f>
        <v>-4061</v>
      </c>
      <c r="CX365" s="65">
        <f>CW365</f>
        <v>-4061</v>
      </c>
      <c r="CZ365" s="65">
        <f>CZ155+CZ157</f>
        <v>-3983</v>
      </c>
      <c r="DA365" s="65">
        <f>DA155+DA157</f>
        <v>-4190</v>
      </c>
      <c r="DB365" s="65">
        <f>DA365</f>
        <v>-4190</v>
      </c>
      <c r="DD365" s="65">
        <f>DD155+DD157</f>
        <v>-4345</v>
      </c>
      <c r="DE365" s="65">
        <f>DE155+DE157</f>
        <v>-4515</v>
      </c>
      <c r="DF365" s="65">
        <f>DE365</f>
        <v>-4515</v>
      </c>
      <c r="DH365" s="65">
        <f ca="1">DH155+DH157</f>
        <v>-4955.3032169809521</v>
      </c>
      <c r="DI365" s="65">
        <f ca="1">DI155+DI157</f>
        <v>-5007.805929042669</v>
      </c>
      <c r="DJ365" s="65">
        <f ca="1">DI365</f>
        <v>-5007.805929042669</v>
      </c>
      <c r="DL365" s="65">
        <f ca="1">DL155+DL157</f>
        <v>-5020.5507696229924</v>
      </c>
      <c r="DM365" s="65">
        <f ca="1">DM155+DM157</f>
        <v>-5161.9622074805284</v>
      </c>
      <c r="DN365" s="65">
        <f ca="1">DM365</f>
        <v>-5161.9622074805284</v>
      </c>
      <c r="DP365" s="65">
        <f ca="1">DP155+DP157</f>
        <v>-5289.9770458169005</v>
      </c>
      <c r="DQ365" s="65">
        <f ca="1">DQ155+DQ157</f>
        <v>-5430.7222813265507</v>
      </c>
      <c r="DR365" s="65">
        <f ca="1">DQ365</f>
        <v>-5430.7222813265507</v>
      </c>
    </row>
    <row r="366" spans="1:128" s="20" customFormat="1" ht="13.8">
      <c r="A366" s="21" t="s">
        <v>181</v>
      </c>
      <c r="B366" s="49"/>
      <c r="BH366" s="72">
        <f>SUM(BH364:BH365)</f>
        <v>454316</v>
      </c>
      <c r="BI366" s="72">
        <f>SUM(BI364:BI365)</f>
        <v>483263</v>
      </c>
      <c r="BJ366" s="72">
        <f>SUM(BJ364:BJ365)</f>
        <v>483263</v>
      </c>
      <c r="BK366" s="49"/>
      <c r="BL366" s="72">
        <f>SUM(BL364:BL365)</f>
        <v>509250</v>
      </c>
      <c r="BM366" s="72">
        <f>SUM(BM364:BM365)</f>
        <v>521752</v>
      </c>
      <c r="BN366" s="72">
        <f>SUM(BN364:BN365)</f>
        <v>521752</v>
      </c>
      <c r="BO366" s="49"/>
      <c r="BP366" s="72">
        <f>SUM(BP364:BP365)</f>
        <v>558203</v>
      </c>
      <c r="BQ366" s="72">
        <f>SUM(BQ364:BQ365)</f>
        <v>570238</v>
      </c>
      <c r="BR366" s="72">
        <f>SUM(BR364:BR365)</f>
        <v>570238</v>
      </c>
      <c r="BT366" s="72">
        <f>SUM(BT364:BT365)</f>
        <v>561768</v>
      </c>
      <c r="BU366" s="72">
        <f>SUM(BU364:BU365)</f>
        <v>575852</v>
      </c>
      <c r="BV366" s="72">
        <f>SUM(BV364:BV365)</f>
        <v>575852</v>
      </c>
      <c r="BX366" s="72">
        <f>SUM(BX364:BX365)</f>
        <v>576304</v>
      </c>
      <c r="BY366" s="72">
        <f>SUM(BY364:BY365)</f>
        <v>580293</v>
      </c>
      <c r="BZ366" s="72">
        <f>SUM(BZ364:BZ365)</f>
        <v>580293</v>
      </c>
      <c r="CB366" s="72">
        <f>SUM(CB364:CB365)</f>
        <v>591947</v>
      </c>
      <c r="CC366" s="72">
        <f>SUM(CC364:CC365)</f>
        <v>604937</v>
      </c>
      <c r="CD366" s="72">
        <f>SUM(CD364:CD365)</f>
        <v>604937</v>
      </c>
      <c r="CF366" s="72">
        <f>SUM(CF364:CF365)</f>
        <v>610169</v>
      </c>
      <c r="CG366" s="72">
        <f>SUM(CG364:CG365)</f>
        <v>615258</v>
      </c>
      <c r="CH366" s="72">
        <f>SUM(CH364:CH365)</f>
        <v>615258</v>
      </c>
      <c r="CJ366" s="72">
        <f>SUM(CJ364:CJ365)</f>
        <v>656609</v>
      </c>
      <c r="CK366" s="72">
        <f>SUM(CK364:CK365)</f>
        <v>617093</v>
      </c>
      <c r="CL366" s="72">
        <f>SUM(CL364:CL365)</f>
        <v>617093</v>
      </c>
      <c r="CN366" s="72">
        <f>SUM(CN364:CN365)</f>
        <v>614359</v>
      </c>
      <c r="CO366" s="72">
        <f>SUM(CO364:CO365)</f>
        <v>629719</v>
      </c>
      <c r="CP366" s="72">
        <f>SUM(CP364:CP365)</f>
        <v>629719</v>
      </c>
      <c r="CR366" s="72">
        <f>SUM(CR364:CR365)</f>
        <v>651436</v>
      </c>
      <c r="CS366" s="72">
        <f>SUM(CS364:CS365)</f>
        <v>672407</v>
      </c>
      <c r="CT366" s="72">
        <f>SUM(CT364:CT365)</f>
        <v>672407</v>
      </c>
      <c r="CV366" s="72">
        <f>SUM(CV364:CV365)</f>
        <v>690087</v>
      </c>
      <c r="CW366" s="72">
        <f>SUM(CW364:CW365)</f>
        <v>707044</v>
      </c>
      <c r="CX366" s="72">
        <f>SUM(CX364:CX365)</f>
        <v>707044</v>
      </c>
      <c r="CZ366" s="72">
        <f>SUM(CZ364:CZ365)</f>
        <v>715171</v>
      </c>
      <c r="DA366" s="72">
        <f>SUM(DA364:DA365)</f>
        <v>803382</v>
      </c>
      <c r="DB366" s="72">
        <f>SUM(DB364:DB365)</f>
        <v>803382</v>
      </c>
      <c r="DD366" s="72">
        <f>SUM(DD364:DD365)</f>
        <v>820202</v>
      </c>
      <c r="DE366" s="72">
        <f>SUM(DE364:DE365)</f>
        <v>829456</v>
      </c>
      <c r="DF366" s="72">
        <f>SUM(DF364:DF365)</f>
        <v>829456</v>
      </c>
      <c r="DH366" s="72">
        <f ca="1">SUM(DH364:DH365)</f>
        <v>834859.22936729738</v>
      </c>
      <c r="DI366" s="72">
        <f ca="1">SUM(DI364:DI365)</f>
        <v>853043.82718085242</v>
      </c>
      <c r="DJ366" s="72">
        <f ca="1">SUM(DJ364:DJ365)</f>
        <v>853043.82718085242</v>
      </c>
      <c r="DL366" s="72">
        <f ca="1">SUM(DL364:DL365)</f>
        <v>872143.73807560874</v>
      </c>
      <c r="DM366" s="72">
        <f ca="1">SUM(DM364:DM365)</f>
        <v>893279.33831324801</v>
      </c>
      <c r="DN366" s="72">
        <f ca="1">SUM(DN364:DN365)</f>
        <v>893279.33831324801</v>
      </c>
      <c r="DP366" s="72">
        <f ca="1">SUM(DP364:DP365)</f>
        <v>911239.75039328763</v>
      </c>
      <c r="DQ366" s="72">
        <f ca="1">SUM(DQ364:DQ365)</f>
        <v>930959.98386120156</v>
      </c>
      <c r="DR366" s="72">
        <f ca="1">SUM(DR364:DR365)</f>
        <v>930959.98386120156</v>
      </c>
    </row>
    <row r="367" spans="1:128" s="20" customFormat="1" ht="13.8">
      <c r="A367" s="20" t="s">
        <v>583</v>
      </c>
      <c r="B367" s="49" t="s">
        <v>479</v>
      </c>
      <c r="BH367" s="67">
        <v>31199</v>
      </c>
      <c r="BI367" s="67">
        <v>32083</v>
      </c>
      <c r="BJ367" s="65">
        <f>BI367</f>
        <v>32083</v>
      </c>
      <c r="BK367" s="49"/>
      <c r="BL367" s="67">
        <v>33197</v>
      </c>
      <c r="BM367" s="67">
        <v>33579</v>
      </c>
      <c r="BN367" s="65">
        <f>BM367</f>
        <v>33579</v>
      </c>
      <c r="BO367" s="49"/>
      <c r="BP367" s="67">
        <v>36495</v>
      </c>
      <c r="BQ367" s="67">
        <v>34820</v>
      </c>
      <c r="BR367" s="65">
        <f>BQ367</f>
        <v>34820</v>
      </c>
      <c r="BT367" s="67">
        <v>34541</v>
      </c>
      <c r="BU367" s="67">
        <v>35656</v>
      </c>
      <c r="BV367" s="65">
        <f>BU367</f>
        <v>35656</v>
      </c>
      <c r="BX367" s="67">
        <v>37602</v>
      </c>
      <c r="BY367" s="67">
        <v>37964</v>
      </c>
      <c r="BZ367" s="65">
        <f>BY367</f>
        <v>37964</v>
      </c>
      <c r="CB367" s="67">
        <v>0</v>
      </c>
      <c r="CC367" s="67">
        <v>0</v>
      </c>
      <c r="CD367" s="65">
        <f>CC367</f>
        <v>0</v>
      </c>
      <c r="CF367" s="67">
        <v>0</v>
      </c>
      <c r="CG367" s="67">
        <v>0</v>
      </c>
      <c r="CH367" s="65">
        <f>CG367</f>
        <v>0</v>
      </c>
      <c r="CJ367" s="67">
        <v>0</v>
      </c>
      <c r="CK367" s="67">
        <v>0</v>
      </c>
      <c r="CL367" s="65">
        <f>CK367</f>
        <v>0</v>
      </c>
      <c r="CN367" s="67">
        <v>0</v>
      </c>
      <c r="CO367" s="67">
        <v>0</v>
      </c>
      <c r="CP367" s="65">
        <f>CO367</f>
        <v>0</v>
      </c>
      <c r="CR367" s="67">
        <v>0</v>
      </c>
      <c r="CS367" s="67">
        <v>0</v>
      </c>
      <c r="CT367" s="65">
        <f>CS367</f>
        <v>0</v>
      </c>
      <c r="CV367" s="67">
        <v>0</v>
      </c>
      <c r="CW367" s="67">
        <v>0</v>
      </c>
      <c r="CX367" s="65">
        <f>CW367</f>
        <v>0</v>
      </c>
      <c r="CZ367" s="67">
        <v>0</v>
      </c>
      <c r="DA367" s="67">
        <v>0</v>
      </c>
      <c r="DB367" s="65">
        <f>DA367</f>
        <v>0</v>
      </c>
      <c r="DD367" s="67">
        <v>0</v>
      </c>
      <c r="DE367" s="67">
        <v>0</v>
      </c>
      <c r="DF367" s="65">
        <f>DE367</f>
        <v>0</v>
      </c>
      <c r="DH367" s="65">
        <f>DH392</f>
        <v>0</v>
      </c>
      <c r="DI367" s="65">
        <f>DI392</f>
        <v>0</v>
      </c>
      <c r="DJ367" s="65">
        <f>DI367</f>
        <v>0</v>
      </c>
      <c r="DL367" s="65">
        <f>DL392</f>
        <v>0</v>
      </c>
      <c r="DM367" s="65">
        <f>DM392</f>
        <v>0</v>
      </c>
      <c r="DN367" s="65">
        <f>DM367</f>
        <v>0</v>
      </c>
      <c r="DP367" s="65">
        <f>DP392</f>
        <v>0</v>
      </c>
      <c r="DQ367" s="65">
        <f>DQ392</f>
        <v>0</v>
      </c>
      <c r="DR367" s="65">
        <f>DQ367</f>
        <v>0</v>
      </c>
    </row>
    <row r="368" spans="1:128" s="20" customFormat="1" ht="13.8">
      <c r="A368" s="20" t="s">
        <v>584</v>
      </c>
      <c r="B368" s="49" t="s">
        <v>480</v>
      </c>
      <c r="BD368" s="67"/>
      <c r="BE368" s="67"/>
      <c r="BF368" s="65"/>
      <c r="BH368" s="67">
        <v>7142</v>
      </c>
      <c r="BI368" s="67">
        <v>7690</v>
      </c>
      <c r="BJ368" s="65">
        <f>BI368</f>
        <v>7690</v>
      </c>
      <c r="BK368" s="49"/>
      <c r="BL368" s="67">
        <v>7969</v>
      </c>
      <c r="BM368" s="67">
        <v>7950</v>
      </c>
      <c r="BN368" s="65">
        <f>BM368</f>
        <v>7950</v>
      </c>
      <c r="BO368" s="49"/>
      <c r="BP368" s="67">
        <v>8384</v>
      </c>
      <c r="BQ368" s="67">
        <v>8312</v>
      </c>
      <c r="BR368" s="65">
        <f>BQ368</f>
        <v>8312</v>
      </c>
      <c r="BT368" s="67">
        <v>7585</v>
      </c>
      <c r="BU368" s="67">
        <v>7672</v>
      </c>
      <c r="BV368" s="65">
        <f>BU368</f>
        <v>7672</v>
      </c>
      <c r="BX368" s="67">
        <v>7053</v>
      </c>
      <c r="BY368" s="67">
        <v>6970</v>
      </c>
      <c r="BZ368" s="65">
        <f>BY368</f>
        <v>6970</v>
      </c>
      <c r="CB368" s="67">
        <v>5338</v>
      </c>
      <c r="CC368" s="67">
        <v>4930</v>
      </c>
      <c r="CD368" s="65">
        <f>CC368</f>
        <v>4930</v>
      </c>
      <c r="CF368" s="67">
        <v>5017</v>
      </c>
      <c r="CG368" s="67">
        <v>4861</v>
      </c>
      <c r="CH368" s="65">
        <f>CG368</f>
        <v>4861</v>
      </c>
      <c r="CJ368" s="67">
        <v>4957</v>
      </c>
      <c r="CK368" s="67">
        <v>4379</v>
      </c>
      <c r="CL368" s="65">
        <f>CK368</f>
        <v>4379</v>
      </c>
      <c r="CN368" s="67">
        <v>4024</v>
      </c>
      <c r="CO368" s="67">
        <v>4124</v>
      </c>
      <c r="CP368" s="65">
        <f>CO368</f>
        <v>4124</v>
      </c>
      <c r="CR368" s="67">
        <v>4068</v>
      </c>
      <c r="CS368" s="67">
        <v>3877</v>
      </c>
      <c r="CT368" s="65">
        <f>CS368</f>
        <v>3877</v>
      </c>
      <c r="CV368" s="67">
        <v>4037</v>
      </c>
      <c r="CW368" s="67">
        <v>4058</v>
      </c>
      <c r="CX368" s="65">
        <f>CW368</f>
        <v>4058</v>
      </c>
      <c r="CZ368" s="67">
        <v>3998</v>
      </c>
      <c r="DA368" s="67">
        <v>5511</v>
      </c>
      <c r="DB368" s="65">
        <f>DA368</f>
        <v>5511</v>
      </c>
      <c r="DD368" s="67">
        <v>5865</v>
      </c>
      <c r="DE368" s="67">
        <v>5765</v>
      </c>
      <c r="DF368" s="65">
        <f>DE368</f>
        <v>5765</v>
      </c>
      <c r="DH368" s="65">
        <f>DH399</f>
        <v>5713.4903129657232</v>
      </c>
      <c r="DI368" s="65">
        <f>DI399</f>
        <v>5692.1815591264176</v>
      </c>
      <c r="DJ368" s="65">
        <f>DI368</f>
        <v>5692.1815591264176</v>
      </c>
      <c r="DL368" s="65">
        <f>DL399</f>
        <v>5655.1415076358226</v>
      </c>
      <c r="DM368" s="65">
        <f>DM399</f>
        <v>5645.4908567595348</v>
      </c>
      <c r="DN368" s="65">
        <f>DM368</f>
        <v>5645.4908567595348</v>
      </c>
      <c r="DP368" s="65">
        <f>DP399</f>
        <v>5617.2485238371401</v>
      </c>
      <c r="DQ368" s="65">
        <f>DQ399</f>
        <v>5615.6335971242042</v>
      </c>
      <c r="DR368" s="65">
        <f>DQ368</f>
        <v>5615.6335971242042</v>
      </c>
    </row>
    <row r="369" spans="1:128" s="20" customFormat="1" ht="13.8">
      <c r="A369" s="20" t="s">
        <v>510</v>
      </c>
      <c r="B369" s="49"/>
      <c r="BH369" s="65">
        <f>+BH370-BH368-BH367-BH366</f>
        <v>179973</v>
      </c>
      <c r="BI369" s="65">
        <f>+BI370-BI368-BI367-BI366</f>
        <v>179959</v>
      </c>
      <c r="BJ369" s="65">
        <f>BI369</f>
        <v>179959</v>
      </c>
      <c r="BK369" s="49"/>
      <c r="BL369" s="65">
        <f>+BL370-BL368-BL367-BL366</f>
        <v>187399</v>
      </c>
      <c r="BM369" s="65">
        <f>+BM370-BM368-BM367-BM366</f>
        <v>208811</v>
      </c>
      <c r="BN369" s="65">
        <f>BM369</f>
        <v>208811</v>
      </c>
      <c r="BO369" s="49"/>
      <c r="BP369" s="65">
        <f>+BP370-BP368-BP367-BP366</f>
        <v>257005</v>
      </c>
      <c r="BQ369" s="65">
        <f>+BQ370-BQ368-BQ367-BQ366</f>
        <v>276530</v>
      </c>
      <c r="BR369" s="65">
        <f>BQ369</f>
        <v>276530</v>
      </c>
      <c r="BT369" s="65">
        <f>+BT370-BT368-BT367-BT366</f>
        <v>291384</v>
      </c>
      <c r="BU369" s="65">
        <f>+BU370-BU368-BU367-BU366</f>
        <v>295689</v>
      </c>
      <c r="BV369" s="65">
        <f>BU369</f>
        <v>295689</v>
      </c>
      <c r="BX369" s="65">
        <f>+BX370-BX368-BX367-BX366</f>
        <v>275552</v>
      </c>
      <c r="BY369" s="65">
        <f>+BY370-BY368-BY367-BY366</f>
        <v>272099</v>
      </c>
      <c r="BZ369" s="65">
        <f>BY369</f>
        <v>272099</v>
      </c>
      <c r="CB369" s="65">
        <f>+CB370-CB368-CB367-CB366</f>
        <v>338385</v>
      </c>
      <c r="CC369" s="65">
        <f>+CC370-CC368-CC367-CC366</f>
        <v>333315</v>
      </c>
      <c r="CD369" s="65">
        <f>CC369</f>
        <v>333315</v>
      </c>
      <c r="CF369" s="65">
        <f>+CF370-CF368-CF367-CF366</f>
        <v>365084</v>
      </c>
      <c r="CG369" s="65">
        <f>+CG370-CG368-CG367-CG366</f>
        <v>361018</v>
      </c>
      <c r="CH369" s="65">
        <f>CG369</f>
        <v>361018</v>
      </c>
      <c r="CJ369" s="65">
        <f>+CJ370-CJ368-CJ367-CJ366</f>
        <v>488389</v>
      </c>
      <c r="CK369" s="65">
        <f>+CK370-CK368-CK367-CK366</f>
        <v>420814</v>
      </c>
      <c r="CL369" s="65">
        <f>CK369</f>
        <v>420814</v>
      </c>
      <c r="CN369" s="65">
        <f>+CN370-CN368-CN367-CN366</f>
        <v>399956</v>
      </c>
      <c r="CO369" s="65">
        <f>+CO370-CO368-CO367-CO366</f>
        <v>345014</v>
      </c>
      <c r="CP369" s="65">
        <f>CO369</f>
        <v>345014</v>
      </c>
      <c r="CR369" s="65">
        <f>+CR370-CR368-CR367-CR366</f>
        <v>361857</v>
      </c>
      <c r="CS369" s="65">
        <f>+CS370-CS368-CS367-CS366</f>
        <v>409445</v>
      </c>
      <c r="CT369" s="65">
        <f>CS369</f>
        <v>409445</v>
      </c>
      <c r="CV369" s="65">
        <f>+CV370-CV368-CV367-CV366</f>
        <v>417113</v>
      </c>
      <c r="CW369" s="65">
        <f>+CW370-CW368-CW367-CW366</f>
        <v>394541</v>
      </c>
      <c r="CX369" s="65">
        <f>CW369</f>
        <v>394541</v>
      </c>
      <c r="CZ369" s="65">
        <f>+CZ370-CZ368-CZ367-CZ366</f>
        <v>370530</v>
      </c>
      <c r="DA369" s="65">
        <f>+DA370-DA368-DA367-DA366</f>
        <v>420222</v>
      </c>
      <c r="DB369" s="65">
        <f>DA369</f>
        <v>420222</v>
      </c>
      <c r="DD369" s="65">
        <f>+DD370-DD368-DD367-DD366</f>
        <v>476542</v>
      </c>
      <c r="DE369" s="65">
        <f>+DE370-DE368-DE367-DE366</f>
        <v>461887</v>
      </c>
      <c r="DF369" s="65">
        <f>DE369</f>
        <v>461887</v>
      </c>
      <c r="DH369" s="65">
        <f>+DH386*DH364</f>
        <v>465123.38559944479</v>
      </c>
      <c r="DI369" s="65">
        <f>+DI386*DI364</f>
        <v>475223.83231818624</v>
      </c>
      <c r="DJ369" s="65">
        <f>DI369</f>
        <v>475223.83231818624</v>
      </c>
      <c r="DL369" s="65">
        <f>+DL386*DL364</f>
        <v>485809.19706063828</v>
      </c>
      <c r="DM369" s="65">
        <f>+DM386*DM364</f>
        <v>497593.26999813871</v>
      </c>
      <c r="DN369" s="65">
        <f>DM369</f>
        <v>497593.26999813871</v>
      </c>
      <c r="DP369" s="65">
        <f>+DP386*DP364</f>
        <v>507611.37523686758</v>
      </c>
      <c r="DQ369" s="65">
        <f>+DQ386*DQ364</f>
        <v>518611.19162183563</v>
      </c>
      <c r="DR369" s="65">
        <f>DQ369</f>
        <v>518611.19162183563</v>
      </c>
    </row>
    <row r="370" spans="1:128" s="20" customFormat="1" ht="13.8">
      <c r="A370" s="21" t="s">
        <v>186</v>
      </c>
      <c r="B370" s="49" t="s">
        <v>479</v>
      </c>
      <c r="BH370" s="98">
        <v>672630</v>
      </c>
      <c r="BI370" s="98">
        <v>702995</v>
      </c>
      <c r="BJ370" s="72">
        <f>BI370</f>
        <v>702995</v>
      </c>
      <c r="BK370" s="49"/>
      <c r="BL370" s="98">
        <v>737815</v>
      </c>
      <c r="BM370" s="98">
        <v>772092</v>
      </c>
      <c r="BN370" s="72">
        <f>BM370</f>
        <v>772092</v>
      </c>
      <c r="BO370" s="49"/>
      <c r="BP370" s="98">
        <v>860087</v>
      </c>
      <c r="BQ370" s="98">
        <v>889900</v>
      </c>
      <c r="BR370" s="72">
        <f>BQ370</f>
        <v>889900</v>
      </c>
      <c r="BS370" s="75">
        <f>+BR370/BN370-1</f>
        <v>0.15258285282064832</v>
      </c>
      <c r="BT370" s="98">
        <v>895278</v>
      </c>
      <c r="BU370" s="98">
        <v>914869</v>
      </c>
      <c r="BV370" s="72">
        <f>BU370</f>
        <v>914869</v>
      </c>
      <c r="BW370" s="75">
        <f>+BV370/BR370-1</f>
        <v>2.8058208787504313E-2</v>
      </c>
      <c r="BX370" s="98">
        <v>896511</v>
      </c>
      <c r="BY370" s="98">
        <v>897326</v>
      </c>
      <c r="BZ370" s="72">
        <f>BY370</f>
        <v>897326</v>
      </c>
      <c r="CA370" s="75">
        <f>+BZ370/BV370-1</f>
        <v>-1.9175422929402997E-2</v>
      </c>
      <c r="CB370" s="98">
        <v>935670</v>
      </c>
      <c r="CC370" s="98">
        <v>943182</v>
      </c>
      <c r="CD370" s="72">
        <f>CC370</f>
        <v>943182</v>
      </c>
      <c r="CE370" s="75">
        <f>+CD370/BZ370-1</f>
        <v>5.1102943634754761E-2</v>
      </c>
      <c r="CF370" s="98">
        <v>980270</v>
      </c>
      <c r="CG370" s="98">
        <v>981137</v>
      </c>
      <c r="CH370" s="72">
        <f>CG370</f>
        <v>981137</v>
      </c>
      <c r="CI370" s="75">
        <f>+CH370/CD370-1</f>
        <v>4.0241438025746978E-2</v>
      </c>
      <c r="CJ370" s="98">
        <v>1149955</v>
      </c>
      <c r="CK370" s="98">
        <v>1042286</v>
      </c>
      <c r="CL370" s="72">
        <f>CK370</f>
        <v>1042286</v>
      </c>
      <c r="CM370" s="75">
        <f>+CL370/CH370-1</f>
        <v>6.2324629485994265E-2</v>
      </c>
      <c r="CN370" s="98">
        <v>1018339</v>
      </c>
      <c r="CO370" s="98">
        <v>978857</v>
      </c>
      <c r="CP370" s="72">
        <f>CO370</f>
        <v>978857</v>
      </c>
      <c r="CQ370" s="75">
        <f>+CP370/CL370-1</f>
        <v>-6.0855657660181528E-2</v>
      </c>
      <c r="CR370" s="98">
        <v>1017361</v>
      </c>
      <c r="CS370" s="98">
        <v>1085729</v>
      </c>
      <c r="CT370" s="72">
        <f>CS370</f>
        <v>1085729</v>
      </c>
      <c r="CU370" s="75">
        <f>+CT370/CP370-1</f>
        <v>0.10918040122305905</v>
      </c>
      <c r="CV370" s="98">
        <v>1111237</v>
      </c>
      <c r="CW370" s="98">
        <v>1105643</v>
      </c>
      <c r="CX370" s="72">
        <f>CW370</f>
        <v>1105643</v>
      </c>
      <c r="CY370" s="75">
        <f>+CX370/CT370-1</f>
        <v>1.8341593528403477E-2</v>
      </c>
      <c r="CZ370" s="98">
        <v>1089699</v>
      </c>
      <c r="DA370" s="98">
        <v>1229115</v>
      </c>
      <c r="DB370" s="72">
        <f>DA370</f>
        <v>1229115</v>
      </c>
      <c r="DC370" s="75">
        <f>+DB370/CX370-1</f>
        <v>0.11167438314175548</v>
      </c>
      <c r="DD370" s="98">
        <v>1302609</v>
      </c>
      <c r="DE370" s="98">
        <v>1297108</v>
      </c>
      <c r="DF370" s="72">
        <f>DE370</f>
        <v>1297108</v>
      </c>
      <c r="DG370" s="75">
        <f>+DF370/DB370-1</f>
        <v>5.5318664242157922E-2</v>
      </c>
      <c r="DH370" s="72">
        <f ca="1">SUM(DH366:DH369)</f>
        <v>1305696.1052797078</v>
      </c>
      <c r="DI370" s="72">
        <f ca="1">SUM(DI366:DI369)</f>
        <v>1333959.8410581651</v>
      </c>
      <c r="DJ370" s="72">
        <f ca="1">DI370</f>
        <v>1333959.8410581651</v>
      </c>
      <c r="DK370" s="75">
        <f ca="1">+DJ370/DF370-1</f>
        <v>2.841077308764195E-2</v>
      </c>
      <c r="DL370" s="72">
        <f ca="1">SUM(DL366:DL369)</f>
        <v>1363608.0766438828</v>
      </c>
      <c r="DM370" s="72">
        <f ca="1">SUM(DM366:DM369)</f>
        <v>1396518.0991681463</v>
      </c>
      <c r="DN370" s="72">
        <f ca="1">DM370</f>
        <v>1396518.0991681463</v>
      </c>
      <c r="DO370" s="75">
        <f ca="1">+DN370/DJ370-1</f>
        <v>4.6896657743726866E-2</v>
      </c>
      <c r="DP370" s="72">
        <f ca="1">SUM(DP366:DP369)</f>
        <v>1424468.3741539924</v>
      </c>
      <c r="DQ370" s="72">
        <f ca="1">SUM(DQ366:DQ369)</f>
        <v>1455186.8090801614</v>
      </c>
      <c r="DR370" s="72">
        <f ca="1">DQ370</f>
        <v>1455186.8090801614</v>
      </c>
      <c r="DS370" s="75">
        <f ca="1">+DR370/DN370-1</f>
        <v>4.2010705014823513E-2</v>
      </c>
      <c r="DT370" s="75"/>
      <c r="DU370" s="75"/>
      <c r="DV370" s="75"/>
    </row>
    <row r="371" spans="1:128" s="20" customFormat="1" ht="13.8">
      <c r="B371" s="49"/>
      <c r="BH371" s="49"/>
      <c r="BI371" s="49"/>
      <c r="BJ371" s="49"/>
      <c r="BK371" s="49"/>
      <c r="BL371" s="49"/>
      <c r="BM371" s="49"/>
      <c r="BN371" s="49"/>
      <c r="BO371" s="49"/>
      <c r="BP371" s="49"/>
      <c r="BQ371" s="49"/>
      <c r="BR371" s="49"/>
      <c r="BT371" s="49"/>
      <c r="BU371" s="49"/>
      <c r="BV371" s="49"/>
      <c r="BX371" s="49"/>
      <c r="BY371" s="49"/>
      <c r="BZ371" s="49"/>
      <c r="CB371" s="49"/>
      <c r="CC371" s="49"/>
      <c r="CD371" s="49"/>
      <c r="CF371" s="49"/>
      <c r="CG371" s="49"/>
      <c r="CH371" s="49"/>
      <c r="CJ371" s="49"/>
      <c r="CK371" s="49"/>
      <c r="CL371" s="49"/>
      <c r="CN371" s="49"/>
      <c r="CO371" s="49"/>
      <c r="CP371" s="49"/>
      <c r="CR371" s="49"/>
      <c r="CS371" s="49"/>
      <c r="CT371" s="49"/>
      <c r="CV371" s="49"/>
      <c r="CW371" s="49"/>
      <c r="CX371" s="49"/>
      <c r="CZ371" s="49"/>
      <c r="DA371" s="49"/>
      <c r="DB371" s="49"/>
      <c r="DD371" s="49"/>
      <c r="DE371" s="49"/>
      <c r="DF371" s="49"/>
      <c r="DH371" s="49"/>
      <c r="DI371" s="49"/>
      <c r="DJ371" s="49"/>
      <c r="DL371" s="49"/>
      <c r="DM371" s="49"/>
      <c r="DN371" s="49"/>
      <c r="DP371" s="49"/>
      <c r="DQ371" s="49"/>
      <c r="DR371" s="49"/>
    </row>
    <row r="372" spans="1:128" s="20" customFormat="1" ht="13.8">
      <c r="A372" s="20" t="s">
        <v>588</v>
      </c>
      <c r="B372" s="49"/>
      <c r="BH372" s="65">
        <f>BH352</f>
        <v>404745</v>
      </c>
      <c r="BI372" s="65">
        <f>BI352</f>
        <v>426072</v>
      </c>
      <c r="BJ372" s="65">
        <f t="shared" ref="BJ372:BJ378" si="641">BI372</f>
        <v>426072</v>
      </c>
      <c r="BK372" s="49"/>
      <c r="BL372" s="65">
        <f>BL352</f>
        <v>444743</v>
      </c>
      <c r="BM372" s="65">
        <f>BM352</f>
        <v>455334</v>
      </c>
      <c r="BN372" s="65">
        <f t="shared" ref="BN372:BN378" si="642">BM372</f>
        <v>455334</v>
      </c>
      <c r="BO372" s="49"/>
      <c r="BP372" s="65">
        <f>BP352</f>
        <v>495367</v>
      </c>
      <c r="BQ372" s="65">
        <f>BQ352</f>
        <v>506467</v>
      </c>
      <c r="BR372" s="65">
        <f t="shared" ref="BR372:BR378" si="643">BQ372</f>
        <v>506467</v>
      </c>
      <c r="BT372" s="65">
        <f>BT352</f>
        <v>510294</v>
      </c>
      <c r="BU372" s="65">
        <f>BU352</f>
        <v>509569</v>
      </c>
      <c r="BV372" s="65">
        <f t="shared" ref="BV372:BV378" si="644">BU372</f>
        <v>509569</v>
      </c>
      <c r="BX372" s="65">
        <f>BX352</f>
        <v>524492</v>
      </c>
      <c r="BY372" s="65">
        <f>BY352</f>
        <v>521898</v>
      </c>
      <c r="BZ372" s="65">
        <f t="shared" ref="BZ372:BZ378" si="645">BY372</f>
        <v>521898</v>
      </c>
      <c r="CB372" s="65">
        <f>CB352</f>
        <v>522158</v>
      </c>
      <c r="CC372" s="65">
        <f>CC352</f>
        <v>529166</v>
      </c>
      <c r="CD372" s="65">
        <f t="shared" ref="CD372:CD378" si="646">CC372</f>
        <v>529166</v>
      </c>
      <c r="CF372" s="65">
        <f>CF352</f>
        <v>536193</v>
      </c>
      <c r="CG372" s="65">
        <f>CG352</f>
        <v>548339</v>
      </c>
      <c r="CH372" s="65">
        <f t="shared" ref="CH372:CH378" si="647">CG372</f>
        <v>548339</v>
      </c>
      <c r="CJ372" s="65">
        <f>CJ352</f>
        <v>604374</v>
      </c>
      <c r="CK372" s="65">
        <f>CK352</f>
        <v>584854</v>
      </c>
      <c r="CL372" s="65">
        <f t="shared" ref="CL372:CL378" si="648">CK372</f>
        <v>584854</v>
      </c>
      <c r="CN372" s="65">
        <f>CN352</f>
        <v>601525</v>
      </c>
      <c r="CO372" s="65">
        <f>CO352</f>
        <v>631290</v>
      </c>
      <c r="CP372" s="65">
        <f t="shared" ref="CP372:CP378" si="649">CO372</f>
        <v>631290</v>
      </c>
      <c r="CR372" s="65">
        <f>CR352</f>
        <v>647999</v>
      </c>
      <c r="CS372" s="65">
        <f>CS352</f>
        <v>654479</v>
      </c>
      <c r="CT372" s="65">
        <f t="shared" ref="CT372:CT378" si="650">CS372</f>
        <v>654479</v>
      </c>
      <c r="CV372" s="65">
        <f>CV352</f>
        <v>693172</v>
      </c>
      <c r="CW372" s="65">
        <f>CW352</f>
        <v>689038</v>
      </c>
      <c r="CX372" s="65">
        <f t="shared" ref="CX372:CX378" si="651">CW372</f>
        <v>689038</v>
      </c>
      <c r="CZ372" s="65">
        <f>CZ352</f>
        <v>680185</v>
      </c>
      <c r="DA372" s="65">
        <f>DA352</f>
        <v>757417</v>
      </c>
      <c r="DB372" s="65">
        <f t="shared" ref="DB372:DB378" si="652">DA372</f>
        <v>757417</v>
      </c>
      <c r="DD372" s="65">
        <f>DD352</f>
        <v>796146</v>
      </c>
      <c r="DE372" s="65">
        <f>DE352</f>
        <v>793818</v>
      </c>
      <c r="DF372" s="65">
        <f t="shared" ref="DF372:DF378" si="653">DE372</f>
        <v>793818</v>
      </c>
      <c r="DH372" s="65">
        <f>DH352</f>
        <v>794566.66850752977</v>
      </c>
      <c r="DI372" s="65">
        <f>DI352</f>
        <v>809918.03040195606</v>
      </c>
      <c r="DJ372" s="65">
        <f t="shared" ref="DJ372:DJ377" si="654">DI372</f>
        <v>809918.03040195606</v>
      </c>
      <c r="DL372" s="65">
        <f>DL352</f>
        <v>825644.64455278334</v>
      </c>
      <c r="DM372" s="65">
        <f>DM352</f>
        <v>841754.60590902634</v>
      </c>
      <c r="DN372" s="65">
        <f t="shared" ref="DN372:DN377" si="655">DM372</f>
        <v>841754.60590902634</v>
      </c>
      <c r="DP372" s="65">
        <f>DP352</f>
        <v>858256.24974374799</v>
      </c>
      <c r="DQ372" s="65">
        <f>DQ352</f>
        <v>875158.15726094227</v>
      </c>
      <c r="DR372" s="65">
        <f t="shared" ref="DR372:DR377" si="656">DQ372</f>
        <v>875158.15726094227</v>
      </c>
    </row>
    <row r="373" spans="1:128" s="20" customFormat="1" ht="13.8">
      <c r="A373" s="20" t="s">
        <v>585</v>
      </c>
      <c r="B373" s="49" t="s">
        <v>198</v>
      </c>
      <c r="BH373" s="67">
        <f>451105-BH372</f>
        <v>46360</v>
      </c>
      <c r="BI373" s="67">
        <f>466915-BI372</f>
        <v>40843</v>
      </c>
      <c r="BJ373" s="65">
        <f t="shared" si="641"/>
        <v>40843</v>
      </c>
      <c r="BK373" s="49"/>
      <c r="BL373" s="67">
        <f>498318-BL372</f>
        <v>53575</v>
      </c>
      <c r="BM373" s="67">
        <f>510079-BM372</f>
        <v>54745</v>
      </c>
      <c r="BN373" s="65">
        <f t="shared" si="642"/>
        <v>54745</v>
      </c>
      <c r="BO373" s="49"/>
      <c r="BP373" s="67">
        <f>567215-BP372</f>
        <v>71848</v>
      </c>
      <c r="BQ373" s="67">
        <f>570794-BQ372</f>
        <v>64327</v>
      </c>
      <c r="BR373" s="65">
        <f t="shared" si="643"/>
        <v>64327</v>
      </c>
      <c r="BT373" s="67">
        <f>578071-BT372</f>
        <v>67777</v>
      </c>
      <c r="BU373" s="67">
        <f>588195-BU372</f>
        <v>78626</v>
      </c>
      <c r="BV373" s="65">
        <f t="shared" si="644"/>
        <v>78626</v>
      </c>
      <c r="BX373" s="67">
        <f>581407-BX372</f>
        <v>56915</v>
      </c>
      <c r="BY373" s="772">
        <f>595611-BY372</f>
        <v>73713</v>
      </c>
      <c r="BZ373" s="65">
        <f t="shared" si="645"/>
        <v>73713</v>
      </c>
      <c r="CB373" s="67">
        <f>616230-CB372</f>
        <v>94072</v>
      </c>
      <c r="CC373" s="67">
        <f>618150-CC372</f>
        <v>88984</v>
      </c>
      <c r="CD373" s="65">
        <f t="shared" si="646"/>
        <v>88984</v>
      </c>
      <c r="CF373" s="67">
        <f>634989-CF372</f>
        <v>98796</v>
      </c>
      <c r="CG373" s="67">
        <f>637677-CG372</f>
        <v>89338</v>
      </c>
      <c r="CH373" s="65">
        <f t="shared" si="647"/>
        <v>89338</v>
      </c>
      <c r="CJ373" s="67">
        <f>726909-CJ372</f>
        <v>122535</v>
      </c>
      <c r="CK373" s="67">
        <f>682333-CK372</f>
        <v>97479</v>
      </c>
      <c r="CL373" s="65">
        <f t="shared" si="648"/>
        <v>97479</v>
      </c>
      <c r="CN373" s="67">
        <f>706623-CN372</f>
        <v>105098</v>
      </c>
      <c r="CO373" s="67">
        <f>743056-CO372</f>
        <v>111766</v>
      </c>
      <c r="CP373" s="65">
        <f t="shared" si="649"/>
        <v>111766</v>
      </c>
      <c r="CR373" s="67">
        <f>780288-CR372</f>
        <v>132289</v>
      </c>
      <c r="CS373" s="67">
        <f>797281-CS372</f>
        <v>142802</v>
      </c>
      <c r="CT373" s="65">
        <f t="shared" si="650"/>
        <v>142802</v>
      </c>
      <c r="CV373" s="67">
        <f>842564-CV372</f>
        <v>149392</v>
      </c>
      <c r="CW373" s="67">
        <f>814711-CW372</f>
        <v>125673</v>
      </c>
      <c r="CX373" s="65">
        <f t="shared" si="651"/>
        <v>125673</v>
      </c>
      <c r="CZ373" s="67">
        <f>806737-CZ372</f>
        <v>126552</v>
      </c>
      <c r="DA373" s="67">
        <f>903554-DA372</f>
        <v>146137</v>
      </c>
      <c r="DB373" s="65">
        <f t="shared" si="652"/>
        <v>146137</v>
      </c>
      <c r="DD373" s="67">
        <f>972219-DD372</f>
        <v>176073</v>
      </c>
      <c r="DE373" s="67">
        <f>955064-DE372</f>
        <v>161246</v>
      </c>
      <c r="DF373" s="65">
        <f t="shared" si="653"/>
        <v>161246</v>
      </c>
      <c r="DH373" s="65">
        <f>+DH$430*DH432</f>
        <v>162375.8309594513</v>
      </c>
      <c r="DI373" s="65">
        <f>+DI$430*DI432</f>
        <v>165901.92420652293</v>
      </c>
      <c r="DJ373" s="65">
        <f t="shared" si="654"/>
        <v>165901.92420652293</v>
      </c>
      <c r="DL373" s="65">
        <f>+DL$430*DL432</f>
        <v>169597.30364621582</v>
      </c>
      <c r="DM373" s="65">
        <f>+DM$430*DM432</f>
        <v>173711.15535643973</v>
      </c>
      <c r="DN373" s="65">
        <f t="shared" si="655"/>
        <v>173711.15535643973</v>
      </c>
      <c r="DP373" s="65">
        <f>+DP$430*DP432</f>
        <v>177208.50297030216</v>
      </c>
      <c r="DQ373" s="65">
        <f>+DQ$430*DQ432</f>
        <v>181048.56859849815</v>
      </c>
      <c r="DR373" s="65">
        <f t="shared" si="656"/>
        <v>181048.56859849815</v>
      </c>
    </row>
    <row r="374" spans="1:128" s="20" customFormat="1" ht="13.8">
      <c r="A374" s="20" t="s">
        <v>481</v>
      </c>
      <c r="B374" s="49"/>
      <c r="BH374" s="67">
        <v>13373</v>
      </c>
      <c r="BI374" s="67">
        <v>8695</v>
      </c>
      <c r="BJ374" s="65">
        <f t="shared" si="641"/>
        <v>8695</v>
      </c>
      <c r="BK374" s="49"/>
      <c r="BL374" s="67">
        <v>8133</v>
      </c>
      <c r="BM374" s="67">
        <v>10114</v>
      </c>
      <c r="BN374" s="65">
        <f t="shared" si="642"/>
        <v>10114</v>
      </c>
      <c r="BO374" s="49"/>
      <c r="BP374" s="67">
        <v>7759</v>
      </c>
      <c r="BQ374" s="67">
        <v>11250</v>
      </c>
      <c r="BR374" s="65">
        <f t="shared" si="643"/>
        <v>11250</v>
      </c>
      <c r="BT374" s="67">
        <v>13626</v>
      </c>
      <c r="BU374" s="67">
        <v>10625</v>
      </c>
      <c r="BV374" s="65">
        <f t="shared" si="644"/>
        <v>10625</v>
      </c>
      <c r="BX374" s="67">
        <v>9736</v>
      </c>
      <c r="BY374" s="67">
        <v>9914</v>
      </c>
      <c r="BZ374" s="65">
        <f t="shared" si="645"/>
        <v>9914</v>
      </c>
      <c r="CB374" s="67">
        <v>10577</v>
      </c>
      <c r="CC374" s="67">
        <v>11810</v>
      </c>
      <c r="CD374" s="65">
        <f t="shared" si="646"/>
        <v>11810</v>
      </c>
      <c r="CF374" s="67">
        <v>12371</v>
      </c>
      <c r="CG374" s="67">
        <v>10867</v>
      </c>
      <c r="CH374" s="65">
        <f t="shared" si="647"/>
        <v>10867</v>
      </c>
      <c r="CJ374" s="67">
        <v>22314</v>
      </c>
      <c r="CK374" s="67">
        <v>22241</v>
      </c>
      <c r="CL374" s="65">
        <f t="shared" si="648"/>
        <v>22241</v>
      </c>
      <c r="CN374" s="67">
        <v>19188</v>
      </c>
      <c r="CO374" s="67">
        <v>17427</v>
      </c>
      <c r="CP374" s="65">
        <f t="shared" si="649"/>
        <v>17427</v>
      </c>
      <c r="CR374" s="67">
        <v>19752</v>
      </c>
      <c r="CS374" s="67">
        <v>13766</v>
      </c>
      <c r="CT374" s="65">
        <f t="shared" si="650"/>
        <v>13766</v>
      </c>
      <c r="CV374" s="67">
        <v>23010</v>
      </c>
      <c r="CW374" s="67">
        <v>19267</v>
      </c>
      <c r="CX374" s="65">
        <f t="shared" si="651"/>
        <v>19267</v>
      </c>
      <c r="CZ374" s="67">
        <v>15026</v>
      </c>
      <c r="DA374" s="67">
        <v>16188</v>
      </c>
      <c r="DB374" s="65">
        <f t="shared" si="652"/>
        <v>16188</v>
      </c>
      <c r="DD374" s="67">
        <v>16085</v>
      </c>
      <c r="DE374" s="67">
        <v>31144</v>
      </c>
      <c r="DF374" s="65">
        <f t="shared" si="653"/>
        <v>31144</v>
      </c>
      <c r="DH374" s="65">
        <f>+DH$430*DH433</f>
        <v>31362.222190945209</v>
      </c>
      <c r="DI374" s="65">
        <f>+DI$430*DI433</f>
        <v>32043.272561725254</v>
      </c>
      <c r="DJ374" s="65">
        <f t="shared" si="654"/>
        <v>32043.272561725254</v>
      </c>
      <c r="DL374" s="65">
        <f>+DL$430*DL433</f>
        <v>32757.019862556252</v>
      </c>
      <c r="DM374" s="65">
        <f>+DM$430*DM433</f>
        <v>33551.593356864418</v>
      </c>
      <c r="DN374" s="65">
        <f t="shared" si="655"/>
        <v>33551.593356864418</v>
      </c>
      <c r="DP374" s="65">
        <f>+DP$430*DP433</f>
        <v>34227.091627123096</v>
      </c>
      <c r="DQ374" s="65">
        <f>+DQ$430*DQ433</f>
        <v>34968.784468648068</v>
      </c>
      <c r="DR374" s="65">
        <f t="shared" si="656"/>
        <v>34968.784468648068</v>
      </c>
    </row>
    <row r="375" spans="1:128" s="20" customFormat="1" ht="13.8">
      <c r="A375" s="20" t="s">
        <v>306</v>
      </c>
      <c r="B375" s="49"/>
      <c r="BH375" s="67">
        <v>60226</v>
      </c>
      <c r="BI375" s="67">
        <v>70376</v>
      </c>
      <c r="BJ375" s="65">
        <f t="shared" si="641"/>
        <v>70376</v>
      </c>
      <c r="BK375" s="49"/>
      <c r="BL375" s="67">
        <v>73552</v>
      </c>
      <c r="BM375" s="67">
        <v>80096</v>
      </c>
      <c r="BN375" s="65">
        <f t="shared" si="642"/>
        <v>80096</v>
      </c>
      <c r="BO375" s="49"/>
      <c r="BP375" s="67">
        <v>85664</v>
      </c>
      <c r="BQ375" s="67">
        <v>93747</v>
      </c>
      <c r="BR375" s="65">
        <f t="shared" si="643"/>
        <v>93747</v>
      </c>
      <c r="BT375" s="67">
        <v>81947</v>
      </c>
      <c r="BU375" s="67">
        <v>91080</v>
      </c>
      <c r="BV375" s="65">
        <f t="shared" si="644"/>
        <v>91080</v>
      </c>
      <c r="BX375" s="67">
        <v>88778</v>
      </c>
      <c r="BY375" s="67">
        <v>90263</v>
      </c>
      <c r="BZ375" s="65">
        <f t="shared" si="645"/>
        <v>90263</v>
      </c>
      <c r="CB375" s="67">
        <v>97576</v>
      </c>
      <c r="CC375" s="67">
        <v>105300</v>
      </c>
      <c r="CD375" s="65">
        <f t="shared" si="646"/>
        <v>105300</v>
      </c>
      <c r="CF375" s="67">
        <v>113400</v>
      </c>
      <c r="CG375" s="67">
        <f>113.1*1000</f>
        <v>113100</v>
      </c>
      <c r="CH375" s="65">
        <f t="shared" si="647"/>
        <v>113100</v>
      </c>
      <c r="CJ375" s="67">
        <f>119.1*1000</f>
        <v>119100</v>
      </c>
      <c r="CK375" s="67">
        <f>110.6*1000</f>
        <v>110600</v>
      </c>
      <c r="CL375" s="65">
        <f t="shared" si="648"/>
        <v>110600</v>
      </c>
      <c r="CN375" s="67">
        <f>96*1000</f>
        <v>96000</v>
      </c>
      <c r="CO375" s="67">
        <f>97.1*1000</f>
        <v>97100</v>
      </c>
      <c r="CP375" s="65">
        <f t="shared" si="649"/>
        <v>97100</v>
      </c>
      <c r="CR375" s="67">
        <f>86.4*1000</f>
        <v>86400</v>
      </c>
      <c r="CS375" s="67">
        <f>89*1000</f>
        <v>89000</v>
      </c>
      <c r="CT375" s="65">
        <f t="shared" si="650"/>
        <v>89000</v>
      </c>
      <c r="CV375" s="67">
        <v>97100</v>
      </c>
      <c r="CW375" s="67">
        <v>94000</v>
      </c>
      <c r="CX375" s="65">
        <f t="shared" si="651"/>
        <v>94000</v>
      </c>
      <c r="CZ375" s="67">
        <v>102300</v>
      </c>
      <c r="DA375" s="67">
        <v>119200</v>
      </c>
      <c r="DB375" s="65">
        <f t="shared" si="652"/>
        <v>119200</v>
      </c>
      <c r="DD375" s="67">
        <v>126700</v>
      </c>
      <c r="DE375" s="67">
        <v>125200</v>
      </c>
      <c r="DF375" s="65">
        <f t="shared" si="653"/>
        <v>125200</v>
      </c>
      <c r="DH375" s="65">
        <f ca="1">+DH378-DH372-DH373-DH374-DH376-DH377</f>
        <v>128912.45033187221</v>
      </c>
      <c r="DI375" s="65">
        <f ca="1">+DI378-DI372-DI373-DI374-DI376-DI377</f>
        <v>133842.22376056423</v>
      </c>
      <c r="DJ375" s="65">
        <f t="shared" ca="1" si="654"/>
        <v>133842.22376056423</v>
      </c>
      <c r="DL375" s="65">
        <f ca="1">+DL378-DL372-DL373-DL374-DL376-DL377</f>
        <v>139353.50262074574</v>
      </c>
      <c r="DM375" s="65">
        <f ca="1">+DM378-DM372-DM373-DM374-DM376-DM377</f>
        <v>147554.62773571693</v>
      </c>
      <c r="DN375" s="65">
        <f t="shared" ca="1" si="655"/>
        <v>147554.62773571693</v>
      </c>
      <c r="DP375" s="65">
        <f ca="1">+DP378-DP372-DP373-DP374-DP376-DP377</f>
        <v>151422.57595793909</v>
      </c>
      <c r="DQ375" s="65">
        <f ca="1">+DQ378-DQ372-DQ373-DQ374-DQ376-DQ377</f>
        <v>156965.29065986277</v>
      </c>
      <c r="DR375" s="65">
        <f t="shared" ca="1" si="656"/>
        <v>156965.29065986277</v>
      </c>
      <c r="DV375" s="65"/>
      <c r="DW375" s="65"/>
    </row>
    <row r="376" spans="1:128" s="20" customFormat="1" ht="13.8">
      <c r="A376" s="20" t="s">
        <v>942</v>
      </c>
      <c r="B376" s="49"/>
      <c r="BH376" s="67">
        <v>11666</v>
      </c>
      <c r="BI376" s="67">
        <v>12804</v>
      </c>
      <c r="BJ376" s="65">
        <f t="shared" si="641"/>
        <v>12804</v>
      </c>
      <c r="BK376" s="49"/>
      <c r="BL376" s="67">
        <v>13226</v>
      </c>
      <c r="BM376" s="67">
        <v>13607</v>
      </c>
      <c r="BN376" s="65">
        <f t="shared" si="642"/>
        <v>13607</v>
      </c>
      <c r="BO376" s="49"/>
      <c r="BP376" s="67">
        <v>16463</v>
      </c>
      <c r="BQ376" s="67">
        <v>17009</v>
      </c>
      <c r="BR376" s="65">
        <f t="shared" si="643"/>
        <v>17009</v>
      </c>
      <c r="BT376" s="67">
        <v>17557</v>
      </c>
      <c r="BU376" s="67">
        <v>21964</v>
      </c>
      <c r="BV376" s="65">
        <f t="shared" si="644"/>
        <v>21964</v>
      </c>
      <c r="BX376" s="67">
        <v>20297</v>
      </c>
      <c r="BY376" s="67">
        <v>17710</v>
      </c>
      <c r="BZ376" s="65">
        <f t="shared" si="645"/>
        <v>17710</v>
      </c>
      <c r="CB376" s="67">
        <v>17260</v>
      </c>
      <c r="CC376" s="67">
        <v>15900</v>
      </c>
      <c r="CD376" s="65">
        <f t="shared" si="646"/>
        <v>15900</v>
      </c>
      <c r="CF376" s="67">
        <v>16300</v>
      </c>
      <c r="CG376" s="67">
        <v>16600</v>
      </c>
      <c r="CH376" s="65">
        <f t="shared" si="647"/>
        <v>16600</v>
      </c>
      <c r="CJ376" s="67">
        <f>21.1*1000</f>
        <v>21100</v>
      </c>
      <c r="CK376" s="67">
        <f>21.1*1000</f>
        <v>21100</v>
      </c>
      <c r="CL376" s="65">
        <f t="shared" si="648"/>
        <v>21100</v>
      </c>
      <c r="CN376" s="67">
        <f>23.7*1000</f>
        <v>23700</v>
      </c>
      <c r="CO376" s="67">
        <f>25.3*1000</f>
        <v>25300</v>
      </c>
      <c r="CP376" s="65">
        <f t="shared" si="649"/>
        <v>25300</v>
      </c>
      <c r="CR376" s="67">
        <f>22.6*1000</f>
        <v>22600</v>
      </c>
      <c r="CS376" s="67">
        <f>27.3*1000</f>
        <v>27300</v>
      </c>
      <c r="CT376" s="65">
        <f t="shared" si="650"/>
        <v>27300</v>
      </c>
      <c r="CV376" s="67">
        <v>32700</v>
      </c>
      <c r="CW376" s="67">
        <v>33700</v>
      </c>
      <c r="CX376" s="65">
        <f t="shared" si="651"/>
        <v>33700</v>
      </c>
      <c r="CZ376" s="67">
        <v>36300</v>
      </c>
      <c r="DA376" s="67">
        <v>39700</v>
      </c>
      <c r="DB376" s="65">
        <f t="shared" si="652"/>
        <v>39700</v>
      </c>
      <c r="DD376" s="67">
        <v>42876</v>
      </c>
      <c r="DE376" s="67">
        <v>44100</v>
      </c>
      <c r="DF376" s="65">
        <f t="shared" si="653"/>
        <v>44100</v>
      </c>
      <c r="DH376" s="65">
        <f>+DH$430*DH435</f>
        <v>44409.003295038645</v>
      </c>
      <c r="DI376" s="65">
        <f>+DI$430*DI435</f>
        <v>45373.372719370782</v>
      </c>
      <c r="DJ376" s="65">
        <f t="shared" si="654"/>
        <v>45373.372719370782</v>
      </c>
      <c r="DL376" s="65">
        <f>+DL$430*DL435</f>
        <v>46384.041097441899</v>
      </c>
      <c r="DM376" s="65">
        <f>+DM$430*DM435</f>
        <v>47509.15961461985</v>
      </c>
      <c r="DN376" s="65">
        <f t="shared" si="655"/>
        <v>47509.15961461985</v>
      </c>
      <c r="DP376" s="65">
        <f>+DP$430*DP435</f>
        <v>48465.66724749963</v>
      </c>
      <c r="DQ376" s="65">
        <f>+DQ$430*DQ435</f>
        <v>49515.906597334309</v>
      </c>
      <c r="DR376" s="65">
        <f t="shared" si="656"/>
        <v>49515.906597334309</v>
      </c>
      <c r="DV376" s="65"/>
      <c r="DW376" s="65"/>
    </row>
    <row r="377" spans="1:128" s="20" customFormat="1" ht="13.8">
      <c r="A377" s="20" t="s">
        <v>2</v>
      </c>
      <c r="B377" s="92" t="s">
        <v>586</v>
      </c>
      <c r="BH377" s="65">
        <f>+BH378-BH372-BH373-BH374-BH375-BH376</f>
        <v>93757</v>
      </c>
      <c r="BI377" s="65">
        <f>+BI378-BI372-BI373-BI374-BI375-BI376</f>
        <v>98602</v>
      </c>
      <c r="BJ377" s="65">
        <f t="shared" si="641"/>
        <v>98602</v>
      </c>
      <c r="BK377" s="49"/>
      <c r="BL377" s="65">
        <f>+BL378-BL372-BL373-BL374-BL375-BL376</f>
        <v>97548</v>
      </c>
      <c r="BM377" s="65">
        <f>+BM378-BM372-BM373-BM374-BM375-BM376</f>
        <v>108912</v>
      </c>
      <c r="BN377" s="65">
        <f t="shared" si="642"/>
        <v>108912</v>
      </c>
      <c r="BO377" s="49"/>
      <c r="BP377" s="65">
        <f>+BP378-BP372-BP373-BP374-BP375-BP376</f>
        <v>130935</v>
      </c>
      <c r="BQ377" s="65">
        <f>+BQ378-BQ372-BQ373-BQ374-BQ375-BQ376</f>
        <v>139747</v>
      </c>
      <c r="BR377" s="65">
        <f t="shared" si="643"/>
        <v>139747</v>
      </c>
      <c r="BT377" s="65">
        <f>+BT378-BT372-BT373-BT374-BT375-BT376</f>
        <v>147613</v>
      </c>
      <c r="BU377" s="65">
        <f>+BU378-BU372-BU373-BU374-BU375-BU376</f>
        <v>145078</v>
      </c>
      <c r="BV377" s="65">
        <f t="shared" si="644"/>
        <v>145078</v>
      </c>
      <c r="BX377" s="65">
        <f>+BX378-BX372-BX373-BX374-BX375-BX376</f>
        <v>138385</v>
      </c>
      <c r="BY377" s="65">
        <f>+BY378-BY372-BY373-BY374-BY375-BY376</f>
        <v>124753</v>
      </c>
      <c r="BZ377" s="65">
        <f t="shared" si="645"/>
        <v>124753</v>
      </c>
      <c r="CB377" s="65">
        <f>+CB378-CB372-CB373-CB374-CB375-CB376</f>
        <v>134505</v>
      </c>
      <c r="CC377" s="65">
        <f>+CC378-CC372-CC373-CC374-CC375-CC376</f>
        <v>132591</v>
      </c>
      <c r="CD377" s="65">
        <f t="shared" si="646"/>
        <v>132591</v>
      </c>
      <c r="CF377" s="65">
        <f>+CF378-CF372-CF373-CF374-CF375-CF376</f>
        <v>143213</v>
      </c>
      <c r="CG377" s="65">
        <f>+CG378-CG372-CG373-CG374-CG375-CG376</f>
        <v>142099</v>
      </c>
      <c r="CH377" s="65">
        <f t="shared" si="647"/>
        <v>142099</v>
      </c>
      <c r="CJ377" s="65">
        <f>+CJ378-CJ372-CJ373-CJ374-CJ375-CJ376</f>
        <v>199157</v>
      </c>
      <c r="CK377" s="65">
        <f>+CK378-CK372-CK373-CK374-CK375-CK376</f>
        <v>144715</v>
      </c>
      <c r="CL377" s="65">
        <f t="shared" si="648"/>
        <v>144715</v>
      </c>
      <c r="CN377" s="65">
        <f>+CN378-CN372-CN373-CN374-CN375-CN376</f>
        <v>110252</v>
      </c>
      <c r="CO377" s="65">
        <f>+CO378-CO372-CO373-CO374-CO375-CO376</f>
        <v>32298</v>
      </c>
      <c r="CP377" s="65">
        <f t="shared" si="649"/>
        <v>32298</v>
      </c>
      <c r="CR377" s="65">
        <f>+CR378-CR372-CR373-CR374-CR375-CR376</f>
        <v>46565</v>
      </c>
      <c r="CS377" s="65">
        <f>+CS378-CS372-CS373-CS374-CS375-CS376</f>
        <v>91981</v>
      </c>
      <c r="CT377" s="65">
        <f t="shared" si="650"/>
        <v>91981</v>
      </c>
      <c r="CV377" s="65">
        <f>+CV378-CV372-CV373-CV374-CV375-CV376</f>
        <v>46283</v>
      </c>
      <c r="CW377" s="65">
        <f>+CW378-CW372-CW373-CW374-CW375-CW376</f>
        <v>73948</v>
      </c>
      <c r="CX377" s="65">
        <f t="shared" si="651"/>
        <v>73948</v>
      </c>
      <c r="CZ377" s="65">
        <f>+CZ378-CZ372-CZ373-CZ374-CZ375-CZ376</f>
        <v>58262</v>
      </c>
      <c r="DA377" s="65">
        <f>+DA378-DA372-DA373-DA374-DA375-DA376</f>
        <v>79845</v>
      </c>
      <c r="DB377" s="65">
        <f t="shared" si="652"/>
        <v>79845</v>
      </c>
      <c r="DD377" s="65">
        <f>+DD378-DD372-DD373-DD374-DD375-DD376</f>
        <v>72398</v>
      </c>
      <c r="DE377" s="65">
        <f>+DE378-DE372-DE373-DE374-DE375-DE376</f>
        <v>69733</v>
      </c>
      <c r="DF377" s="65">
        <f t="shared" si="653"/>
        <v>69733</v>
      </c>
      <c r="DH377" s="65">
        <f>+DH$430*DH436</f>
        <v>70221.610584420181</v>
      </c>
      <c r="DI377" s="65">
        <f>+DI$430*DI436</f>
        <v>71746.517003171946</v>
      </c>
      <c r="DJ377" s="65">
        <f t="shared" si="654"/>
        <v>71746.517003171946</v>
      </c>
      <c r="DL377" s="65">
        <f>+DL$430*DL436</f>
        <v>73344.633511290624</v>
      </c>
      <c r="DM377" s="65">
        <f>+DM$430*DM436</f>
        <v>75123.723977466798</v>
      </c>
      <c r="DN377" s="65">
        <f t="shared" si="655"/>
        <v>75123.723977466798</v>
      </c>
      <c r="DP377" s="65">
        <f>+DP$430*DP436</f>
        <v>76636.19896076851</v>
      </c>
      <c r="DQ377" s="65">
        <f>+DQ$430*DQ436</f>
        <v>78296.886955825699</v>
      </c>
      <c r="DR377" s="65">
        <f t="shared" si="656"/>
        <v>78296.886955825699</v>
      </c>
      <c r="DV377" s="65"/>
      <c r="DW377" s="65"/>
    </row>
    <row r="378" spans="1:128" s="20" customFormat="1" ht="13.8">
      <c r="A378" s="21" t="s">
        <v>324</v>
      </c>
      <c r="B378" s="49"/>
      <c r="BH378" s="98">
        <v>630127</v>
      </c>
      <c r="BI378" s="98">
        <v>657392</v>
      </c>
      <c r="BJ378" s="72">
        <f t="shared" si="641"/>
        <v>657392</v>
      </c>
      <c r="BK378" s="49"/>
      <c r="BL378" s="98">
        <v>690777</v>
      </c>
      <c r="BM378" s="98">
        <v>722808</v>
      </c>
      <c r="BN378" s="72">
        <f t="shared" si="642"/>
        <v>722808</v>
      </c>
      <c r="BO378" s="49"/>
      <c r="BP378" s="98">
        <v>808036</v>
      </c>
      <c r="BQ378" s="98">
        <v>832547</v>
      </c>
      <c r="BR378" s="72">
        <f t="shared" si="643"/>
        <v>832547</v>
      </c>
      <c r="BT378" s="98">
        <v>838814</v>
      </c>
      <c r="BU378" s="98">
        <v>856942</v>
      </c>
      <c r="BV378" s="72">
        <f t="shared" si="644"/>
        <v>856942</v>
      </c>
      <c r="BX378" s="98">
        <v>838603</v>
      </c>
      <c r="BY378" s="98">
        <v>838251</v>
      </c>
      <c r="BZ378" s="72">
        <f t="shared" si="645"/>
        <v>838251</v>
      </c>
      <c r="CB378" s="98">
        <v>876148</v>
      </c>
      <c r="CC378" s="98">
        <v>883751</v>
      </c>
      <c r="CD378" s="72">
        <f t="shared" si="646"/>
        <v>883751</v>
      </c>
      <c r="CF378" s="98">
        <v>920273</v>
      </c>
      <c r="CG378" s="98">
        <v>920343</v>
      </c>
      <c r="CH378" s="72">
        <f t="shared" si="647"/>
        <v>920343</v>
      </c>
      <c r="CJ378" s="98">
        <v>1088580</v>
      </c>
      <c r="CK378" s="98">
        <v>980989</v>
      </c>
      <c r="CL378" s="72">
        <f t="shared" si="648"/>
        <v>980989</v>
      </c>
      <c r="CN378" s="98">
        <v>955763</v>
      </c>
      <c r="CO378" s="98">
        <v>915181</v>
      </c>
      <c r="CP378" s="72">
        <f t="shared" si="649"/>
        <v>915181</v>
      </c>
      <c r="CR378" s="98">
        <v>955605</v>
      </c>
      <c r="CS378" s="98">
        <v>1019328</v>
      </c>
      <c r="CT378" s="72">
        <f t="shared" si="650"/>
        <v>1019328</v>
      </c>
      <c r="CV378" s="98">
        <v>1041657</v>
      </c>
      <c r="CW378" s="98">
        <v>1035626</v>
      </c>
      <c r="CX378" s="72">
        <f t="shared" si="651"/>
        <v>1035626</v>
      </c>
      <c r="CZ378" s="98">
        <v>1018625</v>
      </c>
      <c r="DA378" s="98">
        <v>1158487</v>
      </c>
      <c r="DB378" s="72">
        <f t="shared" si="652"/>
        <v>1158487</v>
      </c>
      <c r="DD378" s="98">
        <v>1230278</v>
      </c>
      <c r="DE378" s="98">
        <v>1225241</v>
      </c>
      <c r="DF378" s="72">
        <f t="shared" si="653"/>
        <v>1225241</v>
      </c>
      <c r="DH378" s="72">
        <f ca="1">DH370-DH380</f>
        <v>1231847.7858692573</v>
      </c>
      <c r="DI378" s="72">
        <f ca="1">DI370-DI380</f>
        <v>1258825.3406533112</v>
      </c>
      <c r="DJ378" s="72">
        <f ca="1">SUM(DJ372:DJ377)</f>
        <v>1258825.3406533112</v>
      </c>
      <c r="DL378" s="72">
        <f ca="1">DL370-DL380</f>
        <v>1287081.1452910337</v>
      </c>
      <c r="DM378" s="72">
        <f ca="1">DM370-DM380</f>
        <v>1319204.8659501341</v>
      </c>
      <c r="DN378" s="72">
        <f ca="1">SUM(DN372:DN377)</f>
        <v>1319204.8659501341</v>
      </c>
      <c r="DP378" s="72">
        <f ca="1">DP370-DP380</f>
        <v>1346216.2865073804</v>
      </c>
      <c r="DQ378" s="72">
        <f ca="1">DQ370-DQ380</f>
        <v>1375953.5945411113</v>
      </c>
      <c r="DR378" s="72">
        <f ca="1">SUM(DR372:DR377)</f>
        <v>1375953.594541111</v>
      </c>
      <c r="DV378" s="72"/>
      <c r="DW378" s="72"/>
    </row>
    <row r="379" spans="1:128" s="20" customFormat="1" ht="13.8">
      <c r="A379" s="21"/>
      <c r="B379" s="49"/>
      <c r="BH379" s="98"/>
      <c r="BI379" s="98"/>
      <c r="BJ379" s="72"/>
      <c r="BK379" s="49"/>
      <c r="BL379" s="98"/>
      <c r="BM379" s="98"/>
      <c r="BN379" s="72"/>
      <c r="BO379" s="49"/>
      <c r="BP379" s="98"/>
      <c r="BQ379" s="98"/>
      <c r="BR379" s="72"/>
      <c r="BT379" s="98"/>
      <c r="BU379" s="98"/>
      <c r="BV379" s="72"/>
      <c r="BX379" s="98"/>
      <c r="BY379" s="98"/>
      <c r="BZ379" s="72"/>
      <c r="CB379" s="98"/>
      <c r="CC379" s="98"/>
      <c r="CD379" s="72"/>
      <c r="CF379" s="98"/>
      <c r="CG379" s="98"/>
      <c r="CH379" s="72"/>
      <c r="CJ379" s="98"/>
      <c r="CK379" s="98"/>
      <c r="CL379" s="98"/>
      <c r="CN379" s="98"/>
      <c r="CO379" s="98"/>
      <c r="CP379" s="98"/>
      <c r="CR379" s="98"/>
      <c r="CS379" s="98"/>
      <c r="CT379" s="98"/>
      <c r="CV379" s="98"/>
      <c r="CW379" s="98"/>
      <c r="CX379" s="98"/>
      <c r="CZ379" s="98"/>
      <c r="DA379" s="98"/>
      <c r="DB379" s="98"/>
      <c r="DD379" s="98"/>
      <c r="DE379" s="98"/>
      <c r="DF379" s="98"/>
      <c r="DH379" s="72"/>
      <c r="DI379" s="72"/>
      <c r="DJ379" s="72"/>
      <c r="DL379" s="72"/>
      <c r="DM379" s="72"/>
      <c r="DN379" s="72"/>
      <c r="DP379" s="72"/>
      <c r="DQ379" s="72"/>
      <c r="DR379" s="72"/>
      <c r="DV379" s="65"/>
      <c r="DW379" s="65"/>
    </row>
    <row r="380" spans="1:128" s="20" customFormat="1" ht="13.8">
      <c r="A380" s="21" t="s">
        <v>431</v>
      </c>
      <c r="B380" s="27"/>
      <c r="BH380" s="72">
        <f>+BH370-BH378</f>
        <v>42503</v>
      </c>
      <c r="BI380" s="72">
        <f>+BI370-BI378</f>
        <v>45603</v>
      </c>
      <c r="BJ380" s="72">
        <f>+BJ370-BJ378</f>
        <v>45603</v>
      </c>
      <c r="BK380" s="49"/>
      <c r="BL380" s="72">
        <f>+BL370-BL378</f>
        <v>47038</v>
      </c>
      <c r="BM380" s="72">
        <f>+BM370-BM378</f>
        <v>49284</v>
      </c>
      <c r="BN380" s="72">
        <f>+BN370-BN378</f>
        <v>49284</v>
      </c>
      <c r="BO380" s="49"/>
      <c r="BP380" s="72">
        <f>+BP370-BP378</f>
        <v>52051</v>
      </c>
      <c r="BQ380" s="72">
        <f>+BQ370-BQ378</f>
        <v>57353</v>
      </c>
      <c r="BR380" s="72">
        <f>+BR370-BR378</f>
        <v>57353</v>
      </c>
      <c r="BT380" s="72">
        <f>+BT370-BT378</f>
        <v>56464</v>
      </c>
      <c r="BU380" s="72">
        <f>+BU370-BU378</f>
        <v>57927</v>
      </c>
      <c r="BV380" s="72">
        <f>+BV370-BV378</f>
        <v>57927</v>
      </c>
      <c r="BX380" s="72">
        <f>+BX370-BX378</f>
        <v>57908</v>
      </c>
      <c r="BY380" s="72">
        <f>+BY370-BY378</f>
        <v>59075</v>
      </c>
      <c r="BZ380" s="72">
        <f>+BZ370-BZ378</f>
        <v>59075</v>
      </c>
      <c r="CB380" s="72">
        <f>+CB370-CB378</f>
        <v>59522</v>
      </c>
      <c r="CC380" s="72">
        <f>+CC370-CC378</f>
        <v>59431</v>
      </c>
      <c r="CD380" s="72">
        <f>+CD370-CD378</f>
        <v>59431</v>
      </c>
      <c r="CF380" s="72">
        <f>+CF370-CF378</f>
        <v>59997</v>
      </c>
      <c r="CG380" s="72">
        <f>+CG370-CG378</f>
        <v>60794</v>
      </c>
      <c r="CH380" s="72">
        <f>+CH370-CH378</f>
        <v>60794</v>
      </c>
      <c r="CJ380" s="72">
        <f>+CJ370-CJ378</f>
        <v>61375</v>
      </c>
      <c r="CK380" s="72">
        <f>+CK370-CK378</f>
        <v>61297</v>
      </c>
      <c r="CL380" s="72">
        <f>+CL370-CL378</f>
        <v>61297</v>
      </c>
      <c r="CN380" s="72">
        <f>+CN370-CN378</f>
        <v>62576</v>
      </c>
      <c r="CO380" s="72">
        <f>+CO370-CO378</f>
        <v>63676</v>
      </c>
      <c r="CP380" s="72">
        <f>+CP370-CP378</f>
        <v>63676</v>
      </c>
      <c r="CR380" s="72">
        <f>+CR370-CR378</f>
        <v>61756</v>
      </c>
      <c r="CS380" s="72">
        <f>+CS370-CS378</f>
        <v>66401</v>
      </c>
      <c r="CT380" s="72">
        <f>+CT370-CT378</f>
        <v>66401</v>
      </c>
      <c r="CV380" s="72">
        <f>+CV370-CV378</f>
        <v>69580</v>
      </c>
      <c r="CW380" s="72">
        <f>+CW370-CW378</f>
        <v>70017</v>
      </c>
      <c r="CX380" s="72">
        <f>+CX370-CX378</f>
        <v>70017</v>
      </c>
      <c r="CZ380" s="72">
        <f>+CZ370-CZ378</f>
        <v>71074</v>
      </c>
      <c r="DA380" s="72">
        <f>+DA370-DA378</f>
        <v>70628</v>
      </c>
      <c r="DB380" s="72">
        <f>+DB370-DB378</f>
        <v>70628</v>
      </c>
      <c r="DD380" s="72">
        <f>+DD370-DD378</f>
        <v>72331</v>
      </c>
      <c r="DE380" s="72">
        <f>+DE370-DE378</f>
        <v>71867</v>
      </c>
      <c r="DF380" s="72">
        <f>+DF370-DF378</f>
        <v>71867</v>
      </c>
      <c r="DH380" s="72">
        <f ca="1">DH381</f>
        <v>73848.319410450567</v>
      </c>
      <c r="DI380" s="72">
        <f ca="1">DI381</f>
        <v>75134.500404853752</v>
      </c>
      <c r="DJ380" s="72">
        <f ca="1">+DJ370-DJ378</f>
        <v>75134.500404853839</v>
      </c>
      <c r="DL380" s="72">
        <f ca="1">DL381</f>
        <v>76526.931352849206</v>
      </c>
      <c r="DM380" s="72">
        <f ca="1">DM381</f>
        <v>77313.233218012116</v>
      </c>
      <c r="DN380" s="72">
        <f ca="1">+DN370-DN378</f>
        <v>77313.233218012145</v>
      </c>
      <c r="DP380" s="72">
        <f ca="1">DP381</f>
        <v>78252.087646612039</v>
      </c>
      <c r="DQ380" s="72">
        <f ca="1">DQ381</f>
        <v>79233.214539050052</v>
      </c>
      <c r="DR380" s="72">
        <f ca="1">+DR370-DR378</f>
        <v>79233.214539050357</v>
      </c>
      <c r="DV380" s="72"/>
      <c r="DW380" s="72"/>
    </row>
    <row r="381" spans="1:128" s="20" customFormat="1" ht="13.8">
      <c r="A381" s="21" t="s">
        <v>716</v>
      </c>
      <c r="B381" s="27"/>
      <c r="BH381" s="72">
        <f>BH1046</f>
        <v>42503</v>
      </c>
      <c r="BI381" s="72">
        <f>BI1046</f>
        <v>45603</v>
      </c>
      <c r="BJ381" s="72">
        <f>BJ1046</f>
        <v>45603</v>
      </c>
      <c r="BK381" s="49"/>
      <c r="BL381" s="72">
        <f>BL1046</f>
        <v>47038</v>
      </c>
      <c r="BM381" s="72">
        <f>BM1046</f>
        <v>49284</v>
      </c>
      <c r="BN381" s="72">
        <f>BN1046</f>
        <v>49284</v>
      </c>
      <c r="BO381" s="49"/>
      <c r="BP381" s="72">
        <f>BP1046</f>
        <v>52051</v>
      </c>
      <c r="BQ381" s="72">
        <f>BQ1046</f>
        <v>57353</v>
      </c>
      <c r="BR381" s="72">
        <f>BR1046</f>
        <v>57353</v>
      </c>
      <c r="BT381" s="72">
        <f>BT1046</f>
        <v>56464</v>
      </c>
      <c r="BU381" s="72">
        <f>BU1046</f>
        <v>57927</v>
      </c>
      <c r="BV381" s="72">
        <f>BV1046</f>
        <v>57927</v>
      </c>
      <c r="BX381" s="72">
        <f>BX1046</f>
        <v>57908</v>
      </c>
      <c r="BY381" s="72">
        <f>BY1046</f>
        <v>59075</v>
      </c>
      <c r="BZ381" s="72">
        <f>BZ1046</f>
        <v>59075</v>
      </c>
      <c r="CB381" s="72">
        <f>CB1046</f>
        <v>59500</v>
      </c>
      <c r="CC381" s="72">
        <f>CC1046</f>
        <v>59383</v>
      </c>
      <c r="CD381" s="72">
        <f>CD1046</f>
        <v>59383</v>
      </c>
      <c r="CF381" s="72">
        <f>CF1046</f>
        <v>59971</v>
      </c>
      <c r="CG381" s="72">
        <f>CG1046</f>
        <v>60794</v>
      </c>
      <c r="CH381" s="72">
        <f>CH1046</f>
        <v>60794</v>
      </c>
      <c r="CJ381" s="72">
        <f>CJ1046</f>
        <v>61375</v>
      </c>
      <c r="CK381" s="72">
        <f>CK1046</f>
        <v>61297</v>
      </c>
      <c r="CL381" s="72">
        <f>CL1046</f>
        <v>61297</v>
      </c>
      <c r="CN381" s="72">
        <f>CN1046</f>
        <v>62576</v>
      </c>
      <c r="CO381" s="72">
        <f>CO1046</f>
        <v>63676</v>
      </c>
      <c r="CP381" s="72">
        <f>CP1046</f>
        <v>63676</v>
      </c>
      <c r="CR381" s="72">
        <f>CR1046</f>
        <v>61756</v>
      </c>
      <c r="CS381" s="72">
        <f>CS1046</f>
        <v>66401</v>
      </c>
      <c r="CT381" s="72">
        <f>CT1046</f>
        <v>66401</v>
      </c>
      <c r="CV381" s="72">
        <f>CV1046</f>
        <v>69580</v>
      </c>
      <c r="CW381" s="72">
        <f>CW1046</f>
        <v>70017</v>
      </c>
      <c r="CX381" s="72">
        <f>CX1046</f>
        <v>70017</v>
      </c>
      <c r="CZ381" s="72">
        <f>CZ1046</f>
        <v>71074</v>
      </c>
      <c r="DA381" s="72">
        <f>DA1046</f>
        <v>70628</v>
      </c>
      <c r="DB381" s="72">
        <f>DB1046</f>
        <v>70628</v>
      </c>
      <c r="DD381" s="72">
        <f>DD1046</f>
        <v>72331</v>
      </c>
      <c r="DE381" s="72">
        <f>DE1046</f>
        <v>71867</v>
      </c>
      <c r="DF381" s="72">
        <f>DF1046</f>
        <v>71867</v>
      </c>
      <c r="DH381" s="72">
        <f ca="1">DH1046</f>
        <v>73848.319410450567</v>
      </c>
      <c r="DI381" s="72">
        <f t="shared" ref="DI381:DJ381" ca="1" si="657">DI1046</f>
        <v>75134.500404853752</v>
      </c>
      <c r="DJ381" s="72">
        <f t="shared" ca="1" si="657"/>
        <v>75134.500404853752</v>
      </c>
      <c r="DL381" s="72">
        <f ca="1">DL1046</f>
        <v>76526.931352849206</v>
      </c>
      <c r="DM381" s="72">
        <f t="shared" ref="DM381:DN381" ca="1" si="658">DM1046</f>
        <v>77313.233218012116</v>
      </c>
      <c r="DN381" s="72">
        <f t="shared" ca="1" si="658"/>
        <v>77313.233218012116</v>
      </c>
      <c r="DP381" s="72">
        <f ca="1">DP1046</f>
        <v>78252.087646612039</v>
      </c>
      <c r="DQ381" s="72">
        <f t="shared" ref="DQ381:DR381" ca="1" si="659">DQ1046</f>
        <v>79233.214539050052</v>
      </c>
      <c r="DR381" s="72">
        <f t="shared" ca="1" si="659"/>
        <v>79233.214539050052</v>
      </c>
    </row>
    <row r="382" spans="1:128" s="20" customFormat="1" ht="13.8">
      <c r="A382" s="21" t="s">
        <v>421</v>
      </c>
      <c r="B382" s="49"/>
      <c r="BH382" s="72">
        <f>BH380-BH368</f>
        <v>35361</v>
      </c>
      <c r="BI382" s="72">
        <f>BI380-BI368</f>
        <v>37913</v>
      </c>
      <c r="BJ382" s="72">
        <f>BJ380-BJ368</f>
        <v>37913</v>
      </c>
      <c r="BK382" s="49"/>
      <c r="BL382" s="72">
        <f>BL380-BL368</f>
        <v>39069</v>
      </c>
      <c r="BM382" s="72">
        <f>BM380-BM368</f>
        <v>41334</v>
      </c>
      <c r="BN382" s="72">
        <f>BN380-BN368</f>
        <v>41334</v>
      </c>
      <c r="BO382" s="49"/>
      <c r="BP382" s="72">
        <f>BP380-BP368</f>
        <v>43667</v>
      </c>
      <c r="BQ382" s="72">
        <f>BQ380-BQ368</f>
        <v>49041</v>
      </c>
      <c r="BR382" s="72">
        <f>BR380-BR368</f>
        <v>49041</v>
      </c>
      <c r="BT382" s="72">
        <f>BT380-BT368</f>
        <v>48879</v>
      </c>
      <c r="BU382" s="72">
        <f>BU380-BU368</f>
        <v>50255</v>
      </c>
      <c r="BV382" s="72">
        <f>BV380-BV368</f>
        <v>50255</v>
      </c>
      <c r="BX382" s="72">
        <f>BX380-BX368</f>
        <v>50855</v>
      </c>
      <c r="BY382" s="72">
        <f>BY380-BY368</f>
        <v>52105</v>
      </c>
      <c r="BZ382" s="72">
        <f>BZ380-BZ368</f>
        <v>52105</v>
      </c>
      <c r="CB382" s="72">
        <f>CB380-CB368</f>
        <v>54184</v>
      </c>
      <c r="CC382" s="72">
        <f>CC380-CC368</f>
        <v>54501</v>
      </c>
      <c r="CD382" s="72">
        <f>CD380-CD368</f>
        <v>54501</v>
      </c>
      <c r="CF382" s="72">
        <f>CF380-CF368</f>
        <v>54980</v>
      </c>
      <c r="CG382" s="72">
        <f>CG380-CG368</f>
        <v>55933</v>
      </c>
      <c r="CH382" s="72">
        <f>CH380-CH368</f>
        <v>55933</v>
      </c>
      <c r="CJ382" s="72">
        <f>CJ380-CJ368</f>
        <v>56418</v>
      </c>
      <c r="CK382" s="72">
        <f>CK380-CK368</f>
        <v>56918</v>
      </c>
      <c r="CL382" s="72">
        <f>CL380-CL368</f>
        <v>56918</v>
      </c>
      <c r="CN382" s="72">
        <f>CN380-CN368</f>
        <v>58552</v>
      </c>
      <c r="CO382" s="72">
        <f>CO380-CO368</f>
        <v>59552</v>
      </c>
      <c r="CP382" s="72">
        <f>CP380-CP368</f>
        <v>59552</v>
      </c>
      <c r="CR382" s="72">
        <f>CR380-CR368</f>
        <v>57688</v>
      </c>
      <c r="CS382" s="72">
        <f>CS380-CS368</f>
        <v>62524</v>
      </c>
      <c r="CT382" s="72">
        <f>CT380-CT368</f>
        <v>62524</v>
      </c>
      <c r="CV382" s="72">
        <f>CV380-CV368</f>
        <v>65543</v>
      </c>
      <c r="CW382" s="72">
        <f>CW380-CW368</f>
        <v>65959</v>
      </c>
      <c r="CX382" s="72">
        <f>CX380-CX368</f>
        <v>65959</v>
      </c>
      <c r="CZ382" s="72">
        <f>CZ380-CZ368</f>
        <v>67076</v>
      </c>
      <c r="DA382" s="72">
        <f>DA380-DA368</f>
        <v>65117</v>
      </c>
      <c r="DB382" s="72">
        <f>DB380-DB368</f>
        <v>65117</v>
      </c>
      <c r="DD382" s="72">
        <f>DD380-DD368</f>
        <v>66466</v>
      </c>
      <c r="DE382" s="72">
        <f>DE380-DE368</f>
        <v>66102</v>
      </c>
      <c r="DF382" s="72">
        <f>DF380-DF368</f>
        <v>66102</v>
      </c>
      <c r="DH382" s="72">
        <f ca="1">DH380-DH368</f>
        <v>68134.82909748485</v>
      </c>
      <c r="DI382" s="72">
        <f ca="1">DI380-DI368</f>
        <v>69442.318845727335</v>
      </c>
      <c r="DJ382" s="72">
        <f ca="1">DJ380-DJ368</f>
        <v>69442.318845727423</v>
      </c>
      <c r="DL382" s="72">
        <f ca="1">DL380-DL368</f>
        <v>70871.789845213381</v>
      </c>
      <c r="DM382" s="72">
        <f ca="1">DM380-DM368</f>
        <v>71667.742361252574</v>
      </c>
      <c r="DN382" s="72">
        <f ca="1">DN380-DN368</f>
        <v>71667.742361252604</v>
      </c>
      <c r="DP382" s="72">
        <f ca="1">DP380-DP368</f>
        <v>72634.839122774894</v>
      </c>
      <c r="DQ382" s="72">
        <f ca="1">DQ380-DQ368</f>
        <v>73617.580941925844</v>
      </c>
      <c r="DR382" s="72">
        <f ca="1">DR380-DR368</f>
        <v>73617.58094192615</v>
      </c>
    </row>
    <row r="383" spans="1:128" s="20" customFormat="1" ht="13.8">
      <c r="B383" s="49"/>
      <c r="BH383" s="49"/>
      <c r="BI383" s="49"/>
      <c r="BJ383" s="49"/>
      <c r="BK383" s="49"/>
      <c r="BL383" s="49"/>
      <c r="BM383" s="49"/>
      <c r="BN383" s="49"/>
      <c r="BO383" s="49"/>
      <c r="BP383" s="49"/>
      <c r="BQ383" s="49"/>
      <c r="BR383" s="49"/>
      <c r="BT383" s="49"/>
      <c r="BU383" s="49"/>
      <c r="BV383" s="49"/>
      <c r="BX383" s="49"/>
      <c r="BY383" s="49"/>
      <c r="BZ383" s="49"/>
      <c r="CB383" s="49"/>
      <c r="CC383" s="49"/>
      <c r="CD383" s="49"/>
      <c r="CF383" s="49"/>
      <c r="CG383" s="49"/>
      <c r="CH383" s="49"/>
      <c r="CJ383" s="49"/>
      <c r="CK383" s="49"/>
      <c r="CL383" s="49"/>
      <c r="CN383" s="49"/>
      <c r="CO383" s="49"/>
      <c r="CP383" s="49"/>
      <c r="CR383" s="49"/>
      <c r="CS383" s="49"/>
      <c r="CT383" s="49"/>
      <c r="CV383" s="49"/>
      <c r="CW383" s="49"/>
      <c r="CX383" s="49"/>
      <c r="CZ383" s="49"/>
      <c r="DA383" s="49"/>
      <c r="DB383" s="49"/>
      <c r="DD383" s="49"/>
      <c r="DE383" s="49"/>
      <c r="DF383" s="49"/>
      <c r="DH383" s="49"/>
      <c r="DI383" s="49"/>
      <c r="DJ383" s="49"/>
      <c r="DL383" s="49"/>
      <c r="DM383" s="49"/>
      <c r="DN383" s="49"/>
      <c r="DP383" s="49"/>
      <c r="DQ383" s="49"/>
      <c r="DR383" s="49"/>
    </row>
    <row r="384" spans="1:128" s="47" customFormat="1" ht="13.8">
      <c r="A384" s="47" t="s">
        <v>33</v>
      </c>
      <c r="B384" s="92"/>
      <c r="BH384" s="75">
        <f>BH366/BH370</f>
        <v>0.675432258448181</v>
      </c>
      <c r="BI384" s="75">
        <f>BI366/BI370</f>
        <v>0.68743447677437253</v>
      </c>
      <c r="BJ384" s="75">
        <f>BJ366/BJ370</f>
        <v>0.68743447677437253</v>
      </c>
      <c r="BK384" s="92"/>
      <c r="BL384" s="75">
        <f>BL366/BL370</f>
        <v>0.69021367144880497</v>
      </c>
      <c r="BM384" s="75">
        <f>BM366/BM370</f>
        <v>0.67576402812100111</v>
      </c>
      <c r="BN384" s="75">
        <f>BN366/BN370</f>
        <v>0.67576402812100111</v>
      </c>
      <c r="BO384" s="92"/>
      <c r="BP384" s="75">
        <f>BP366/BP370</f>
        <v>0.64900760039391359</v>
      </c>
      <c r="BQ384" s="75">
        <f>BQ366/BQ370</f>
        <v>0.64078885268007646</v>
      </c>
      <c r="BR384" s="75">
        <f>BR366/BR370</f>
        <v>0.64078885268007646</v>
      </c>
      <c r="BT384" s="75">
        <f>BT366/BT370</f>
        <v>0.62747883897515633</v>
      </c>
      <c r="BU384" s="75">
        <f>BU366/BU370</f>
        <v>0.62943656414197002</v>
      </c>
      <c r="BV384" s="75">
        <f>BV366/BV370</f>
        <v>0.62943656414197002</v>
      </c>
      <c r="BX384" s="75">
        <f>BX366/BX370</f>
        <v>0.64282981469273659</v>
      </c>
      <c r="BY384" s="75">
        <f>BY366/BY370</f>
        <v>0.64669139198017223</v>
      </c>
      <c r="BZ384" s="75">
        <f>BZ366/BZ370</f>
        <v>0.64669139198017223</v>
      </c>
      <c r="CB384" s="75">
        <f>CB366/CB370</f>
        <v>0.63264505648358926</v>
      </c>
      <c r="CC384" s="75">
        <f>CC366/CC370</f>
        <v>0.64137886431250812</v>
      </c>
      <c r="CD384" s="75">
        <f>CD366/CD370</f>
        <v>0.64137886431250812</v>
      </c>
      <c r="CF384" s="75">
        <f>CF366/CF370</f>
        <v>0.6224499372621829</v>
      </c>
      <c r="CG384" s="75">
        <f>CG366/CG370</f>
        <v>0.62708673712233864</v>
      </c>
      <c r="CH384" s="75">
        <f>CH366/CH370</f>
        <v>0.62708673712233864</v>
      </c>
      <c r="CJ384" s="75">
        <f>CJ366/CJ370</f>
        <v>0.57098669078355235</v>
      </c>
      <c r="CK384" s="75">
        <f>CK366/CK370</f>
        <v>0.59205726643167034</v>
      </c>
      <c r="CL384" s="75">
        <f>CL366/CL370</f>
        <v>0.59205726643167034</v>
      </c>
      <c r="CN384" s="75">
        <f>CN366/CN370</f>
        <v>0.60329516987957843</v>
      </c>
      <c r="CO384" s="75">
        <f>CO366/CO370</f>
        <v>0.64332073019858871</v>
      </c>
      <c r="CP384" s="75">
        <f>CP366/CP370</f>
        <v>0.64332073019858871</v>
      </c>
      <c r="CR384" s="75">
        <f>CR366/CR370</f>
        <v>0.64031941464239339</v>
      </c>
      <c r="CS384" s="75">
        <f>CS366/CS370</f>
        <v>0.61931384350975238</v>
      </c>
      <c r="CT384" s="75">
        <f>CT366/CT370</f>
        <v>0.61931384350975238</v>
      </c>
      <c r="CV384" s="75">
        <f>CV366/CV370</f>
        <v>0.62100793980042057</v>
      </c>
      <c r="CW384" s="75">
        <f>CW366/CW370</f>
        <v>0.63948670592587298</v>
      </c>
      <c r="CX384" s="75">
        <f>CX366/CX370</f>
        <v>0.63948670592587298</v>
      </c>
      <c r="CZ384" s="75">
        <f>CZ366/CZ370</f>
        <v>0.65630141901570982</v>
      </c>
      <c r="DA384" s="75">
        <f>DA366/DA370</f>
        <v>0.65362638971943232</v>
      </c>
      <c r="DB384" s="75">
        <f>DB366/DB370</f>
        <v>0.65362638971943232</v>
      </c>
      <c r="DD384" s="75">
        <f>DD366/DD370</f>
        <v>0.62966093432488179</v>
      </c>
      <c r="DE384" s="75">
        <f>DE366/DE370</f>
        <v>0.63946564202826595</v>
      </c>
      <c r="DF384" s="75">
        <f>DF366/DF370</f>
        <v>0.63946564202826595</v>
      </c>
      <c r="DH384" s="75">
        <f ca="1">DH366/DH370</f>
        <v>0.63939780933056611</v>
      </c>
      <c r="DI384" s="75">
        <f ca="1">DI366/DI370</f>
        <v>0.63948238989276807</v>
      </c>
      <c r="DJ384" s="75">
        <f ca="1">DJ366/DJ370</f>
        <v>0.63948238989276807</v>
      </c>
      <c r="DL384" s="75">
        <f ca="1">DL366/DL370</f>
        <v>0.63958534201567074</v>
      </c>
      <c r="DM384" s="75">
        <f ca="1">DM366/DM370</f>
        <v>0.63964751967435385</v>
      </c>
      <c r="DN384" s="75">
        <f ca="1">DN366/DN370</f>
        <v>0.63964751967435385</v>
      </c>
      <c r="DP384" s="75">
        <f ca="1">DP366/DP370</f>
        <v>0.63970514679519164</v>
      </c>
      <c r="DQ384" s="75">
        <f ca="1">DQ366/DQ370</f>
        <v>0.63975290186259381</v>
      </c>
      <c r="DR384" s="75">
        <f ca="1">DR366/DR370</f>
        <v>0.63975290186259381</v>
      </c>
      <c r="DW384" s="20"/>
      <c r="DX384" s="20"/>
    </row>
    <row r="385" spans="1:128" s="47" customFormat="1" ht="13.8">
      <c r="A385" s="47" t="s">
        <v>34</v>
      </c>
      <c r="B385" s="92"/>
      <c r="BH385" s="75">
        <f>BH364/BH370</f>
        <v>0.68345895960632141</v>
      </c>
      <c r="BI385" s="75">
        <f>BI364/BI370</f>
        <v>0.69498502834301812</v>
      </c>
      <c r="BJ385" s="75">
        <f>BJ364/BJ370</f>
        <v>0.69498502834301812</v>
      </c>
      <c r="BK385" s="92"/>
      <c r="BL385" s="75">
        <f>BL364/BL370</f>
        <v>0.697308946009501</v>
      </c>
      <c r="BM385" s="75">
        <f>BM364/BM370</f>
        <v>0.68201328339109846</v>
      </c>
      <c r="BN385" s="75">
        <f>BN364/BN370</f>
        <v>0.68201328339109846</v>
      </c>
      <c r="BO385" s="92"/>
      <c r="BP385" s="75">
        <f>BP364/BP370</f>
        <v>0.65462447403576618</v>
      </c>
      <c r="BQ385" s="75">
        <f>BQ364/BQ370</f>
        <v>0.64613327340150584</v>
      </c>
      <c r="BR385" s="75">
        <f>BR364/BR370</f>
        <v>0.64613327340150584</v>
      </c>
      <c r="BT385" s="75">
        <f>BT364/BT370</f>
        <v>0.63272413708367681</v>
      </c>
      <c r="BU385" s="75">
        <f>BU364/BU370</f>
        <v>0.63460342409678328</v>
      </c>
      <c r="BV385" s="75">
        <f>BV364/BV370</f>
        <v>0.63460342409678328</v>
      </c>
      <c r="BX385" s="75">
        <f>BX364/BX370</f>
        <v>0.64786265868461179</v>
      </c>
      <c r="BY385" s="75">
        <f>BY364/BY370</f>
        <v>0.65138199494943871</v>
      </c>
      <c r="BZ385" s="75">
        <f>BZ364/BZ370</f>
        <v>0.65138199494943871</v>
      </c>
      <c r="CB385" s="75">
        <f>CB364/CB370</f>
        <v>0.63695854307608457</v>
      </c>
      <c r="CC385" s="75">
        <f>CC364/CC370</f>
        <v>0.64548517677394179</v>
      </c>
      <c r="CD385" s="75">
        <f>CD364/CD370</f>
        <v>0.64548517677394179</v>
      </c>
      <c r="CF385" s="75">
        <f>CF364/CF370</f>
        <v>0.62657839166760176</v>
      </c>
      <c r="CG385" s="75">
        <f>CG364/CG370</f>
        <v>0.63106885175057104</v>
      </c>
      <c r="CH385" s="75">
        <f>CH364/CH370</f>
        <v>0.63106885175057104</v>
      </c>
      <c r="CJ385" s="75">
        <f>CJ364/CJ370</f>
        <v>0.57562165476040372</v>
      </c>
      <c r="CK385" s="75">
        <f>CK364/CK370</f>
        <v>0.59727752267611767</v>
      </c>
      <c r="CL385" s="75">
        <f>CL364/CL370</f>
        <v>0.59727752267611767</v>
      </c>
      <c r="CN385" s="75">
        <f>CN364/CN370</f>
        <v>0.60789776292570552</v>
      </c>
      <c r="CO385" s="75">
        <f>CO364/CO370</f>
        <v>0.6478964751746169</v>
      </c>
      <c r="CP385" s="75">
        <f>CP364/CP370</f>
        <v>0.6478964751746169</v>
      </c>
      <c r="CR385" s="75">
        <f>CR364/CR370</f>
        <v>0.64426983145609085</v>
      </c>
      <c r="CS385" s="75">
        <f>CS364/CS370</f>
        <v>0.62309010812090315</v>
      </c>
      <c r="CT385" s="75">
        <f>CT364/CT370</f>
        <v>0.62309010812090315</v>
      </c>
      <c r="CV385" s="75">
        <f>CV364/CV370</f>
        <v>0.62477311320627371</v>
      </c>
      <c r="CW385" s="75">
        <f>CW364/CW370</f>
        <v>0.64315968174175575</v>
      </c>
      <c r="CX385" s="75">
        <f>CX364/CX370</f>
        <v>0.64315968174175575</v>
      </c>
      <c r="CZ385" s="75">
        <f>CZ364/CZ370</f>
        <v>0.65995655681064225</v>
      </c>
      <c r="DA385" s="75">
        <f>DA364/DA370</f>
        <v>0.65703534657049989</v>
      </c>
      <c r="DB385" s="75">
        <f>DB364/DB370</f>
        <v>0.65703534657049989</v>
      </c>
      <c r="DD385" s="75">
        <f>DD364/DD370</f>
        <v>0.63299654769773583</v>
      </c>
      <c r="DE385" s="75">
        <f>DE364/DE370</f>
        <v>0.64294646243797737</v>
      </c>
      <c r="DF385" s="75">
        <f>DF364/DF370</f>
        <v>0.64294646243797737</v>
      </c>
      <c r="DH385" s="75">
        <f ca="1">DH364/DH370</f>
        <v>0.64319295216429573</v>
      </c>
      <c r="DI385" s="75">
        <f ca="1">DI364/DI370</f>
        <v>0.64323648036453984</v>
      </c>
      <c r="DJ385" s="75">
        <f ca="1">DJ364/DJ370</f>
        <v>0.64323648036453984</v>
      </c>
      <c r="DL385" s="75">
        <f ca="1">DL364/DL370</f>
        <v>0.64326715562151238</v>
      </c>
      <c r="DM385" s="75">
        <f ca="1">DM364/DM370</f>
        <v>0.6433438285231653</v>
      </c>
      <c r="DN385" s="75">
        <f ca="1">DN364/DN370</f>
        <v>0.6433438285231653</v>
      </c>
      <c r="DP385" s="75">
        <f ca="1">DP364/DP370</f>
        <v>0.64341879684302694</v>
      </c>
      <c r="DQ385" s="75">
        <f ca="1">DQ364/DQ370</f>
        <v>0.64348487788618036</v>
      </c>
      <c r="DR385" s="75">
        <f ca="1">DR364/DR370</f>
        <v>0.64348487788618036</v>
      </c>
      <c r="DW385" s="20"/>
      <c r="DX385" s="20"/>
    </row>
    <row r="386" spans="1:128" s="335" customFormat="1" ht="13.8">
      <c r="A386" s="335" t="s">
        <v>35</v>
      </c>
      <c r="B386" s="336" t="s">
        <v>556</v>
      </c>
      <c r="BH386" s="345">
        <f>BH369/BH364</f>
        <v>0.39148820464853223</v>
      </c>
      <c r="BI386" s="345">
        <f>BI369/BI364</f>
        <v>0.36833745760595699</v>
      </c>
      <c r="BJ386" s="345">
        <f>BJ369/BJ364</f>
        <v>0.36833745760595699</v>
      </c>
      <c r="BK386" s="336"/>
      <c r="BL386" s="345">
        <f>BL369/BL364</f>
        <v>0.36424579919725553</v>
      </c>
      <c r="BM386" s="345">
        <f>BM369/BM364</f>
        <v>0.39654409516556932</v>
      </c>
      <c r="BN386" s="345">
        <f>BN369/BN364</f>
        <v>0.39654409516556932</v>
      </c>
      <c r="BO386" s="336"/>
      <c r="BP386" s="345">
        <f>BP369/BP364</f>
        <v>0.45646444086857985</v>
      </c>
      <c r="BQ386" s="345">
        <f>BQ369/BQ364</f>
        <v>0.48092675749659997</v>
      </c>
      <c r="BR386" s="345">
        <f>BR369/BR364</f>
        <v>0.48092675749659997</v>
      </c>
      <c r="BT386" s="345">
        <f>BT369/BT364</f>
        <v>0.51439102926223024</v>
      </c>
      <c r="BU386" s="345">
        <f>BU369/BU364</f>
        <v>0.50930019859485098</v>
      </c>
      <c r="BV386" s="345">
        <f>BV369/BV364</f>
        <v>0.50930019859485098</v>
      </c>
      <c r="BX386" s="345">
        <f>BX369/BX364</f>
        <v>0.47442219222610948</v>
      </c>
      <c r="BY386" s="345">
        <f>BY369/BY364</f>
        <v>0.46552278691946308</v>
      </c>
      <c r="BZ386" s="345">
        <f>BZ369/BZ364</f>
        <v>0.46552278691946308</v>
      </c>
      <c r="CB386" s="345">
        <f>CB369/CB364</f>
        <v>0.56777626207458942</v>
      </c>
      <c r="CC386" s="345">
        <f>CC369/CC364</f>
        <v>0.5474860794007983</v>
      </c>
      <c r="CD386" s="345">
        <f>CD369/CD364</f>
        <v>0.5474860794007983</v>
      </c>
      <c r="CF386" s="345">
        <f>CF369/CF364</f>
        <v>0.5943902470792034</v>
      </c>
      <c r="CG386" s="345">
        <f>CG369/CG364</f>
        <v>0.58307236358644299</v>
      </c>
      <c r="CH386" s="345">
        <f>CH369/CH364</f>
        <v>0.58307236358644299</v>
      </c>
      <c r="CJ386" s="345">
        <f>CJ369/CJ364</f>
        <v>0.73781572017965402</v>
      </c>
      <c r="CK386" s="345">
        <f>CK369/CK364</f>
        <v>0.67596950528003286</v>
      </c>
      <c r="CL386" s="345">
        <f>CL369/CL364</f>
        <v>0.67596950528003286</v>
      </c>
      <c r="CN386" s="345">
        <f>CN369/CN364</f>
        <v>0.64608445899012357</v>
      </c>
      <c r="CO386" s="345">
        <f>CO369/CO364</f>
        <v>0.54401622206314115</v>
      </c>
      <c r="CP386" s="345">
        <f>CP369/CP364</f>
        <v>0.54401622206314115</v>
      </c>
      <c r="CR386" s="345">
        <f>CR369/CR364</f>
        <v>0.55206993615122324</v>
      </c>
      <c r="CS386" s="345">
        <f>CS369/CS364</f>
        <v>0.60523394436421207</v>
      </c>
      <c r="CT386" s="345">
        <f>CT369/CT364</f>
        <v>0.60523394436421207</v>
      </c>
      <c r="CV386" s="345">
        <f>CV369/CV364</f>
        <v>0.60079277400323505</v>
      </c>
      <c r="CW386" s="345">
        <f>CW369/CW364</f>
        <v>0.55482804930354868</v>
      </c>
      <c r="CX386" s="345">
        <f>CX369/CX364</f>
        <v>0.55482804930354868</v>
      </c>
      <c r="CZ386" s="345">
        <f>CZ369/CZ364</f>
        <v>0.51523039571496509</v>
      </c>
      <c r="DA386" s="345">
        <f>DA369/DA364</f>
        <v>0.52035236486653824</v>
      </c>
      <c r="DB386" s="345">
        <f>DB369/DB364</f>
        <v>0.52035236486653824</v>
      </c>
      <c r="DD386" s="345">
        <f>DD369/DD364</f>
        <v>0.57794401046877864</v>
      </c>
      <c r="DE386" s="345">
        <f>DE369/DE364</f>
        <v>0.55384060117198319</v>
      </c>
      <c r="DF386" s="345">
        <f>DF369/DF364</f>
        <v>0.55384060117198319</v>
      </c>
      <c r="DH386" s="346">
        <f>DE386</f>
        <v>0.55384060117198319</v>
      </c>
      <c r="DI386" s="346">
        <f>DH386</f>
        <v>0.55384060117198319</v>
      </c>
      <c r="DJ386" s="345">
        <f>DJ369/DJ364</f>
        <v>0.55384060117198319</v>
      </c>
      <c r="DL386" s="346">
        <f>DI386</f>
        <v>0.55384060117198319</v>
      </c>
      <c r="DM386" s="346">
        <f>DL386</f>
        <v>0.55384060117198319</v>
      </c>
      <c r="DN386" s="345">
        <f>DN369/DN364</f>
        <v>0.55384060117198319</v>
      </c>
      <c r="DP386" s="346">
        <f>DM386</f>
        <v>0.55384060117198319</v>
      </c>
      <c r="DQ386" s="346">
        <f>DP386</f>
        <v>0.55384060117198319</v>
      </c>
      <c r="DR386" s="345">
        <f>DR369/DR364</f>
        <v>0.55384060117198319</v>
      </c>
      <c r="DW386" s="20"/>
      <c r="DX386" s="20"/>
    </row>
    <row r="387" spans="1:128" s="47" customFormat="1" ht="13.8">
      <c r="A387" s="47" t="s">
        <v>36</v>
      </c>
      <c r="B387" s="92"/>
      <c r="BH387" s="75">
        <f>BH369/BH370</f>
        <v>0.26756612104723249</v>
      </c>
      <c r="BI387" s="75">
        <f>BI369/BI370</f>
        <v>0.25598901841407123</v>
      </c>
      <c r="BJ387" s="75">
        <f>BJ369/BJ370</f>
        <v>0.25598901841407123</v>
      </c>
      <c r="BK387" s="92"/>
      <c r="BL387" s="75">
        <f>BL369/BL370</f>
        <v>0.25399185432662658</v>
      </c>
      <c r="BM387" s="75">
        <f>BM369/BM370</f>
        <v>0.27044834035322213</v>
      </c>
      <c r="BN387" s="75">
        <f>BN369/BN370</f>
        <v>0.27044834035322213</v>
      </c>
      <c r="BO387" s="92"/>
      <c r="BP387" s="75">
        <f>BP369/BP370</f>
        <v>0.29881279451962417</v>
      </c>
      <c r="BQ387" s="75">
        <f>BQ369/BQ370</f>
        <v>0.31074278008765027</v>
      </c>
      <c r="BR387" s="75">
        <f>BR369/BR370</f>
        <v>0.31074278008765027</v>
      </c>
      <c r="BT387" s="75">
        <f>BT369/BT370</f>
        <v>0.32546762011352898</v>
      </c>
      <c r="BU387" s="75">
        <f>BU369/BU370</f>
        <v>0.32320364992146416</v>
      </c>
      <c r="BV387" s="75">
        <f>BV369/BV370</f>
        <v>0.32320364992146416</v>
      </c>
      <c r="BX387" s="75">
        <f>BX369/BX370</f>
        <v>0.30736042279458925</v>
      </c>
      <c r="BY387" s="75">
        <f>BY369/BY370</f>
        <v>0.30323316163802227</v>
      </c>
      <c r="BZ387" s="75">
        <f>BZ369/BZ370</f>
        <v>0.30323316163802227</v>
      </c>
      <c r="CB387" s="75">
        <f>CB369/CB370</f>
        <v>0.36164994068421558</v>
      </c>
      <c r="CC387" s="75">
        <f>CC369/CC370</f>
        <v>0.35339414874329661</v>
      </c>
      <c r="CD387" s="75">
        <f>CD369/CD370</f>
        <v>0.35339414874329661</v>
      </c>
      <c r="CF387" s="75">
        <f>CF369/CF370</f>
        <v>0.37243208503779573</v>
      </c>
      <c r="CG387" s="75">
        <f>CG369/CG370</f>
        <v>0.36795880697598804</v>
      </c>
      <c r="CH387" s="75">
        <f>CH369/CH370</f>
        <v>0.36795880697598804</v>
      </c>
      <c r="CJ387" s="75">
        <f>CJ369/CJ370</f>
        <v>0.42470270575805141</v>
      </c>
      <c r="CK387" s="75">
        <f>CK369/CK370</f>
        <v>0.40374139151825889</v>
      </c>
      <c r="CL387" s="75">
        <f>CL369/CL370</f>
        <v>0.40374139151825889</v>
      </c>
      <c r="CN387" s="75">
        <f>CN369/CN370</f>
        <v>0.39275329728116082</v>
      </c>
      <c r="CO387" s="75">
        <f>CO369/CO370</f>
        <v>0.35246619271252083</v>
      </c>
      <c r="CP387" s="75">
        <f>CP369/CP370</f>
        <v>0.35246619271252083</v>
      </c>
      <c r="CR387" s="75">
        <f>CR369/CR370</f>
        <v>0.35568200471612338</v>
      </c>
      <c r="CS387" s="75">
        <f>CS369/CS370</f>
        <v>0.37711528383233756</v>
      </c>
      <c r="CT387" s="75">
        <f>CT369/CT370</f>
        <v>0.37711528383233756</v>
      </c>
      <c r="CV387" s="75">
        <f>CV369/CV370</f>
        <v>0.37535917180583439</v>
      </c>
      <c r="CW387" s="75">
        <f>CW369/CW370</f>
        <v>0.35684303161146952</v>
      </c>
      <c r="CX387" s="75">
        <f>CX369/CX370</f>
        <v>0.35684303161146952</v>
      </c>
      <c r="CZ387" s="75">
        <f>CZ369/CZ370</f>
        <v>0.34002967792023303</v>
      </c>
      <c r="DA387" s="75">
        <f>DA369/DA370</f>
        <v>0.34188989638886513</v>
      </c>
      <c r="DB387" s="75">
        <f>DB369/DB370</f>
        <v>0.34188989638886513</v>
      </c>
      <c r="DD387" s="75">
        <f>DD369/DD370</f>
        <v>0.36583656338932097</v>
      </c>
      <c r="DE387" s="75">
        <f>DE369/DE370</f>
        <v>0.35608985527804932</v>
      </c>
      <c r="DF387" s="75">
        <f>DF369/DF370</f>
        <v>0.35608985527804932</v>
      </c>
      <c r="DH387" s="75">
        <f ca="1">DH369/DH370</f>
        <v>0.35622637129625617</v>
      </c>
      <c r="DI387" s="75">
        <f ca="1">DI369/DI370</f>
        <v>0.35625047898084727</v>
      </c>
      <c r="DJ387" s="75">
        <f ca="1">DJ369/DJ370</f>
        <v>0.35625047898084727</v>
      </c>
      <c r="DL387" s="75">
        <f ca="1">DL369/DL370</f>
        <v>0.3562674681836101</v>
      </c>
      <c r="DM387" s="75">
        <f ca="1">DM369/DM370</f>
        <v>0.35630993274955508</v>
      </c>
      <c r="DN387" s="75">
        <f ca="1">DN369/DN370</f>
        <v>0.35630993274955508</v>
      </c>
      <c r="DP387" s="75">
        <f ca="1">DP369/DP370</f>
        <v>0.35635145324889617</v>
      </c>
      <c r="DQ387" s="75">
        <f ca="1">DQ369/DQ370</f>
        <v>0.35638805161356235</v>
      </c>
      <c r="DR387" s="75">
        <f ca="1">DR369/DR370</f>
        <v>0.35638805161356235</v>
      </c>
      <c r="DW387" s="20"/>
      <c r="DX387" s="20"/>
    </row>
    <row r="388" spans="1:128" s="47" customFormat="1" ht="13.8">
      <c r="A388" s="47" t="s">
        <v>37</v>
      </c>
      <c r="B388" s="92"/>
      <c r="BH388" s="75">
        <f>BH372/BH378</f>
        <v>0.6423228968128647</v>
      </c>
      <c r="BI388" s="75">
        <f>BI372/BI378</f>
        <v>0.64812471097914182</v>
      </c>
      <c r="BJ388" s="75">
        <f>BJ372/BJ378</f>
        <v>0.64812471097914182</v>
      </c>
      <c r="BK388" s="92"/>
      <c r="BL388" s="75">
        <f>BL372/BL378</f>
        <v>0.64383006382667629</v>
      </c>
      <c r="BM388" s="75">
        <f>BM372/BM378</f>
        <v>0.62995152239598895</v>
      </c>
      <c r="BN388" s="75">
        <f>BN372/BN378</f>
        <v>0.62995152239598895</v>
      </c>
      <c r="BO388" s="92"/>
      <c r="BP388" s="75">
        <f>BP372/BP378</f>
        <v>0.61305065615888399</v>
      </c>
      <c r="BQ388" s="75">
        <f>BQ372/BQ378</f>
        <v>0.60833442436282881</v>
      </c>
      <c r="BR388" s="75">
        <f>BR372/BR378</f>
        <v>0.60833442436282881</v>
      </c>
      <c r="BT388" s="75">
        <f>BT372/BT378</f>
        <v>0.60835179193480315</v>
      </c>
      <c r="BU388" s="75">
        <f>BU372/BU378</f>
        <v>0.59463650982213501</v>
      </c>
      <c r="BV388" s="75">
        <f>BV372/BV378</f>
        <v>0.59463650982213501</v>
      </c>
      <c r="BX388" s="75">
        <f>BX372/BX378</f>
        <v>0.62543539672526804</v>
      </c>
      <c r="BY388" s="75">
        <f>BY372/BY378</f>
        <v>0.62260349227140799</v>
      </c>
      <c r="BZ388" s="75">
        <f>BZ372/BZ378</f>
        <v>0.62260349227140799</v>
      </c>
      <c r="CB388" s="75">
        <f>CB372/CB378</f>
        <v>0.59597008724553391</v>
      </c>
      <c r="CC388" s="75">
        <f>CC372/CC378</f>
        <v>0.5987727312331188</v>
      </c>
      <c r="CD388" s="75">
        <f>CD372/CD378</f>
        <v>0.5987727312331188</v>
      </c>
      <c r="CF388" s="75">
        <f>CF372/CF378</f>
        <v>0.5826455845167684</v>
      </c>
      <c r="CG388" s="75">
        <f>CG372/CG378</f>
        <v>0.59579852294199009</v>
      </c>
      <c r="CH388" s="75">
        <f>CH372/CH378</f>
        <v>0.59579852294199009</v>
      </c>
      <c r="CJ388" s="75">
        <f>CJ372/CJ378</f>
        <v>0.55519484098550409</v>
      </c>
      <c r="CK388" s="75">
        <f>CK372/CK378</f>
        <v>0.59618813258864267</v>
      </c>
      <c r="CL388" s="75">
        <f>CL372/CL378</f>
        <v>0.59618813258864267</v>
      </c>
      <c r="CN388" s="75">
        <f>CN372/CN378</f>
        <v>0.62936627594916317</v>
      </c>
      <c r="CO388" s="75">
        <f>CO372/CO378</f>
        <v>0.68979797438976553</v>
      </c>
      <c r="CP388" s="75">
        <f>CP372/CP378</f>
        <v>0.68979797438976553</v>
      </c>
      <c r="CR388" s="75">
        <f>CR372/CR378</f>
        <v>0.67810340046358064</v>
      </c>
      <c r="CS388" s="75">
        <f>CS372/CS378</f>
        <v>0.64206908865448609</v>
      </c>
      <c r="CT388" s="75">
        <f>CT372/CT378</f>
        <v>0.64206908865448609</v>
      </c>
      <c r="CV388" s="75">
        <f>CV372/CV378</f>
        <v>0.66545129538802117</v>
      </c>
      <c r="CW388" s="75">
        <f>CW372/CW378</f>
        <v>0.66533478302012505</v>
      </c>
      <c r="CX388" s="75">
        <f>CX372/CX378</f>
        <v>0.66533478302012505</v>
      </c>
      <c r="CZ388" s="75">
        <f>CZ372/CZ378</f>
        <v>0.6677481899619585</v>
      </c>
      <c r="DA388" s="75">
        <f>DA372/DA378</f>
        <v>0.65379844573137202</v>
      </c>
      <c r="DB388" s="75">
        <f>DB372/DB378</f>
        <v>0.65379844573137202</v>
      </c>
      <c r="DD388" s="75">
        <f>DD372/DD378</f>
        <v>0.6471269095277653</v>
      </c>
      <c r="DE388" s="75">
        <f>DE372/DE378</f>
        <v>0.64788723198130005</v>
      </c>
      <c r="DF388" s="75">
        <f>DF372/DF378</f>
        <v>0.64788723198130005</v>
      </c>
      <c r="DH388" s="75">
        <f ca="1">DH372/DH378</f>
        <v>0.64502017020458524</v>
      </c>
      <c r="DI388" s="75">
        <f ca="1">DI372/DI378</f>
        <v>0.64339190215349562</v>
      </c>
      <c r="DJ388" s="75">
        <f ca="1">DJ372/DJ378</f>
        <v>0.64339190215349562</v>
      </c>
      <c r="DL388" s="75">
        <f ca="1">DL372/DL378</f>
        <v>0.64148608467579504</v>
      </c>
      <c r="DM388" s="75">
        <f ca="1">DM372/DM378</f>
        <v>0.63807724458533388</v>
      </c>
      <c r="DN388" s="75">
        <f ca="1">DN372/DN378</f>
        <v>0.63807724458533388</v>
      </c>
      <c r="DP388" s="75">
        <f ca="1">DP372/DP378</f>
        <v>0.63753221406227778</v>
      </c>
      <c r="DQ388" s="75">
        <f ca="1">DQ372/DQ378</f>
        <v>0.63603755296181541</v>
      </c>
      <c r="DR388" s="75">
        <f ca="1">DR372/DR378</f>
        <v>0.63603755296181552</v>
      </c>
      <c r="DW388" s="20"/>
      <c r="DX388" s="20"/>
    </row>
    <row r="389" spans="1:128" s="47" customFormat="1" ht="13.8">
      <c r="A389" s="47" t="s">
        <v>753</v>
      </c>
      <c r="B389" s="92"/>
      <c r="BH389" s="75">
        <f>(BH364)/BH372</f>
        <v>1.1358139075220199</v>
      </c>
      <c r="BI389" s="75">
        <f>(BI364)/BI372</f>
        <v>1.1466864755252633</v>
      </c>
      <c r="BJ389" s="75">
        <f>(BJ364)/BJ372</f>
        <v>1.1466864755252633</v>
      </c>
      <c r="BK389" s="92"/>
      <c r="BL389" s="75">
        <f>(BL364)/BL372</f>
        <v>1.1568141600879609</v>
      </c>
      <c r="BM389" s="75">
        <f>(BM364)/BM372</f>
        <v>1.1564631676966799</v>
      </c>
      <c r="BN389" s="75">
        <f>(BN364)/BN372</f>
        <v>1.1564631676966799</v>
      </c>
      <c r="BO389" s="92"/>
      <c r="BP389" s="75">
        <f>(BP364)/BP372</f>
        <v>1.1365997331271562</v>
      </c>
      <c r="BQ389" s="75">
        <f>(BQ364)/BQ372</f>
        <v>1.1353039783440975</v>
      </c>
      <c r="BR389" s="75">
        <f>(BR364)/BR372</f>
        <v>1.1353039783440975</v>
      </c>
      <c r="BT389" s="75">
        <f>(BT364)/BT372</f>
        <v>1.1100738005933835</v>
      </c>
      <c r="BU389" s="75">
        <f>(BU364)/BU372</f>
        <v>1.1393530611163551</v>
      </c>
      <c r="BV389" s="75">
        <f>(BV364)/BV372</f>
        <v>1.1393530611163551</v>
      </c>
      <c r="BX389" s="75">
        <f>(BX364)/BX372</f>
        <v>1.1073877199270914</v>
      </c>
      <c r="BY389" s="75">
        <f>(BY364)/BY372</f>
        <v>1.1199544738627087</v>
      </c>
      <c r="BZ389" s="75">
        <f>(BZ364)/BZ372</f>
        <v>1.1199544738627087</v>
      </c>
      <c r="CB389" s="75">
        <f>(CB364)/CB372</f>
        <v>1.1413844085506686</v>
      </c>
      <c r="CC389" s="75">
        <f>(CC364)/CC372</f>
        <v>1.1505085360737461</v>
      </c>
      <c r="CD389" s="75">
        <f>(CD364)/CD372</f>
        <v>1.1505085360737461</v>
      </c>
      <c r="CF389" s="75">
        <f>(CF364)/CF372</f>
        <v>1.1455129030032096</v>
      </c>
      <c r="CG389" s="75">
        <f>(CG364)/CG372</f>
        <v>1.1291646226148422</v>
      </c>
      <c r="CH389" s="75">
        <f>(CH364)/CH372</f>
        <v>1.1291646226148422</v>
      </c>
      <c r="CJ389" s="75">
        <f>(CJ364)/CJ372</f>
        <v>1.0952473137494334</v>
      </c>
      <c r="CK389" s="75">
        <f>(CK364)/CK372</f>
        <v>1.0644263354614998</v>
      </c>
      <c r="CL389" s="75">
        <f>(CL364)/CL372</f>
        <v>1.0644263354614998</v>
      </c>
      <c r="CN389" s="75">
        <f>(CN364)/CN372</f>
        <v>1.0291276339304267</v>
      </c>
      <c r="CO389" s="75">
        <f>(CO364)/CO372</f>
        <v>1.0046064407799902</v>
      </c>
      <c r="CP389" s="75">
        <f>(CP364)/CP372</f>
        <v>1.0046064407799902</v>
      </c>
      <c r="CR389" s="75">
        <f>(CR364)/CR372</f>
        <v>1.0115061905959732</v>
      </c>
      <c r="CS389" s="75">
        <f>(CS364)/CS372</f>
        <v>1.0336573060403771</v>
      </c>
      <c r="CT389" s="75">
        <f>(CT364)/CT372</f>
        <v>1.0336573060403771</v>
      </c>
      <c r="CV389" s="75">
        <f>(CV364)/CV372</f>
        <v>1.0015854650793743</v>
      </c>
      <c r="CW389" s="75">
        <f>(CW364)/CW372</f>
        <v>1.032025809897277</v>
      </c>
      <c r="CX389" s="75">
        <f>(CX364)/CX372</f>
        <v>1.032025809897277</v>
      </c>
      <c r="CZ389" s="75">
        <f>(CZ364)/CZ372</f>
        <v>1.0572917662106633</v>
      </c>
      <c r="DA389" s="75">
        <f>(DA364)/DA372</f>
        <v>1.0662184767439864</v>
      </c>
      <c r="DB389" s="75">
        <f>(DB364)/DB372</f>
        <v>1.0662184767439864</v>
      </c>
      <c r="DD389" s="75">
        <f>(DD364)/DD372</f>
        <v>1.035673105184225</v>
      </c>
      <c r="DE389" s="75">
        <f>(DE364)/DE372</f>
        <v>1.0505821233582509</v>
      </c>
      <c r="DF389" s="75">
        <f>(DF364)/DF372</f>
        <v>1.0505821233582509</v>
      </c>
      <c r="DH389" s="75">
        <f>(DH364)/DH372</f>
        <v>1.0569465922371746</v>
      </c>
      <c r="DI389" s="75">
        <f>(DI364)/DI372</f>
        <v>1.0594302150355273</v>
      </c>
      <c r="DJ389" s="75">
        <f>(DJ364)/DJ372</f>
        <v>1.0594302150355273</v>
      </c>
      <c r="DL389" s="75">
        <f>(DL364)/DL372</f>
        <v>1.0623992956683617</v>
      </c>
      <c r="DM389" s="75">
        <f>(DM364)/DM372</f>
        <v>1.0673434920507328</v>
      </c>
      <c r="DN389" s="75">
        <f>(DN364)/DN372</f>
        <v>1.0673434920507328</v>
      </c>
      <c r="DP389" s="75">
        <f>(DP364)/DP372</f>
        <v>1.0678975279384864</v>
      </c>
      <c r="DQ389" s="75">
        <f>(DQ364)/DQ372</f>
        <v>1.0699674091746234</v>
      </c>
      <c r="DR389" s="75">
        <f>(DR364)/DR372</f>
        <v>1.0699674091746234</v>
      </c>
      <c r="DW389" s="20"/>
      <c r="DX389" s="20"/>
    </row>
    <row r="390" spans="1:128" s="47" customFormat="1" ht="13.8">
      <c r="A390" s="47" t="s">
        <v>38</v>
      </c>
      <c r="B390" s="92"/>
      <c r="BH390" s="75">
        <f>BH372/(BH364)</f>
        <v>0.8804259160566873</v>
      </c>
      <c r="BI390" s="75">
        <f>BI372/(BI364)</f>
        <v>0.87207795796312104</v>
      </c>
      <c r="BJ390" s="75">
        <f>BJ372/(BJ364)</f>
        <v>0.87207795796312104</v>
      </c>
      <c r="BK390" s="92"/>
      <c r="BL390" s="75">
        <f>BL372/(BL364)</f>
        <v>0.86444308386055957</v>
      </c>
      <c r="BM390" s="75">
        <f>BM372/(BM364)</f>
        <v>0.86470544668680938</v>
      </c>
      <c r="BN390" s="75">
        <f>BN372/(BN364)</f>
        <v>0.86470544668680938</v>
      </c>
      <c r="BO390" s="92"/>
      <c r="BP390" s="75">
        <f>BP372/(BP364)</f>
        <v>0.87981720464483493</v>
      </c>
      <c r="BQ390" s="75">
        <f>BQ372/(BQ364)</f>
        <v>0.8808213650925053</v>
      </c>
      <c r="BR390" s="75">
        <f>BR372/(BR364)</f>
        <v>0.8808213650925053</v>
      </c>
      <c r="BT390" s="75">
        <f>BT372/(BT364)</f>
        <v>0.90084100666591349</v>
      </c>
      <c r="BU390" s="75">
        <f>BU372/(BU364)</f>
        <v>0.87769106357618865</v>
      </c>
      <c r="BV390" s="75">
        <f>BV372/(BV364)</f>
        <v>0.87769106357618865</v>
      </c>
      <c r="BX390" s="75">
        <f>BX372/(BX364)</f>
        <v>0.90302608743560786</v>
      </c>
      <c r="BY390" s="75">
        <f>BY372/(BY364)</f>
        <v>0.89289343749037642</v>
      </c>
      <c r="BZ390" s="75">
        <f>BZ372/(BZ364)</f>
        <v>0.89289343749037642</v>
      </c>
      <c r="CB390" s="75">
        <f>CB372/(CB364)</f>
        <v>0.87612901710283686</v>
      </c>
      <c r="CC390" s="75">
        <f>CC372/(CC364)</f>
        <v>0.86918086102396475</v>
      </c>
      <c r="CD390" s="75">
        <f>CD372/(CD364)</f>
        <v>0.86918086102396475</v>
      </c>
      <c r="CF390" s="75">
        <f>CF372/(CF364)</f>
        <v>0.87297139768420229</v>
      </c>
      <c r="CG390" s="75">
        <f>CG372/(CG364)</f>
        <v>0.88561045924753501</v>
      </c>
      <c r="CH390" s="75">
        <f>CH372/(CH364)</f>
        <v>0.88561045924753501</v>
      </c>
      <c r="CJ390" s="75">
        <f>CJ372/(CJ364)</f>
        <v>0.91303579332838825</v>
      </c>
      <c r="CK390" s="75">
        <f>CK372/(CK364)</f>
        <v>0.93947318540031544</v>
      </c>
      <c r="CL390" s="75">
        <f>CL372/(CL364)</f>
        <v>0.93947318540031544</v>
      </c>
      <c r="CN390" s="75">
        <f>CN372/(CN364)</f>
        <v>0.97169677213001937</v>
      </c>
      <c r="CO390" s="75">
        <f>CO372/(CO364)</f>
        <v>0.99541468121942989</v>
      </c>
      <c r="CP390" s="75">
        <f>CP372/(CP364)</f>
        <v>0.99541468121942989</v>
      </c>
      <c r="CR390" s="75">
        <f>CR372/(CR364)</f>
        <v>0.9886246958219862</v>
      </c>
      <c r="CS390" s="75">
        <f>CS372/(CS364)</f>
        <v>0.96743862221676935</v>
      </c>
      <c r="CT390" s="75">
        <f>CT372/(CT364)</f>
        <v>0.96743862221676935</v>
      </c>
      <c r="CV390" s="75">
        <f>CV372/(CV364)</f>
        <v>0.99841704464106951</v>
      </c>
      <c r="CW390" s="75">
        <f>CW372/(CW364)</f>
        <v>0.96896801456887516</v>
      </c>
      <c r="CX390" s="75">
        <f>CX372/(CX364)</f>
        <v>0.96896801456887516</v>
      </c>
      <c r="CZ390" s="75">
        <f>CZ372/(CZ364)</f>
        <v>0.94581271883351825</v>
      </c>
      <c r="DA390" s="75">
        <f>DA372/(DA364)</f>
        <v>0.93789408250905182</v>
      </c>
      <c r="DB390" s="75">
        <f>DB372/(DB364)</f>
        <v>0.93789408250905182</v>
      </c>
      <c r="DD390" s="75">
        <f>DD372/(DD364)</f>
        <v>0.96555563236540787</v>
      </c>
      <c r="DE390" s="75">
        <f>DE372/(DE364)</f>
        <v>0.95185324189929865</v>
      </c>
      <c r="DF390" s="75">
        <f>DF372/(DF364)</f>
        <v>0.95185324189929865</v>
      </c>
      <c r="DH390" s="75">
        <f>DH372/(DH364)</f>
        <v>0.94612159908984683</v>
      </c>
      <c r="DI390" s="75">
        <f>DI372/(DI364)</f>
        <v>0.94390360573817089</v>
      </c>
      <c r="DJ390" s="75">
        <f>DJ372/(DJ364)</f>
        <v>0.94390360573817089</v>
      </c>
      <c r="DL390" s="75">
        <f>DL372/(DL364)</f>
        <v>0.94126568426506174</v>
      </c>
      <c r="DM390" s="75">
        <f>DM372/(DM364)</f>
        <v>0.93690551115710385</v>
      </c>
      <c r="DN390" s="75">
        <f>DN372/(DN364)</f>
        <v>0.93690551115710385</v>
      </c>
      <c r="DP390" s="75">
        <f>DP372/(DP364)</f>
        <v>0.93641943523405424</v>
      </c>
      <c r="DQ390" s="75">
        <f>DQ372/(DQ364)</f>
        <v>0.93460790620847356</v>
      </c>
      <c r="DR390" s="75">
        <f>DR372/(DR364)</f>
        <v>0.93460790620847356</v>
      </c>
      <c r="DW390" s="20"/>
      <c r="DX390" s="20"/>
    </row>
    <row r="391" spans="1:128" s="20" customFormat="1" ht="13.8">
      <c r="B391" s="49"/>
      <c r="BH391" s="49"/>
      <c r="BI391" s="49"/>
      <c r="BJ391" s="49"/>
      <c r="BK391" s="49"/>
      <c r="BL391" s="49"/>
      <c r="BM391" s="49"/>
      <c r="BN391" s="49"/>
      <c r="BO391" s="49"/>
      <c r="BP391" s="49"/>
      <c r="BQ391" s="49"/>
      <c r="BR391" s="49"/>
      <c r="BT391" s="49"/>
      <c r="BU391" s="49"/>
      <c r="BV391" s="49"/>
      <c r="BX391" s="49"/>
      <c r="BY391" s="49"/>
      <c r="BZ391" s="49"/>
      <c r="CB391" s="49"/>
      <c r="CC391" s="49"/>
      <c r="CD391" s="49"/>
      <c r="CF391" s="49"/>
      <c r="CG391" s="49"/>
      <c r="CH391" s="49"/>
      <c r="CJ391" s="49"/>
      <c r="CK391" s="49"/>
      <c r="CL391" s="49"/>
      <c r="CN391" s="49"/>
      <c r="CO391" s="49"/>
      <c r="CP391" s="49"/>
      <c r="CR391" s="49"/>
      <c r="CS391" s="49"/>
      <c r="CT391" s="49"/>
      <c r="CV391" s="49"/>
      <c r="CW391" s="49"/>
      <c r="CX391" s="49"/>
      <c r="CZ391" s="49"/>
      <c r="DA391" s="49"/>
      <c r="DB391" s="49"/>
      <c r="DD391" s="49"/>
      <c r="DE391" s="49"/>
      <c r="DF391" s="49"/>
      <c r="DH391" s="49"/>
      <c r="DI391" s="49"/>
      <c r="DJ391" s="49"/>
      <c r="DL391" s="49"/>
      <c r="DM391" s="49"/>
      <c r="DN391" s="49"/>
      <c r="DP391" s="49"/>
      <c r="DQ391" s="49"/>
      <c r="DR391" s="49"/>
    </row>
    <row r="392" spans="1:128" s="20" customFormat="1" ht="13.8">
      <c r="A392" s="20" t="s">
        <v>583</v>
      </c>
      <c r="B392" s="49"/>
      <c r="BH392" s="65">
        <f>BH367</f>
        <v>31199</v>
      </c>
      <c r="BI392" s="65">
        <f>BI367</f>
        <v>32083</v>
      </c>
      <c r="BJ392" s="65">
        <f>BJ367</f>
        <v>32083</v>
      </c>
      <c r="BK392" s="49"/>
      <c r="BL392" s="65">
        <f>BL367</f>
        <v>33197</v>
      </c>
      <c r="BM392" s="65">
        <f>BM367</f>
        <v>33579</v>
      </c>
      <c r="BN392" s="65">
        <f>BN367</f>
        <v>33579</v>
      </c>
      <c r="BO392" s="49"/>
      <c r="BP392" s="65">
        <f>BP367</f>
        <v>36495</v>
      </c>
      <c r="BQ392" s="65">
        <f>BQ367</f>
        <v>34820</v>
      </c>
      <c r="BR392" s="65">
        <f>BR367</f>
        <v>34820</v>
      </c>
      <c r="BT392" s="65">
        <f>BT367</f>
        <v>34541</v>
      </c>
      <c r="BU392" s="65">
        <f>BU367</f>
        <v>35656</v>
      </c>
      <c r="BV392" s="65">
        <f>BV367</f>
        <v>35656</v>
      </c>
      <c r="BX392" s="65">
        <f>BX367</f>
        <v>37602</v>
      </c>
      <c r="BY392" s="65">
        <f>BY367</f>
        <v>37964</v>
      </c>
      <c r="BZ392" s="65">
        <f>BZ367</f>
        <v>37964</v>
      </c>
      <c r="CB392" s="65">
        <f>CB367</f>
        <v>0</v>
      </c>
      <c r="CC392" s="65">
        <f>CC367</f>
        <v>0</v>
      </c>
      <c r="CD392" s="65">
        <f>CD367</f>
        <v>0</v>
      </c>
      <c r="CF392" s="65">
        <f>CF367</f>
        <v>0</v>
      </c>
      <c r="CG392" s="65">
        <f>CG367</f>
        <v>0</v>
      </c>
      <c r="CH392" s="65">
        <f>CH367</f>
        <v>0</v>
      </c>
      <c r="CJ392" s="65">
        <f>CJ367</f>
        <v>0</v>
      </c>
      <c r="CK392" s="65">
        <f>CK367</f>
        <v>0</v>
      </c>
      <c r="CL392" s="65">
        <f>CL367</f>
        <v>0</v>
      </c>
      <c r="CN392" s="65">
        <f>CN367</f>
        <v>0</v>
      </c>
      <c r="CO392" s="65">
        <f>CO367</f>
        <v>0</v>
      </c>
      <c r="CP392" s="65">
        <f>CP367</f>
        <v>0</v>
      </c>
      <c r="CR392" s="65">
        <f>CR367</f>
        <v>0</v>
      </c>
      <c r="CS392" s="65">
        <f>CS367</f>
        <v>0</v>
      </c>
      <c r="CT392" s="65">
        <f>CT367</f>
        <v>0</v>
      </c>
      <c r="CV392" s="65">
        <f>CV367</f>
        <v>0</v>
      </c>
      <c r="CW392" s="65">
        <f>CW367</f>
        <v>0</v>
      </c>
      <c r="CX392" s="65">
        <f>CX367</f>
        <v>0</v>
      </c>
      <c r="CZ392" s="65">
        <f>CZ367</f>
        <v>0</v>
      </c>
      <c r="DA392" s="65">
        <f>DA367</f>
        <v>0</v>
      </c>
      <c r="DB392" s="65">
        <f>DB367</f>
        <v>0</v>
      </c>
      <c r="DD392" s="65">
        <f>DD367</f>
        <v>0</v>
      </c>
      <c r="DE392" s="65">
        <f>DE367</f>
        <v>0</v>
      </c>
      <c r="DF392" s="65">
        <f>DF367</f>
        <v>0</v>
      </c>
      <c r="DH392" s="65">
        <f>+DE392*(1+DH393)</f>
        <v>0</v>
      </c>
      <c r="DI392" s="65">
        <f>+DH392*(1+DI393)</f>
        <v>0</v>
      </c>
      <c r="DJ392" s="65">
        <f>DI392</f>
        <v>0</v>
      </c>
      <c r="DL392" s="65">
        <f>+DI392*(1+DL393)</f>
        <v>0</v>
      </c>
      <c r="DM392" s="65">
        <f>+DL392*(1+DM393)</f>
        <v>0</v>
      </c>
      <c r="DN392" s="65">
        <f>DM392</f>
        <v>0</v>
      </c>
      <c r="DP392" s="65">
        <f>+DM392*(1+DP393)</f>
        <v>0</v>
      </c>
      <c r="DQ392" s="65">
        <f>+DP392*(1+DQ393)</f>
        <v>0</v>
      </c>
      <c r="DR392" s="65">
        <f>DQ392</f>
        <v>0</v>
      </c>
    </row>
    <row r="393" spans="1:128" s="325" customFormat="1" ht="13.8">
      <c r="A393" s="335" t="s">
        <v>217</v>
      </c>
      <c r="B393" s="336" t="s">
        <v>556</v>
      </c>
      <c r="BH393" s="324"/>
      <c r="BI393" s="345">
        <f>+BI392/BH392-1</f>
        <v>2.8334241482098843E-2</v>
      </c>
      <c r="BJ393" s="324"/>
      <c r="BK393" s="324"/>
      <c r="BL393" s="345">
        <f>BL392/BI392-1</f>
        <v>3.4722438674687606E-2</v>
      </c>
      <c r="BM393" s="345">
        <f>+BM392/BL392-1</f>
        <v>1.1507063891315505E-2</v>
      </c>
      <c r="BN393" s="324"/>
      <c r="BO393" s="324"/>
      <c r="BP393" s="345">
        <f>BP392/BM392-1</f>
        <v>8.6839989279013707E-2</v>
      </c>
      <c r="BQ393" s="345">
        <f>+BQ392/BP392-1</f>
        <v>-4.5896698177832596E-2</v>
      </c>
      <c r="BR393" s="324"/>
      <c r="BT393" s="345">
        <f>BT392/BQ392-1</f>
        <v>-8.0126364158529251E-3</v>
      </c>
      <c r="BU393" s="345">
        <f>+BU392/BT392-1</f>
        <v>3.2280478272198154E-2</v>
      </c>
      <c r="BV393" s="324"/>
      <c r="BX393" s="345">
        <f>BX392/BU392-1</f>
        <v>5.4577069777877574E-2</v>
      </c>
      <c r="BY393" s="345">
        <f>+BY392/BX392-1</f>
        <v>9.627147492154764E-3</v>
      </c>
      <c r="BZ393" s="324"/>
      <c r="CB393" s="345">
        <f>CB392/BY392-1</f>
        <v>-1</v>
      </c>
      <c r="CC393" s="345"/>
      <c r="CD393" s="324"/>
      <c r="CF393" s="345"/>
      <c r="CG393" s="345"/>
      <c r="CH393" s="324"/>
      <c r="CJ393" s="345"/>
      <c r="CK393" s="346"/>
      <c r="CL393" s="324"/>
      <c r="CN393" s="345"/>
      <c r="CO393" s="346"/>
      <c r="CP393" s="324"/>
      <c r="CR393" s="345"/>
      <c r="CS393" s="346"/>
      <c r="CT393" s="324"/>
      <c r="CV393" s="345"/>
      <c r="CW393" s="346"/>
      <c r="CX393" s="324"/>
      <c r="CZ393" s="345"/>
      <c r="DA393" s="346"/>
      <c r="DB393" s="324"/>
      <c r="DD393" s="345"/>
      <c r="DE393" s="346"/>
      <c r="DF393" s="324"/>
      <c r="DH393" s="346"/>
      <c r="DI393" s="346"/>
      <c r="DJ393" s="324"/>
      <c r="DL393" s="346"/>
      <c r="DM393" s="346"/>
      <c r="DN393" s="324"/>
      <c r="DP393" s="346"/>
      <c r="DQ393" s="346"/>
      <c r="DR393" s="324"/>
      <c r="DW393" s="20"/>
      <c r="DX393" s="20"/>
    </row>
    <row r="394" spans="1:128" s="20" customFormat="1" ht="13.8">
      <c r="B394" s="49"/>
      <c r="BH394" s="49"/>
      <c r="BI394" s="49"/>
      <c r="BJ394" s="49"/>
      <c r="BK394" s="49"/>
      <c r="BL394" s="49"/>
      <c r="BM394" s="49"/>
      <c r="BN394" s="49"/>
      <c r="BO394" s="49"/>
      <c r="BP394" s="49"/>
      <c r="BQ394" s="49"/>
      <c r="BR394" s="49"/>
      <c r="BT394" s="49"/>
      <c r="BU394" s="49"/>
      <c r="BV394" s="49"/>
      <c r="BX394" s="49"/>
      <c r="BY394" s="49"/>
      <c r="BZ394" s="49"/>
      <c r="CB394" s="49"/>
      <c r="CC394" s="49"/>
      <c r="CD394" s="49"/>
      <c r="CF394" s="49"/>
      <c r="CG394" s="49"/>
      <c r="CH394" s="49"/>
      <c r="CJ394" s="49"/>
      <c r="CK394" s="49"/>
      <c r="CL394" s="49"/>
      <c r="CN394" s="49"/>
      <c r="CO394" s="49"/>
      <c r="CP394" s="49"/>
      <c r="CR394" s="49"/>
      <c r="CS394" s="49"/>
      <c r="CT394" s="49"/>
      <c r="CV394" s="49"/>
      <c r="CW394" s="49"/>
      <c r="CX394" s="49"/>
      <c r="CZ394" s="49"/>
      <c r="DA394" s="49"/>
      <c r="DB394" s="49"/>
      <c r="DD394" s="49"/>
      <c r="DE394" s="49"/>
      <c r="DF394" s="49"/>
      <c r="DH394" s="49"/>
      <c r="DI394" s="49"/>
      <c r="DJ394" s="49"/>
      <c r="DL394" s="49"/>
      <c r="DM394" s="49"/>
      <c r="DN394" s="49"/>
      <c r="DP394" s="49"/>
      <c r="DQ394" s="49"/>
      <c r="DR394" s="49"/>
    </row>
    <row r="395" spans="1:128" s="20" customFormat="1" ht="13.8">
      <c r="A395" s="21" t="s">
        <v>284</v>
      </c>
      <c r="B395" s="49"/>
      <c r="BH395" s="49"/>
      <c r="BI395" s="49"/>
      <c r="BJ395" s="49"/>
      <c r="BK395" s="49"/>
      <c r="BL395" s="49"/>
      <c r="BM395" s="49"/>
      <c r="BN395" s="49"/>
      <c r="BO395" s="49"/>
      <c r="BP395" s="49"/>
      <c r="BQ395" s="49"/>
      <c r="BR395" s="49"/>
      <c r="BT395" s="49"/>
      <c r="BU395" s="49"/>
      <c r="BV395" s="49"/>
      <c r="BX395" s="49"/>
      <c r="BY395" s="49"/>
      <c r="BZ395" s="49"/>
      <c r="CB395" s="49"/>
      <c r="CC395" s="49"/>
      <c r="CD395" s="49"/>
      <c r="CF395" s="49"/>
      <c r="CG395" s="49"/>
      <c r="CH395" s="49"/>
      <c r="CJ395" s="49"/>
      <c r="CK395" s="49"/>
      <c r="CL395" s="49"/>
      <c r="CN395" s="49"/>
      <c r="CO395" s="49"/>
      <c r="CP395" s="49"/>
      <c r="CR395" s="49"/>
      <c r="CS395" s="49"/>
      <c r="CT395" s="49"/>
      <c r="CV395" s="49"/>
      <c r="CW395" s="49"/>
      <c r="CX395" s="49"/>
      <c r="CZ395" s="49"/>
      <c r="DA395" s="49"/>
      <c r="DB395" s="49"/>
      <c r="DD395" s="49"/>
      <c r="DE395" s="49"/>
      <c r="DF395" s="49"/>
      <c r="DH395" s="49"/>
      <c r="DI395" s="49"/>
      <c r="DJ395" s="49"/>
      <c r="DL395" s="49"/>
      <c r="DM395" s="49"/>
      <c r="DN395" s="49"/>
      <c r="DP395" s="49"/>
      <c r="DQ395" s="49"/>
      <c r="DR395" s="49"/>
    </row>
    <row r="396" spans="1:128" s="20" customFormat="1" ht="13.8">
      <c r="A396" s="20" t="s">
        <v>39</v>
      </c>
      <c r="B396" s="49"/>
      <c r="BD396" s="65"/>
      <c r="BE396" s="65"/>
      <c r="BF396" s="65"/>
      <c r="BH396" s="65">
        <f>BH404</f>
        <v>4355.5</v>
      </c>
      <c r="BI396" s="65">
        <f>BI404</f>
        <v>4499</v>
      </c>
      <c r="BJ396" s="65">
        <f>BI396</f>
        <v>4499</v>
      </c>
      <c r="BK396" s="49"/>
      <c r="BL396" s="65">
        <f>BL404</f>
        <v>4499</v>
      </c>
      <c r="BM396" s="65">
        <f>BM404</f>
        <v>4511</v>
      </c>
      <c r="BN396" s="65">
        <f>BM396</f>
        <v>4511</v>
      </c>
      <c r="BO396" s="49"/>
      <c r="BP396" s="65">
        <f>BP404</f>
        <v>4511</v>
      </c>
      <c r="BQ396" s="65">
        <f>BQ404</f>
        <v>4523</v>
      </c>
      <c r="BR396" s="65">
        <f>BQ396</f>
        <v>4523</v>
      </c>
      <c r="BT396" s="65">
        <f>BT404</f>
        <v>4523</v>
      </c>
      <c r="BU396" s="65">
        <f>BU404</f>
        <v>4729</v>
      </c>
      <c r="BV396" s="65">
        <f>BU396</f>
        <v>4729</v>
      </c>
      <c r="BX396" s="65">
        <f>BX404</f>
        <v>4447</v>
      </c>
      <c r="BY396" s="65">
        <f>BY404</f>
        <v>4447</v>
      </c>
      <c r="BZ396" s="65">
        <f>BY396</f>
        <v>4447</v>
      </c>
      <c r="CB396" s="65">
        <f>CB404</f>
        <v>3459</v>
      </c>
      <c r="CC396" s="65">
        <f>CC404</f>
        <v>3440</v>
      </c>
      <c r="CD396" s="65">
        <f>CC396</f>
        <v>3440</v>
      </c>
      <c r="CF396" s="65">
        <f>CF404</f>
        <v>3440</v>
      </c>
      <c r="CG396" s="65">
        <f>CG404</f>
        <v>3467</v>
      </c>
      <c r="CH396" s="65">
        <f>CG396</f>
        <v>3467</v>
      </c>
      <c r="CJ396" s="65">
        <f>CJ404</f>
        <v>3467</v>
      </c>
      <c r="CK396" s="65">
        <f>CK404</f>
        <v>3264</v>
      </c>
      <c r="CL396" s="65">
        <f>CK396</f>
        <v>3264</v>
      </c>
      <c r="CN396" s="65">
        <f>CN404</f>
        <v>2891</v>
      </c>
      <c r="CO396" s="65">
        <f>CO404</f>
        <v>3089</v>
      </c>
      <c r="CP396" s="65">
        <f>CO396</f>
        <v>3089</v>
      </c>
      <c r="CR396" s="65">
        <f>CR404</f>
        <v>3062</v>
      </c>
      <c r="CS396" s="65">
        <f>CS404</f>
        <v>2914</v>
      </c>
      <c r="CT396" s="65">
        <f>CS396</f>
        <v>2914</v>
      </c>
      <c r="CV396" s="65">
        <f>CV404</f>
        <v>2887</v>
      </c>
      <c r="CW396" s="65">
        <f>CW404</f>
        <v>2977</v>
      </c>
      <c r="CX396" s="65">
        <f>CW396</f>
        <v>2977</v>
      </c>
      <c r="CZ396" s="65">
        <f>CZ404</f>
        <v>2936</v>
      </c>
      <c r="DA396" s="65">
        <f>DA404</f>
        <v>4273</v>
      </c>
      <c r="DB396" s="65">
        <f>DA396</f>
        <v>4273</v>
      </c>
      <c r="DD396" s="65">
        <f>DD404</f>
        <v>4117</v>
      </c>
      <c r="DE396" s="65">
        <f>DE404</f>
        <v>4165</v>
      </c>
      <c r="DF396" s="65">
        <f>DE396</f>
        <v>4165</v>
      </c>
      <c r="DH396" s="65">
        <f>DH404</f>
        <v>4165</v>
      </c>
      <c r="DI396" s="65">
        <f>DI404</f>
        <v>4165</v>
      </c>
      <c r="DJ396" s="65">
        <f>DI396</f>
        <v>4165</v>
      </c>
      <c r="DL396" s="65">
        <f>DL404</f>
        <v>4165</v>
      </c>
      <c r="DM396" s="65">
        <f>DM404</f>
        <v>4165</v>
      </c>
      <c r="DN396" s="65">
        <f>DM396</f>
        <v>4165</v>
      </c>
      <c r="DP396" s="65">
        <f>DP404</f>
        <v>4165</v>
      </c>
      <c r="DQ396" s="65">
        <f>DQ404</f>
        <v>4165</v>
      </c>
      <c r="DR396" s="65">
        <f>DQ396</f>
        <v>4165</v>
      </c>
    </row>
    <row r="397" spans="1:128" s="20" customFormat="1" ht="13.8">
      <c r="A397" s="20" t="s">
        <v>40</v>
      </c>
      <c r="B397" s="49"/>
      <c r="BD397" s="65"/>
      <c r="BE397" s="65"/>
      <c r="BF397" s="65"/>
      <c r="BH397" s="65">
        <f>BH413</f>
        <v>1857</v>
      </c>
      <c r="BI397" s="65">
        <f>BI413</f>
        <v>2170</v>
      </c>
      <c r="BJ397" s="65">
        <f>BI397</f>
        <v>2170</v>
      </c>
      <c r="BK397" s="49"/>
      <c r="BL397" s="65">
        <f>BL413</f>
        <v>2332</v>
      </c>
      <c r="BM397" s="65">
        <f>BM413</f>
        <v>2533</v>
      </c>
      <c r="BN397" s="65">
        <f>BM397</f>
        <v>2533</v>
      </c>
      <c r="BO397" s="49"/>
      <c r="BP397" s="65">
        <f>BP413</f>
        <v>2689</v>
      </c>
      <c r="BQ397" s="65">
        <f>BQ413</f>
        <v>2893</v>
      </c>
      <c r="BR397" s="65">
        <f>BQ397</f>
        <v>2893</v>
      </c>
      <c r="BT397" s="65">
        <f>BT413</f>
        <v>2249</v>
      </c>
      <c r="BU397" s="65">
        <f>BU413</f>
        <v>2202</v>
      </c>
      <c r="BV397" s="65">
        <f>BU397</f>
        <v>2202</v>
      </c>
      <c r="BX397" s="65">
        <f>BX413</f>
        <v>1917</v>
      </c>
      <c r="BY397" s="65">
        <f>BY413</f>
        <v>1856</v>
      </c>
      <c r="BZ397" s="65">
        <f>BY397</f>
        <v>1856</v>
      </c>
      <c r="CB397" s="65">
        <f>CB413</f>
        <v>1775</v>
      </c>
      <c r="CC397" s="65">
        <f>CC413</f>
        <v>1421</v>
      </c>
      <c r="CD397" s="65">
        <f>CC397</f>
        <v>1421</v>
      </c>
      <c r="CF397" s="65">
        <f>CF413</f>
        <v>1368</v>
      </c>
      <c r="CG397" s="65">
        <f>CG413</f>
        <v>1323</v>
      </c>
      <c r="CH397" s="65">
        <f>CG397</f>
        <v>1323</v>
      </c>
      <c r="CJ397" s="65">
        <f>CJ413</f>
        <v>1263</v>
      </c>
      <c r="CK397" s="65">
        <f>CK413</f>
        <v>1039</v>
      </c>
      <c r="CL397" s="65">
        <f>CK397</f>
        <v>1039</v>
      </c>
      <c r="CN397" s="65">
        <f>CN413</f>
        <v>961</v>
      </c>
      <c r="CO397" s="65">
        <f>CO413</f>
        <v>960</v>
      </c>
      <c r="CP397" s="65">
        <f>CO397</f>
        <v>960</v>
      </c>
      <c r="CR397" s="65">
        <f>CR413</f>
        <v>924</v>
      </c>
      <c r="CS397" s="65">
        <f>CS413</f>
        <v>896</v>
      </c>
      <c r="CT397" s="65">
        <f>CS397</f>
        <v>896</v>
      </c>
      <c r="CV397" s="65">
        <f>CV413</f>
        <v>877</v>
      </c>
      <c r="CW397" s="65">
        <f>CW413</f>
        <v>919</v>
      </c>
      <c r="CX397" s="65">
        <f>CW397</f>
        <v>919</v>
      </c>
      <c r="CZ397" s="65">
        <f>CZ413</f>
        <v>905</v>
      </c>
      <c r="DA397" s="65">
        <f>DA413</f>
        <v>1020</v>
      </c>
      <c r="DB397" s="65">
        <f>DA397</f>
        <v>1020</v>
      </c>
      <c r="DD397" s="65">
        <f>DD413</f>
        <v>1001</v>
      </c>
      <c r="DE397" s="65">
        <f>DE413</f>
        <v>999</v>
      </c>
      <c r="DF397" s="65">
        <f>DE397</f>
        <v>999</v>
      </c>
      <c r="DH397" s="102">
        <f>DH413</f>
        <v>947.49031296572275</v>
      </c>
      <c r="DI397" s="102">
        <f>DI413</f>
        <v>926.18155912641748</v>
      </c>
      <c r="DJ397" s="65">
        <f>DI397</f>
        <v>926.18155912641748</v>
      </c>
      <c r="DL397" s="102">
        <f>DL413</f>
        <v>889.1415076358229</v>
      </c>
      <c r="DM397" s="102">
        <f>DM413</f>
        <v>879.49085675953472</v>
      </c>
      <c r="DN397" s="65">
        <f>DM397</f>
        <v>879.49085675953472</v>
      </c>
      <c r="DP397" s="102">
        <f>DP413</f>
        <v>851.24852383713994</v>
      </c>
      <c r="DQ397" s="102">
        <f>DQ413</f>
        <v>849.6335971242047</v>
      </c>
      <c r="DR397" s="65">
        <f>DQ397</f>
        <v>849.6335971242047</v>
      </c>
    </row>
    <row r="398" spans="1:128" s="325" customFormat="1" ht="13.8">
      <c r="A398" s="325" t="s">
        <v>166</v>
      </c>
      <c r="B398" s="336" t="s">
        <v>556</v>
      </c>
      <c r="BD398" s="326"/>
      <c r="BE398" s="326"/>
      <c r="BF398" s="326"/>
      <c r="BH398" s="326">
        <f>BH368-BH397-BH396</f>
        <v>929.5</v>
      </c>
      <c r="BI398" s="326">
        <f>BI368-BI397-BI396</f>
        <v>1021</v>
      </c>
      <c r="BJ398" s="326">
        <f>BI398</f>
        <v>1021</v>
      </c>
      <c r="BK398" s="324"/>
      <c r="BL398" s="326">
        <f>BL368-BL397-BL396</f>
        <v>1138</v>
      </c>
      <c r="BM398" s="326">
        <f>BM368-BM397-BM396</f>
        <v>906</v>
      </c>
      <c r="BN398" s="326">
        <f>BM398</f>
        <v>906</v>
      </c>
      <c r="BO398" s="324"/>
      <c r="BP398" s="326">
        <f>BP368-BP397-BP396</f>
        <v>1184</v>
      </c>
      <c r="BQ398" s="326">
        <f>BQ368-BQ397-BQ396</f>
        <v>896</v>
      </c>
      <c r="BR398" s="326">
        <f>BQ398</f>
        <v>896</v>
      </c>
      <c r="BT398" s="326">
        <f>BT368-BT397-BT396</f>
        <v>813</v>
      </c>
      <c r="BU398" s="326">
        <f>BU368-BU397-BU396</f>
        <v>741</v>
      </c>
      <c r="BV398" s="326">
        <f>BU398</f>
        <v>741</v>
      </c>
      <c r="BX398" s="326">
        <f>BX368-BX397-BX396</f>
        <v>689</v>
      </c>
      <c r="BY398" s="326">
        <f>BY368-BY397-BY396</f>
        <v>667</v>
      </c>
      <c r="BZ398" s="326">
        <f>BY398</f>
        <v>667</v>
      </c>
      <c r="CB398" s="326">
        <f>CB368-CB397-CB396</f>
        <v>104</v>
      </c>
      <c r="CC398" s="326">
        <f>CC368-CC397-CC396</f>
        <v>69</v>
      </c>
      <c r="CD398" s="326">
        <f>CC398</f>
        <v>69</v>
      </c>
      <c r="CF398" s="326">
        <f>CF368-CF397-CF396</f>
        <v>209</v>
      </c>
      <c r="CG398" s="326">
        <f>CG368-CG397-CG396</f>
        <v>71</v>
      </c>
      <c r="CH398" s="326">
        <f>CG398</f>
        <v>71</v>
      </c>
      <c r="CJ398" s="326">
        <f>CJ368-CJ397-CJ396</f>
        <v>227</v>
      </c>
      <c r="CK398" s="326">
        <f>CK368-CK397-CK396</f>
        <v>76</v>
      </c>
      <c r="CL398" s="326">
        <f>CK398</f>
        <v>76</v>
      </c>
      <c r="CN398" s="326">
        <f>CN368-CN397-CN396</f>
        <v>172</v>
      </c>
      <c r="CO398" s="326">
        <f>CO368-CO397-CO396</f>
        <v>75</v>
      </c>
      <c r="CP398" s="326">
        <f>CO398</f>
        <v>75</v>
      </c>
      <c r="CR398" s="326">
        <f>CR368-CR397-CR396</f>
        <v>82</v>
      </c>
      <c r="CS398" s="326">
        <f>CS368-CS397-CS396</f>
        <v>67</v>
      </c>
      <c r="CT398" s="326">
        <f>CS398</f>
        <v>67</v>
      </c>
      <c r="CV398" s="326">
        <f>CV368-CV397-CV396</f>
        <v>273</v>
      </c>
      <c r="CW398" s="326">
        <f>CW368-CW397-CW396</f>
        <v>162</v>
      </c>
      <c r="CX398" s="326">
        <f>CW398</f>
        <v>162</v>
      </c>
      <c r="CZ398" s="326">
        <f>CZ368-CZ397-CZ396</f>
        <v>157</v>
      </c>
      <c r="DA398" s="326">
        <f>DA368-DA397-DA396</f>
        <v>218</v>
      </c>
      <c r="DB398" s="326">
        <f>DA398</f>
        <v>218</v>
      </c>
      <c r="DD398" s="326">
        <f>DD368-DD397-DD396</f>
        <v>747</v>
      </c>
      <c r="DE398" s="326">
        <f>DE368-DE397-DE396</f>
        <v>601</v>
      </c>
      <c r="DF398" s="326">
        <f>DE398</f>
        <v>601</v>
      </c>
      <c r="DH398" s="328">
        <f>DE398</f>
        <v>601</v>
      </c>
      <c r="DI398" s="328">
        <f>DH398</f>
        <v>601</v>
      </c>
      <c r="DJ398" s="326">
        <f>DI398</f>
        <v>601</v>
      </c>
      <c r="DL398" s="328">
        <f>DI398</f>
        <v>601</v>
      </c>
      <c r="DM398" s="328">
        <f>DL398</f>
        <v>601</v>
      </c>
      <c r="DN398" s="326">
        <f>DM398</f>
        <v>601</v>
      </c>
      <c r="DP398" s="328">
        <f>DM398</f>
        <v>601</v>
      </c>
      <c r="DQ398" s="328">
        <f>DP398</f>
        <v>601</v>
      </c>
      <c r="DR398" s="326">
        <f>DQ398</f>
        <v>601</v>
      </c>
      <c r="DW398" s="20"/>
      <c r="DX398" s="20"/>
    </row>
    <row r="399" spans="1:128" s="21" customFormat="1" ht="13.8">
      <c r="A399" s="21" t="s">
        <v>529</v>
      </c>
      <c r="B399" s="27"/>
      <c r="BD399" s="72"/>
      <c r="BE399" s="72"/>
      <c r="BF399" s="72"/>
      <c r="BH399" s="72">
        <f>SUM(BH396:BH398)</f>
        <v>7142</v>
      </c>
      <c r="BI399" s="72">
        <f>SUM(BI396:BI398)</f>
        <v>7690</v>
      </c>
      <c r="BJ399" s="72">
        <f>SUM(BJ396:BJ398)</f>
        <v>7690</v>
      </c>
      <c r="BK399" s="49"/>
      <c r="BL399" s="72">
        <f>SUM(BL396:BL398)</f>
        <v>7969</v>
      </c>
      <c r="BM399" s="72">
        <f>SUM(BM396:BM398)</f>
        <v>7950</v>
      </c>
      <c r="BN399" s="72">
        <f>SUM(BN396:BN398)</f>
        <v>7950</v>
      </c>
      <c r="BO399" s="49"/>
      <c r="BP399" s="72">
        <f>SUM(BP396:BP398)</f>
        <v>8384</v>
      </c>
      <c r="BQ399" s="72">
        <f>SUM(BQ396:BQ398)</f>
        <v>8312</v>
      </c>
      <c r="BR399" s="72">
        <f>SUM(BR396:BR398)</f>
        <v>8312</v>
      </c>
      <c r="BT399" s="72">
        <f>SUM(BT396:BT398)</f>
        <v>7585</v>
      </c>
      <c r="BU399" s="72">
        <f>SUM(BU396:BU398)</f>
        <v>7672</v>
      </c>
      <c r="BV399" s="72">
        <f>SUM(BV396:BV398)</f>
        <v>7672</v>
      </c>
      <c r="BX399" s="72">
        <f>SUM(BX396:BX398)</f>
        <v>7053</v>
      </c>
      <c r="BY399" s="72">
        <f>SUM(BY396:BY398)</f>
        <v>6970</v>
      </c>
      <c r="BZ399" s="72">
        <f>SUM(BZ396:BZ398)</f>
        <v>6970</v>
      </c>
      <c r="CB399" s="72">
        <f>SUM(CB396:CB398)</f>
        <v>5338</v>
      </c>
      <c r="CC399" s="72">
        <f>SUM(CC396:CC398)</f>
        <v>4930</v>
      </c>
      <c r="CD399" s="72">
        <f>SUM(CD396:CD398)</f>
        <v>4930</v>
      </c>
      <c r="CF399" s="72">
        <f>SUM(CF396:CF398)</f>
        <v>5017</v>
      </c>
      <c r="CG399" s="72">
        <f>SUM(CG396:CG398)</f>
        <v>4861</v>
      </c>
      <c r="CH399" s="72">
        <f>SUM(CH396:CH398)</f>
        <v>4861</v>
      </c>
      <c r="CJ399" s="72">
        <f>SUM(CJ396:CJ398)</f>
        <v>4957</v>
      </c>
      <c r="CK399" s="72">
        <f>SUM(CK396:CK398)</f>
        <v>4379</v>
      </c>
      <c r="CL399" s="72">
        <f>SUM(CL396:CL398)</f>
        <v>4379</v>
      </c>
      <c r="CN399" s="72">
        <f>SUM(CN396:CN398)</f>
        <v>4024</v>
      </c>
      <c r="CO399" s="72">
        <f>SUM(CO396:CO398)</f>
        <v>4124</v>
      </c>
      <c r="CP399" s="72">
        <f>SUM(CP396:CP398)</f>
        <v>4124</v>
      </c>
      <c r="CR399" s="72">
        <f>SUM(CR396:CR398)</f>
        <v>4068</v>
      </c>
      <c r="CS399" s="72">
        <f>SUM(CS396:CS398)</f>
        <v>3877</v>
      </c>
      <c r="CT399" s="72">
        <f>SUM(CT396:CT398)</f>
        <v>3877</v>
      </c>
      <c r="CV399" s="72">
        <f>SUM(CV396:CV398)</f>
        <v>4037</v>
      </c>
      <c r="CW399" s="72">
        <f>SUM(CW396:CW398)</f>
        <v>4058</v>
      </c>
      <c r="CX399" s="72">
        <f>SUM(CX396:CX398)</f>
        <v>4058</v>
      </c>
      <c r="CZ399" s="72">
        <f>SUM(CZ396:CZ398)</f>
        <v>3998</v>
      </c>
      <c r="DA399" s="72">
        <f>SUM(DA396:DA398)</f>
        <v>5511</v>
      </c>
      <c r="DB399" s="72">
        <f>SUM(DB396:DB398)</f>
        <v>5511</v>
      </c>
      <c r="DD399" s="72">
        <f>SUM(DD396:DD398)</f>
        <v>5865</v>
      </c>
      <c r="DE399" s="72">
        <f>SUM(DE396:DE398)</f>
        <v>5765</v>
      </c>
      <c r="DF399" s="72">
        <f>SUM(DF396:DF398)</f>
        <v>5765</v>
      </c>
      <c r="DH399" s="72">
        <f>SUM(DH396:DH398)</f>
        <v>5713.4903129657232</v>
      </c>
      <c r="DI399" s="72">
        <f>SUM(DI396:DI398)</f>
        <v>5692.1815591264176</v>
      </c>
      <c r="DJ399" s="72">
        <f>SUM(DJ396:DJ398)</f>
        <v>5692.1815591264176</v>
      </c>
      <c r="DL399" s="72">
        <f>SUM(DL396:DL398)</f>
        <v>5655.1415076358226</v>
      </c>
      <c r="DM399" s="72">
        <f>SUM(DM396:DM398)</f>
        <v>5645.4908567595348</v>
      </c>
      <c r="DN399" s="72">
        <f>SUM(DN396:DN398)</f>
        <v>5645.4908567595348</v>
      </c>
      <c r="DP399" s="72">
        <f>SUM(DP396:DP398)</f>
        <v>5617.2485238371401</v>
      </c>
      <c r="DQ399" s="72">
        <f>SUM(DQ396:DQ398)</f>
        <v>5615.6335971242042</v>
      </c>
      <c r="DR399" s="72">
        <f>SUM(DR396:DR398)</f>
        <v>5615.6335971242042</v>
      </c>
      <c r="DW399" s="20"/>
      <c r="DX399" s="20"/>
    </row>
    <row r="400" spans="1:128" s="21" customFormat="1" ht="13.8">
      <c r="B400" s="27"/>
      <c r="BH400" s="72"/>
      <c r="BI400" s="72"/>
      <c r="BJ400" s="72"/>
      <c r="BK400" s="49"/>
      <c r="BL400" s="72"/>
      <c r="BM400" s="72"/>
      <c r="BN400" s="72"/>
      <c r="BO400" s="49"/>
      <c r="BP400" s="72"/>
      <c r="BQ400" s="72"/>
      <c r="BR400" s="72"/>
      <c r="BT400" s="72"/>
      <c r="BU400" s="72"/>
      <c r="BV400" s="72"/>
      <c r="BX400" s="72"/>
      <c r="BY400" s="72"/>
      <c r="BZ400" s="805">
        <v>6970</v>
      </c>
      <c r="CB400" s="901">
        <f>+CB368</f>
        <v>5338</v>
      </c>
      <c r="CC400" s="901">
        <f>+CC368</f>
        <v>4930</v>
      </c>
      <c r="CD400" s="901">
        <f>+CD368</f>
        <v>4930</v>
      </c>
      <c r="CF400" s="901">
        <f>+CF368</f>
        <v>5017</v>
      </c>
      <c r="CG400" s="901">
        <f>+CG368</f>
        <v>4861</v>
      </c>
      <c r="CH400" s="901">
        <f>+CH368</f>
        <v>4861</v>
      </c>
      <c r="CJ400" s="901"/>
      <c r="CK400" s="901">
        <f>+CK368</f>
        <v>4379</v>
      </c>
      <c r="CL400" s="901">
        <f>+CL368</f>
        <v>4379</v>
      </c>
      <c r="CN400" s="901"/>
      <c r="CO400" s="901">
        <f>+CO368</f>
        <v>4124</v>
      </c>
      <c r="CP400" s="901">
        <f>+CP368</f>
        <v>4124</v>
      </c>
      <c r="CR400" s="901"/>
      <c r="CS400" s="901">
        <f>+CS368</f>
        <v>3877</v>
      </c>
      <c r="CT400" s="901">
        <f>+CT368</f>
        <v>3877</v>
      </c>
      <c r="CV400" s="901">
        <f>+CV368</f>
        <v>4037</v>
      </c>
      <c r="CW400" s="901">
        <f>+CW368</f>
        <v>4058</v>
      </c>
      <c r="CX400" s="901">
        <f>+CX368</f>
        <v>4058</v>
      </c>
      <c r="CZ400" s="901">
        <f>+CZ368</f>
        <v>3998</v>
      </c>
      <c r="DA400" s="901">
        <f>+DA368</f>
        <v>5511</v>
      </c>
      <c r="DB400" s="901">
        <f>+DB368</f>
        <v>5511</v>
      </c>
      <c r="DD400" s="901">
        <f>+DD368</f>
        <v>5865</v>
      </c>
      <c r="DE400" s="901">
        <f>+DE368</f>
        <v>5765</v>
      </c>
      <c r="DF400" s="901">
        <f>+DF368</f>
        <v>5765</v>
      </c>
      <c r="DH400" s="72"/>
      <c r="DI400" s="72"/>
      <c r="DJ400" s="72"/>
      <c r="DL400" s="72"/>
      <c r="DM400" s="72"/>
      <c r="DN400" s="72"/>
      <c r="DP400" s="72"/>
      <c r="DQ400" s="72"/>
      <c r="DR400" s="72"/>
      <c r="DW400" s="20"/>
      <c r="DX400" s="20"/>
    </row>
    <row r="401" spans="1:128" s="20" customFormat="1" ht="20.399999999999999">
      <c r="A401" s="21" t="s">
        <v>41</v>
      </c>
      <c r="B401" s="49"/>
      <c r="BH401" s="49"/>
      <c r="BI401" s="49"/>
      <c r="BJ401" s="49"/>
      <c r="BK401" s="49"/>
      <c r="BL401" s="49"/>
      <c r="BM401" s="49"/>
      <c r="BN401" s="49"/>
      <c r="BO401" s="49"/>
      <c r="BP401" s="49"/>
      <c r="BQ401" s="49"/>
      <c r="BR401" s="49"/>
      <c r="BT401" s="49"/>
      <c r="BU401" s="49"/>
      <c r="BV401" s="49"/>
      <c r="BX401" s="49"/>
      <c r="BY401" s="49"/>
      <c r="BZ401" s="769"/>
      <c r="CB401" s="49"/>
      <c r="CC401" s="49"/>
      <c r="CD401" s="49"/>
      <c r="CF401" s="49"/>
      <c r="CG401" s="49"/>
      <c r="CH401" s="49"/>
      <c r="CJ401" s="49"/>
      <c r="CK401" s="49"/>
      <c r="CL401" s="49"/>
      <c r="CN401" s="49"/>
      <c r="CO401" s="49"/>
      <c r="CP401" s="49"/>
      <c r="CR401" s="49"/>
      <c r="CS401" s="49"/>
      <c r="CT401" s="49"/>
      <c r="CV401" s="49"/>
      <c r="CW401" s="49"/>
      <c r="CX401" s="49"/>
      <c r="CZ401" s="49"/>
      <c r="DA401" s="49"/>
      <c r="DB401" s="49"/>
      <c r="DD401" s="49"/>
      <c r="DE401" s="49"/>
      <c r="DF401" s="49"/>
      <c r="DH401" s="49"/>
      <c r="DI401" s="49"/>
      <c r="DJ401" s="49"/>
      <c r="DL401" s="49"/>
      <c r="DM401" s="49"/>
      <c r="DN401" s="49"/>
      <c r="DP401" s="49"/>
      <c r="DQ401" s="49"/>
      <c r="DR401" s="49"/>
    </row>
    <row r="402" spans="1:128" s="20" customFormat="1" ht="13.8">
      <c r="A402" s="20" t="s">
        <v>747</v>
      </c>
      <c r="B402" s="49"/>
      <c r="BD402" s="98">
        <v>4163</v>
      </c>
      <c r="BE402" s="65">
        <f>BD404</f>
        <v>4187.5</v>
      </c>
      <c r="BF402" s="65">
        <f>BD402</f>
        <v>4163</v>
      </c>
      <c r="BH402" s="65">
        <f>BF404</f>
        <v>4212</v>
      </c>
      <c r="BI402" s="65">
        <f>BH404</f>
        <v>4355.5</v>
      </c>
      <c r="BJ402" s="65">
        <f>BH402</f>
        <v>4212</v>
      </c>
      <c r="BK402" s="49"/>
      <c r="BL402" s="65">
        <f>BJ404</f>
        <v>4499</v>
      </c>
      <c r="BM402" s="65">
        <f>BL404</f>
        <v>4499</v>
      </c>
      <c r="BN402" s="65">
        <f>BL402</f>
        <v>4499</v>
      </c>
      <c r="BO402" s="49"/>
      <c r="BP402" s="65">
        <f>BN404</f>
        <v>4511</v>
      </c>
      <c r="BQ402" s="65">
        <f>BP404</f>
        <v>4511</v>
      </c>
      <c r="BR402" s="65">
        <f>BP402</f>
        <v>4511</v>
      </c>
      <c r="BT402" s="65">
        <f>BR404</f>
        <v>4523</v>
      </c>
      <c r="BU402" s="65">
        <f>BT404</f>
        <v>4523</v>
      </c>
      <c r="BV402" s="65">
        <f>BT402</f>
        <v>4523</v>
      </c>
      <c r="BX402" s="65">
        <f>BV404</f>
        <v>4729</v>
      </c>
      <c r="BY402" s="65">
        <f>BX404</f>
        <v>4447</v>
      </c>
      <c r="BZ402" s="65">
        <f>BX402</f>
        <v>4729</v>
      </c>
      <c r="CB402" s="65">
        <f>BZ404</f>
        <v>4447</v>
      </c>
      <c r="CC402" s="65">
        <f>CB404</f>
        <v>3459</v>
      </c>
      <c r="CD402" s="65">
        <f>CB402</f>
        <v>4447</v>
      </c>
      <c r="CF402" s="65">
        <f>CD404</f>
        <v>3440</v>
      </c>
      <c r="CG402" s="65">
        <f>CF404</f>
        <v>3440</v>
      </c>
      <c r="CH402" s="65">
        <f>CF402</f>
        <v>3440</v>
      </c>
      <c r="CJ402" s="65">
        <f>CH404</f>
        <v>3467</v>
      </c>
      <c r="CK402" s="65">
        <f>CJ404</f>
        <v>3467</v>
      </c>
      <c r="CL402" s="65">
        <f>CJ402</f>
        <v>3467</v>
      </c>
      <c r="CN402" s="65">
        <f>CL404</f>
        <v>3264</v>
      </c>
      <c r="CO402" s="65">
        <f>CN404</f>
        <v>2891</v>
      </c>
      <c r="CP402" s="65">
        <f>CN402</f>
        <v>3264</v>
      </c>
      <c r="CR402" s="65">
        <f>CP404</f>
        <v>3089</v>
      </c>
      <c r="CS402" s="65">
        <f>CR404</f>
        <v>3062</v>
      </c>
      <c r="CT402" s="65">
        <f>CR402</f>
        <v>3089</v>
      </c>
      <c r="CV402" s="65">
        <f>CT404</f>
        <v>2914</v>
      </c>
      <c r="CW402" s="65">
        <f>CV404</f>
        <v>2887</v>
      </c>
      <c r="CX402" s="65">
        <f>CV402</f>
        <v>2914</v>
      </c>
      <c r="CZ402" s="65">
        <f>CX404</f>
        <v>2977</v>
      </c>
      <c r="DA402" s="65">
        <f>CZ404</f>
        <v>2936</v>
      </c>
      <c r="DB402" s="65">
        <f>CZ402</f>
        <v>2977</v>
      </c>
      <c r="DD402" s="65">
        <f>DB404</f>
        <v>4273</v>
      </c>
      <c r="DE402" s="65">
        <f>DD404</f>
        <v>4117</v>
      </c>
      <c r="DF402" s="65">
        <f>DD402</f>
        <v>4273</v>
      </c>
      <c r="DH402" s="65">
        <f>DF404</f>
        <v>4165</v>
      </c>
      <c r="DI402" s="65">
        <f>DH404</f>
        <v>4165</v>
      </c>
      <c r="DJ402" s="65">
        <f>DH402</f>
        <v>4165</v>
      </c>
      <c r="DL402" s="65">
        <f>DJ404</f>
        <v>4165</v>
      </c>
      <c r="DM402" s="65">
        <f>DL404</f>
        <v>4165</v>
      </c>
      <c r="DN402" s="65">
        <f>DL402</f>
        <v>4165</v>
      </c>
      <c r="DP402" s="65">
        <f>DN404</f>
        <v>4165</v>
      </c>
      <c r="DQ402" s="65">
        <f>DP404</f>
        <v>4165</v>
      </c>
      <c r="DR402" s="65">
        <f>DP402</f>
        <v>4165</v>
      </c>
    </row>
    <row r="403" spans="1:128" s="20" customFormat="1" ht="13.8">
      <c r="A403" s="20" t="s">
        <v>434</v>
      </c>
      <c r="B403" s="49"/>
      <c r="BD403" s="781">
        <f>BF403/2</f>
        <v>24.5</v>
      </c>
      <c r="BE403" s="65">
        <f>BF403-BD403</f>
        <v>24.5</v>
      </c>
      <c r="BF403" s="67">
        <f>11+7-1+32</f>
        <v>49</v>
      </c>
      <c r="BH403" s="781">
        <f>BJ403/2</f>
        <v>143.5</v>
      </c>
      <c r="BI403" s="65">
        <f>BJ403-BH403</f>
        <v>143.5</v>
      </c>
      <c r="BJ403" s="67">
        <f>310-23</f>
        <v>287</v>
      </c>
      <c r="BK403" s="49"/>
      <c r="BL403" s="65">
        <v>0</v>
      </c>
      <c r="BM403" s="65">
        <f>BN403-BL403</f>
        <v>12</v>
      </c>
      <c r="BN403" s="67">
        <v>12</v>
      </c>
      <c r="BO403" s="49"/>
      <c r="BP403" s="65">
        <v>0</v>
      </c>
      <c r="BQ403" s="65">
        <f>BR403-BP403</f>
        <v>12</v>
      </c>
      <c r="BR403" s="67">
        <v>12</v>
      </c>
      <c r="BT403" s="65">
        <v>0</v>
      </c>
      <c r="BU403" s="65">
        <f>BV403-BT403</f>
        <v>206</v>
      </c>
      <c r="BV403" s="608">
        <v>206</v>
      </c>
      <c r="BX403" s="65">
        <v>-282</v>
      </c>
      <c r="BY403" s="65">
        <f>BZ403-BX403</f>
        <v>0</v>
      </c>
      <c r="BZ403" s="106">
        <v>-282</v>
      </c>
      <c r="CB403" s="573">
        <v>-988</v>
      </c>
      <c r="CC403" s="65">
        <f>CD403-CB403</f>
        <v>-19</v>
      </c>
      <c r="CD403" s="106">
        <f>-988-19</f>
        <v>-1007</v>
      </c>
      <c r="CF403" s="807">
        <v>0</v>
      </c>
      <c r="CG403" s="65">
        <f>CH403-CF403</f>
        <v>27</v>
      </c>
      <c r="CH403" s="807">
        <v>27</v>
      </c>
      <c r="CJ403" s="807">
        <v>0</v>
      </c>
      <c r="CK403" s="65">
        <f>CL403-CJ403</f>
        <v>-203</v>
      </c>
      <c r="CL403" s="806">
        <f>-77-124-2</f>
        <v>-203</v>
      </c>
      <c r="CM403" s="21"/>
      <c r="CN403" s="67">
        <f>-135-238</f>
        <v>-373</v>
      </c>
      <c r="CO403" s="65">
        <f>CP403-CN403</f>
        <v>198</v>
      </c>
      <c r="CP403" s="806">
        <f>-251-13+89</f>
        <v>-175</v>
      </c>
      <c r="CQ403" s="21"/>
      <c r="CR403" s="67">
        <f>3062-3089</f>
        <v>-27</v>
      </c>
      <c r="CS403" s="65">
        <f>CT403-CR403</f>
        <v>-148</v>
      </c>
      <c r="CT403" s="806">
        <f>-251-13+89</f>
        <v>-175</v>
      </c>
      <c r="CV403" s="67">
        <f>3062-3089</f>
        <v>-27</v>
      </c>
      <c r="CW403" s="65">
        <f>CX403-CV403</f>
        <v>90</v>
      </c>
      <c r="CX403" s="806">
        <f>2977-2914</f>
        <v>63</v>
      </c>
      <c r="CZ403" s="67">
        <f>2936-2977</f>
        <v>-41</v>
      </c>
      <c r="DA403" s="65">
        <f>DB403-CZ403</f>
        <v>1337</v>
      </c>
      <c r="DB403" s="806">
        <f>4273-2977</f>
        <v>1296</v>
      </c>
      <c r="DD403" s="67">
        <f>4117-4273</f>
        <v>-156</v>
      </c>
      <c r="DE403" s="65">
        <f>DF403-DD403</f>
        <v>48</v>
      </c>
      <c r="DF403" s="806">
        <f>4165-4273</f>
        <v>-108</v>
      </c>
      <c r="DH403" s="67">
        <v>0</v>
      </c>
      <c r="DI403" s="67">
        <v>0</v>
      </c>
      <c r="DJ403" s="65">
        <f>SUM(DH403:DI403)</f>
        <v>0</v>
      </c>
      <c r="DL403" s="67">
        <v>0</v>
      </c>
      <c r="DM403" s="67">
        <v>0</v>
      </c>
      <c r="DN403" s="65">
        <f>SUM(DL403:DM403)</f>
        <v>0</v>
      </c>
      <c r="DP403" s="67">
        <v>0</v>
      </c>
      <c r="DQ403" s="67">
        <v>0</v>
      </c>
      <c r="DR403" s="65">
        <f>SUM(DP403:DQ403)</f>
        <v>0</v>
      </c>
    </row>
    <row r="404" spans="1:128" s="21" customFormat="1" ht="13.8">
      <c r="A404" s="21" t="s">
        <v>237</v>
      </c>
      <c r="B404" s="420" t="s">
        <v>208</v>
      </c>
      <c r="BD404" s="72">
        <f>SUM(BD402:BD403)</f>
        <v>4187.5</v>
      </c>
      <c r="BE404" s="72">
        <f>SUM(BE402:BE403)</f>
        <v>4212</v>
      </c>
      <c r="BF404" s="72">
        <f>SUM(BF402:BF403)</f>
        <v>4212</v>
      </c>
      <c r="BH404" s="72">
        <f>SUM(BH402:BH403)</f>
        <v>4355.5</v>
      </c>
      <c r="BI404" s="72">
        <f>SUM(BI402:BI403)</f>
        <v>4499</v>
      </c>
      <c r="BJ404" s="72">
        <f>SUM(BJ402:BJ403)</f>
        <v>4499</v>
      </c>
      <c r="BK404" s="27"/>
      <c r="BL404" s="72">
        <f>SUM(BL402:BL403)</f>
        <v>4499</v>
      </c>
      <c r="BM404" s="72">
        <f>SUM(BM402:BM403)</f>
        <v>4511</v>
      </c>
      <c r="BN404" s="72">
        <f>SUM(BN402:BN403)</f>
        <v>4511</v>
      </c>
      <c r="BO404" s="27"/>
      <c r="BP404" s="72">
        <f>SUM(BP402:BP403)</f>
        <v>4511</v>
      </c>
      <c r="BQ404" s="72">
        <f>SUM(BQ402:BQ403)</f>
        <v>4523</v>
      </c>
      <c r="BR404" s="72">
        <f>SUM(BR402:BR403)</f>
        <v>4523</v>
      </c>
      <c r="BT404" s="72">
        <f>SUM(BT402:BT403)</f>
        <v>4523</v>
      </c>
      <c r="BU404" s="72">
        <f>SUM(BU402:BU403)</f>
        <v>4729</v>
      </c>
      <c r="BV404" s="72">
        <f>SUM(BV402:BV403)</f>
        <v>4729</v>
      </c>
      <c r="BX404" s="72">
        <f>SUM(BX402:BX403)</f>
        <v>4447</v>
      </c>
      <c r="BY404" s="72">
        <f>SUM(BY402:BY403)</f>
        <v>4447</v>
      </c>
      <c r="BZ404" s="72">
        <f>SUM(BZ402:BZ403)</f>
        <v>4447</v>
      </c>
      <c r="CB404" s="72">
        <f>SUM(CB402:CB403)</f>
        <v>3459</v>
      </c>
      <c r="CC404" s="72">
        <f>SUM(CC402:CC403)</f>
        <v>3440</v>
      </c>
      <c r="CD404" s="72">
        <f>SUM(CD402:CD403)</f>
        <v>3440</v>
      </c>
      <c r="CF404" s="72">
        <f>SUM(CF402:CF403)</f>
        <v>3440</v>
      </c>
      <c r="CG404" s="72">
        <f>SUM(CG402:CG403)</f>
        <v>3467</v>
      </c>
      <c r="CH404" s="72">
        <f>SUM(CH402:CH403)</f>
        <v>3467</v>
      </c>
      <c r="CJ404" s="72">
        <f>SUM(CJ402:CJ403)</f>
        <v>3467</v>
      </c>
      <c r="CK404" s="72">
        <f>SUM(CK402:CK403)</f>
        <v>3264</v>
      </c>
      <c r="CL404" s="72">
        <f>SUM(CL402:CL403)</f>
        <v>3264</v>
      </c>
      <c r="CN404" s="72">
        <f>SUM(CN402:CN403)</f>
        <v>2891</v>
      </c>
      <c r="CO404" s="72">
        <f>SUM(CO402:CO403)</f>
        <v>3089</v>
      </c>
      <c r="CP404" s="72">
        <f>SUM(CP402:CP403)</f>
        <v>3089</v>
      </c>
      <c r="CR404" s="72">
        <f>SUM(CR402:CR403)</f>
        <v>3062</v>
      </c>
      <c r="CS404" s="72">
        <f>SUM(CS402:CS403)</f>
        <v>2914</v>
      </c>
      <c r="CT404" s="72">
        <f>SUM(CT402:CT403)</f>
        <v>2914</v>
      </c>
      <c r="CV404" s="72">
        <f>SUM(CV402:CV403)</f>
        <v>2887</v>
      </c>
      <c r="CW404" s="72">
        <f>SUM(CW402:CW403)</f>
        <v>2977</v>
      </c>
      <c r="CX404" s="72">
        <f>SUM(CX402:CX403)</f>
        <v>2977</v>
      </c>
      <c r="CZ404" s="72">
        <f>SUM(CZ402:CZ403)</f>
        <v>2936</v>
      </c>
      <c r="DA404" s="72">
        <f>SUM(DA402:DA403)</f>
        <v>4273</v>
      </c>
      <c r="DB404" s="72">
        <f>SUM(DB402:DB403)</f>
        <v>4273</v>
      </c>
      <c r="DD404" s="72">
        <f>SUM(DD402:DD403)</f>
        <v>4117</v>
      </c>
      <c r="DE404" s="72">
        <f>SUM(DE402:DE403)</f>
        <v>4165</v>
      </c>
      <c r="DF404" s="72">
        <f>SUM(DF402:DF403)</f>
        <v>4165</v>
      </c>
      <c r="DH404" s="72">
        <f>SUM(DH402:DH403)</f>
        <v>4165</v>
      </c>
      <c r="DI404" s="72">
        <f>SUM(DI402:DI403)</f>
        <v>4165</v>
      </c>
      <c r="DJ404" s="72">
        <f>SUM(DJ402:DJ403)</f>
        <v>4165</v>
      </c>
      <c r="DL404" s="72">
        <f>SUM(DL402:DL403)</f>
        <v>4165</v>
      </c>
      <c r="DM404" s="72">
        <f>SUM(DM402:DM403)</f>
        <v>4165</v>
      </c>
      <c r="DN404" s="72">
        <f>SUM(DN402:DN403)</f>
        <v>4165</v>
      </c>
      <c r="DP404" s="72">
        <f>SUM(DP402:DP403)</f>
        <v>4165</v>
      </c>
      <c r="DQ404" s="72">
        <f>SUM(DQ402:DQ403)</f>
        <v>4165</v>
      </c>
      <c r="DR404" s="72">
        <f>SUM(DR402:DR403)</f>
        <v>4165</v>
      </c>
    </row>
    <row r="405" spans="1:128" s="21" customFormat="1" ht="13.8">
      <c r="A405" s="47" t="s">
        <v>1081</v>
      </c>
      <c r="B405" s="420"/>
      <c r="BD405" s="72"/>
      <c r="BE405" s="72"/>
      <c r="BF405" s="72"/>
      <c r="BH405" s="72"/>
      <c r="BI405" s="72"/>
      <c r="BJ405" s="72"/>
      <c r="BK405" s="27"/>
      <c r="BL405" s="72"/>
      <c r="BM405" s="72"/>
      <c r="BN405" s="72"/>
      <c r="BO405" s="27"/>
      <c r="BP405" s="72"/>
      <c r="BQ405" s="72"/>
      <c r="BR405" s="72"/>
      <c r="BT405" s="72"/>
      <c r="BU405" s="72"/>
      <c r="BV405" s="72"/>
      <c r="BX405" s="72"/>
      <c r="BY405" s="72"/>
      <c r="BZ405" s="72"/>
      <c r="CB405" s="72"/>
      <c r="CC405" s="72"/>
      <c r="CD405" s="72"/>
      <c r="CF405" s="73">
        <f t="shared" ref="CF405:CG405" si="660">-CF1289</f>
        <v>3865</v>
      </c>
      <c r="CG405" s="73">
        <f t="shared" si="660"/>
        <v>3772</v>
      </c>
      <c r="CH405" s="72"/>
      <c r="CJ405" s="73">
        <f t="shared" ref="CJ405:CK405" si="661">-CJ1289</f>
        <v>3620</v>
      </c>
      <c r="CK405" s="73">
        <f t="shared" si="661"/>
        <v>3269</v>
      </c>
      <c r="CL405" s="72"/>
      <c r="CN405" s="73">
        <f>-CN1289</f>
        <v>2992</v>
      </c>
      <c r="CO405" s="73">
        <f>-CO1289</f>
        <v>3091</v>
      </c>
      <c r="CP405" s="72"/>
      <c r="CR405" s="73">
        <f>-CR1289</f>
        <v>3073</v>
      </c>
      <c r="CS405" s="73">
        <f>-CS1289</f>
        <v>2914</v>
      </c>
      <c r="CT405" s="72"/>
      <c r="CV405" s="73">
        <f>-CV1289</f>
        <v>2994</v>
      </c>
      <c r="CW405" s="73">
        <f>-CW1289</f>
        <v>2977</v>
      </c>
      <c r="CX405" s="72"/>
      <c r="CZ405" s="73">
        <f>-CZ1289</f>
        <v>2936</v>
      </c>
      <c r="DA405" s="73">
        <f>-DA1289</f>
        <v>4273</v>
      </c>
      <c r="DB405" s="72"/>
      <c r="DD405" s="73">
        <f>-DD1289</f>
        <v>4117</v>
      </c>
      <c r="DE405" s="73">
        <f>-DE1289</f>
        <v>4165</v>
      </c>
      <c r="DF405" s="72"/>
      <c r="DH405" s="73">
        <f t="shared" ref="DH405:DI405" si="662">-DH1289</f>
        <v>4165</v>
      </c>
      <c r="DI405" s="73">
        <f t="shared" si="662"/>
        <v>4165</v>
      </c>
      <c r="DJ405" s="72"/>
      <c r="DL405" s="73">
        <f t="shared" ref="DL405:DM405" si="663">-DL1289</f>
        <v>4165</v>
      </c>
      <c r="DM405" s="73">
        <f t="shared" si="663"/>
        <v>4165</v>
      </c>
      <c r="DN405" s="72"/>
      <c r="DP405" s="73">
        <f t="shared" ref="DP405:DQ405" si="664">-DP1289</f>
        <v>4165</v>
      </c>
      <c r="DQ405" s="73">
        <f t="shared" si="664"/>
        <v>4165</v>
      </c>
      <c r="DR405" s="72"/>
    </row>
    <row r="406" spans="1:128" s="21" customFormat="1" ht="13.8">
      <c r="A406" s="47" t="s">
        <v>286</v>
      </c>
      <c r="B406" s="420"/>
      <c r="BD406" s="72"/>
      <c r="BE406" s="72"/>
      <c r="BF406" s="72"/>
      <c r="BH406" s="72"/>
      <c r="BI406" s="72"/>
      <c r="BJ406" s="72"/>
      <c r="BK406" s="27"/>
      <c r="BL406" s="72"/>
      <c r="BM406" s="72"/>
      <c r="BN406" s="72"/>
      <c r="BO406" s="27"/>
      <c r="BP406" s="72"/>
      <c r="BQ406" s="72"/>
      <c r="BR406" s="72"/>
      <c r="BT406" s="72"/>
      <c r="BU406" s="72"/>
      <c r="BV406" s="72"/>
      <c r="BX406" s="72"/>
      <c r="BY406" s="72"/>
      <c r="BZ406" s="72"/>
      <c r="CB406" s="72"/>
      <c r="CC406" s="72"/>
      <c r="CD406" s="72"/>
      <c r="CF406" s="982">
        <f t="shared" ref="CF406:CG406" si="665">+CF405/CF404</f>
        <v>1.1235465116279071</v>
      </c>
      <c r="CG406" s="982">
        <f t="shared" si="665"/>
        <v>1.0879723103547736</v>
      </c>
      <c r="CH406" s="72"/>
      <c r="CJ406" s="982">
        <f t="shared" ref="CJ406:CK406" si="666">+CJ405/CJ404</f>
        <v>1.0441303720796078</v>
      </c>
      <c r="CK406" s="982">
        <f t="shared" si="666"/>
        <v>1.001531862745098</v>
      </c>
      <c r="CL406" s="72"/>
      <c r="CN406" s="982">
        <f>+CN405/CN404</f>
        <v>1.0349360083016257</v>
      </c>
      <c r="CO406" s="982">
        <f>+CO405/CO404</f>
        <v>1.0006474587245062</v>
      </c>
      <c r="CP406" s="72"/>
      <c r="CR406" s="982">
        <f>+CR405/CR404</f>
        <v>1.003592423252776</v>
      </c>
      <c r="CS406" s="982">
        <f>+CS405/CS404</f>
        <v>1</v>
      </c>
      <c r="CT406" s="72"/>
      <c r="CV406" s="982">
        <f>+CV405/CV404</f>
        <v>1.0370626948389332</v>
      </c>
      <c r="CW406" s="982">
        <f>+CW405/CW404</f>
        <v>1</v>
      </c>
      <c r="CX406" s="72"/>
      <c r="CZ406" s="982">
        <f>+CZ405/CZ404</f>
        <v>1</v>
      </c>
      <c r="DA406" s="982">
        <f>+DA405/DA404</f>
        <v>1</v>
      </c>
      <c r="DB406" s="72"/>
      <c r="DD406" s="982">
        <f>+DD405/DD404</f>
        <v>1</v>
      </c>
      <c r="DE406" s="982">
        <f>+DE405/DE404</f>
        <v>1</v>
      </c>
      <c r="DF406" s="72"/>
      <c r="DH406" s="982">
        <f t="shared" ref="DH406:DI406" si="667">+DH405/DH404</f>
        <v>1</v>
      </c>
      <c r="DI406" s="982">
        <f t="shared" si="667"/>
        <v>1</v>
      </c>
      <c r="DJ406" s="72"/>
      <c r="DL406" s="982">
        <f t="shared" ref="DL406:DM406" si="668">+DL405/DL404</f>
        <v>1</v>
      </c>
      <c r="DM406" s="982">
        <f t="shared" si="668"/>
        <v>1</v>
      </c>
      <c r="DN406" s="72"/>
      <c r="DP406" s="982">
        <f t="shared" ref="DP406:DQ406" si="669">+DP405/DP404</f>
        <v>1</v>
      </c>
      <c r="DQ406" s="982">
        <f t="shared" si="669"/>
        <v>1</v>
      </c>
      <c r="DR406" s="72"/>
    </row>
    <row r="407" spans="1:128" s="21" customFormat="1" ht="13.8">
      <c r="B407" s="27"/>
      <c r="BH407" s="72"/>
      <c r="BI407" s="72"/>
      <c r="BJ407" s="72"/>
      <c r="BK407" s="49"/>
      <c r="BL407" s="72"/>
      <c r="BM407" s="72"/>
      <c r="BN407" s="72"/>
      <c r="BO407" s="49"/>
      <c r="BP407" s="72"/>
      <c r="BQ407" s="72"/>
      <c r="BR407" s="72"/>
      <c r="BT407" s="72"/>
      <c r="BU407" s="72"/>
      <c r="BV407" s="805">
        <v>4729</v>
      </c>
      <c r="BX407" s="72"/>
      <c r="BY407" s="72"/>
      <c r="BZ407" s="805">
        <v>4447</v>
      </c>
      <c r="CB407" s="805">
        <v>3459</v>
      </c>
      <c r="CC407" s="805">
        <v>3440</v>
      </c>
      <c r="CD407" s="805"/>
      <c r="CF407" s="805"/>
      <c r="CG407" s="805"/>
      <c r="CH407" s="805"/>
      <c r="CJ407" s="805"/>
      <c r="CK407" s="805"/>
      <c r="CL407" s="805"/>
      <c r="CN407" s="805"/>
      <c r="CO407" s="805"/>
      <c r="CP407" s="805"/>
      <c r="CR407" s="805"/>
      <c r="CS407" s="72"/>
      <c r="CT407" s="72"/>
      <c r="CV407" s="805"/>
      <c r="CW407" s="72"/>
      <c r="CX407" s="72"/>
      <c r="CZ407" s="805"/>
      <c r="DA407" s="72"/>
      <c r="DB407" s="72"/>
      <c r="DD407" s="805"/>
      <c r="DE407" s="72"/>
      <c r="DF407" s="72"/>
      <c r="DH407" s="72"/>
      <c r="DI407" s="72"/>
      <c r="DJ407" s="72"/>
      <c r="DL407" s="72"/>
      <c r="DM407" s="72"/>
      <c r="DN407" s="72"/>
      <c r="DP407" s="72"/>
      <c r="DQ407" s="72"/>
      <c r="DR407" s="72"/>
      <c r="DW407" s="20"/>
      <c r="DX407" s="20"/>
    </row>
    <row r="408" spans="1:128" s="21" customFormat="1" ht="13.8">
      <c r="A408" s="21" t="s">
        <v>332</v>
      </c>
      <c r="B408" s="27"/>
      <c r="BH408" s="27"/>
      <c r="BI408" s="27"/>
      <c r="BJ408" s="27"/>
      <c r="BK408" s="27"/>
      <c r="BL408" s="27"/>
      <c r="BM408" s="27"/>
      <c r="BN408" s="27"/>
      <c r="BO408" s="27"/>
      <c r="BP408" s="27"/>
      <c r="BQ408" s="27"/>
      <c r="BR408" s="27"/>
      <c r="BT408" s="27"/>
      <c r="BU408" s="27"/>
      <c r="BV408" s="27"/>
      <c r="BX408" s="27"/>
      <c r="BY408" s="27"/>
      <c r="BZ408" s="27"/>
      <c r="CB408" s="27"/>
      <c r="CF408" s="27"/>
      <c r="CJ408" s="27"/>
      <c r="CN408" s="27"/>
      <c r="CR408" s="27"/>
      <c r="CV408" s="27"/>
      <c r="CZ408"/>
      <c r="DD408"/>
      <c r="DG408"/>
      <c r="DH408"/>
      <c r="DI408"/>
      <c r="DJ408"/>
      <c r="DK408"/>
      <c r="DL408"/>
      <c r="DM408"/>
      <c r="DN408"/>
      <c r="DO408"/>
      <c r="DP408"/>
      <c r="DQ408"/>
      <c r="DR408"/>
      <c r="DS408"/>
      <c r="DT408"/>
      <c r="DU408"/>
      <c r="DW408" s="20"/>
      <c r="DX408" s="20"/>
    </row>
    <row r="409" spans="1:128" s="20" customFormat="1" ht="13.8">
      <c r="A409" s="20" t="s">
        <v>310</v>
      </c>
      <c r="B409" s="49"/>
      <c r="BD409" s="21"/>
      <c r="BF409" s="65"/>
      <c r="BH409" s="98">
        <v>1762</v>
      </c>
      <c r="BI409" s="65">
        <f>BH413</f>
        <v>1857</v>
      </c>
      <c r="BJ409" s="65">
        <f>BH409</f>
        <v>1762</v>
      </c>
      <c r="BK409" s="49"/>
      <c r="BL409" s="65">
        <f>BJ413</f>
        <v>2170</v>
      </c>
      <c r="BM409" s="65">
        <f>BL413</f>
        <v>2332</v>
      </c>
      <c r="BN409" s="65">
        <f>BL409</f>
        <v>2170</v>
      </c>
      <c r="BO409" s="49"/>
      <c r="BP409" s="65">
        <f>BN413</f>
        <v>2533</v>
      </c>
      <c r="BQ409" s="65">
        <f>BP413</f>
        <v>2689</v>
      </c>
      <c r="BR409" s="65">
        <f>BP409</f>
        <v>2533</v>
      </c>
      <c r="BT409" s="65">
        <f>BR413</f>
        <v>2893</v>
      </c>
      <c r="BU409" s="65">
        <f>BT413</f>
        <v>2249</v>
      </c>
      <c r="BV409" s="65">
        <f>BT409</f>
        <v>2893</v>
      </c>
      <c r="BX409" s="608">
        <v>2196</v>
      </c>
      <c r="BY409" s="65">
        <f>BX413</f>
        <v>1917</v>
      </c>
      <c r="BZ409" s="65">
        <f>BX409</f>
        <v>2196</v>
      </c>
      <c r="CB409" s="65">
        <f>BZ413</f>
        <v>1856</v>
      </c>
      <c r="CC409" s="65">
        <f>CB413</f>
        <v>1775</v>
      </c>
      <c r="CD409" s="65">
        <f>CB409</f>
        <v>1856</v>
      </c>
      <c r="CF409" s="65">
        <f>CD413</f>
        <v>1421</v>
      </c>
      <c r="CG409" s="65">
        <f>CF413</f>
        <v>1368</v>
      </c>
      <c r="CH409" s="65">
        <f>CF409</f>
        <v>1421</v>
      </c>
      <c r="CJ409" s="65">
        <f>CH413</f>
        <v>1323</v>
      </c>
      <c r="CK409" s="65">
        <f>CJ413</f>
        <v>1263</v>
      </c>
      <c r="CL409" s="65">
        <f>CJ409</f>
        <v>1323</v>
      </c>
      <c r="CN409" s="65">
        <f>CL413</f>
        <v>1039</v>
      </c>
      <c r="CO409" s="65">
        <f>CN413</f>
        <v>961</v>
      </c>
      <c r="CP409" s="65">
        <f>CN409</f>
        <v>1039</v>
      </c>
      <c r="CR409" s="65">
        <f>CP413</f>
        <v>960</v>
      </c>
      <c r="CS409" s="65">
        <f>CR413</f>
        <v>924</v>
      </c>
      <c r="CT409" s="65">
        <f>CR409</f>
        <v>960</v>
      </c>
      <c r="CV409" s="65">
        <f>CT413</f>
        <v>896</v>
      </c>
      <c r="CW409" s="65">
        <f>CV413</f>
        <v>877</v>
      </c>
      <c r="CX409" s="65">
        <f>CV409</f>
        <v>896</v>
      </c>
      <c r="CZ409" s="65">
        <f>CX413</f>
        <v>919</v>
      </c>
      <c r="DA409" s="65">
        <f>CZ413</f>
        <v>905</v>
      </c>
      <c r="DB409" s="65">
        <f>CZ409</f>
        <v>919</v>
      </c>
      <c r="DD409" s="65">
        <f>DB413</f>
        <v>1020</v>
      </c>
      <c r="DE409" s="65">
        <f>DD413</f>
        <v>1001</v>
      </c>
      <c r="DF409" s="65">
        <f>DD409</f>
        <v>1020</v>
      </c>
      <c r="DH409" s="65">
        <f>DF413</f>
        <v>999</v>
      </c>
      <c r="DI409" s="65">
        <f>DH413</f>
        <v>947.49031296572275</v>
      </c>
      <c r="DJ409" s="65">
        <f>DH409</f>
        <v>999</v>
      </c>
      <c r="DL409" s="65">
        <f>DJ413</f>
        <v>926.1815591264176</v>
      </c>
      <c r="DM409" s="65">
        <f>DL413</f>
        <v>889.1415076358229</v>
      </c>
      <c r="DN409" s="65">
        <f>DL409</f>
        <v>926.1815591264176</v>
      </c>
      <c r="DP409" s="65">
        <f>DN413</f>
        <v>879.49085675953461</v>
      </c>
      <c r="DQ409" s="65">
        <f>DP413</f>
        <v>851.24852383713994</v>
      </c>
      <c r="DR409" s="65">
        <f>DP409</f>
        <v>879.49085675953461</v>
      </c>
    </row>
    <row r="410" spans="1:128" s="20" customFormat="1" ht="13.8">
      <c r="A410" s="20" t="s">
        <v>42</v>
      </c>
      <c r="B410" s="49"/>
      <c r="BF410" s="67"/>
      <c r="BH410" s="67">
        <v>284</v>
      </c>
      <c r="BI410" s="67">
        <v>496</v>
      </c>
      <c r="BJ410" s="65">
        <f>+BI410+BH410</f>
        <v>780</v>
      </c>
      <c r="BK410" s="49"/>
      <c r="BL410" s="67">
        <v>362</v>
      </c>
      <c r="BM410" s="67">
        <v>415</v>
      </c>
      <c r="BN410" s="65">
        <f>+BM410+BL410</f>
        <v>777</v>
      </c>
      <c r="BO410" s="49"/>
      <c r="BP410" s="67">
        <v>350</v>
      </c>
      <c r="BQ410" s="67">
        <v>457</v>
      </c>
      <c r="BR410" s="65">
        <f>+BQ410+BP410</f>
        <v>807</v>
      </c>
      <c r="BT410" s="67">
        <v>209</v>
      </c>
      <c r="BU410" s="67">
        <v>222</v>
      </c>
      <c r="BV410" s="65">
        <f>+BU410+BT410</f>
        <v>431</v>
      </c>
      <c r="BX410" s="67">
        <v>172</v>
      </c>
      <c r="BY410" s="67">
        <v>232</v>
      </c>
      <c r="BZ410" s="65">
        <f>+BY410+BX410</f>
        <v>404</v>
      </c>
      <c r="CB410" s="67">
        <v>198</v>
      </c>
      <c r="CC410" s="67">
        <v>195</v>
      </c>
      <c r="CD410" s="65">
        <f>+CC410+CB410</f>
        <v>393</v>
      </c>
      <c r="CF410" s="67">
        <v>199</v>
      </c>
      <c r="CG410" s="67">
        <v>222</v>
      </c>
      <c r="CH410" s="65">
        <f>+CG410+CF410</f>
        <v>421</v>
      </c>
      <c r="CJ410" s="67">
        <v>181</v>
      </c>
      <c r="CK410" s="67">
        <v>194</v>
      </c>
      <c r="CL410" s="65">
        <f>+CK410+CJ410</f>
        <v>375</v>
      </c>
      <c r="CN410" s="67">
        <v>156</v>
      </c>
      <c r="CO410" s="67">
        <v>200</v>
      </c>
      <c r="CP410" s="65">
        <f>+CO410+CN410</f>
        <v>356</v>
      </c>
      <c r="CR410" s="67">
        <v>155</v>
      </c>
      <c r="CS410" s="67">
        <v>160</v>
      </c>
      <c r="CT410" s="65">
        <f>+CS410+CR410</f>
        <v>315</v>
      </c>
      <c r="CV410" s="67">
        <v>143</v>
      </c>
      <c r="CW410" s="67">
        <v>199</v>
      </c>
      <c r="CX410" s="65">
        <f>+CW410+CV410</f>
        <v>342</v>
      </c>
      <c r="CZ410" s="67">
        <v>146</v>
      </c>
      <c r="DA410" s="67">
        <v>288</v>
      </c>
      <c r="DB410" s="65">
        <f>+DA410+CZ410</f>
        <v>434</v>
      </c>
      <c r="DD410" s="67">
        <v>159</v>
      </c>
      <c r="DE410" s="67">
        <v>238</v>
      </c>
      <c r="DF410" s="65">
        <f>+DE410+DD410</f>
        <v>397</v>
      </c>
      <c r="DH410" s="65">
        <f t="shared" ref="DH410:DI410" si="670">DH419*DH423</f>
        <v>147</v>
      </c>
      <c r="DI410" s="65">
        <f t="shared" si="670"/>
        <v>168</v>
      </c>
      <c r="DJ410" s="65">
        <f>+DH410+DI410</f>
        <v>315</v>
      </c>
      <c r="DL410" s="65">
        <f t="shared" ref="DL410:DM410" si="671">DL419*DL423</f>
        <v>147</v>
      </c>
      <c r="DM410" s="65">
        <f t="shared" si="671"/>
        <v>168</v>
      </c>
      <c r="DN410" s="65">
        <f>+DL410+DM410</f>
        <v>315</v>
      </c>
      <c r="DP410" s="65">
        <f t="shared" ref="DP410:DQ410" si="672">DP419*DP423</f>
        <v>147</v>
      </c>
      <c r="DQ410" s="65">
        <f t="shared" si="672"/>
        <v>168</v>
      </c>
      <c r="DR410" s="65">
        <f>+DP410+DQ410</f>
        <v>315</v>
      </c>
    </row>
    <row r="411" spans="1:128" s="20" customFormat="1" ht="13.8">
      <c r="A411" s="20" t="s">
        <v>43</v>
      </c>
      <c r="B411" s="49"/>
      <c r="BF411" s="67"/>
      <c r="BH411" s="106">
        <v>-181</v>
      </c>
      <c r="BI411" s="106">
        <v>-202</v>
      </c>
      <c r="BJ411" s="65">
        <f>+BI411+BH411</f>
        <v>-383</v>
      </c>
      <c r="BK411" s="49"/>
      <c r="BL411" s="106">
        <v>-205</v>
      </c>
      <c r="BM411" s="106">
        <v>-221</v>
      </c>
      <c r="BN411" s="65">
        <f>+BM411+BL411</f>
        <v>-426</v>
      </c>
      <c r="BO411" s="49"/>
      <c r="BP411" s="106">
        <v>-267</v>
      </c>
      <c r="BQ411" s="106">
        <v>-275</v>
      </c>
      <c r="BR411" s="65">
        <f>+BQ411+BP411</f>
        <v>-542</v>
      </c>
      <c r="BT411" s="106">
        <v>-245</v>
      </c>
      <c r="BU411" s="106">
        <v>-255</v>
      </c>
      <c r="BV411" s="65">
        <f>+BU411+BT411</f>
        <v>-500</v>
      </c>
      <c r="BX411" s="106">
        <v>-294</v>
      </c>
      <c r="BY411" s="106">
        <v>-271</v>
      </c>
      <c r="BZ411" s="65">
        <f>+BY411+BX411</f>
        <v>-565</v>
      </c>
      <c r="CB411" s="106">
        <v>-281</v>
      </c>
      <c r="CC411" s="106">
        <f>-288</f>
        <v>-288</v>
      </c>
      <c r="CD411" s="65">
        <f>+CC411+CB411</f>
        <v>-569</v>
      </c>
      <c r="CF411" s="106">
        <v>-252</v>
      </c>
      <c r="CG411" s="106">
        <v>-265</v>
      </c>
      <c r="CH411" s="65">
        <f>+CG411+CF411</f>
        <v>-517</v>
      </c>
      <c r="CJ411" s="106">
        <v>-241</v>
      </c>
      <c r="CK411" s="106">
        <v>-219</v>
      </c>
      <c r="CL411" s="65">
        <f>+CK411+CJ411</f>
        <v>-460</v>
      </c>
      <c r="CN411" s="106">
        <v>-233</v>
      </c>
      <c r="CO411" s="106">
        <v>-201</v>
      </c>
      <c r="CP411" s="65">
        <f>+CO411+CN411</f>
        <v>-434</v>
      </c>
      <c r="CR411" s="106">
        <v>-189</v>
      </c>
      <c r="CS411" s="106">
        <v>-186</v>
      </c>
      <c r="CT411" s="65">
        <f>+CS411+CR411</f>
        <v>-375</v>
      </c>
      <c r="CV411" s="106">
        <v>-163</v>
      </c>
      <c r="CW411" s="106">
        <v>-157</v>
      </c>
      <c r="CX411" s="65">
        <f>+CW411+CV411</f>
        <v>-320</v>
      </c>
      <c r="CZ411" s="106">
        <v>-151</v>
      </c>
      <c r="DA411" s="106">
        <v>-173</v>
      </c>
      <c r="DB411" s="65">
        <f>+DA411+CZ411</f>
        <v>-324</v>
      </c>
      <c r="DD411" s="106">
        <v>-148</v>
      </c>
      <c r="DE411" s="106">
        <v>-200</v>
      </c>
      <c r="DF411" s="65">
        <f>+DE411+DD411</f>
        <v>-348</v>
      </c>
      <c r="DH411" s="65">
        <f>+DH$409*DH415*(DH$3/DH$4)</f>
        <v>-198.50968703427719</v>
      </c>
      <c r="DI411" s="65">
        <f>+DI$409*DI415*(DI$3/DI$4)</f>
        <v>-189.30875383930527</v>
      </c>
      <c r="DJ411" s="65">
        <f>+DH411+DI411</f>
        <v>-387.81844087358246</v>
      </c>
      <c r="DL411" s="65">
        <f>+DL$409*DL415*(DL$3/DL$4)</f>
        <v>-184.04005149059466</v>
      </c>
      <c r="DM411" s="65">
        <f>+DM$409*DM415*(DM$3/DM$4)</f>
        <v>-177.65065087628832</v>
      </c>
      <c r="DN411" s="65">
        <f>+DL411+DM411</f>
        <v>-361.69070236688299</v>
      </c>
      <c r="DP411" s="65">
        <f>+DP$409*DP415*(DP$3/DP$4)</f>
        <v>-175.24233292239464</v>
      </c>
      <c r="DQ411" s="65">
        <f>+DQ$409*DQ415*(DQ$3/DQ$4)</f>
        <v>-169.61492671293522</v>
      </c>
      <c r="DR411" s="65">
        <f>+DP411+DQ411</f>
        <v>-344.85725963532985</v>
      </c>
    </row>
    <row r="412" spans="1:128" s="325" customFormat="1" ht="13.8">
      <c r="A412" s="325" t="s">
        <v>44</v>
      </c>
      <c r="B412" s="336" t="s">
        <v>556</v>
      </c>
      <c r="BF412" s="327"/>
      <c r="BH412" s="357">
        <v>-8</v>
      </c>
      <c r="BI412" s="357">
        <v>19</v>
      </c>
      <c r="BJ412" s="326">
        <f>+BI412+BH412</f>
        <v>11</v>
      </c>
      <c r="BK412" s="324"/>
      <c r="BL412" s="357">
        <f>-1+6</f>
        <v>5</v>
      </c>
      <c r="BM412" s="357">
        <f>-14+21</f>
        <v>7</v>
      </c>
      <c r="BN412" s="326">
        <f>+BM412+BL412</f>
        <v>12</v>
      </c>
      <c r="BO412" s="324"/>
      <c r="BP412" s="357">
        <f>-4+77</f>
        <v>73</v>
      </c>
      <c r="BQ412" s="357">
        <f>-13+35</f>
        <v>22</v>
      </c>
      <c r="BR412" s="326">
        <f>+BQ412+BP412</f>
        <v>95</v>
      </c>
      <c r="BT412" s="357">
        <f>-556-2-50</f>
        <v>-608</v>
      </c>
      <c r="BU412" s="357">
        <f>-25+11</f>
        <v>-14</v>
      </c>
      <c r="BV412" s="326">
        <f>+BU412+BT412</f>
        <v>-622</v>
      </c>
      <c r="BX412" s="357">
        <f>-154-1-2</f>
        <v>-157</v>
      </c>
      <c r="BY412" s="773">
        <f>-16-6</f>
        <v>-22</v>
      </c>
      <c r="BZ412" s="326">
        <f>+BY412+BX412</f>
        <v>-179</v>
      </c>
      <c r="CB412" s="773">
        <f>-5+7</f>
        <v>2</v>
      </c>
      <c r="CC412" s="773">
        <f>-12+2-251</f>
        <v>-261</v>
      </c>
      <c r="CD412" s="326">
        <f>+CC412+CB412</f>
        <v>-259</v>
      </c>
      <c r="CF412" s="773">
        <f>-3+3</f>
        <v>0</v>
      </c>
      <c r="CG412" s="773">
        <f>-1-1</f>
        <v>-2</v>
      </c>
      <c r="CH412" s="326">
        <f>+CG412+CF412</f>
        <v>-2</v>
      </c>
      <c r="CJ412" s="773">
        <f>-3+3</f>
        <v>0</v>
      </c>
      <c r="CK412" s="773">
        <f>-197-2</f>
        <v>-199</v>
      </c>
      <c r="CL412" s="326">
        <f>+CK412+CJ412</f>
        <v>-199</v>
      </c>
      <c r="CN412" s="773">
        <v>-1</v>
      </c>
      <c r="CO412" s="773">
        <v>0</v>
      </c>
      <c r="CP412" s="326">
        <f>+CO412+CN412</f>
        <v>-1</v>
      </c>
      <c r="CR412" s="773">
        <v>-2</v>
      </c>
      <c r="CS412" s="773">
        <v>-2</v>
      </c>
      <c r="CT412" s="326">
        <f>+CS412+CR412</f>
        <v>-4</v>
      </c>
      <c r="CV412" s="773">
        <v>1</v>
      </c>
      <c r="CW412" s="773">
        <v>0</v>
      </c>
      <c r="CX412" s="326">
        <f>+CW412+CV412</f>
        <v>1</v>
      </c>
      <c r="CZ412" s="773">
        <v>-9</v>
      </c>
      <c r="DA412" s="773">
        <v>0</v>
      </c>
      <c r="DB412" s="326">
        <f>+DA412+CZ412</f>
        <v>-9</v>
      </c>
      <c r="DD412" s="773">
        <v>-30</v>
      </c>
      <c r="DE412" s="773">
        <v>-40</v>
      </c>
      <c r="DF412" s="326">
        <f>+DE412+DD412</f>
        <v>-70</v>
      </c>
      <c r="DH412" s="357">
        <v>0</v>
      </c>
      <c r="DI412" s="357">
        <v>0</v>
      </c>
      <c r="DJ412" s="326">
        <f>+DI412+DH412</f>
        <v>0</v>
      </c>
      <c r="DL412" s="357">
        <v>0</v>
      </c>
      <c r="DM412" s="357">
        <v>0</v>
      </c>
      <c r="DN412" s="326">
        <f>+DM412+DL412</f>
        <v>0</v>
      </c>
      <c r="DP412" s="357">
        <v>0</v>
      </c>
      <c r="DQ412" s="357">
        <v>0</v>
      </c>
      <c r="DR412" s="326">
        <f>+DQ412+DP412</f>
        <v>0</v>
      </c>
      <c r="DW412" s="20"/>
      <c r="DX412" s="20"/>
    </row>
    <row r="413" spans="1:128" s="20" customFormat="1" ht="13.8">
      <c r="A413" s="21" t="s">
        <v>502</v>
      </c>
      <c r="B413" s="49"/>
      <c r="BF413" s="72"/>
      <c r="BH413" s="72">
        <f>SUM(BH409:BH412)</f>
        <v>1857</v>
      </c>
      <c r="BI413" s="72">
        <f>SUM(BI409:BI412)</f>
        <v>2170</v>
      </c>
      <c r="BJ413" s="72">
        <f>SUM(BJ409:BJ412)</f>
        <v>2170</v>
      </c>
      <c r="BK413" s="27"/>
      <c r="BL413" s="72">
        <f>SUM(BL409:BL412)</f>
        <v>2332</v>
      </c>
      <c r="BM413" s="72">
        <f>SUM(BM409:BM412)</f>
        <v>2533</v>
      </c>
      <c r="BN413" s="72">
        <f>SUM(BN409:BN412)</f>
        <v>2533</v>
      </c>
      <c r="BO413" s="27"/>
      <c r="BP413" s="72">
        <f>SUM(BP409:BP412)</f>
        <v>2689</v>
      </c>
      <c r="BQ413" s="72">
        <f>SUM(BQ409:BQ412)</f>
        <v>2893</v>
      </c>
      <c r="BR413" s="72">
        <f>SUM(BR409:BR412)</f>
        <v>2893</v>
      </c>
      <c r="BT413" s="72">
        <f>SUM(BT409:BT412)</f>
        <v>2249</v>
      </c>
      <c r="BU413" s="72">
        <f>SUM(BU409:BU412)</f>
        <v>2202</v>
      </c>
      <c r="BV413" s="72">
        <f>SUM(BV409:BV412)</f>
        <v>2202</v>
      </c>
      <c r="BX413" s="72">
        <f>SUM(BX409:BX412)</f>
        <v>1917</v>
      </c>
      <c r="BY413" s="72">
        <f>SUM(BY409:BY412)</f>
        <v>1856</v>
      </c>
      <c r="BZ413" s="72">
        <f>SUM(BZ409:BZ412)</f>
        <v>1856</v>
      </c>
      <c r="CB413" s="72">
        <f>SUM(CB409:CB412)</f>
        <v>1775</v>
      </c>
      <c r="CC413" s="72">
        <f>SUM(CC409:CC412)</f>
        <v>1421</v>
      </c>
      <c r="CD413" s="72">
        <f>SUM(CD409:CD412)</f>
        <v>1421</v>
      </c>
      <c r="CF413" s="72">
        <f>SUM(CF409:CF412)</f>
        <v>1368</v>
      </c>
      <c r="CG413" s="72">
        <f>SUM(CG409:CG412)</f>
        <v>1323</v>
      </c>
      <c r="CH413" s="72">
        <f>SUM(CH409:CH412)</f>
        <v>1323</v>
      </c>
      <c r="CJ413" s="72">
        <f>SUM(CJ409:CJ412)</f>
        <v>1263</v>
      </c>
      <c r="CK413" s="72">
        <f>SUM(CK409:CK412)</f>
        <v>1039</v>
      </c>
      <c r="CL413" s="72">
        <f>SUM(CL409:CL412)</f>
        <v>1039</v>
      </c>
      <c r="CN413" s="72">
        <f>SUM(CN409:CN412)</f>
        <v>961</v>
      </c>
      <c r="CO413" s="72">
        <f>SUM(CO409:CO412)</f>
        <v>960</v>
      </c>
      <c r="CP413" s="72">
        <f>SUM(CP409:CP412)</f>
        <v>960</v>
      </c>
      <c r="CR413" s="72">
        <f>SUM(CR409:CR412)</f>
        <v>924</v>
      </c>
      <c r="CS413" s="72">
        <f>SUM(CS409:CS412)</f>
        <v>896</v>
      </c>
      <c r="CT413" s="72">
        <f>SUM(CT409:CT412)</f>
        <v>896</v>
      </c>
      <c r="CV413" s="72">
        <f>SUM(CV409:CV412)</f>
        <v>877</v>
      </c>
      <c r="CW413" s="72">
        <f>SUM(CW409:CW412)</f>
        <v>919</v>
      </c>
      <c r="CX413" s="72">
        <f>SUM(CX409:CX412)</f>
        <v>919</v>
      </c>
      <c r="CZ413" s="72">
        <f>SUM(CZ409:CZ412)</f>
        <v>905</v>
      </c>
      <c r="DA413" s="72">
        <f>SUM(DA409:DA412)</f>
        <v>1020</v>
      </c>
      <c r="DB413" s="72">
        <f>SUM(DB409:DB412)</f>
        <v>1020</v>
      </c>
      <c r="DD413" s="72">
        <f>SUM(DD409:DD412)</f>
        <v>1001</v>
      </c>
      <c r="DE413" s="72">
        <f>SUM(DE409:DE412)</f>
        <v>999</v>
      </c>
      <c r="DF413" s="72">
        <f>SUM(DF409:DF412)</f>
        <v>999</v>
      </c>
      <c r="DH413" s="72">
        <f>SUM(DH409:DH412)</f>
        <v>947.49031296572275</v>
      </c>
      <c r="DI413" s="72">
        <f>SUM(DI409:DI412)</f>
        <v>926.18155912641748</v>
      </c>
      <c r="DJ413" s="72">
        <f>SUM(DJ409:DJ412)</f>
        <v>926.1815591264176</v>
      </c>
      <c r="DL413" s="72">
        <f>SUM(DL409:DL412)</f>
        <v>889.1415076358229</v>
      </c>
      <c r="DM413" s="72">
        <f>SUM(DM409:DM412)</f>
        <v>879.49085675953472</v>
      </c>
      <c r="DN413" s="72">
        <f>SUM(DN409:DN412)</f>
        <v>879.49085675953461</v>
      </c>
      <c r="DP413" s="72">
        <f>SUM(DP409:DP412)</f>
        <v>851.24852383713994</v>
      </c>
      <c r="DQ413" s="72">
        <f>SUM(DQ409:DQ412)</f>
        <v>849.6335971242047</v>
      </c>
      <c r="DR413" s="72">
        <f>SUM(DR409:DR412)</f>
        <v>849.6335971242047</v>
      </c>
    </row>
    <row r="414" spans="1:128" s="21" customFormat="1" ht="13.8">
      <c r="A414" s="47" t="s">
        <v>45</v>
      </c>
      <c r="B414" s="92" t="s">
        <v>556</v>
      </c>
      <c r="BH414" s="96">
        <f>BH410*(BH$4/BH$3)/BH409</f>
        <v>0.32324656047698047</v>
      </c>
      <c r="BI414" s="96">
        <f>BI410*(BI$4/BI$3)/BI409</f>
        <v>0.53273538906103324</v>
      </c>
      <c r="BJ414" s="96">
        <f>BJ410*(BJ$4/BJ$3)/BJ409</f>
        <v>0.44267877412031781</v>
      </c>
      <c r="BK414" s="49"/>
      <c r="BL414" s="96">
        <f>BL410*(BL$4/BL$3)/BL409</f>
        <v>0.33455714792120322</v>
      </c>
      <c r="BM414" s="96">
        <f>BM410*(BM$4/BM$3)/BM409</f>
        <v>0.354945214595694</v>
      </c>
      <c r="BN414" s="96">
        <f>BN410*(BN$4/BN$3)/BN409</f>
        <v>0.35806451612903228</v>
      </c>
      <c r="BO414" s="49"/>
      <c r="BP414" s="96">
        <f>BP410*(BP$4/BP$3)/BP409</f>
        <v>0.27711136080658383</v>
      </c>
      <c r="BQ414" s="96">
        <f>BQ410*(BQ$4/BQ$3)/BQ409</f>
        <v>0.33897461221288105</v>
      </c>
      <c r="BR414" s="96">
        <f>BR410*(BR$4/BR$3)/BR409</f>
        <v>0.31859455191472563</v>
      </c>
      <c r="BT414" s="96">
        <f>BT410*(BT$4/BT$3)/BT409</f>
        <v>0.14448669201520911</v>
      </c>
      <c r="BU414" s="96">
        <f>BU410*(BU$4/BU$3)/BU409</f>
        <v>0.1974210760337928</v>
      </c>
      <c r="BV414" s="96">
        <f>BV410*(BV$4/BV$3)/BV409</f>
        <v>0.14898029726927065</v>
      </c>
      <c r="BX414" s="96">
        <f>BX410*(BX$4/BX$3)/BX409</f>
        <v>0.15707880461978824</v>
      </c>
      <c r="BY414" s="96">
        <f>BY410*(BY$4/BY$3)/BY409</f>
        <v>0.24138353700425585</v>
      </c>
      <c r="BZ414" s="96">
        <f>BZ410*(BZ$4/BZ$3)/BZ409</f>
        <v>0.18397085610200364</v>
      </c>
      <c r="CB414" s="96">
        <f>CB410*(CB$4/CB$3)/CB409</f>
        <v>0.21394822849564227</v>
      </c>
      <c r="CC414" s="96">
        <f>CC410*(CC$4/CC$3)/CC409</f>
        <v>0.21911798660817361</v>
      </c>
      <c r="CD414" s="96">
        <f>CD410*(CD$4/CD$3)/CD409</f>
        <v>0.2117456896551724</v>
      </c>
      <c r="CF414" s="96">
        <f>CF410*(CF$4/CF$3)/CF409</f>
        <v>0.28085391034018764</v>
      </c>
      <c r="CG414" s="96">
        <f>CG410*(CG$4/CG$3)/CG409</f>
        <v>0.32367462371776434</v>
      </c>
      <c r="CH414" s="96">
        <f>CH410*(CH$4/CH$3)/CH409</f>
        <v>0.29627023223082338</v>
      </c>
      <c r="CJ414" s="96">
        <f>CJ410*(CJ$4/CJ$3)/CJ409</f>
        <v>0.27362055933484503</v>
      </c>
      <c r="CK414" s="96">
        <f>CK410*(CK$4/CK$3)/CK409</f>
        <v>0.30720506730007918</v>
      </c>
      <c r="CL414" s="96">
        <f>CL410*(CL$4/CL$3)/CL409</f>
        <v>0.28344671201814059</v>
      </c>
      <c r="CN414" s="96">
        <f>CN410*(CN$4/CN$3)/CN409</f>
        <v>0.30111370823594114</v>
      </c>
      <c r="CO414" s="96">
        <f>CO410*(CO$4/CO$3)/CO409</f>
        <v>0.41509584164946578</v>
      </c>
      <c r="CP414" s="96">
        <f>CP410*(CP$4/CP$3)/CP409</f>
        <v>0.34263715110683352</v>
      </c>
      <c r="CR414" s="96">
        <f>CR410*(CR$4/CR$3)/CR409</f>
        <v>0.32380380036630035</v>
      </c>
      <c r="CS414" s="96">
        <f>CS410*(CS$4/CS$3)/CS409</f>
        <v>0.34537411586591915</v>
      </c>
      <c r="CT414" s="96">
        <f>CT410*(CT$4/CT$3)/CT409</f>
        <v>0.328125</v>
      </c>
      <c r="CV414" s="96">
        <f>CV410*(CV$4/CV$3)/CV409</f>
        <v>0.32007334183673469</v>
      </c>
      <c r="CW414" s="96">
        <f>CW410*(CW$4/CW$3)/CW409</f>
        <v>0.45257989544585053</v>
      </c>
      <c r="CX414" s="96">
        <f>CX410*(CX$4/CX$3)/CX409</f>
        <v>0.38169642857142855</v>
      </c>
      <c r="CZ414" s="96">
        <f>CZ410*(CZ$4/CZ$3)/CZ409</f>
        <v>0.3177366702937976</v>
      </c>
      <c r="DA414" s="96">
        <f>DA410*(DA$4/DA$3)/DA409</f>
        <v>0.63646408839779001</v>
      </c>
      <c r="DB414" s="96">
        <f>DB410*(DB$4/DB$3)/DB409</f>
        <v>0.47225244831338409</v>
      </c>
      <c r="DD414" s="96">
        <f>DD410*(DD$4/DD$3)/DD409</f>
        <v>0.31262120232708468</v>
      </c>
      <c r="DE414" s="96">
        <f>DE410*(DE$4/DE$3)/DE409</f>
        <v>0.47422522832358893</v>
      </c>
      <c r="DF414" s="96">
        <f>DF410*(DF$4/DF$3)/DF409</f>
        <v>0.38921568627450981</v>
      </c>
      <c r="DH414" s="96">
        <f t="shared" ref="DH414:DI414" si="673">DH410*(DH$4/DH$3)/DH409</f>
        <v>0.29510279510279513</v>
      </c>
      <c r="DI414" s="96">
        <f t="shared" si="673"/>
        <v>0.35365212987168237</v>
      </c>
      <c r="DJ414" s="96">
        <f>DJ410*(DJ$4/DJ$3)/DJ409</f>
        <v>0.31531531531531531</v>
      </c>
      <c r="DL414" s="96">
        <f t="shared" ref="DL414:DM414" si="674">DL410*(DL$4/DL$3)/DL409</f>
        <v>0.31830442897800454</v>
      </c>
      <c r="DM414" s="96">
        <f t="shared" si="674"/>
        <v>0.37686011094463334</v>
      </c>
      <c r="DN414" s="96">
        <f>DN410*(DN$4/DN$3)/DN409</f>
        <v>0.34010610219567611</v>
      </c>
      <c r="DP414" s="96">
        <f t="shared" ref="DP414:DQ414" si="675">DP410*(DP$4/DP$3)/DP409</f>
        <v>0.3342843165911204</v>
      </c>
      <c r="DQ414" s="96">
        <f t="shared" si="675"/>
        <v>0.39471434086654955</v>
      </c>
      <c r="DR414" s="96">
        <f>DR410*(DR$4/DR$3)/DR409</f>
        <v>0.35816176777620046</v>
      </c>
      <c r="DW414" s="20"/>
      <c r="DX414" s="20"/>
    </row>
    <row r="415" spans="1:128" s="93" customFormat="1" ht="13.8">
      <c r="A415" s="335" t="s">
        <v>46</v>
      </c>
      <c r="B415" s="336" t="s">
        <v>556</v>
      </c>
      <c r="BH415" s="345">
        <f>BH411*(BH$4/BH$3)/BH409</f>
        <v>-0.20601277269835727</v>
      </c>
      <c r="BI415" s="345">
        <f>BI411*(BI$4/BI$3)/BI409</f>
        <v>-0.21696078344824338</v>
      </c>
      <c r="BJ415" s="345">
        <f>BJ411*(BJ$4/BJ$3)/BJ409</f>
        <v>-0.21736662883087401</v>
      </c>
      <c r="BK415" s="324"/>
      <c r="BL415" s="345">
        <f>BL411*(BL$4/BL$3)/BL409</f>
        <v>-0.18945915835316757</v>
      </c>
      <c r="BM415" s="345">
        <f>BM411*(BM$4/BM$3)/BM409</f>
        <v>-0.18901901789312864</v>
      </c>
      <c r="BN415" s="345">
        <f>BN411*(BN$4/BN$3)/BN409</f>
        <v>-0.19631336405529953</v>
      </c>
      <c r="BO415" s="324"/>
      <c r="BP415" s="345">
        <f>BP411*(BP$4/BP$3)/BP409</f>
        <v>-0.2113963809581654</v>
      </c>
      <c r="BQ415" s="345">
        <f>BQ411*(BQ$4/BQ$3)/BQ409</f>
        <v>-0.20397815833379057</v>
      </c>
      <c r="BR415" s="345">
        <f>BR411*(BR$4/BR$3)/BR409</f>
        <v>-0.21397552309514409</v>
      </c>
      <c r="BT415" s="345">
        <f>BT411*(BT$4/BT$3)/BT409</f>
        <v>-0.16937435188385758</v>
      </c>
      <c r="BU415" s="345">
        <f>BU411*(BU$4/BU$3)/BU409</f>
        <v>-0.22676745220097821</v>
      </c>
      <c r="BV415" s="345">
        <f>BV411*(BV$4/BV$3)/BV409</f>
        <v>-0.17283097131005876</v>
      </c>
      <c r="BX415" s="345">
        <f>BX411*(BX$4/BX$3)/BX409</f>
        <v>-0.26849516603614965</v>
      </c>
      <c r="BY415" s="345">
        <f>BY411*(BY$4/BY$3)/BY409</f>
        <v>-0.28196094193169541</v>
      </c>
      <c r="BZ415" s="345">
        <f>BZ411*(BZ$4/BZ$3)/BZ409</f>
        <v>-0.25728597449908924</v>
      </c>
      <c r="CB415" s="345">
        <f>CB411*(CB$4/CB$3)/CB409</f>
        <v>-0.30363359700644188</v>
      </c>
      <c r="CC415" s="345">
        <f>CC411*(CC$4/CC$3)/CC409</f>
        <v>-0.32362041099053335</v>
      </c>
      <c r="CD415" s="345">
        <f>CD411*(CD$4/CD$3)/CD409</f>
        <v>-0.30657327586206895</v>
      </c>
      <c r="CF415" s="345">
        <f>CF411*(CF$4/CF$3)/CF409</f>
        <v>-0.35565419801872999</v>
      </c>
      <c r="CG415" s="345">
        <f>CG411*(CG$4/CG$3)/CG409</f>
        <v>-0.38636835714057455</v>
      </c>
      <c r="CH415" s="345">
        <f>CH411*(CH$4/CH$3)/CH409</f>
        <v>-0.36382828993666433</v>
      </c>
      <c r="CJ415" s="345">
        <f>CJ411*(CJ$4/CJ$3)/CJ409</f>
        <v>-0.36432350718065004</v>
      </c>
      <c r="CK415" s="345">
        <f>CK411*(CK$4/CK$3)/CK409</f>
        <v>-0.34679334916864607</v>
      </c>
      <c r="CL415" s="345">
        <f>CL411*(CL$4/CL$3)/CL409</f>
        <v>-0.3476946334089191</v>
      </c>
      <c r="CN415" s="345">
        <f>CN411*(CN$4/CN$3)/CN409</f>
        <v>-0.44974034627547621</v>
      </c>
      <c r="CO415" s="345">
        <f>CO411*(CO$4/CO$3)/CO409</f>
        <v>-0.41717132085771313</v>
      </c>
      <c r="CP415" s="345">
        <f>CP411*(CP$4/CP$3)/CP409</f>
        <v>-0.41770933589990378</v>
      </c>
      <c r="CR415" s="345">
        <f>CR411*(CR$4/CR$3)/CR409</f>
        <v>-0.39483173076923078</v>
      </c>
      <c r="CS415" s="345">
        <f>CS411*(CS$4/CS$3)/CS409</f>
        <v>-0.40149740969413106</v>
      </c>
      <c r="CT415" s="345">
        <f>CT411*(CT$4/CT$3)/CT409</f>
        <v>-0.390625</v>
      </c>
      <c r="CV415" s="345">
        <f>CV411*(CV$4/CV$3)/CV409</f>
        <v>-0.36483884419152274</v>
      </c>
      <c r="CW415" s="345">
        <f>CW411*(CW$4/CW$3)/CW409</f>
        <v>-0.35706052052763088</v>
      </c>
      <c r="CX415" s="345">
        <f>CX411*(CX$4/CX$3)/CX409</f>
        <v>-0.35714285714285715</v>
      </c>
      <c r="CZ415" s="345">
        <f>CZ411*(CZ$4/CZ$3)/CZ409</f>
        <v>-0.32861806311207836</v>
      </c>
      <c r="DA415" s="345">
        <f>DA411*(DA$4/DA$3)/DA409</f>
        <v>-0.38232044198895027</v>
      </c>
      <c r="DB415" s="345">
        <f>DB411*(DB$4/DB$3)/DB409</f>
        <v>-0.35255712731229599</v>
      </c>
      <c r="DD415" s="345">
        <f>DD411*(DD$4/DD$3)/DD409</f>
        <v>-0.29099332040508508</v>
      </c>
      <c r="DE415" s="345">
        <f>DE411*(DE$4/DE$3)/DE409</f>
        <v>-0.39850859522990673</v>
      </c>
      <c r="DF415" s="345">
        <f>DF411*(DF$4/DF$3)/DF409</f>
        <v>-0.3411764705882353</v>
      </c>
      <c r="DH415" s="795">
        <f>DE415</f>
        <v>-0.39850859522990673</v>
      </c>
      <c r="DI415" s="795">
        <f>DH415</f>
        <v>-0.39850859522990673</v>
      </c>
      <c r="DJ415" s="345">
        <f>DJ411*(DJ$4/DJ$3)/DJ409</f>
        <v>-0.38820664752110356</v>
      </c>
      <c r="DL415" s="795">
        <f>DI415</f>
        <v>-0.39850859522990673</v>
      </c>
      <c r="DM415" s="795">
        <f>DL415</f>
        <v>-0.39850859522990673</v>
      </c>
      <c r="DN415" s="345">
        <f>DN411*(DN$4/DN$3)/DN409</f>
        <v>-0.39051814280132369</v>
      </c>
      <c r="DP415" s="795">
        <f>DM415</f>
        <v>-0.39850859522990673</v>
      </c>
      <c r="DQ415" s="795">
        <f>DP415</f>
        <v>-0.39850859522990673</v>
      </c>
      <c r="DR415" s="345">
        <f>DR411*(DR$4/DR$3)/DR409</f>
        <v>-0.39211011346490754</v>
      </c>
      <c r="DW415" s="20"/>
      <c r="DX415" s="20"/>
    </row>
    <row r="416" spans="1:128" s="21" customFormat="1" ht="13.8">
      <c r="A416" s="47" t="s">
        <v>47</v>
      </c>
      <c r="B416" s="27"/>
      <c r="BH416" s="72"/>
      <c r="BI416" s="96">
        <f>+BI397/BH397-1</f>
        <v>0.16855142703284876</v>
      </c>
      <c r="BJ416" s="72"/>
      <c r="BK416" s="49"/>
      <c r="BL416" s="72"/>
      <c r="BM416" s="96">
        <f>+BM397/BL397-1</f>
        <v>8.6192109777015524E-2</v>
      </c>
      <c r="BN416" s="72"/>
      <c r="BO416" s="49"/>
      <c r="BP416" s="72"/>
      <c r="BQ416" s="96">
        <f>+BQ397/BP397-1</f>
        <v>7.5864633692822592E-2</v>
      </c>
      <c r="BR416" s="72"/>
      <c r="BT416" s="72"/>
      <c r="BU416" s="96">
        <f>+BU397/BT397-1</f>
        <v>-2.0898176967541149E-2</v>
      </c>
      <c r="BV416" s="72"/>
      <c r="BX416" s="72"/>
      <c r="BY416" s="96">
        <f>+BY397/BX397-1</f>
        <v>-3.1820552947313563E-2</v>
      </c>
      <c r="BZ416" s="72"/>
      <c r="CB416" s="72"/>
      <c r="CC416" s="96">
        <f>+CC397/CB397-1</f>
        <v>-0.19943661971830984</v>
      </c>
      <c r="CD416" s="72"/>
      <c r="CF416" s="96">
        <f>+CF397/CC397-1</f>
        <v>-3.7297677691766395E-2</v>
      </c>
      <c r="CG416" s="96">
        <f>+CG397/CF397-1</f>
        <v>-3.289473684210531E-2</v>
      </c>
      <c r="CH416" s="72"/>
      <c r="CJ416" s="96">
        <f>+CJ397/CG397-1</f>
        <v>-4.5351473922902508E-2</v>
      </c>
      <c r="CK416" s="96">
        <f>+CK397/CJ397-1</f>
        <v>-0.17735550277117973</v>
      </c>
      <c r="CL416" s="72"/>
      <c r="CN416" s="96">
        <f>+CN397/CK397-1</f>
        <v>-7.5072184793070207E-2</v>
      </c>
      <c r="CO416" s="96">
        <f>+CO397/CN397-1</f>
        <v>-1.0405827263267886E-3</v>
      </c>
      <c r="CP416" s="72"/>
      <c r="CR416" s="96">
        <f>+CR397/CO397-1</f>
        <v>-3.7499999999999978E-2</v>
      </c>
      <c r="CS416" s="96">
        <f>+CS397/CR397-1</f>
        <v>-3.0303030303030276E-2</v>
      </c>
      <c r="CT416" s="72"/>
      <c r="CV416" s="96">
        <f>+CV397/CS397-1</f>
        <v>-2.1205357142857095E-2</v>
      </c>
      <c r="CW416" s="96">
        <f>+CW397/CV397-1</f>
        <v>4.7890535917902044E-2</v>
      </c>
      <c r="CX416" s="72"/>
      <c r="CZ416" s="96">
        <f>+CZ397/CW397-1</f>
        <v>-1.5233949945593017E-2</v>
      </c>
      <c r="DA416" s="96">
        <f>+DA397/CZ397-1</f>
        <v>0.1270718232044199</v>
      </c>
      <c r="DB416" s="72"/>
      <c r="DD416" s="96">
        <f>+DD397/DA397-1</f>
        <v>-1.8627450980392202E-2</v>
      </c>
      <c r="DE416" s="96">
        <f>+DE397/DD397-1</f>
        <v>-1.9980019980020414E-3</v>
      </c>
      <c r="DF416" s="72"/>
      <c r="DH416" s="96">
        <f>+DH397/DE397-1</f>
        <v>-5.1561248282559813E-2</v>
      </c>
      <c r="DI416" s="96">
        <f>+DI397/DH397-1</f>
        <v>-2.2489679891931624E-2</v>
      </c>
      <c r="DJ416" s="72"/>
      <c r="DL416" s="96">
        <f>+DL397/DI397-1</f>
        <v>-3.9992214405057958E-2</v>
      </c>
      <c r="DM416" s="96">
        <f>+DM397/DL397-1</f>
        <v>-1.0853897600561546E-2</v>
      </c>
      <c r="DN416" s="72"/>
      <c r="DP416" s="96">
        <f>+DP397/DM397-1</f>
        <v>-3.2112139319393274E-2</v>
      </c>
      <c r="DQ416" s="96">
        <f>+DQ397/DP397-1</f>
        <v>-1.8971271816786706E-3</v>
      </c>
      <c r="DR416" s="72"/>
      <c r="DW416" s="20"/>
      <c r="DX416" s="20"/>
    </row>
    <row r="417" spans="1:128" s="21" customFormat="1" ht="13.8">
      <c r="B417" s="27"/>
      <c r="BH417" s="72"/>
      <c r="BI417" s="72"/>
      <c r="BJ417" s="72"/>
      <c r="BK417" s="49"/>
      <c r="BL417" s="72"/>
      <c r="BM417" s="72"/>
      <c r="BN417" s="72"/>
      <c r="BO417" s="49"/>
      <c r="BP417" s="72"/>
      <c r="BQ417" s="72"/>
      <c r="BR417" s="72"/>
      <c r="BT417" s="72"/>
      <c r="BU417" s="72"/>
      <c r="BV417" s="72"/>
      <c r="BX417" s="72"/>
      <c r="BY417" s="72"/>
      <c r="BZ417" s="72"/>
      <c r="CB417" s="72"/>
      <c r="CC417" s="72"/>
      <c r="CD417" s="72"/>
      <c r="CF417" s="27"/>
      <c r="CG417" s="72"/>
      <c r="CH417" s="72"/>
      <c r="CJ417" s="27"/>
      <c r="CK417" s="72"/>
      <c r="CL417" s="72"/>
      <c r="CN417" s="27"/>
      <c r="CO417" s="72"/>
      <c r="CP417" s="72"/>
      <c r="CR417"/>
      <c r="CV417"/>
      <c r="CZ417"/>
      <c r="DD417"/>
      <c r="DH417" s="27"/>
      <c r="DL417" s="27"/>
      <c r="DP417" s="27"/>
      <c r="DW417" s="20"/>
      <c r="DX417" s="20"/>
    </row>
    <row r="418" spans="1:128" s="21" customFormat="1" ht="13.8">
      <c r="A418" s="609" t="s">
        <v>1039</v>
      </c>
      <c r="B418" s="610"/>
      <c r="C418" s="609"/>
      <c r="D418" s="609"/>
      <c r="E418" s="609"/>
      <c r="F418" s="609"/>
      <c r="G418" s="609"/>
      <c r="H418" s="609"/>
      <c r="I418" s="609"/>
      <c r="J418" s="609"/>
      <c r="K418" s="609"/>
      <c r="L418" s="609"/>
      <c r="M418" s="609"/>
      <c r="N418" s="609"/>
      <c r="O418" s="609"/>
      <c r="P418" s="609"/>
      <c r="Q418" s="609"/>
      <c r="R418" s="609"/>
      <c r="S418" s="609"/>
      <c r="T418" s="609"/>
      <c r="U418" s="609"/>
      <c r="V418" s="609"/>
      <c r="W418" s="609"/>
      <c r="X418" s="609"/>
      <c r="Y418" s="609"/>
      <c r="Z418" s="609"/>
      <c r="AA418" s="609"/>
      <c r="AB418" s="609"/>
      <c r="AC418" s="609"/>
      <c r="AD418" s="609"/>
      <c r="AE418" s="609"/>
      <c r="AF418" s="609"/>
      <c r="AG418" s="609"/>
      <c r="AH418" s="609"/>
      <c r="AI418" s="609"/>
      <c r="AJ418" s="609"/>
      <c r="AK418" s="609"/>
      <c r="AL418" s="609"/>
      <c r="AM418" s="609"/>
      <c r="AN418" s="609"/>
      <c r="AO418" s="609"/>
      <c r="AP418" s="609"/>
      <c r="AQ418" s="609"/>
      <c r="AR418" s="609"/>
      <c r="AS418" s="609"/>
      <c r="AT418" s="609"/>
      <c r="AU418" s="609"/>
      <c r="AV418" s="609"/>
      <c r="AW418" s="609"/>
      <c r="AX418" s="609"/>
      <c r="AY418" s="609"/>
      <c r="AZ418" s="609"/>
      <c r="BA418" s="609"/>
      <c r="BB418" s="609"/>
      <c r="BC418" s="609"/>
      <c r="BD418" s="609"/>
      <c r="BE418" s="609"/>
      <c r="BF418" s="609"/>
      <c r="BG418" s="609"/>
      <c r="BH418" s="580"/>
      <c r="BI418" s="580"/>
      <c r="BJ418" s="580"/>
      <c r="BK418" s="547"/>
      <c r="BL418" s="580"/>
      <c r="BM418" s="580"/>
      <c r="BN418" s="580"/>
      <c r="BO418" s="547"/>
      <c r="BP418" s="580"/>
      <c r="BQ418" s="580"/>
      <c r="BR418" s="580"/>
      <c r="BS418" s="609"/>
      <c r="BT418" s="580"/>
      <c r="BU418" s="580"/>
      <c r="BV418" s="580"/>
      <c r="BW418" s="609"/>
      <c r="BX418" s="580"/>
      <c r="BY418" s="580"/>
      <c r="BZ418" s="580"/>
      <c r="CA418" s="609"/>
      <c r="CB418" s="580"/>
      <c r="CC418" s="580"/>
      <c r="CD418" s="580"/>
      <c r="CE418" s="609"/>
      <c r="CF418" s="978">
        <v>486</v>
      </c>
      <c r="CG418" s="978">
        <v>725</v>
      </c>
      <c r="CH418" s="983">
        <f>SUM(CF418:CG418)</f>
        <v>1211</v>
      </c>
      <c r="CI418" s="609"/>
      <c r="CJ418" s="978">
        <f>689-26</f>
        <v>663</v>
      </c>
      <c r="CK418" s="978">
        <f>832-21</f>
        <v>811</v>
      </c>
      <c r="CL418" s="983">
        <f>SUM(CJ418:CK418)</f>
        <v>1474</v>
      </c>
      <c r="CM418" s="609"/>
      <c r="CN418" s="978">
        <f>769-17</f>
        <v>752</v>
      </c>
      <c r="CO418" s="978">
        <v>1058</v>
      </c>
      <c r="CP418" s="983">
        <f>SUM(CN418:CO418)</f>
        <v>1810</v>
      </c>
      <c r="CQ418" s="609"/>
      <c r="CR418" s="1079">
        <v>1043</v>
      </c>
      <c r="CS418" s="978">
        <v>1130</v>
      </c>
      <c r="CT418" s="983">
        <f>SUM(CR418:CS418)</f>
        <v>2173</v>
      </c>
      <c r="CU418" s="609"/>
      <c r="CV418" s="979">
        <v>650</v>
      </c>
      <c r="CW418" s="580">
        <f>CX418-CV418</f>
        <v>851</v>
      </c>
      <c r="CX418" s="1079">
        <v>1501</v>
      </c>
      <c r="CY418" s="609"/>
      <c r="CZ418" s="1079">
        <v>661</v>
      </c>
      <c r="DA418" s="978">
        <v>882</v>
      </c>
      <c r="DB418" s="983">
        <f>SUM(CZ418:DA418)</f>
        <v>1543</v>
      </c>
      <c r="DC418" s="609"/>
      <c r="DD418" s="1079">
        <v>770</v>
      </c>
      <c r="DE418" s="978">
        <v>921</v>
      </c>
      <c r="DF418" s="983">
        <f>SUM(DD418:DE418)</f>
        <v>1691</v>
      </c>
      <c r="DG418" s="609"/>
      <c r="DH418" s="979">
        <v>700</v>
      </c>
      <c r="DI418" s="979">
        <v>800</v>
      </c>
      <c r="DJ418" s="580">
        <f>+DH418+DI418</f>
        <v>1500</v>
      </c>
      <c r="DK418" s="609"/>
      <c r="DL418" s="979">
        <v>700</v>
      </c>
      <c r="DM418" s="979">
        <v>800</v>
      </c>
      <c r="DN418" s="580">
        <f>+DL418+DM418</f>
        <v>1500</v>
      </c>
      <c r="DO418" s="609"/>
      <c r="DP418" s="979">
        <v>700</v>
      </c>
      <c r="DQ418" s="979">
        <v>800</v>
      </c>
      <c r="DR418" s="580">
        <f>+DP418+DQ418</f>
        <v>1500</v>
      </c>
      <c r="DS418" s="609"/>
      <c r="DT418" s="609"/>
      <c r="DU418" s="609"/>
      <c r="DV418" s="609"/>
      <c r="DW418" s="20"/>
      <c r="DX418" s="20"/>
    </row>
    <row r="419" spans="1:128" s="21" customFormat="1" ht="13.8">
      <c r="A419" s="20" t="s">
        <v>1040</v>
      </c>
      <c r="B419" s="27"/>
      <c r="BH419" s="72"/>
      <c r="BI419" s="72"/>
      <c r="BJ419" s="72"/>
      <c r="BK419" s="49"/>
      <c r="BL419" s="72"/>
      <c r="BM419" s="72"/>
      <c r="BN419" s="72"/>
      <c r="BO419" s="49"/>
      <c r="BP419" s="72"/>
      <c r="BQ419" s="72"/>
      <c r="BR419" s="72"/>
      <c r="BT419" s="72"/>
      <c r="BU419" s="72"/>
      <c r="BV419" s="72"/>
      <c r="BX419" s="72"/>
      <c r="BY419" s="72"/>
      <c r="BZ419" s="72"/>
      <c r="CB419" s="72"/>
      <c r="CC419" s="72"/>
      <c r="CD419" s="72"/>
      <c r="CF419" s="65">
        <f>CF418*CF421</f>
        <v>155.52000000000001</v>
      </c>
      <c r="CG419" s="65">
        <f>CG418*CG421</f>
        <v>261</v>
      </c>
      <c r="CH419" s="65">
        <f>+CF419+CG419</f>
        <v>416.52</v>
      </c>
      <c r="CJ419" s="65">
        <f>CJ418*CJ421</f>
        <v>192.26999999999998</v>
      </c>
      <c r="CK419" s="65">
        <f>CK418*CK421</f>
        <v>227.08</v>
      </c>
      <c r="CL419" s="65">
        <f>+CJ419+CK419</f>
        <v>419.35</v>
      </c>
      <c r="CN419" s="65">
        <f>CN418*CN421</f>
        <v>157.91999999999999</v>
      </c>
      <c r="CO419" s="65">
        <f>CO418*CO421</f>
        <v>222.17999999999998</v>
      </c>
      <c r="CP419" s="65">
        <f>+CN419+CO419</f>
        <v>380.09999999999997</v>
      </c>
      <c r="CR419" s="67">
        <v>130</v>
      </c>
      <c r="CS419" s="67">
        <v>155</v>
      </c>
      <c r="CT419" s="65">
        <f>+CR419+CS419</f>
        <v>285</v>
      </c>
      <c r="CV419" s="65">
        <f>CV418*CV421</f>
        <v>97.5</v>
      </c>
      <c r="CW419" s="65">
        <f>CX419-CV419</f>
        <v>163.5</v>
      </c>
      <c r="CX419" s="65">
        <f>CX418-CX420</f>
        <v>261</v>
      </c>
      <c r="CZ419" s="67">
        <v>111</v>
      </c>
      <c r="DA419" s="67">
        <v>175</v>
      </c>
      <c r="DB419" s="65">
        <f>+CZ419+DA419</f>
        <v>286</v>
      </c>
      <c r="DD419" s="67">
        <v>158</v>
      </c>
      <c r="DE419" s="67">
        <v>144</v>
      </c>
      <c r="DF419" s="65">
        <f>+DD419+DE419</f>
        <v>302</v>
      </c>
      <c r="DH419" s="65">
        <f>DH418*DH421</f>
        <v>147</v>
      </c>
      <c r="DI419" s="65">
        <f>DI418*DI421</f>
        <v>168</v>
      </c>
      <c r="DJ419" s="65">
        <f>+DH419+DI419</f>
        <v>315</v>
      </c>
      <c r="DL419" s="65">
        <f>DL418*DL421</f>
        <v>147</v>
      </c>
      <c r="DM419" s="65">
        <f>DM418*DM421</f>
        <v>168</v>
      </c>
      <c r="DN419" s="65">
        <f>+DL419+DM419</f>
        <v>315</v>
      </c>
      <c r="DP419" s="65">
        <f>DP418*DP421</f>
        <v>147</v>
      </c>
      <c r="DQ419" s="65">
        <f>DQ418*DQ421</f>
        <v>168</v>
      </c>
      <c r="DR419" s="65">
        <f>+DP419+DQ419</f>
        <v>315</v>
      </c>
      <c r="DW419" s="20"/>
      <c r="DX419" s="20"/>
    </row>
    <row r="420" spans="1:128" s="21" customFormat="1" ht="13.8">
      <c r="A420" s="20" t="s">
        <v>1041</v>
      </c>
      <c r="B420" s="27"/>
      <c r="BH420" s="72"/>
      <c r="BI420" s="72"/>
      <c r="BJ420" s="72"/>
      <c r="BK420" s="49"/>
      <c r="BL420" s="72"/>
      <c r="BM420" s="72"/>
      <c r="BN420" s="72"/>
      <c r="BO420" s="49"/>
      <c r="BP420" s="72"/>
      <c r="BQ420" s="72"/>
      <c r="BR420" s="72"/>
      <c r="BT420" s="72"/>
      <c r="BU420" s="72"/>
      <c r="BV420" s="72"/>
      <c r="BX420" s="72"/>
      <c r="BY420" s="72"/>
      <c r="BZ420" s="72"/>
      <c r="CB420" s="72"/>
      <c r="CC420" s="72"/>
      <c r="CD420" s="72"/>
      <c r="CF420" s="65">
        <f>+CF418-CF419</f>
        <v>330.48</v>
      </c>
      <c r="CG420" s="65">
        <f t="shared" ref="CG420:CH420" si="676">+CG418-CG419</f>
        <v>464</v>
      </c>
      <c r="CH420" s="65">
        <f t="shared" si="676"/>
        <v>794.48</v>
      </c>
      <c r="CJ420" s="65">
        <f>+CJ418-CJ419</f>
        <v>470.73</v>
      </c>
      <c r="CK420" s="65">
        <f t="shared" ref="CK420:CL420" si="677">+CK418-CK419</f>
        <v>583.91999999999996</v>
      </c>
      <c r="CL420" s="65">
        <f t="shared" si="677"/>
        <v>1054.6500000000001</v>
      </c>
      <c r="CN420" s="65">
        <f>+CN418-CN419</f>
        <v>594.08000000000004</v>
      </c>
      <c r="CO420" s="65">
        <f t="shared" ref="CO420:CP420" si="678">+CO418-CO419</f>
        <v>835.82</v>
      </c>
      <c r="CP420" s="65">
        <f t="shared" si="678"/>
        <v>1429.9</v>
      </c>
      <c r="CR420" s="67">
        <v>913</v>
      </c>
      <c r="CS420" s="67">
        <v>975</v>
      </c>
      <c r="CT420" s="65">
        <f t="shared" ref="CT420" si="679">+CT418-CT419</f>
        <v>1888</v>
      </c>
      <c r="CV420" s="65">
        <f>+CV418-CV419</f>
        <v>552.5</v>
      </c>
      <c r="CW420" s="65">
        <f>CX420-CV420</f>
        <v>687.5</v>
      </c>
      <c r="CX420" s="573">
        <v>1240</v>
      </c>
      <c r="CZ420" s="65">
        <f>CZ418-CZ419</f>
        <v>550</v>
      </c>
      <c r="DA420" s="65">
        <f>DA418-DA419</f>
        <v>707</v>
      </c>
      <c r="DB420" s="65">
        <f t="shared" ref="DB420" si="680">+DB418-DB419</f>
        <v>1257</v>
      </c>
      <c r="DD420" s="65">
        <f>DD418-DD419</f>
        <v>612</v>
      </c>
      <c r="DE420" s="65">
        <f>DE418-DE419</f>
        <v>777</v>
      </c>
      <c r="DF420" s="65">
        <f t="shared" ref="DF420" si="681">+DF418-DF419</f>
        <v>1389</v>
      </c>
      <c r="DH420" s="65">
        <f>+DH418-DH419</f>
        <v>553</v>
      </c>
      <c r="DI420" s="65">
        <f>+DI418-DI419</f>
        <v>632</v>
      </c>
      <c r="DJ420" s="65">
        <f t="shared" ref="DJ420" si="682">+DJ418-DJ419</f>
        <v>1185</v>
      </c>
      <c r="DL420" s="65">
        <f>+DL418-DL419</f>
        <v>553</v>
      </c>
      <c r="DM420" s="65">
        <f>+DM418-DM419</f>
        <v>632</v>
      </c>
      <c r="DN420" s="65">
        <f t="shared" ref="DN420" si="683">+DN418-DN419</f>
        <v>1185</v>
      </c>
      <c r="DP420" s="65">
        <f>+DP418-DP419</f>
        <v>553</v>
      </c>
      <c r="DQ420" s="65">
        <f>+DQ418-DQ419</f>
        <v>632</v>
      </c>
      <c r="DR420" s="65">
        <f t="shared" ref="DR420" si="684">+DR418-DR419</f>
        <v>1185</v>
      </c>
      <c r="DW420" s="20"/>
      <c r="DX420" s="20"/>
    </row>
    <row r="421" spans="1:128" s="78" customFormat="1" ht="13.8">
      <c r="A421" s="574" t="s">
        <v>1040</v>
      </c>
      <c r="B421" s="923"/>
      <c r="C421" s="578"/>
      <c r="D421" s="578"/>
      <c r="E421" s="578"/>
      <c r="F421" s="578"/>
      <c r="G421" s="578"/>
      <c r="H421" s="578"/>
      <c r="I421" s="578"/>
      <c r="J421" s="578"/>
      <c r="K421" s="578"/>
      <c r="L421" s="578"/>
      <c r="M421" s="578"/>
      <c r="N421" s="578"/>
      <c r="O421" s="578"/>
      <c r="P421" s="578"/>
      <c r="Q421" s="578"/>
      <c r="R421" s="578"/>
      <c r="S421" s="578"/>
      <c r="T421" s="578"/>
      <c r="U421" s="578"/>
      <c r="V421" s="578"/>
      <c r="W421" s="578"/>
      <c r="X421" s="578"/>
      <c r="Y421" s="578"/>
      <c r="Z421" s="578"/>
      <c r="AA421" s="578"/>
      <c r="AB421" s="578"/>
      <c r="AC421" s="578"/>
      <c r="AD421" s="578"/>
      <c r="AE421" s="578"/>
      <c r="AF421" s="578"/>
      <c r="AG421" s="578"/>
      <c r="AH421" s="578"/>
      <c r="AI421" s="578"/>
      <c r="AJ421" s="578"/>
      <c r="AK421" s="578"/>
      <c r="AL421" s="578"/>
      <c r="AM421" s="578"/>
      <c r="AN421" s="578"/>
      <c r="AO421" s="578"/>
      <c r="AP421" s="578"/>
      <c r="AQ421" s="578"/>
      <c r="AR421" s="578"/>
      <c r="AS421" s="578"/>
      <c r="AT421" s="578"/>
      <c r="AU421" s="578"/>
      <c r="AV421" s="578"/>
      <c r="AW421" s="578"/>
      <c r="AX421" s="578"/>
      <c r="AY421" s="578"/>
      <c r="AZ421" s="578"/>
      <c r="BA421" s="578"/>
      <c r="BB421" s="578"/>
      <c r="BC421" s="578"/>
      <c r="BD421" s="578"/>
      <c r="BE421" s="578"/>
      <c r="BF421" s="578"/>
      <c r="BG421" s="578"/>
      <c r="BH421" s="980"/>
      <c r="BI421" s="980"/>
      <c r="BJ421" s="980"/>
      <c r="BK421" s="575"/>
      <c r="BL421" s="980"/>
      <c r="BM421" s="980"/>
      <c r="BN421" s="980"/>
      <c r="BO421" s="575"/>
      <c r="BP421" s="980"/>
      <c r="BQ421" s="980"/>
      <c r="BR421" s="980"/>
      <c r="BS421" s="578"/>
      <c r="BT421" s="980"/>
      <c r="BU421" s="980"/>
      <c r="BV421" s="980"/>
      <c r="BW421" s="578"/>
      <c r="BX421" s="980"/>
      <c r="BY421" s="980"/>
      <c r="BZ421" s="980"/>
      <c r="CA421" s="578"/>
      <c r="CB421" s="980"/>
      <c r="CC421" s="980"/>
      <c r="CD421" s="980"/>
      <c r="CE421" s="578"/>
      <c r="CF421" s="984">
        <v>0.32</v>
      </c>
      <c r="CG421" s="984">
        <v>0.36</v>
      </c>
      <c r="CH421" s="709">
        <f t="shared" ref="CH421" si="685">+CH419/CH418</f>
        <v>0.34394715111478114</v>
      </c>
      <c r="CI421" s="578"/>
      <c r="CJ421" s="984">
        <v>0.28999999999999998</v>
      </c>
      <c r="CK421" s="984">
        <v>0.28000000000000003</v>
      </c>
      <c r="CL421" s="709">
        <f t="shared" ref="CL421" si="686">+CL419/CL418</f>
        <v>0.28449796472184535</v>
      </c>
      <c r="CM421" s="578"/>
      <c r="CN421" s="984">
        <v>0.21</v>
      </c>
      <c r="CO421" s="984">
        <v>0.21</v>
      </c>
      <c r="CP421" s="709">
        <f t="shared" ref="CP421" si="687">+CP419/CP418</f>
        <v>0.21</v>
      </c>
      <c r="CQ421" s="578"/>
      <c r="CR421" s="709">
        <f>CR419/CR418</f>
        <v>0.12464046021093</v>
      </c>
      <c r="CS421" s="709">
        <f>CS419/CS418</f>
        <v>0.13716814159292035</v>
      </c>
      <c r="CT421" s="709">
        <f t="shared" ref="CT421" si="688">+CT419/CT418</f>
        <v>0.13115508513575702</v>
      </c>
      <c r="CU421" s="578"/>
      <c r="CV421" s="981">
        <v>0.15</v>
      </c>
      <c r="CW421" s="709">
        <f>CW419/CW418</f>
        <v>0.19212690951821387</v>
      </c>
      <c r="CX421" s="709">
        <f>1-CX422</f>
        <v>0.1738840772818121</v>
      </c>
      <c r="CY421" s="578"/>
      <c r="CZ421" s="709">
        <f>CZ419/CZ418</f>
        <v>0.16792738275340394</v>
      </c>
      <c r="DA421" s="709">
        <f>DA419/DA418</f>
        <v>0.1984126984126984</v>
      </c>
      <c r="DB421" s="709">
        <f t="shared" ref="DB421" si="689">+DB419/DB418</f>
        <v>0.18535320803629293</v>
      </c>
      <c r="DC421" s="578"/>
      <c r="DD421" s="709">
        <f>DD419/DD418</f>
        <v>0.20519480519480521</v>
      </c>
      <c r="DE421" s="709">
        <f>DE419/DE418</f>
        <v>0.15635179153094461</v>
      </c>
      <c r="DF421" s="709">
        <f t="shared" ref="DF421" si="690">+DF419/DF418</f>
        <v>0.17859254878769959</v>
      </c>
      <c r="DG421" s="578"/>
      <c r="DH421" s="981">
        <v>0.21</v>
      </c>
      <c r="DI421" s="981">
        <v>0.21</v>
      </c>
      <c r="DJ421" s="709">
        <f t="shared" ref="DJ421" si="691">+DJ419/DJ418</f>
        <v>0.21</v>
      </c>
      <c r="DK421" s="578"/>
      <c r="DL421" s="981">
        <v>0.21</v>
      </c>
      <c r="DM421" s="981">
        <v>0.21</v>
      </c>
      <c r="DN421" s="709">
        <f t="shared" ref="DN421" si="692">+DN419/DN418</f>
        <v>0.21</v>
      </c>
      <c r="DO421" s="578"/>
      <c r="DP421" s="981">
        <v>0.21</v>
      </c>
      <c r="DQ421" s="981">
        <v>0.21</v>
      </c>
      <c r="DR421" s="709">
        <f t="shared" ref="DR421" si="693">+DR419/DR418</f>
        <v>0.21</v>
      </c>
      <c r="DS421" s="578"/>
      <c r="DT421" s="578"/>
      <c r="DU421" s="578"/>
      <c r="DV421" s="578"/>
      <c r="DW421" s="47"/>
      <c r="DX421" s="47"/>
    </row>
    <row r="422" spans="1:128" s="78" customFormat="1" ht="13.8">
      <c r="A422" s="47" t="s">
        <v>1041</v>
      </c>
      <c r="B422" s="95"/>
      <c r="BH422" s="383"/>
      <c r="BI422" s="383"/>
      <c r="BJ422" s="383"/>
      <c r="BK422" s="92"/>
      <c r="BL422" s="383"/>
      <c r="BM422" s="383"/>
      <c r="BN422" s="383"/>
      <c r="BO422" s="92"/>
      <c r="BP422" s="383"/>
      <c r="BQ422" s="383"/>
      <c r="BR422" s="383"/>
      <c r="BT422" s="383"/>
      <c r="BU422" s="383"/>
      <c r="BV422" s="383"/>
      <c r="BX422" s="383"/>
      <c r="BY422" s="383"/>
      <c r="BZ422" s="383"/>
      <c r="CB422" s="383"/>
      <c r="CC422" s="383"/>
      <c r="CD422" s="383"/>
      <c r="CF422" s="436">
        <f>+CF420/CF418</f>
        <v>0.68</v>
      </c>
      <c r="CG422" s="436">
        <f t="shared" ref="CG422:CH422" si="694">+CG420/CG418</f>
        <v>0.64</v>
      </c>
      <c r="CH422" s="436">
        <f t="shared" si="694"/>
        <v>0.65605284888521886</v>
      </c>
      <c r="CJ422" s="436">
        <f>+CJ420/CJ418</f>
        <v>0.71000000000000008</v>
      </c>
      <c r="CK422" s="436">
        <f t="shared" ref="CK422:CL422" si="695">+CK420/CK418</f>
        <v>0.72</v>
      </c>
      <c r="CL422" s="436">
        <f t="shared" si="695"/>
        <v>0.7155020352781547</v>
      </c>
      <c r="CN422" s="436">
        <f>+CN420/CN418</f>
        <v>0.79</v>
      </c>
      <c r="CO422" s="436">
        <f t="shared" ref="CO422:CP422" si="696">+CO420/CO418</f>
        <v>0.79</v>
      </c>
      <c r="CP422" s="436">
        <f t="shared" si="696"/>
        <v>0.79</v>
      </c>
      <c r="CR422" s="436">
        <f>+CR420/CR418</f>
        <v>0.87535953978907</v>
      </c>
      <c r="CS422" s="436">
        <f>+CS420/CS418</f>
        <v>0.86283185840707965</v>
      </c>
      <c r="CT422" s="436">
        <f t="shared" ref="CT422" si="697">+CT420/CT418</f>
        <v>0.86884491486424298</v>
      </c>
      <c r="CV422" s="982">
        <f>+CV420/CV418</f>
        <v>0.85</v>
      </c>
      <c r="CW422" s="436">
        <f>+CW420/CW418</f>
        <v>0.80787309048178613</v>
      </c>
      <c r="CX422" s="436">
        <f>CX420/CX418</f>
        <v>0.8261159227181879</v>
      </c>
      <c r="CZ422" s="436">
        <f>+CZ420/CZ418</f>
        <v>0.83207261724659609</v>
      </c>
      <c r="DA422" s="436">
        <f>+DA420/DA418</f>
        <v>0.80158730158730163</v>
      </c>
      <c r="DB422" s="436">
        <f t="shared" ref="DB422" si="698">+DB420/DB418</f>
        <v>0.81464679196370704</v>
      </c>
      <c r="DD422" s="436">
        <f>+DD420/DD418</f>
        <v>0.79480519480519485</v>
      </c>
      <c r="DE422" s="436">
        <f>+DE420/DE418</f>
        <v>0.84364820846905542</v>
      </c>
      <c r="DF422" s="436">
        <f t="shared" ref="DF422" si="699">+DF420/DF418</f>
        <v>0.82140745121230041</v>
      </c>
      <c r="DH422" s="982">
        <f>+DH420/DH418</f>
        <v>0.79</v>
      </c>
      <c r="DI422" s="982">
        <f>+DI420/DI418</f>
        <v>0.79</v>
      </c>
      <c r="DJ422" s="982">
        <f t="shared" ref="DJ422" si="700">+DJ420/DJ418</f>
        <v>0.79</v>
      </c>
      <c r="DL422" s="982">
        <f>+DL420/DL418</f>
        <v>0.79</v>
      </c>
      <c r="DM422" s="982">
        <f>+DM420/DM418</f>
        <v>0.79</v>
      </c>
      <c r="DN422" s="982">
        <f t="shared" ref="DN422" si="701">+DN420/DN418</f>
        <v>0.79</v>
      </c>
      <c r="DP422" s="982">
        <f>+DP420/DP418</f>
        <v>0.79</v>
      </c>
      <c r="DQ422" s="982">
        <f>+DQ420/DQ418</f>
        <v>0.79</v>
      </c>
      <c r="DR422" s="982">
        <f t="shared" ref="DR422" si="702">+DR420/DR418</f>
        <v>0.79</v>
      </c>
      <c r="DW422" s="47"/>
      <c r="DX422" s="47"/>
    </row>
    <row r="423" spans="1:128" s="21" customFormat="1" ht="13.8">
      <c r="A423" s="574" t="s">
        <v>1042</v>
      </c>
      <c r="B423" s="610"/>
      <c r="C423" s="609"/>
      <c r="D423" s="609"/>
      <c r="E423" s="609"/>
      <c r="F423" s="609"/>
      <c r="G423" s="609"/>
      <c r="H423" s="609"/>
      <c r="I423" s="609"/>
      <c r="J423" s="609"/>
      <c r="K423" s="609"/>
      <c r="L423" s="609"/>
      <c r="M423" s="609"/>
      <c r="N423" s="609"/>
      <c r="O423" s="609"/>
      <c r="P423" s="609"/>
      <c r="Q423" s="609"/>
      <c r="R423" s="609"/>
      <c r="S423" s="609"/>
      <c r="T423" s="609"/>
      <c r="U423" s="609"/>
      <c r="V423" s="609"/>
      <c r="W423" s="609"/>
      <c r="X423" s="609"/>
      <c r="Y423" s="609"/>
      <c r="Z423" s="609"/>
      <c r="AA423" s="609"/>
      <c r="AB423" s="609"/>
      <c r="AC423" s="609"/>
      <c r="AD423" s="609"/>
      <c r="AE423" s="609"/>
      <c r="AF423" s="609"/>
      <c r="AG423" s="609"/>
      <c r="AH423" s="609"/>
      <c r="AI423" s="609"/>
      <c r="AJ423" s="609"/>
      <c r="AK423" s="609"/>
      <c r="AL423" s="609"/>
      <c r="AM423" s="609"/>
      <c r="AN423" s="609"/>
      <c r="AO423" s="609"/>
      <c r="AP423" s="609"/>
      <c r="AQ423" s="609"/>
      <c r="AR423" s="609"/>
      <c r="AS423" s="609"/>
      <c r="AT423" s="609"/>
      <c r="AU423" s="609"/>
      <c r="AV423" s="609"/>
      <c r="AW423" s="609"/>
      <c r="AX423" s="609"/>
      <c r="AY423" s="609"/>
      <c r="AZ423" s="609"/>
      <c r="BA423" s="609"/>
      <c r="BB423" s="609"/>
      <c r="BC423" s="609"/>
      <c r="BD423" s="609"/>
      <c r="BE423" s="609"/>
      <c r="BF423" s="609"/>
      <c r="BG423" s="609"/>
      <c r="BH423" s="580"/>
      <c r="BI423" s="580"/>
      <c r="BJ423" s="580"/>
      <c r="BK423" s="547"/>
      <c r="BL423" s="580"/>
      <c r="BM423" s="580"/>
      <c r="BN423" s="580"/>
      <c r="BO423" s="547"/>
      <c r="BP423" s="580"/>
      <c r="BQ423" s="580"/>
      <c r="BR423" s="580"/>
      <c r="BS423" s="609"/>
      <c r="BT423" s="580"/>
      <c r="BU423" s="580"/>
      <c r="BV423" s="580"/>
      <c r="BW423" s="609"/>
      <c r="BX423" s="580"/>
      <c r="BY423" s="580"/>
      <c r="BZ423" s="580"/>
      <c r="CA423" s="609"/>
      <c r="CB423" s="580"/>
      <c r="CC423" s="580"/>
      <c r="CD423" s="580"/>
      <c r="CE423" s="609"/>
      <c r="CF423" s="577">
        <f>+CF410/CF419</f>
        <v>1.2795781893004115</v>
      </c>
      <c r="CG423" s="577">
        <f>+CG410/CG419</f>
        <v>0.85057471264367812</v>
      </c>
      <c r="CH423" s="577">
        <f>+CH410/CH419</f>
        <v>1.0107557860366849</v>
      </c>
      <c r="CI423" s="609"/>
      <c r="CJ423" s="577">
        <f>+CJ410/CJ419</f>
        <v>0.94138451136422752</v>
      </c>
      <c r="CK423" s="577">
        <f>+CK410/CK419</f>
        <v>0.85432446714814159</v>
      </c>
      <c r="CL423" s="577">
        <f>+CL410/CL419</f>
        <v>0.89424108739716224</v>
      </c>
      <c r="CM423" s="609"/>
      <c r="CN423" s="577">
        <f>+CN410/CN419</f>
        <v>0.98784194528875391</v>
      </c>
      <c r="CO423" s="577">
        <f>+CO410/CO419</f>
        <v>0.90017103249617436</v>
      </c>
      <c r="CP423" s="577">
        <f>+CP410/CP419</f>
        <v>0.93659563272822954</v>
      </c>
      <c r="CQ423" s="609"/>
      <c r="CR423" s="577">
        <f>+CR410/CR419</f>
        <v>1.1923076923076923</v>
      </c>
      <c r="CS423" s="577">
        <f>+CS410/CS419</f>
        <v>1.032258064516129</v>
      </c>
      <c r="CT423" s="577">
        <f>+CT410/CT419</f>
        <v>1.1052631578947369</v>
      </c>
      <c r="CU423" s="609"/>
      <c r="CV423" s="577">
        <f>+CV410/CV419</f>
        <v>1.4666666666666666</v>
      </c>
      <c r="CW423" s="577">
        <f>+CW410/CW419</f>
        <v>1.217125382262997</v>
      </c>
      <c r="CX423" s="577">
        <f>+CX410/CX419</f>
        <v>1.3103448275862069</v>
      </c>
      <c r="CY423" s="609"/>
      <c r="CZ423" s="577">
        <f>+CZ410/CZ419</f>
        <v>1.3153153153153154</v>
      </c>
      <c r="DA423" s="577">
        <f>+DA410/DA419</f>
        <v>1.6457142857142857</v>
      </c>
      <c r="DB423" s="577">
        <f>+DB410/DB419</f>
        <v>1.5174825174825175</v>
      </c>
      <c r="DC423" s="609"/>
      <c r="DD423" s="577">
        <f>+DD410/DD419</f>
        <v>1.0063291139240507</v>
      </c>
      <c r="DE423" s="577">
        <f>+DE410/DE419</f>
        <v>1.6527777777777777</v>
      </c>
      <c r="DF423" s="577">
        <f>+DF410/DF419</f>
        <v>1.314569536423841</v>
      </c>
      <c r="DG423" s="609"/>
      <c r="DH423" s="616">
        <v>1</v>
      </c>
      <c r="DI423" s="616">
        <v>1</v>
      </c>
      <c r="DJ423" s="577">
        <f>+DJ410/DJ419</f>
        <v>1</v>
      </c>
      <c r="DK423" s="609"/>
      <c r="DL423" s="616">
        <v>1</v>
      </c>
      <c r="DM423" s="616">
        <v>1</v>
      </c>
      <c r="DN423" s="577">
        <f>+DN410/DN419</f>
        <v>1</v>
      </c>
      <c r="DO423" s="609"/>
      <c r="DP423" s="616">
        <v>1</v>
      </c>
      <c r="DQ423" s="616">
        <v>1</v>
      </c>
      <c r="DR423" s="577">
        <f>+DR410/DR419</f>
        <v>1</v>
      </c>
      <c r="DS423" s="609"/>
      <c r="DT423" s="609"/>
      <c r="DU423" s="609"/>
      <c r="DV423" s="609"/>
      <c r="DW423" s="20"/>
      <c r="DX423" s="20"/>
    </row>
    <row r="424" spans="1:128" s="21" customFormat="1" ht="13.8">
      <c r="B424" s="27"/>
      <c r="BH424" s="72"/>
      <c r="BI424" s="72"/>
      <c r="BJ424" s="72"/>
      <c r="BK424" s="49"/>
      <c r="BL424" s="72"/>
      <c r="BM424" s="72"/>
      <c r="BN424" s="72"/>
      <c r="BO424" s="49"/>
      <c r="BP424" s="72"/>
      <c r="BQ424" s="72"/>
      <c r="BR424" s="72"/>
      <c r="BT424" s="72"/>
      <c r="BU424" s="72"/>
      <c r="BV424" s="72"/>
      <c r="BX424" s="72"/>
      <c r="BY424" s="72"/>
      <c r="BZ424" s="72"/>
      <c r="CB424" s="72"/>
      <c r="CC424" s="72"/>
      <c r="CD424" s="72"/>
      <c r="CF424" s="27"/>
      <c r="CG424" s="72"/>
      <c r="CH424" s="72"/>
      <c r="CJ424" s="27"/>
      <c r="CK424" s="72"/>
      <c r="CL424" s="72"/>
      <c r="CN424" s="27"/>
      <c r="CO424" s="72"/>
      <c r="CP424" s="72"/>
      <c r="CR424" s="27"/>
      <c r="CV424" s="27"/>
      <c r="CZ424" s="27"/>
      <c r="DD424" s="27"/>
      <c r="DH424" s="27"/>
      <c r="DL424" s="27"/>
      <c r="DP424" s="27"/>
      <c r="DW424" s="20"/>
      <c r="DX424" s="20"/>
    </row>
    <row r="425" spans="1:128" s="21" customFormat="1" ht="13.8">
      <c r="A425" s="20" t="s">
        <v>1041</v>
      </c>
      <c r="B425" s="27"/>
      <c r="BH425" s="72"/>
      <c r="BI425" s="72"/>
      <c r="BJ425" s="72"/>
      <c r="BK425" s="49"/>
      <c r="BL425" s="72"/>
      <c r="BM425" s="72"/>
      <c r="BN425" s="72"/>
      <c r="BO425" s="49"/>
      <c r="BP425" s="72"/>
      <c r="BQ425" s="72"/>
      <c r="BR425" s="72"/>
      <c r="BT425" s="72"/>
      <c r="BU425" s="72"/>
      <c r="BV425" s="72"/>
      <c r="BX425" s="72"/>
      <c r="BY425" s="72"/>
      <c r="BZ425" s="72"/>
      <c r="CB425" s="72"/>
      <c r="CC425" s="72"/>
      <c r="CD425" s="72"/>
      <c r="CF425" s="65">
        <f>CF420</f>
        <v>330.48</v>
      </c>
      <c r="CG425" s="65">
        <f t="shared" ref="CG425:CH425" si="703">CG420</f>
        <v>464</v>
      </c>
      <c r="CH425" s="65">
        <f t="shared" si="703"/>
        <v>794.48</v>
      </c>
      <c r="CJ425" s="65">
        <f>CJ420</f>
        <v>470.73</v>
      </c>
      <c r="CK425" s="65">
        <f t="shared" ref="CK425:CL425" si="704">CK420</f>
        <v>583.91999999999996</v>
      </c>
      <c r="CL425" s="65">
        <f t="shared" si="704"/>
        <v>1054.6500000000001</v>
      </c>
      <c r="CN425" s="65">
        <f>CN420</f>
        <v>594.08000000000004</v>
      </c>
      <c r="CO425" s="65">
        <f t="shared" ref="CO425:CP425" si="705">CO420</f>
        <v>835.82</v>
      </c>
      <c r="CP425" s="65">
        <f t="shared" si="705"/>
        <v>1429.9</v>
      </c>
      <c r="CR425" s="65">
        <f>CR420</f>
        <v>913</v>
      </c>
      <c r="CS425" s="65">
        <f t="shared" ref="CS425:CT425" si="706">CS420</f>
        <v>975</v>
      </c>
      <c r="CT425" s="65">
        <f t="shared" si="706"/>
        <v>1888</v>
      </c>
      <c r="CV425" s="65">
        <f>CV420</f>
        <v>552.5</v>
      </c>
      <c r="CW425" s="65">
        <f t="shared" ref="CW425:CX425" si="707">CW420</f>
        <v>687.5</v>
      </c>
      <c r="CX425" s="65">
        <f t="shared" si="707"/>
        <v>1240</v>
      </c>
      <c r="CZ425" s="65">
        <f>CZ420</f>
        <v>550</v>
      </c>
      <c r="DA425" s="65">
        <f t="shared" ref="DA425:DB425" si="708">DA420</f>
        <v>707</v>
      </c>
      <c r="DB425" s="65">
        <f t="shared" si="708"/>
        <v>1257</v>
      </c>
      <c r="DD425" s="65">
        <f>DD420</f>
        <v>612</v>
      </c>
      <c r="DE425" s="65">
        <f t="shared" ref="DE425:DF425" si="709">DE420</f>
        <v>777</v>
      </c>
      <c r="DF425" s="65">
        <f t="shared" si="709"/>
        <v>1389</v>
      </c>
      <c r="DH425" s="65">
        <f>DH420</f>
        <v>553</v>
      </c>
      <c r="DI425" s="65">
        <f t="shared" ref="DI425:DJ425" si="710">DI420</f>
        <v>632</v>
      </c>
      <c r="DJ425" s="65">
        <f t="shared" si="710"/>
        <v>1185</v>
      </c>
      <c r="DL425" s="65">
        <f>DL420</f>
        <v>553</v>
      </c>
      <c r="DM425" s="65">
        <f t="shared" ref="DM425:DN425" si="711">DM420</f>
        <v>632</v>
      </c>
      <c r="DN425" s="65">
        <f t="shared" si="711"/>
        <v>1185</v>
      </c>
      <c r="DP425" s="65">
        <f>DP420</f>
        <v>553</v>
      </c>
      <c r="DQ425" s="65">
        <f t="shared" ref="DQ425:DR425" si="712">DQ420</f>
        <v>632</v>
      </c>
      <c r="DR425" s="65">
        <f t="shared" si="712"/>
        <v>1185</v>
      </c>
      <c r="DW425" s="20"/>
      <c r="DX425" s="20"/>
    </row>
    <row r="426" spans="1:128" s="21" customFormat="1" ht="13.8">
      <c r="A426" s="20" t="s">
        <v>1123</v>
      </c>
      <c r="B426" s="27"/>
      <c r="BH426" s="72"/>
      <c r="BI426" s="72"/>
      <c r="BJ426" s="72"/>
      <c r="BK426" s="49"/>
      <c r="BL426" s="72"/>
      <c r="BM426" s="72"/>
      <c r="BN426" s="72"/>
      <c r="BO426" s="49"/>
      <c r="BP426" s="72"/>
      <c r="BQ426" s="72"/>
      <c r="BR426" s="72"/>
      <c r="BT426" s="72"/>
      <c r="BU426" s="72"/>
      <c r="BV426" s="72"/>
      <c r="BX426" s="72"/>
      <c r="BY426" s="72"/>
      <c r="BZ426" s="72"/>
      <c r="CB426" s="72"/>
      <c r="CC426" s="72"/>
      <c r="CD426" s="72"/>
      <c r="CF426" s="603"/>
      <c r="CG426" s="603"/>
      <c r="CH426" s="49">
        <f>+CG426+CF426</f>
        <v>0</v>
      </c>
      <c r="CJ426" s="603"/>
      <c r="CK426" s="603"/>
      <c r="CL426" s="49">
        <f>+CK426+CJ426</f>
        <v>0</v>
      </c>
      <c r="CN426" s="603"/>
      <c r="CO426" s="603"/>
      <c r="CP426" s="49">
        <f>+CO426+CN426</f>
        <v>0</v>
      </c>
      <c r="CR426" s="603">
        <v>56</v>
      </c>
      <c r="CS426" s="603">
        <v>34</v>
      </c>
      <c r="CT426" s="49">
        <f>+CS426+CR426</f>
        <v>90</v>
      </c>
      <c r="CV426" s="1211">
        <v>0</v>
      </c>
      <c r="CW426" s="1211">
        <v>0</v>
      </c>
      <c r="CX426" s="49">
        <f>+CW426+CV426</f>
        <v>0</v>
      </c>
      <c r="CZ426" s="1211">
        <v>0</v>
      </c>
      <c r="DA426" s="1211">
        <v>0</v>
      </c>
      <c r="DB426" s="49">
        <f>+DA426+CZ426</f>
        <v>0</v>
      </c>
      <c r="DD426" s="1211">
        <v>0</v>
      </c>
      <c r="DE426" s="1211">
        <v>0</v>
      </c>
      <c r="DF426" s="49">
        <f>+DE426+DD426</f>
        <v>0</v>
      </c>
      <c r="DH426" s="1211">
        <v>0</v>
      </c>
      <c r="DI426" s="1211">
        <v>0</v>
      </c>
      <c r="DJ426" s="49">
        <f>+DI426+DH426</f>
        <v>0</v>
      </c>
      <c r="DL426" s="1211">
        <v>0</v>
      </c>
      <c r="DM426" s="1211">
        <v>0</v>
      </c>
      <c r="DN426" s="49">
        <f>+DM426+DL426</f>
        <v>0</v>
      </c>
      <c r="DP426" s="1211">
        <v>0</v>
      </c>
      <c r="DQ426" s="1211">
        <v>0</v>
      </c>
      <c r="DR426" s="49">
        <f>+DQ426+DP426</f>
        <v>0</v>
      </c>
      <c r="DW426" s="20"/>
      <c r="DX426" s="20"/>
    </row>
    <row r="427" spans="1:128" s="21" customFormat="1" ht="13.8">
      <c r="A427" s="20" t="s">
        <v>813</v>
      </c>
      <c r="B427" s="27"/>
      <c r="BH427" s="72"/>
      <c r="BI427" s="72"/>
      <c r="BJ427" s="72"/>
      <c r="BK427" s="49"/>
      <c r="BL427" s="72"/>
      <c r="BM427" s="72"/>
      <c r="BN427" s="72"/>
      <c r="BO427" s="49"/>
      <c r="BP427" s="72"/>
      <c r="BQ427" s="72"/>
      <c r="BR427" s="72"/>
      <c r="BT427" s="72"/>
      <c r="BU427" s="72"/>
      <c r="BV427" s="72"/>
      <c r="BX427" s="72"/>
      <c r="BY427" s="72"/>
      <c r="BZ427" s="72"/>
      <c r="CB427" s="72"/>
      <c r="CC427" s="72"/>
      <c r="CD427" s="72"/>
      <c r="CF427" s="65">
        <f>+CF425-CF426</f>
        <v>330.48</v>
      </c>
      <c r="CG427" s="65">
        <f t="shared" ref="CG427" si="713">+CG425-CG426</f>
        <v>464</v>
      </c>
      <c r="CH427" s="65">
        <f t="shared" ref="CH427" si="714">+CH425-CH426</f>
        <v>794.48</v>
      </c>
      <c r="CJ427" s="65">
        <f>+CJ425-CJ426</f>
        <v>470.73</v>
      </c>
      <c r="CK427" s="65">
        <f t="shared" ref="CK427" si="715">+CK425-CK426</f>
        <v>583.91999999999996</v>
      </c>
      <c r="CL427" s="65">
        <f t="shared" ref="CL427" si="716">+CL425-CL426</f>
        <v>1054.6500000000001</v>
      </c>
      <c r="CN427" s="65">
        <f>+CN425-CN426</f>
        <v>594.08000000000004</v>
      </c>
      <c r="CO427" s="65">
        <f t="shared" ref="CO427" si="717">+CO425-CO426</f>
        <v>835.82</v>
      </c>
      <c r="CP427" s="65">
        <f t="shared" ref="CP427" si="718">+CP425-CP426</f>
        <v>1429.9</v>
      </c>
      <c r="CR427" s="65">
        <f>+CR425-CR426</f>
        <v>857</v>
      </c>
      <c r="CS427" s="65">
        <f t="shared" ref="CS427:CT427" si="719">+CS425-CS426</f>
        <v>941</v>
      </c>
      <c r="CT427" s="65">
        <f t="shared" si="719"/>
        <v>1798</v>
      </c>
      <c r="CV427" s="65">
        <f>+CV425-CV426</f>
        <v>552.5</v>
      </c>
      <c r="CW427" s="65">
        <f t="shared" ref="CW427:CX427" si="720">+CW425-CW426</f>
        <v>687.5</v>
      </c>
      <c r="CX427" s="65">
        <f t="shared" si="720"/>
        <v>1240</v>
      </c>
      <c r="CZ427" s="65">
        <f>+CZ425-CZ426</f>
        <v>550</v>
      </c>
      <c r="DA427" s="65">
        <f t="shared" ref="DA427:DB427" si="721">+DA425-DA426</f>
        <v>707</v>
      </c>
      <c r="DB427" s="65">
        <f t="shared" si="721"/>
        <v>1257</v>
      </c>
      <c r="DD427" s="65">
        <f>+DD425-DD426</f>
        <v>612</v>
      </c>
      <c r="DE427" s="65">
        <f t="shared" ref="DE427:DF427" si="722">+DE425-DE426</f>
        <v>777</v>
      </c>
      <c r="DF427" s="65">
        <f t="shared" si="722"/>
        <v>1389</v>
      </c>
      <c r="DH427" s="65">
        <f>+DH425-DH426</f>
        <v>553</v>
      </c>
      <c r="DI427" s="65">
        <f t="shared" ref="DI427:DJ427" si="723">+DI425-DI426</f>
        <v>632</v>
      </c>
      <c r="DJ427" s="65">
        <f t="shared" si="723"/>
        <v>1185</v>
      </c>
      <c r="DL427" s="65">
        <f>+DL425-DL426</f>
        <v>553</v>
      </c>
      <c r="DM427" s="65">
        <f t="shared" ref="DM427:DN427" si="724">+DM425-DM426</f>
        <v>632</v>
      </c>
      <c r="DN427" s="65">
        <f t="shared" si="724"/>
        <v>1185</v>
      </c>
      <c r="DP427" s="65">
        <f>+DP425-DP426</f>
        <v>553</v>
      </c>
      <c r="DQ427" s="65">
        <f t="shared" ref="DQ427:DR427" si="725">+DQ425-DQ426</f>
        <v>632</v>
      </c>
      <c r="DR427" s="65">
        <f t="shared" si="725"/>
        <v>1185</v>
      </c>
      <c r="DW427" s="20"/>
      <c r="DX427" s="20"/>
    </row>
    <row r="428" spans="1:128" s="21" customFormat="1" ht="13.8">
      <c r="B428" s="27"/>
      <c r="BH428" s="72"/>
      <c r="BI428" s="72"/>
      <c r="BJ428" s="72"/>
      <c r="BK428" s="49"/>
      <c r="BL428" s="72"/>
      <c r="BM428" s="72"/>
      <c r="BN428" s="72"/>
      <c r="BO428" s="49"/>
      <c r="BP428" s="72"/>
      <c r="BQ428" s="72"/>
      <c r="BR428" s="72"/>
      <c r="BT428" s="72"/>
      <c r="BU428" s="72"/>
      <c r="BV428" s="72"/>
      <c r="BX428" s="72"/>
      <c r="BY428" s="72"/>
      <c r="BZ428" s="72"/>
      <c r="CB428" s="72"/>
      <c r="CC428" s="72"/>
      <c r="CD428" s="72"/>
      <c r="CF428" s="27"/>
      <c r="CG428" s="72"/>
      <c r="CH428" s="72"/>
      <c r="CJ428" s="27"/>
      <c r="CK428" s="72"/>
      <c r="CL428" s="72"/>
      <c r="CN428" s="27"/>
      <c r="CO428" s="72"/>
      <c r="CP428" s="72"/>
      <c r="CR428" s="27"/>
      <c r="CV428" s="27"/>
      <c r="CZ428" s="27"/>
      <c r="DD428" s="27"/>
      <c r="DH428" s="27"/>
      <c r="DL428" s="27"/>
      <c r="DP428" s="27"/>
      <c r="DW428" s="20"/>
      <c r="DX428" s="20"/>
    </row>
    <row r="429" spans="1:128" s="21" customFormat="1" ht="13.8">
      <c r="A429" s="21" t="s">
        <v>4</v>
      </c>
      <c r="B429" s="27"/>
      <c r="BH429" s="72"/>
      <c r="BI429" s="72"/>
      <c r="BJ429" s="72"/>
      <c r="BK429" s="49"/>
      <c r="BL429" s="72"/>
      <c r="BM429" s="72"/>
      <c r="BN429" s="72"/>
      <c r="BO429" s="49"/>
      <c r="BP429" s="72"/>
      <c r="BQ429" s="72"/>
      <c r="BR429" s="72"/>
      <c r="BT429" s="72"/>
      <c r="BU429" s="72"/>
      <c r="BV429" s="72"/>
      <c r="BX429" s="72"/>
      <c r="BY429" s="72"/>
      <c r="BZ429" s="72"/>
      <c r="CB429" s="72"/>
      <c r="CC429" s="72"/>
      <c r="CD429" s="72"/>
      <c r="CF429" s="27"/>
      <c r="CG429" s="72"/>
      <c r="CH429" s="72"/>
      <c r="CJ429" s="27"/>
      <c r="CK429" s="72"/>
      <c r="CL429" s="72"/>
      <c r="CN429" s="27"/>
      <c r="CO429" s="72"/>
      <c r="CP429" s="72"/>
      <c r="CR429" s="27"/>
      <c r="CV429" s="27"/>
      <c r="CZ429" s="27"/>
      <c r="DD429" s="27"/>
      <c r="DH429" s="27"/>
      <c r="DL429" s="27"/>
      <c r="DP429" s="27"/>
      <c r="DW429" s="20"/>
      <c r="DX429" s="20"/>
    </row>
    <row r="430" spans="1:128" s="21" customFormat="1" ht="13.8">
      <c r="A430" s="21" t="s">
        <v>736</v>
      </c>
      <c r="B430" s="27"/>
      <c r="BH430" s="72">
        <f>+BH364</f>
        <v>459715</v>
      </c>
      <c r="BI430" s="72">
        <f>+BI364</f>
        <v>488571</v>
      </c>
      <c r="BJ430" s="72">
        <f>+BJ364</f>
        <v>488571</v>
      </c>
      <c r="BK430" s="49"/>
      <c r="BL430" s="72">
        <f>+BL364</f>
        <v>514485</v>
      </c>
      <c r="BM430" s="72">
        <f>+BM364</f>
        <v>526577</v>
      </c>
      <c r="BN430" s="72">
        <f>+BN364</f>
        <v>526577</v>
      </c>
      <c r="BO430" s="49"/>
      <c r="BP430" s="72">
        <f>+BP364</f>
        <v>563034</v>
      </c>
      <c r="BQ430" s="72">
        <f>+BQ364</f>
        <v>574994</v>
      </c>
      <c r="BR430" s="72">
        <f>+BR364</f>
        <v>574994</v>
      </c>
      <c r="BT430" s="72">
        <f>+BT364</f>
        <v>566464</v>
      </c>
      <c r="BU430" s="72">
        <f>+BU364</f>
        <v>580579</v>
      </c>
      <c r="BV430" s="72">
        <f>+BV364</f>
        <v>580579</v>
      </c>
      <c r="BX430" s="72">
        <f>+BX364</f>
        <v>580816</v>
      </c>
      <c r="BY430" s="72">
        <f>+BY364</f>
        <v>584502</v>
      </c>
      <c r="BZ430" s="72">
        <f>+BZ364</f>
        <v>584502</v>
      </c>
      <c r="CB430" s="72">
        <f>+CB364</f>
        <v>595983</v>
      </c>
      <c r="CC430" s="72">
        <f>+CC364</f>
        <v>608810</v>
      </c>
      <c r="CD430" s="72">
        <f>+CD364</f>
        <v>608810</v>
      </c>
      <c r="CF430" s="72">
        <f>+CF364</f>
        <v>614216</v>
      </c>
      <c r="CG430" s="72">
        <f>+CG364</f>
        <v>619165</v>
      </c>
      <c r="CH430" s="72">
        <f>+CH364</f>
        <v>619165</v>
      </c>
      <c r="CJ430" s="72">
        <f>+CJ364</f>
        <v>661939</v>
      </c>
      <c r="CK430" s="72">
        <f>+CK364</f>
        <v>622534</v>
      </c>
      <c r="CL430" s="72">
        <f>+CL364</f>
        <v>622534</v>
      </c>
      <c r="CN430" s="72">
        <f>+CN364</f>
        <v>619046</v>
      </c>
      <c r="CO430" s="72">
        <f>+CO364</f>
        <v>634198</v>
      </c>
      <c r="CP430" s="72">
        <f>+CP364</f>
        <v>634198</v>
      </c>
      <c r="CR430" s="72">
        <f>+CR364</f>
        <v>655455</v>
      </c>
      <c r="CS430" s="72">
        <f>+CS364</f>
        <v>676507</v>
      </c>
      <c r="CT430" s="72">
        <f>+CT364</f>
        <v>676507</v>
      </c>
      <c r="CV430" s="72">
        <f>+CV364</f>
        <v>694271</v>
      </c>
      <c r="CW430" s="72">
        <f>+CW364</f>
        <v>711105</v>
      </c>
      <c r="CX430" s="72">
        <f>+CX364</f>
        <v>711105</v>
      </c>
      <c r="CZ430" s="72">
        <f>+CZ364</f>
        <v>719154</v>
      </c>
      <c r="DA430" s="72">
        <f>+DA364</f>
        <v>807572</v>
      </c>
      <c r="DB430" s="72">
        <f>+DB364</f>
        <v>807572</v>
      </c>
      <c r="DD430" s="72">
        <f>+DD364</f>
        <v>824547</v>
      </c>
      <c r="DE430" s="72">
        <f>+DE364</f>
        <v>833971</v>
      </c>
      <c r="DF430" s="72">
        <f>+DF364</f>
        <v>833971</v>
      </c>
      <c r="DH430" s="72">
        <f>+DH364</f>
        <v>839814.53258427838</v>
      </c>
      <c r="DI430" s="72">
        <f>+DI364</f>
        <v>858051.63310989505</v>
      </c>
      <c r="DJ430" s="72">
        <f>+DJ364</f>
        <v>858051.63310989505</v>
      </c>
      <c r="DL430" s="72">
        <f>+DL364</f>
        <v>877164.28884523176</v>
      </c>
      <c r="DM430" s="72">
        <f>+DM364</f>
        <v>898441.30052072858</v>
      </c>
      <c r="DN430" s="72">
        <f>+DN364</f>
        <v>898441.30052072858</v>
      </c>
      <c r="DP430" s="72">
        <f>+DP364</f>
        <v>916529.72743910458</v>
      </c>
      <c r="DQ430" s="72">
        <f>+DQ364</f>
        <v>936390.7061425281</v>
      </c>
      <c r="DR430" s="72">
        <f>+DR364</f>
        <v>936390.7061425281</v>
      </c>
      <c r="DW430" s="20"/>
      <c r="DX430" s="20"/>
    </row>
    <row r="431" spans="1:128" s="21" customFormat="1" ht="13.8">
      <c r="A431" s="20" t="s">
        <v>48</v>
      </c>
      <c r="B431" s="27"/>
      <c r="BH431" s="68">
        <f t="shared" ref="BH431:BJ436" si="726">+BH372/BH$430</f>
        <v>0.8804259160566873</v>
      </c>
      <c r="BI431" s="68">
        <f t="shared" si="726"/>
        <v>0.87207795796312104</v>
      </c>
      <c r="BJ431" s="68">
        <f t="shared" si="726"/>
        <v>0.87207795796312104</v>
      </c>
      <c r="BK431" s="49"/>
      <c r="BL431" s="68">
        <f t="shared" ref="BL431:BN436" si="727">+BL372/BL$430</f>
        <v>0.86444308386055957</v>
      </c>
      <c r="BM431" s="68">
        <f t="shared" si="727"/>
        <v>0.86470544668680938</v>
      </c>
      <c r="BN431" s="68">
        <f t="shared" si="727"/>
        <v>0.86470544668680938</v>
      </c>
      <c r="BO431" s="49"/>
      <c r="BP431" s="68">
        <f t="shared" ref="BP431:BR436" si="728">+BP372/BP$430</f>
        <v>0.87981720464483493</v>
      </c>
      <c r="BQ431" s="68">
        <f t="shared" si="728"/>
        <v>0.8808213650925053</v>
      </c>
      <c r="BR431" s="68">
        <f t="shared" si="728"/>
        <v>0.8808213650925053</v>
      </c>
      <c r="BT431" s="68">
        <f t="shared" ref="BT431:BV436" si="729">+BT372/BT$430</f>
        <v>0.90084100666591349</v>
      </c>
      <c r="BU431" s="68">
        <f t="shared" si="729"/>
        <v>0.87769106357618865</v>
      </c>
      <c r="BV431" s="68">
        <f t="shared" si="729"/>
        <v>0.87769106357618865</v>
      </c>
      <c r="BX431" s="68">
        <f t="shared" ref="BX431:BZ436" si="730">+BX372/BX$430</f>
        <v>0.90302608743560786</v>
      </c>
      <c r="BY431" s="68">
        <f t="shared" si="730"/>
        <v>0.89289343749037642</v>
      </c>
      <c r="BZ431" s="68">
        <f t="shared" si="730"/>
        <v>0.89289343749037642</v>
      </c>
      <c r="CB431" s="68">
        <f t="shared" ref="CB431:CD436" si="731">+CB372/CB$430</f>
        <v>0.87612901710283686</v>
      </c>
      <c r="CC431" s="68">
        <f t="shared" si="731"/>
        <v>0.86918086102396475</v>
      </c>
      <c r="CD431" s="68">
        <f t="shared" si="731"/>
        <v>0.86918086102396475</v>
      </c>
      <c r="CF431" s="68">
        <f t="shared" ref="CF431:CH436" si="732">+CF372/CF$430</f>
        <v>0.87297139768420229</v>
      </c>
      <c r="CG431" s="68">
        <f t="shared" si="732"/>
        <v>0.88561045924753501</v>
      </c>
      <c r="CH431" s="68">
        <f t="shared" si="732"/>
        <v>0.88561045924753501</v>
      </c>
      <c r="CJ431" s="68">
        <f t="shared" ref="CJ431:CL436" si="733">+CJ372/CJ$430</f>
        <v>0.91303579332838825</v>
      </c>
      <c r="CK431" s="68">
        <f t="shared" si="733"/>
        <v>0.93947318540031544</v>
      </c>
      <c r="CL431" s="68">
        <f t="shared" si="733"/>
        <v>0.93947318540031544</v>
      </c>
      <c r="CN431" s="68">
        <f t="shared" ref="CN431:CP436" si="734">+CN372/CN$430</f>
        <v>0.97169677213001937</v>
      </c>
      <c r="CO431" s="68">
        <f t="shared" si="734"/>
        <v>0.99541468121942989</v>
      </c>
      <c r="CP431" s="68">
        <f t="shared" si="734"/>
        <v>0.99541468121942989</v>
      </c>
      <c r="CR431" s="68">
        <f t="shared" ref="CR431:CT436" si="735">+CR372/CR$430</f>
        <v>0.9886246958219862</v>
      </c>
      <c r="CS431" s="68">
        <f t="shared" si="735"/>
        <v>0.96743862221676935</v>
      </c>
      <c r="CT431" s="68">
        <f t="shared" si="735"/>
        <v>0.96743862221676935</v>
      </c>
      <c r="CV431" s="68">
        <f t="shared" ref="CV431:CX431" si="736">+CV372/CV$430</f>
        <v>0.99841704464106951</v>
      </c>
      <c r="CW431" s="68">
        <f t="shared" si="736"/>
        <v>0.96896801456887516</v>
      </c>
      <c r="CX431" s="68">
        <f t="shared" si="736"/>
        <v>0.96896801456887516</v>
      </c>
      <c r="CZ431" s="68">
        <f t="shared" ref="CZ431:DB431" si="737">+CZ372/CZ$430</f>
        <v>0.94581271883351825</v>
      </c>
      <c r="DA431" s="68">
        <f t="shared" si="737"/>
        <v>0.93789408250905182</v>
      </c>
      <c r="DB431" s="68">
        <f t="shared" si="737"/>
        <v>0.93789408250905182</v>
      </c>
      <c r="DD431" s="68">
        <f t="shared" ref="DD431:DF431" si="738">+DD372/DD$430</f>
        <v>0.96555563236540787</v>
      </c>
      <c r="DE431" s="68">
        <f t="shared" si="738"/>
        <v>0.95185324189929865</v>
      </c>
      <c r="DF431" s="68">
        <f t="shared" si="738"/>
        <v>0.95185324189929865</v>
      </c>
      <c r="DH431" s="68">
        <f>+DH372/DH$430</f>
        <v>0.94612159908984683</v>
      </c>
      <c r="DI431" s="68">
        <f>+DI372/DI$430</f>
        <v>0.94390360573817089</v>
      </c>
      <c r="DJ431" s="68">
        <f>+DJ372/DJ$430</f>
        <v>0.94390360573817089</v>
      </c>
      <c r="DL431" s="68">
        <f>+DL372/DL$430</f>
        <v>0.94126568426506174</v>
      </c>
      <c r="DM431" s="68">
        <f>+DM372/DM$430</f>
        <v>0.93690551115710385</v>
      </c>
      <c r="DN431" s="68">
        <f>+DN372/DN$430</f>
        <v>0.93690551115710385</v>
      </c>
      <c r="DP431" s="68">
        <f>+DP372/DP$430</f>
        <v>0.93641943523405424</v>
      </c>
      <c r="DQ431" s="68">
        <f>+DQ372/DQ$430</f>
        <v>0.93460790620847356</v>
      </c>
      <c r="DR431" s="68">
        <f>+DR372/DR$430</f>
        <v>0.93460790620847356</v>
      </c>
      <c r="DW431" s="20"/>
      <c r="DX431" s="20"/>
    </row>
    <row r="432" spans="1:128" s="21" customFormat="1" ht="13.8">
      <c r="A432" s="325" t="s">
        <v>49</v>
      </c>
      <c r="B432" s="94"/>
      <c r="C432" s="93"/>
      <c r="D432" s="93"/>
      <c r="E432" s="93"/>
      <c r="F432" s="93"/>
      <c r="G432" s="93"/>
      <c r="H432" s="93"/>
      <c r="I432" s="93"/>
      <c r="J432" s="93"/>
      <c r="K432" s="93"/>
      <c r="L432" s="93"/>
      <c r="M432" s="93"/>
      <c r="N432" s="93"/>
      <c r="O432" s="93"/>
      <c r="P432" s="93"/>
      <c r="Q432" s="93"/>
      <c r="R432" s="93"/>
      <c r="S432" s="93"/>
      <c r="T432" s="93"/>
      <c r="U432" s="93"/>
      <c r="V432" s="93"/>
      <c r="W432" s="93"/>
      <c r="X432" s="93"/>
      <c r="Y432" s="93"/>
      <c r="Z432" s="93"/>
      <c r="AA432" s="93"/>
      <c r="AB432" s="93"/>
      <c r="AC432" s="93"/>
      <c r="AD432" s="93"/>
      <c r="AE432" s="93"/>
      <c r="AF432" s="93"/>
      <c r="AG432" s="93"/>
      <c r="AH432" s="93"/>
      <c r="AI432" s="93"/>
      <c r="AJ432" s="93"/>
      <c r="AK432" s="93"/>
      <c r="AL432" s="93"/>
      <c r="AM432" s="93"/>
      <c r="AN432" s="93"/>
      <c r="AO432" s="93"/>
      <c r="AP432" s="93"/>
      <c r="AQ432" s="93"/>
      <c r="AR432" s="93"/>
      <c r="AS432" s="93"/>
      <c r="AT432" s="93"/>
      <c r="AU432" s="93"/>
      <c r="AV432" s="93"/>
      <c r="AW432" s="93"/>
      <c r="AX432" s="93"/>
      <c r="AY432" s="93"/>
      <c r="AZ432" s="93"/>
      <c r="BA432" s="93"/>
      <c r="BB432" s="93"/>
      <c r="BC432" s="93"/>
      <c r="BD432" s="93"/>
      <c r="BE432" s="93"/>
      <c r="BF432" s="93"/>
      <c r="BG432" s="93"/>
      <c r="BH432" s="355">
        <f t="shared" si="726"/>
        <v>0.10084508880502051</v>
      </c>
      <c r="BI432" s="355">
        <f t="shared" si="726"/>
        <v>8.3596856956307267E-2</v>
      </c>
      <c r="BJ432" s="355">
        <f t="shared" si="726"/>
        <v>8.3596856956307267E-2</v>
      </c>
      <c r="BK432" s="324"/>
      <c r="BL432" s="355">
        <f t="shared" si="727"/>
        <v>0.1041332594730653</v>
      </c>
      <c r="BM432" s="355">
        <f t="shared" si="727"/>
        <v>0.1039639027150825</v>
      </c>
      <c r="BN432" s="355">
        <f t="shared" si="727"/>
        <v>0.1039639027150825</v>
      </c>
      <c r="BO432" s="324"/>
      <c r="BP432" s="355">
        <f t="shared" si="728"/>
        <v>0.12760863464728595</v>
      </c>
      <c r="BQ432" s="355">
        <f t="shared" si="728"/>
        <v>0.11187421086133073</v>
      </c>
      <c r="BR432" s="355">
        <f t="shared" si="728"/>
        <v>0.11187421086133073</v>
      </c>
      <c r="BS432" s="93"/>
      <c r="BT432" s="355">
        <f t="shared" si="729"/>
        <v>0.11964926279516439</v>
      </c>
      <c r="BU432" s="355">
        <f t="shared" si="729"/>
        <v>0.13542687558454578</v>
      </c>
      <c r="BV432" s="355">
        <f t="shared" si="729"/>
        <v>0.13542687558454578</v>
      </c>
      <c r="BW432" s="93"/>
      <c r="BX432" s="355">
        <f t="shared" si="730"/>
        <v>9.7991446516624892E-2</v>
      </c>
      <c r="BY432" s="355">
        <f t="shared" si="730"/>
        <v>0.12611248550047732</v>
      </c>
      <c r="BZ432" s="355">
        <f t="shared" si="730"/>
        <v>0.12611248550047732</v>
      </c>
      <c r="CA432" s="93"/>
      <c r="CB432" s="355">
        <f t="shared" si="731"/>
        <v>0.15784342841993815</v>
      </c>
      <c r="CC432" s="355">
        <f t="shared" si="731"/>
        <v>0.14616054269805029</v>
      </c>
      <c r="CD432" s="355">
        <f t="shared" si="731"/>
        <v>0.14616054269805029</v>
      </c>
      <c r="CE432" s="93"/>
      <c r="CF432" s="355">
        <f t="shared" si="732"/>
        <v>0.16084895216015213</v>
      </c>
      <c r="CG432" s="355">
        <f t="shared" si="732"/>
        <v>0.14428787156896788</v>
      </c>
      <c r="CH432" s="355">
        <f t="shared" si="732"/>
        <v>0.14428787156896788</v>
      </c>
      <c r="CI432" s="93"/>
      <c r="CJ432" s="355">
        <f t="shared" si="733"/>
        <v>0.18511524475820279</v>
      </c>
      <c r="CK432" s="355">
        <f t="shared" si="733"/>
        <v>0.15658421869327618</v>
      </c>
      <c r="CL432" s="355">
        <f t="shared" si="733"/>
        <v>0.15658421869327618</v>
      </c>
      <c r="CM432" s="93"/>
      <c r="CN432" s="355">
        <f t="shared" si="734"/>
        <v>0.16977413633235655</v>
      </c>
      <c r="CO432" s="355">
        <f t="shared" si="734"/>
        <v>0.17623202848321817</v>
      </c>
      <c r="CP432" s="355">
        <f t="shared" si="734"/>
        <v>0.17623202848321817</v>
      </c>
      <c r="CQ432" s="93"/>
      <c r="CR432" s="355">
        <f t="shared" si="735"/>
        <v>0.20182773798353815</v>
      </c>
      <c r="CS432" s="355">
        <f t="shared" si="735"/>
        <v>0.21108724669515616</v>
      </c>
      <c r="CT432" s="355">
        <f t="shared" si="735"/>
        <v>0.21108724669515616</v>
      </c>
      <c r="CU432" s="93"/>
      <c r="CV432" s="355">
        <f t="shared" ref="CV432:CX432" si="739">+CV373/CV$430</f>
        <v>0.21517822291295474</v>
      </c>
      <c r="CW432" s="355">
        <f t="shared" si="739"/>
        <v>0.1767291750163478</v>
      </c>
      <c r="CX432" s="355">
        <f t="shared" si="739"/>
        <v>0.1767291750163478</v>
      </c>
      <c r="CY432" s="93"/>
      <c r="CZ432" s="355">
        <f t="shared" ref="CZ432:DB432" si="740">+CZ373/CZ$430</f>
        <v>0.17597343545332433</v>
      </c>
      <c r="DA432" s="355">
        <f t="shared" si="740"/>
        <v>0.18095847800567627</v>
      </c>
      <c r="DB432" s="355">
        <f t="shared" si="740"/>
        <v>0.18095847800567627</v>
      </c>
      <c r="DC432" s="93"/>
      <c r="DD432" s="355">
        <f t="shared" ref="DD432:DF432" si="741">+DD373/DD$430</f>
        <v>0.21353907054418972</v>
      </c>
      <c r="DE432" s="355">
        <f t="shared" si="741"/>
        <v>0.19334725068377678</v>
      </c>
      <c r="DF432" s="355">
        <f t="shared" si="741"/>
        <v>0.19334725068377678</v>
      </c>
      <c r="DG432" s="93"/>
      <c r="DH432" s="358">
        <f>DE432</f>
        <v>0.19334725068377678</v>
      </c>
      <c r="DI432" s="358">
        <f>DH432</f>
        <v>0.19334725068377678</v>
      </c>
      <c r="DJ432" s="355">
        <f>+DJ373/DJ$430</f>
        <v>0.19334725068377678</v>
      </c>
      <c r="DK432" s="93"/>
      <c r="DL432" s="358">
        <f>DI432</f>
        <v>0.19334725068377678</v>
      </c>
      <c r="DM432" s="358">
        <f>DL432</f>
        <v>0.19334725068377678</v>
      </c>
      <c r="DN432" s="355">
        <f>+DN373/DN$430</f>
        <v>0.19334725068377678</v>
      </c>
      <c r="DO432" s="93"/>
      <c r="DP432" s="358">
        <f>DM432</f>
        <v>0.19334725068377678</v>
      </c>
      <c r="DQ432" s="358">
        <f>DP432</f>
        <v>0.19334725068377678</v>
      </c>
      <c r="DR432" s="355">
        <f>+DR373/DR$430</f>
        <v>0.19334725068377678</v>
      </c>
      <c r="DS432" s="93"/>
      <c r="DT432" s="93"/>
      <c r="DU432" s="93"/>
      <c r="DV432" s="93"/>
      <c r="DW432" s="20"/>
      <c r="DX432" s="20"/>
    </row>
    <row r="433" spans="1:128" s="21" customFormat="1" ht="13.8">
      <c r="A433" s="325" t="s">
        <v>482</v>
      </c>
      <c r="B433" s="94"/>
      <c r="C433" s="93"/>
      <c r="D433" s="93"/>
      <c r="E433" s="93"/>
      <c r="F433" s="93"/>
      <c r="G433" s="93"/>
      <c r="H433" s="93"/>
      <c r="I433" s="93"/>
      <c r="J433" s="93"/>
      <c r="K433" s="93"/>
      <c r="L433" s="93"/>
      <c r="M433" s="93"/>
      <c r="N433" s="93"/>
      <c r="O433" s="93"/>
      <c r="P433" s="93"/>
      <c r="Q433" s="93"/>
      <c r="R433" s="93"/>
      <c r="S433" s="93"/>
      <c r="T433" s="93"/>
      <c r="U433" s="93"/>
      <c r="V433" s="93"/>
      <c r="W433" s="93"/>
      <c r="X433" s="93"/>
      <c r="Y433" s="93"/>
      <c r="Z433" s="93"/>
      <c r="AA433" s="93"/>
      <c r="AB433" s="93"/>
      <c r="AC433" s="93"/>
      <c r="AD433" s="93"/>
      <c r="AE433" s="93"/>
      <c r="AF433" s="93"/>
      <c r="AG433" s="93"/>
      <c r="AH433" s="93"/>
      <c r="AI433" s="93"/>
      <c r="AJ433" s="93"/>
      <c r="AK433" s="93"/>
      <c r="AL433" s="93"/>
      <c r="AM433" s="93"/>
      <c r="AN433" s="93"/>
      <c r="AO433" s="93"/>
      <c r="AP433" s="93"/>
      <c r="AQ433" s="93"/>
      <c r="AR433" s="93"/>
      <c r="AS433" s="93"/>
      <c r="AT433" s="93"/>
      <c r="AU433" s="93"/>
      <c r="AV433" s="93"/>
      <c r="AW433" s="93"/>
      <c r="AX433" s="93"/>
      <c r="AY433" s="93"/>
      <c r="AZ433" s="93"/>
      <c r="BA433" s="93"/>
      <c r="BB433" s="93"/>
      <c r="BC433" s="93"/>
      <c r="BD433" s="93"/>
      <c r="BE433" s="93"/>
      <c r="BF433" s="93"/>
      <c r="BG433" s="93"/>
      <c r="BH433" s="355">
        <f t="shared" si="726"/>
        <v>2.9089762135235963E-2</v>
      </c>
      <c r="BI433" s="355">
        <f t="shared" si="726"/>
        <v>1.7796799236958396E-2</v>
      </c>
      <c r="BJ433" s="355">
        <f t="shared" si="726"/>
        <v>1.7796799236958396E-2</v>
      </c>
      <c r="BK433" s="324"/>
      <c r="BL433" s="355">
        <f t="shared" si="727"/>
        <v>1.5808041050759496E-2</v>
      </c>
      <c r="BM433" s="355">
        <f t="shared" si="727"/>
        <v>1.9207067532383677E-2</v>
      </c>
      <c r="BN433" s="355">
        <f t="shared" si="727"/>
        <v>1.9207067532383677E-2</v>
      </c>
      <c r="BO433" s="324"/>
      <c r="BP433" s="355">
        <f t="shared" si="728"/>
        <v>1.378069530436883E-2</v>
      </c>
      <c r="BQ433" s="355">
        <f t="shared" si="728"/>
        <v>1.9565421552224894E-2</v>
      </c>
      <c r="BR433" s="355">
        <f t="shared" si="728"/>
        <v>1.9565421552224894E-2</v>
      </c>
      <c r="BS433" s="93"/>
      <c r="BT433" s="355">
        <f t="shared" si="729"/>
        <v>2.4054485368884871E-2</v>
      </c>
      <c r="BU433" s="355">
        <f t="shared" si="729"/>
        <v>1.830069637379237E-2</v>
      </c>
      <c r="BV433" s="355">
        <f t="shared" si="729"/>
        <v>1.830069637379237E-2</v>
      </c>
      <c r="BW433" s="93"/>
      <c r="BX433" s="355">
        <f t="shared" si="730"/>
        <v>1.6762623619184045E-2</v>
      </c>
      <c r="BY433" s="355">
        <f t="shared" si="730"/>
        <v>1.6961447522848512E-2</v>
      </c>
      <c r="BZ433" s="355">
        <f t="shared" si="730"/>
        <v>1.6961447522848512E-2</v>
      </c>
      <c r="CA433" s="93"/>
      <c r="CB433" s="355">
        <f t="shared" si="731"/>
        <v>1.7747150505970807E-2</v>
      </c>
      <c r="CC433" s="355">
        <f t="shared" si="731"/>
        <v>1.9398498710599368E-2</v>
      </c>
      <c r="CD433" s="355">
        <f t="shared" si="731"/>
        <v>1.9398498710599368E-2</v>
      </c>
      <c r="CE433" s="93"/>
      <c r="CF433" s="355">
        <f t="shared" si="732"/>
        <v>2.0141122992562877E-2</v>
      </c>
      <c r="CG433" s="355">
        <f t="shared" si="732"/>
        <v>1.755105666502467E-2</v>
      </c>
      <c r="CH433" s="355">
        <f t="shared" si="732"/>
        <v>1.755105666502467E-2</v>
      </c>
      <c r="CI433" s="93"/>
      <c r="CJ433" s="355">
        <f t="shared" si="733"/>
        <v>3.3710054853997119E-2</v>
      </c>
      <c r="CK433" s="355">
        <f t="shared" si="733"/>
        <v>3.5726562725891274E-2</v>
      </c>
      <c r="CL433" s="355">
        <f t="shared" si="733"/>
        <v>3.5726562725891274E-2</v>
      </c>
      <c r="CM433" s="93"/>
      <c r="CN433" s="355">
        <f t="shared" si="734"/>
        <v>3.0996081066673557E-2</v>
      </c>
      <c r="CO433" s="355">
        <f t="shared" si="734"/>
        <v>2.7478799996215691E-2</v>
      </c>
      <c r="CP433" s="355">
        <f t="shared" si="734"/>
        <v>2.7478799996215691E-2</v>
      </c>
      <c r="CQ433" s="93"/>
      <c r="CR433" s="355">
        <f t="shared" si="735"/>
        <v>3.0134791862141564E-2</v>
      </c>
      <c r="CS433" s="355">
        <f t="shared" si="735"/>
        <v>2.0348643842561867E-2</v>
      </c>
      <c r="CT433" s="355">
        <f t="shared" si="735"/>
        <v>2.0348643842561867E-2</v>
      </c>
      <c r="CU433" s="93"/>
      <c r="CV433" s="355">
        <f t="shared" ref="CV433:CX433" si="742">+CV374/CV$430</f>
        <v>3.3142677715186142E-2</v>
      </c>
      <c r="CW433" s="355">
        <f t="shared" si="742"/>
        <v>2.7094451592943377E-2</v>
      </c>
      <c r="CX433" s="355">
        <f t="shared" si="742"/>
        <v>2.7094451592943377E-2</v>
      </c>
      <c r="CY433" s="93"/>
      <c r="CZ433" s="355">
        <f t="shared" ref="CZ433:DB433" si="743">+CZ374/CZ$430</f>
        <v>2.089399488843836E-2</v>
      </c>
      <c r="DA433" s="355">
        <f t="shared" si="743"/>
        <v>2.0045271505203251E-2</v>
      </c>
      <c r="DB433" s="355">
        <f t="shared" si="743"/>
        <v>2.0045271505203251E-2</v>
      </c>
      <c r="DC433" s="93"/>
      <c r="DD433" s="355">
        <f t="shared" ref="DD433:DF433" si="744">+DD374/DD$430</f>
        <v>1.9507681187367124E-2</v>
      </c>
      <c r="DE433" s="355">
        <f t="shared" si="744"/>
        <v>3.7344224199642437E-2</v>
      </c>
      <c r="DF433" s="355">
        <f t="shared" si="744"/>
        <v>3.7344224199642437E-2</v>
      </c>
      <c r="DG433" s="93"/>
      <c r="DH433" s="358">
        <f>DE433</f>
        <v>3.7344224199642437E-2</v>
      </c>
      <c r="DI433" s="358">
        <f>DH433</f>
        <v>3.7344224199642437E-2</v>
      </c>
      <c r="DJ433" s="355">
        <f>+DJ374/DJ$430</f>
        <v>3.7344224199642437E-2</v>
      </c>
      <c r="DK433" s="93"/>
      <c r="DL433" s="358">
        <f>DI433</f>
        <v>3.7344224199642437E-2</v>
      </c>
      <c r="DM433" s="358">
        <f>DL433</f>
        <v>3.7344224199642437E-2</v>
      </c>
      <c r="DN433" s="355">
        <f>+DN374/DN$430</f>
        <v>3.7344224199642437E-2</v>
      </c>
      <c r="DO433" s="93"/>
      <c r="DP433" s="358">
        <f>DM433</f>
        <v>3.7344224199642437E-2</v>
      </c>
      <c r="DQ433" s="358">
        <f>DP433</f>
        <v>3.7344224199642437E-2</v>
      </c>
      <c r="DR433" s="355">
        <f>+DR374/DR$430</f>
        <v>3.7344224199642437E-2</v>
      </c>
      <c r="DS433" s="93"/>
      <c r="DT433" s="93"/>
      <c r="DU433" s="93"/>
      <c r="DV433" s="93"/>
      <c r="DW433" s="20"/>
      <c r="DX433" s="20"/>
    </row>
    <row r="434" spans="1:128" s="21" customFormat="1" ht="13.8">
      <c r="A434" s="20" t="s">
        <v>483</v>
      </c>
      <c r="B434" s="27"/>
      <c r="BH434" s="71">
        <f t="shared" si="726"/>
        <v>0.13100725449463255</v>
      </c>
      <c r="BI434" s="71">
        <f t="shared" si="726"/>
        <v>0.14404457079933111</v>
      </c>
      <c r="BJ434" s="71">
        <f t="shared" si="726"/>
        <v>0.14404457079933111</v>
      </c>
      <c r="BK434" s="49"/>
      <c r="BL434" s="71">
        <f t="shared" si="727"/>
        <v>0.14296237985558374</v>
      </c>
      <c r="BM434" s="71">
        <f t="shared" si="727"/>
        <v>0.1521069093408941</v>
      </c>
      <c r="BN434" s="71">
        <f t="shared" si="727"/>
        <v>0.1521069093408941</v>
      </c>
      <c r="BO434" s="49"/>
      <c r="BP434" s="71">
        <f t="shared" si="728"/>
        <v>0.15214711722560273</v>
      </c>
      <c r="BQ434" s="71">
        <f t="shared" si="728"/>
        <v>0.16303996215612684</v>
      </c>
      <c r="BR434" s="71">
        <f t="shared" si="728"/>
        <v>0.16303996215612684</v>
      </c>
      <c r="BT434" s="71">
        <f t="shared" si="729"/>
        <v>0.14466409162806462</v>
      </c>
      <c r="BU434" s="71">
        <f t="shared" si="729"/>
        <v>0.15687787536235379</v>
      </c>
      <c r="BV434" s="71">
        <f t="shared" si="729"/>
        <v>0.15687787536235379</v>
      </c>
      <c r="BX434" s="71">
        <f t="shared" si="730"/>
        <v>0.15285047243877578</v>
      </c>
      <c r="BY434" s="71">
        <f t="shared" si="730"/>
        <v>0.15442718758875076</v>
      </c>
      <c r="BZ434" s="71">
        <f t="shared" si="730"/>
        <v>0.15442718758875076</v>
      </c>
      <c r="CB434" s="71">
        <f t="shared" si="731"/>
        <v>0.16372279075074289</v>
      </c>
      <c r="CC434" s="71">
        <f t="shared" si="731"/>
        <v>0.17296036530280384</v>
      </c>
      <c r="CD434" s="71">
        <f t="shared" si="731"/>
        <v>0.17296036530280384</v>
      </c>
      <c r="CF434" s="71">
        <f t="shared" si="732"/>
        <v>0.18462560402203784</v>
      </c>
      <c r="CG434" s="71">
        <f t="shared" si="732"/>
        <v>0.18266536383678017</v>
      </c>
      <c r="CH434" s="71">
        <f t="shared" si="732"/>
        <v>0.18266536383678017</v>
      </c>
      <c r="CJ434" s="71">
        <f t="shared" si="733"/>
        <v>0.17992594483781738</v>
      </c>
      <c r="CK434" s="71">
        <f t="shared" si="733"/>
        <v>0.17766097915937121</v>
      </c>
      <c r="CL434" s="71">
        <f t="shared" si="733"/>
        <v>0.17766097915937121</v>
      </c>
      <c r="CN434" s="71">
        <f t="shared" si="734"/>
        <v>0.15507732866378265</v>
      </c>
      <c r="CO434" s="71">
        <f t="shared" si="734"/>
        <v>0.153106758457138</v>
      </c>
      <c r="CP434" s="71">
        <f t="shared" si="734"/>
        <v>0.153106758457138</v>
      </c>
      <c r="CR434" s="71">
        <f t="shared" si="735"/>
        <v>0.1318168295306314</v>
      </c>
      <c r="CS434" s="71">
        <f t="shared" si="735"/>
        <v>0.13155813613162909</v>
      </c>
      <c r="CT434" s="71">
        <f t="shared" si="735"/>
        <v>0.13155813613162909</v>
      </c>
      <c r="CV434" s="71">
        <f t="shared" ref="CV434:CX434" si="745">+CV375/CV$430</f>
        <v>0.13985893116664819</v>
      </c>
      <c r="CW434" s="71">
        <f t="shared" si="745"/>
        <v>0.1321886359960906</v>
      </c>
      <c r="CX434" s="71">
        <f t="shared" si="745"/>
        <v>0.1321886359960906</v>
      </c>
      <c r="CZ434" s="71">
        <f t="shared" ref="CZ434:DB434" si="746">+CZ375/CZ$430</f>
        <v>0.14225047764456569</v>
      </c>
      <c r="DA434" s="71">
        <f t="shared" si="746"/>
        <v>0.14760293819003134</v>
      </c>
      <c r="DB434" s="71">
        <f t="shared" si="746"/>
        <v>0.14760293819003134</v>
      </c>
      <c r="DD434" s="71">
        <f t="shared" ref="DD434:DF434" si="747">+DD375/DD$430</f>
        <v>0.15366013095675565</v>
      </c>
      <c r="DE434" s="71">
        <f t="shared" si="747"/>
        <v>0.15012512425492014</v>
      </c>
      <c r="DF434" s="71">
        <f t="shared" si="747"/>
        <v>0.15012512425492014</v>
      </c>
      <c r="DH434" s="71">
        <f ca="1">+DH375/DH$430</f>
        <v>0.15350109498008169</v>
      </c>
      <c r="DI434" s="71">
        <f ca="1">+DI375/DI$430</f>
        <v>0.15598388091806403</v>
      </c>
      <c r="DJ434" s="71">
        <f ca="1">+DJ375/DJ$430</f>
        <v>0.15598388091806403</v>
      </c>
      <c r="DL434" s="71">
        <f ca="1">+DL375/DL$430</f>
        <v>0.15886818967995345</v>
      </c>
      <c r="DM434" s="71">
        <f ca="1">+DM375/DM$430</f>
        <v>0.16423402135475693</v>
      </c>
      <c r="DN434" s="71">
        <f ca="1">+DN375/DN$430</f>
        <v>0.16423402135475693</v>
      </c>
      <c r="DP434" s="71">
        <f ca="1">+DP375/DP$430</f>
        <v>0.16521294555391255</v>
      </c>
      <c r="DQ434" s="71">
        <f ca="1">+DQ375/DQ$430</f>
        <v>0.16762798864854503</v>
      </c>
      <c r="DR434" s="71">
        <f ca="1">+DR375/DR$430</f>
        <v>0.16762798864854503</v>
      </c>
      <c r="DW434" s="20"/>
      <c r="DX434" s="20"/>
    </row>
    <row r="435" spans="1:128" s="21" customFormat="1" ht="13.8">
      <c r="A435" s="325" t="s">
        <v>484</v>
      </c>
      <c r="B435" s="94"/>
      <c r="C435" s="93"/>
      <c r="D435" s="93"/>
      <c r="E435" s="93"/>
      <c r="F435" s="93"/>
      <c r="G435" s="93"/>
      <c r="H435" s="93"/>
      <c r="I435" s="93"/>
      <c r="J435" s="93"/>
      <c r="K435" s="93"/>
      <c r="L435" s="93"/>
      <c r="M435" s="93"/>
      <c r="N435" s="93"/>
      <c r="O435" s="93"/>
      <c r="P435" s="93"/>
      <c r="Q435" s="93"/>
      <c r="R435" s="93"/>
      <c r="S435" s="93"/>
      <c r="T435" s="93"/>
      <c r="U435" s="93"/>
      <c r="V435" s="93"/>
      <c r="W435" s="93"/>
      <c r="X435" s="93"/>
      <c r="Y435" s="93"/>
      <c r="Z435" s="93"/>
      <c r="AA435" s="93"/>
      <c r="AB435" s="93"/>
      <c r="AC435" s="93"/>
      <c r="AD435" s="93"/>
      <c r="AE435" s="93"/>
      <c r="AF435" s="93"/>
      <c r="AG435" s="93"/>
      <c r="AH435" s="93"/>
      <c r="AI435" s="93"/>
      <c r="AJ435" s="93"/>
      <c r="AK435" s="93"/>
      <c r="AL435" s="93"/>
      <c r="AM435" s="93"/>
      <c r="AN435" s="93"/>
      <c r="AO435" s="93"/>
      <c r="AP435" s="93"/>
      <c r="AQ435" s="93"/>
      <c r="AR435" s="93"/>
      <c r="AS435" s="93"/>
      <c r="AT435" s="93"/>
      <c r="AU435" s="93"/>
      <c r="AV435" s="93"/>
      <c r="AW435" s="93"/>
      <c r="AX435" s="93"/>
      <c r="AY435" s="93"/>
      <c r="AZ435" s="93"/>
      <c r="BA435" s="93"/>
      <c r="BB435" s="93"/>
      <c r="BC435" s="93"/>
      <c r="BD435" s="93"/>
      <c r="BE435" s="93"/>
      <c r="BF435" s="93"/>
      <c r="BG435" s="93"/>
      <c r="BH435" s="355">
        <f t="shared" si="726"/>
        <v>2.5376592018968275E-2</v>
      </c>
      <c r="BI435" s="355">
        <f t="shared" si="726"/>
        <v>2.6207040532491694E-2</v>
      </c>
      <c r="BJ435" s="355">
        <f t="shared" si="726"/>
        <v>2.6207040532491694E-2</v>
      </c>
      <c r="BK435" s="324"/>
      <c r="BL435" s="355">
        <f t="shared" si="727"/>
        <v>2.5707260658716969E-2</v>
      </c>
      <c r="BM435" s="355">
        <f t="shared" si="727"/>
        <v>2.5840475372072839E-2</v>
      </c>
      <c r="BN435" s="355">
        <f t="shared" si="727"/>
        <v>2.5840475372072839E-2</v>
      </c>
      <c r="BO435" s="324"/>
      <c r="BP435" s="355">
        <f t="shared" si="728"/>
        <v>2.9239797241374411E-2</v>
      </c>
      <c r="BQ435" s="355">
        <f t="shared" si="728"/>
        <v>2.9581178238381616E-2</v>
      </c>
      <c r="BR435" s="355">
        <f t="shared" si="728"/>
        <v>2.9581178238381616E-2</v>
      </c>
      <c r="BS435" s="93"/>
      <c r="BT435" s="355">
        <f t="shared" si="729"/>
        <v>3.0994026098745905E-2</v>
      </c>
      <c r="BU435" s="355">
        <f t="shared" si="729"/>
        <v>3.7831199543903585E-2</v>
      </c>
      <c r="BV435" s="355">
        <f t="shared" si="729"/>
        <v>3.7831199543903585E-2</v>
      </c>
      <c r="BW435" s="93"/>
      <c r="BX435" s="355">
        <f t="shared" si="730"/>
        <v>3.4945662653921378E-2</v>
      </c>
      <c r="BY435" s="355">
        <f t="shared" si="730"/>
        <v>3.0299297521650909E-2</v>
      </c>
      <c r="BZ435" s="355">
        <f t="shared" si="730"/>
        <v>3.0299297521650909E-2</v>
      </c>
      <c r="CA435" s="93"/>
      <c r="CB435" s="355">
        <f t="shared" si="731"/>
        <v>2.896055759979731E-2</v>
      </c>
      <c r="CC435" s="355">
        <f t="shared" si="731"/>
        <v>2.6116522396149866E-2</v>
      </c>
      <c r="CD435" s="355">
        <f t="shared" si="731"/>
        <v>2.6116522396149866E-2</v>
      </c>
      <c r="CE435" s="93"/>
      <c r="CF435" s="355">
        <f t="shared" si="732"/>
        <v>2.6537895463485159E-2</v>
      </c>
      <c r="CG435" s="355">
        <f t="shared" si="732"/>
        <v>2.6810300969854563E-2</v>
      </c>
      <c r="CH435" s="355">
        <f t="shared" si="732"/>
        <v>2.6810300969854563E-2</v>
      </c>
      <c r="CI435" s="93"/>
      <c r="CJ435" s="355">
        <f t="shared" si="733"/>
        <v>3.1876049001494093E-2</v>
      </c>
      <c r="CK435" s="355">
        <f t="shared" si="733"/>
        <v>3.3893731105449659E-2</v>
      </c>
      <c r="CL435" s="355">
        <f t="shared" si="733"/>
        <v>3.3893731105449659E-2</v>
      </c>
      <c r="CM435" s="93"/>
      <c r="CN435" s="355">
        <f t="shared" si="734"/>
        <v>3.8284715513871345E-2</v>
      </c>
      <c r="CO435" s="355">
        <f t="shared" si="734"/>
        <v>3.9892904108811446E-2</v>
      </c>
      <c r="CP435" s="355">
        <f t="shared" si="734"/>
        <v>3.9892904108811446E-2</v>
      </c>
      <c r="CQ435" s="93"/>
      <c r="CR435" s="355">
        <f t="shared" si="735"/>
        <v>3.447986513185497E-2</v>
      </c>
      <c r="CS435" s="355">
        <f t="shared" si="735"/>
        <v>4.0354349622398589E-2</v>
      </c>
      <c r="CT435" s="355">
        <f t="shared" si="735"/>
        <v>4.0354349622398589E-2</v>
      </c>
      <c r="CU435" s="93"/>
      <c r="CV435" s="355">
        <f t="shared" ref="CV435:CX435" si="748">+CV376/CV$430</f>
        <v>4.7099763636965969E-2</v>
      </c>
      <c r="CW435" s="355">
        <f t="shared" si="748"/>
        <v>4.7391032266683543E-2</v>
      </c>
      <c r="CX435" s="355">
        <f t="shared" si="748"/>
        <v>4.7391032266683543E-2</v>
      </c>
      <c r="CY435" s="93"/>
      <c r="CZ435" s="355">
        <f t="shared" ref="CZ435:DB435" si="749">+CZ376/CZ$430</f>
        <v>5.0475975938394278E-2</v>
      </c>
      <c r="DA435" s="355">
        <f t="shared" si="749"/>
        <v>4.9159703407250378E-2</v>
      </c>
      <c r="DB435" s="355">
        <f t="shared" si="749"/>
        <v>4.9159703407250378E-2</v>
      </c>
      <c r="DC435" s="93"/>
      <c r="DD435" s="355">
        <f t="shared" ref="DD435:DF435" si="750">+DD376/DD$430</f>
        <v>5.1999461522508721E-2</v>
      </c>
      <c r="DE435" s="355">
        <f t="shared" si="750"/>
        <v>5.2879536578610047E-2</v>
      </c>
      <c r="DF435" s="355">
        <f t="shared" si="750"/>
        <v>5.2879536578610047E-2</v>
      </c>
      <c r="DG435" s="93"/>
      <c r="DH435" s="358">
        <f>DE435</f>
        <v>5.2879536578610047E-2</v>
      </c>
      <c r="DI435" s="358">
        <f>DH435</f>
        <v>5.2879536578610047E-2</v>
      </c>
      <c r="DJ435" s="355">
        <f>+DJ376/DJ$430</f>
        <v>5.2879536578610047E-2</v>
      </c>
      <c r="DK435" s="93"/>
      <c r="DL435" s="358">
        <f>DI435</f>
        <v>5.2879536578610047E-2</v>
      </c>
      <c r="DM435" s="358">
        <f>DL435</f>
        <v>5.2879536578610047E-2</v>
      </c>
      <c r="DN435" s="355">
        <f>+DN376/DN$430</f>
        <v>5.2879536578610047E-2</v>
      </c>
      <c r="DO435" s="93"/>
      <c r="DP435" s="358">
        <f>DM435</f>
        <v>5.2879536578610047E-2</v>
      </c>
      <c r="DQ435" s="358">
        <f>DP435</f>
        <v>5.2879536578610047E-2</v>
      </c>
      <c r="DR435" s="355">
        <f>+DR376/DR$430</f>
        <v>5.2879536578610054E-2</v>
      </c>
      <c r="DS435" s="93"/>
      <c r="DT435" s="93"/>
      <c r="DU435" s="93"/>
      <c r="DV435" s="93"/>
      <c r="DW435" s="20"/>
      <c r="DX435" s="20"/>
    </row>
    <row r="436" spans="1:128" s="21" customFormat="1" ht="13.8">
      <c r="A436" s="325" t="s">
        <v>50</v>
      </c>
      <c r="B436" s="94"/>
      <c r="C436" s="93"/>
      <c r="D436" s="93"/>
      <c r="E436" s="93"/>
      <c r="F436" s="93"/>
      <c r="G436" s="93"/>
      <c r="H436" s="93"/>
      <c r="I436" s="93"/>
      <c r="J436" s="93"/>
      <c r="K436" s="93"/>
      <c r="L436" s="93"/>
      <c r="M436" s="93"/>
      <c r="N436" s="93"/>
      <c r="O436" s="93"/>
      <c r="P436" s="93"/>
      <c r="Q436" s="93"/>
      <c r="R436" s="93"/>
      <c r="S436" s="93"/>
      <c r="T436" s="93"/>
      <c r="U436" s="93"/>
      <c r="V436" s="93"/>
      <c r="W436" s="93"/>
      <c r="X436" s="93"/>
      <c r="Y436" s="93"/>
      <c r="Z436" s="93"/>
      <c r="AA436" s="93"/>
      <c r="AB436" s="93"/>
      <c r="AC436" s="93"/>
      <c r="AD436" s="93"/>
      <c r="AE436" s="93"/>
      <c r="AF436" s="93"/>
      <c r="AG436" s="93"/>
      <c r="AH436" s="93"/>
      <c r="AI436" s="93"/>
      <c r="AJ436" s="93"/>
      <c r="AK436" s="93"/>
      <c r="AL436" s="93"/>
      <c r="AM436" s="93"/>
      <c r="AN436" s="93"/>
      <c r="AO436" s="93"/>
      <c r="AP436" s="93"/>
      <c r="AQ436" s="93"/>
      <c r="AR436" s="93"/>
      <c r="AS436" s="93"/>
      <c r="AT436" s="93"/>
      <c r="AU436" s="93"/>
      <c r="AV436" s="93"/>
      <c r="AW436" s="93"/>
      <c r="AX436" s="93"/>
      <c r="AY436" s="93"/>
      <c r="AZ436" s="93"/>
      <c r="BA436" s="93"/>
      <c r="BB436" s="93"/>
      <c r="BC436" s="93"/>
      <c r="BD436" s="93"/>
      <c r="BE436" s="93"/>
      <c r="BF436" s="93"/>
      <c r="BG436" s="93"/>
      <c r="BH436" s="355">
        <f t="shared" si="726"/>
        <v>0.20394592301752174</v>
      </c>
      <c r="BI436" s="355">
        <f t="shared" si="726"/>
        <v>0.20181713609690302</v>
      </c>
      <c r="BJ436" s="355">
        <f t="shared" si="726"/>
        <v>0.20181713609690302</v>
      </c>
      <c r="BK436" s="324"/>
      <c r="BL436" s="355">
        <f t="shared" si="727"/>
        <v>0.18960319542843815</v>
      </c>
      <c r="BM436" s="355">
        <f t="shared" si="727"/>
        <v>0.20683015019645751</v>
      </c>
      <c r="BN436" s="355">
        <f t="shared" si="727"/>
        <v>0.20683015019645751</v>
      </c>
      <c r="BO436" s="324"/>
      <c r="BP436" s="355">
        <f t="shared" si="728"/>
        <v>0.23255256343311417</v>
      </c>
      <c r="BQ436" s="355">
        <f t="shared" si="728"/>
        <v>0.2430407969474464</v>
      </c>
      <c r="BR436" s="355">
        <f t="shared" si="728"/>
        <v>0.2430407969474464</v>
      </c>
      <c r="BS436" s="93"/>
      <c r="BT436" s="355">
        <f t="shared" si="729"/>
        <v>0.26058672748841938</v>
      </c>
      <c r="BU436" s="355">
        <f t="shared" si="729"/>
        <v>0.24988502856631054</v>
      </c>
      <c r="BV436" s="355">
        <f t="shared" si="729"/>
        <v>0.24988502856631054</v>
      </c>
      <c r="BW436" s="93"/>
      <c r="BX436" s="355">
        <f t="shared" si="730"/>
        <v>0.23825962094708134</v>
      </c>
      <c r="BY436" s="355">
        <f t="shared" si="730"/>
        <v>0.21343468456908615</v>
      </c>
      <c r="BZ436" s="355">
        <f t="shared" si="730"/>
        <v>0.21343468456908615</v>
      </c>
      <c r="CA436" s="93"/>
      <c r="CB436" s="355">
        <f t="shared" si="731"/>
        <v>0.22568596755276576</v>
      </c>
      <c r="CC436" s="355">
        <f t="shared" si="731"/>
        <v>0.21778715855521427</v>
      </c>
      <c r="CD436" s="355">
        <f t="shared" si="731"/>
        <v>0.21778715855521427</v>
      </c>
      <c r="CE436" s="93"/>
      <c r="CF436" s="355">
        <f t="shared" si="732"/>
        <v>0.23316390325227607</v>
      </c>
      <c r="CG436" s="355">
        <f t="shared" si="732"/>
        <v>0.22950102153707008</v>
      </c>
      <c r="CH436" s="355">
        <f t="shared" si="732"/>
        <v>0.22950102153707008</v>
      </c>
      <c r="CI436" s="93"/>
      <c r="CJ436" s="355">
        <f t="shared" si="733"/>
        <v>0.30086911331708815</v>
      </c>
      <c r="CK436" s="355">
        <f t="shared" si="733"/>
        <v>0.23246119890640513</v>
      </c>
      <c r="CL436" s="355">
        <f t="shared" si="733"/>
        <v>0.23246119890640513</v>
      </c>
      <c r="CM436" s="93"/>
      <c r="CN436" s="355">
        <f t="shared" si="734"/>
        <v>0.1780998504149934</v>
      </c>
      <c r="CO436" s="355">
        <f t="shared" si="734"/>
        <v>5.0927312921201263E-2</v>
      </c>
      <c r="CP436" s="355">
        <f t="shared" si="734"/>
        <v>5.0927312921201263E-2</v>
      </c>
      <c r="CQ436" s="93"/>
      <c r="CR436" s="355">
        <f t="shared" si="735"/>
        <v>7.1042253091364013E-2</v>
      </c>
      <c r="CS436" s="355">
        <f t="shared" si="735"/>
        <v>0.13596459460138624</v>
      </c>
      <c r="CT436" s="355">
        <f t="shared" si="735"/>
        <v>0.13596459460138624</v>
      </c>
      <c r="CU436" s="93"/>
      <c r="CV436" s="355">
        <f t="shared" ref="CV436:CX436" si="751">+CV377/CV$430</f>
        <v>6.6664170043109969E-2</v>
      </c>
      <c r="CW436" s="355">
        <f t="shared" si="751"/>
        <v>0.10399026866637136</v>
      </c>
      <c r="CX436" s="355">
        <f t="shared" si="751"/>
        <v>0.10399026866637136</v>
      </c>
      <c r="CY436" s="93"/>
      <c r="CZ436" s="355">
        <f t="shared" ref="CZ436:DB436" si="752">+CZ377/CZ$430</f>
        <v>8.1014636642499388E-2</v>
      </c>
      <c r="DA436" s="355">
        <f t="shared" si="752"/>
        <v>9.8870441273347764E-2</v>
      </c>
      <c r="DB436" s="355">
        <f t="shared" si="752"/>
        <v>9.8870441273347764E-2</v>
      </c>
      <c r="DC436" s="93"/>
      <c r="DD436" s="355">
        <f t="shared" ref="DD436:DF436" si="753">+DD377/DD$430</f>
        <v>8.7803363543861049E-2</v>
      </c>
      <c r="DE436" s="355">
        <f t="shared" si="753"/>
        <v>8.3615617329619377E-2</v>
      </c>
      <c r="DF436" s="355">
        <f t="shared" si="753"/>
        <v>8.3615617329619377E-2</v>
      </c>
      <c r="DG436" s="93"/>
      <c r="DH436" s="358">
        <f>DE436</f>
        <v>8.3615617329619377E-2</v>
      </c>
      <c r="DI436" s="358">
        <f>DH436</f>
        <v>8.3615617329619377E-2</v>
      </c>
      <c r="DJ436" s="355">
        <f>+DJ377/DJ$430</f>
        <v>8.3615617329619377E-2</v>
      </c>
      <c r="DK436" s="93"/>
      <c r="DL436" s="358">
        <f>DI436</f>
        <v>8.3615617329619377E-2</v>
      </c>
      <c r="DM436" s="358">
        <f>DL436</f>
        <v>8.3615617329619377E-2</v>
      </c>
      <c r="DN436" s="355">
        <f>+DN377/DN$430</f>
        <v>8.3615617329619377E-2</v>
      </c>
      <c r="DO436" s="93"/>
      <c r="DP436" s="358">
        <f>DM436</f>
        <v>8.3615617329619377E-2</v>
      </c>
      <c r="DQ436" s="358">
        <f>DP436</f>
        <v>8.3615617329619377E-2</v>
      </c>
      <c r="DR436" s="355">
        <f>+DR377/DR$430</f>
        <v>8.3615617329619377E-2</v>
      </c>
      <c r="DS436" s="93"/>
      <c r="DT436" s="93"/>
      <c r="DU436" s="93"/>
      <c r="DV436" s="93"/>
      <c r="DW436" s="20"/>
      <c r="DX436" s="20"/>
    </row>
    <row r="437" spans="1:128" s="21" customFormat="1" ht="13.8">
      <c r="B437" s="27"/>
      <c r="BH437" s="72"/>
      <c r="BI437" s="72"/>
      <c r="BJ437" s="72"/>
      <c r="BK437" s="49"/>
      <c r="BL437" s="72"/>
      <c r="BM437" s="72"/>
      <c r="BN437" s="72"/>
      <c r="BO437" s="49"/>
      <c r="BP437" s="72"/>
      <c r="BQ437" s="72"/>
      <c r="BR437" s="72"/>
      <c r="BT437" s="27"/>
      <c r="BX437" s="27"/>
      <c r="CB437" s="27"/>
      <c r="CF437" s="27"/>
      <c r="CJ437" s="27"/>
      <c r="CN437" s="27"/>
      <c r="CR437" s="27"/>
      <c r="CV437" s="27"/>
      <c r="CZ437" s="27"/>
      <c r="DD437" s="27"/>
      <c r="DH437" s="27"/>
      <c r="DL437" s="27"/>
      <c r="DP437" s="27"/>
      <c r="DW437" s="20"/>
      <c r="DX437" s="20"/>
    </row>
    <row r="438" spans="1:128" s="343" customFormat="1" ht="13.8">
      <c r="A438" s="343" t="s">
        <v>4</v>
      </c>
      <c r="B438" s="344"/>
      <c r="BH438" s="344"/>
      <c r="BI438" s="344"/>
      <c r="BJ438" s="344"/>
      <c r="BK438" s="344"/>
      <c r="BL438" s="344"/>
      <c r="BM438" s="344"/>
      <c r="BN438" s="344"/>
      <c r="BO438" s="344"/>
      <c r="BP438" s="344"/>
      <c r="BQ438" s="344"/>
      <c r="BR438" s="344"/>
      <c r="BT438" s="344"/>
      <c r="BU438" s="344"/>
      <c r="BV438" s="344"/>
      <c r="BX438" s="344"/>
      <c r="BY438" s="344"/>
      <c r="BZ438" s="344"/>
      <c r="CB438" s="344"/>
      <c r="CC438" s="344"/>
      <c r="CD438" s="344"/>
      <c r="CF438" s="344"/>
      <c r="CG438" s="344"/>
      <c r="CH438" s="344"/>
      <c r="CJ438" s="344"/>
      <c r="CK438" s="344"/>
      <c r="CL438" s="344"/>
      <c r="CN438" s="344"/>
      <c r="CO438" s="344"/>
      <c r="CP438" s="344"/>
      <c r="CR438" s="344"/>
      <c r="CS438" s="344"/>
      <c r="CT438" s="344"/>
      <c r="CV438" s="344"/>
      <c r="CW438" s="344"/>
      <c r="CX438" s="344"/>
      <c r="CZ438" s="344"/>
      <c r="DA438" s="344"/>
      <c r="DB438" s="344"/>
      <c r="DD438" s="344"/>
      <c r="DE438" s="344"/>
      <c r="DF438" s="344"/>
      <c r="DH438" s="344"/>
      <c r="DI438" s="344"/>
      <c r="DJ438" s="344"/>
      <c r="DL438" s="344"/>
      <c r="DM438" s="344"/>
      <c r="DN438" s="344"/>
      <c r="DP438" s="344"/>
      <c r="DQ438" s="344"/>
      <c r="DR438" s="344"/>
      <c r="DT438" s="743"/>
      <c r="DU438" s="743"/>
      <c r="DV438" s="743"/>
      <c r="DW438" s="20"/>
      <c r="DX438" s="20"/>
    </row>
    <row r="439" spans="1:128" s="21" customFormat="1" ht="13.8">
      <c r="A439" s="20"/>
      <c r="B439" s="27"/>
      <c r="BH439" s="72"/>
      <c r="BI439" s="72"/>
      <c r="BJ439" s="72"/>
      <c r="BK439" s="49"/>
      <c r="BL439" s="72"/>
      <c r="BM439" s="72"/>
      <c r="BN439" s="72"/>
      <c r="BO439" s="49"/>
      <c r="BP439" s="72"/>
      <c r="BT439" s="27"/>
      <c r="BX439" s="27"/>
      <c r="CB439" s="27"/>
      <c r="CF439" s="27"/>
      <c r="CJ439" s="27"/>
      <c r="CN439" s="27"/>
      <c r="CR439" s="27"/>
      <c r="CV439" s="27"/>
      <c r="CZ439" s="27"/>
      <c r="DD439" s="72"/>
      <c r="DH439" s="27"/>
      <c r="DL439" s="27"/>
      <c r="DP439" s="27"/>
      <c r="DW439" s="20"/>
      <c r="DX439" s="20"/>
    </row>
    <row r="440" spans="1:128" s="21" customFormat="1" ht="13.8">
      <c r="A440" s="20" t="s">
        <v>3</v>
      </c>
      <c r="B440" s="27"/>
      <c r="BH440" s="72"/>
      <c r="BI440" s="72"/>
      <c r="BJ440" s="72"/>
      <c r="BK440" s="49"/>
      <c r="BL440" s="72"/>
      <c r="BM440" s="72"/>
      <c r="BN440" s="72"/>
      <c r="BO440" s="49"/>
      <c r="BP440" s="72"/>
      <c r="BT440" s="27"/>
      <c r="BX440" s="67"/>
      <c r="BY440" s="65">
        <f>BZ440</f>
        <v>13027</v>
      </c>
      <c r="BZ440" s="781">
        <v>13027</v>
      </c>
      <c r="CB440" s="781">
        <v>13157</v>
      </c>
      <c r="CC440" s="65">
        <f>CD440</f>
        <v>12457</v>
      </c>
      <c r="CD440" s="781">
        <v>12457</v>
      </c>
      <c r="CF440" s="781">
        <v>13069</v>
      </c>
      <c r="CG440" s="65">
        <f>CH440</f>
        <v>13462</v>
      </c>
      <c r="CH440" s="781">
        <v>13462</v>
      </c>
      <c r="CJ440" s="781">
        <v>18102</v>
      </c>
      <c r="CK440" s="65">
        <f>CL440</f>
        <v>2529</v>
      </c>
      <c r="CL440" s="781">
        <v>2529</v>
      </c>
      <c r="CN440" s="781">
        <v>-1386.9999999999643</v>
      </c>
      <c r="CO440" s="65">
        <f>CP440</f>
        <v>-6859</v>
      </c>
      <c r="CP440" s="781">
        <v>-6859</v>
      </c>
      <c r="CR440" s="781">
        <v>804</v>
      </c>
      <c r="CS440" s="65">
        <f>CT440</f>
        <v>1352</v>
      </c>
      <c r="CT440" s="781">
        <v>1352</v>
      </c>
      <c r="CV440" s="781">
        <v>346</v>
      </c>
      <c r="CW440" s="65">
        <f>CX440</f>
        <v>13305</v>
      </c>
      <c r="CX440" s="781">
        <v>13305</v>
      </c>
      <c r="CZ440" s="781">
        <v>11379</v>
      </c>
      <c r="DA440" s="65">
        <f>DB440</f>
        <v>25630</v>
      </c>
      <c r="DB440" s="781">
        <v>25630</v>
      </c>
      <c r="DD440" s="781">
        <v>72789</v>
      </c>
      <c r="DE440" s="65">
        <f>DF440</f>
        <v>70225</v>
      </c>
      <c r="DF440" s="781">
        <v>70225</v>
      </c>
      <c r="DH440" s="775">
        <f>+DF440/DF373*DH373</f>
        <v>70717.057968119931</v>
      </c>
      <c r="DI440" s="775">
        <f>DJ440</f>
        <v>72252.723338272408</v>
      </c>
      <c r="DJ440" s="775">
        <f>+DH440/DH373*DJ373</f>
        <v>72252.723338272408</v>
      </c>
      <c r="DL440" s="775">
        <f>+DJ440/DJ373*DL373</f>
        <v>73862.115330336906</v>
      </c>
      <c r="DM440" s="775">
        <f>DN440</f>
        <v>75653.75813915371</v>
      </c>
      <c r="DN440" s="775">
        <f>+DL440/DL373*DN373</f>
        <v>75653.75813915371</v>
      </c>
      <c r="DP440" s="775">
        <f>+DN440/DN373*DP373</f>
        <v>77176.90436407394</v>
      </c>
      <c r="DQ440" s="775">
        <f>DR440</f>
        <v>78849.309315142891</v>
      </c>
      <c r="DR440" s="775">
        <f>+DP440/DP373*DR373</f>
        <v>78849.309315142891</v>
      </c>
      <c r="DW440" s="20"/>
      <c r="DX440" s="20"/>
    </row>
    <row r="441" spans="1:128" s="21" customFormat="1" ht="13.8">
      <c r="A441" s="20"/>
      <c r="B441" s="27"/>
      <c r="BH441" s="72"/>
      <c r="BI441" s="72"/>
      <c r="BJ441" s="72"/>
      <c r="BK441" s="49"/>
      <c r="BL441" s="72"/>
      <c r="BM441" s="72"/>
      <c r="BN441" s="72"/>
      <c r="BO441" s="49"/>
      <c r="BP441" s="72"/>
      <c r="BT441" s="27"/>
      <c r="BX441" s="27"/>
      <c r="CB441" s="27"/>
      <c r="CF441" s="27"/>
      <c r="CJ441" s="27"/>
      <c r="CN441" s="27"/>
      <c r="CR441" s="27"/>
      <c r="CV441" s="27"/>
      <c r="CZ441" s="27"/>
      <c r="DD441" s="27"/>
      <c r="DH441" s="27"/>
      <c r="DL441" s="27"/>
      <c r="DP441" s="27"/>
      <c r="DW441" s="20"/>
      <c r="DX441" s="20"/>
    </row>
    <row r="442" spans="1:128" s="21" customFormat="1" ht="13.8">
      <c r="A442" s="20" t="s">
        <v>51</v>
      </c>
      <c r="B442" s="27"/>
      <c r="BH442" s="65">
        <f>BH352</f>
        <v>404745</v>
      </c>
      <c r="BI442" s="65">
        <f>BI352</f>
        <v>426072</v>
      </c>
      <c r="BJ442" s="65">
        <f>BJ352</f>
        <v>426072</v>
      </c>
      <c r="BK442" s="49"/>
      <c r="BL442" s="65">
        <f>BL352</f>
        <v>444743</v>
      </c>
      <c r="BM442" s="65">
        <f>BM352</f>
        <v>455334</v>
      </c>
      <c r="BN442" s="65">
        <f>BN352</f>
        <v>455334</v>
      </c>
      <c r="BO442" s="49"/>
      <c r="BP442" s="65">
        <f>BP352</f>
        <v>495367</v>
      </c>
      <c r="BQ442" s="65">
        <f>BQ352</f>
        <v>506467</v>
      </c>
      <c r="BR442" s="65">
        <f>BR352</f>
        <v>506467</v>
      </c>
      <c r="BT442" s="65">
        <f>BT352</f>
        <v>510294</v>
      </c>
      <c r="BU442" s="65">
        <f>BU352</f>
        <v>509569</v>
      </c>
      <c r="BV442" s="65">
        <f>BV352</f>
        <v>509569</v>
      </c>
      <c r="BX442" s="65">
        <f>BX352</f>
        <v>524492</v>
      </c>
      <c r="BY442" s="65">
        <f>BY352</f>
        <v>521898</v>
      </c>
      <c r="BZ442" s="65">
        <f>BZ352</f>
        <v>521898</v>
      </c>
      <c r="CB442" s="65">
        <f>CB352</f>
        <v>522158</v>
      </c>
      <c r="CC442" s="65">
        <f>CC352</f>
        <v>529166</v>
      </c>
      <c r="CD442" s="65">
        <f>CD352</f>
        <v>529166</v>
      </c>
      <c r="CF442" s="65">
        <f>CF352</f>
        <v>536193</v>
      </c>
      <c r="CG442" s="65">
        <f>CG352</f>
        <v>548339</v>
      </c>
      <c r="CH442" s="65">
        <f>CH352</f>
        <v>548339</v>
      </c>
      <c r="CJ442" s="65">
        <f>CJ352</f>
        <v>604374</v>
      </c>
      <c r="CK442" s="65">
        <f>CK352</f>
        <v>584854</v>
      </c>
      <c r="CL442" s="65">
        <f>CL352</f>
        <v>584854</v>
      </c>
      <c r="CN442" s="65">
        <f>CN352</f>
        <v>601525</v>
      </c>
      <c r="CO442" s="65">
        <f>CO352</f>
        <v>631290</v>
      </c>
      <c r="CP442" s="65">
        <f>CP352</f>
        <v>631290</v>
      </c>
      <c r="CR442" s="65">
        <f>CR352</f>
        <v>647999</v>
      </c>
      <c r="CS442" s="65">
        <f>CS352</f>
        <v>654479</v>
      </c>
      <c r="CT442" s="65">
        <f>CT352</f>
        <v>654479</v>
      </c>
      <c r="CV442" s="65">
        <f>CV352</f>
        <v>693172</v>
      </c>
      <c r="CW442" s="65">
        <f>CW352</f>
        <v>689038</v>
      </c>
      <c r="CX442" s="65">
        <f>CX352</f>
        <v>689038</v>
      </c>
      <c r="CZ442" s="65">
        <f>CZ352</f>
        <v>680185</v>
      </c>
      <c r="DA442" s="65">
        <f>DA352</f>
        <v>757417</v>
      </c>
      <c r="DB442" s="65">
        <f>DB352</f>
        <v>757417</v>
      </c>
      <c r="DD442" s="65">
        <f>DD352</f>
        <v>796146</v>
      </c>
      <c r="DE442" s="65">
        <f>DE352</f>
        <v>793818</v>
      </c>
      <c r="DF442" s="65">
        <f>DF352</f>
        <v>793818</v>
      </c>
      <c r="DH442" s="65">
        <f>DH352</f>
        <v>794566.66850752977</v>
      </c>
      <c r="DI442" s="65">
        <f>DI352</f>
        <v>809918.03040195606</v>
      </c>
      <c r="DJ442" s="65">
        <f>DJ352</f>
        <v>809918.03040195606</v>
      </c>
      <c r="DL442" s="65">
        <f>DL352</f>
        <v>825644.64455278334</v>
      </c>
      <c r="DM442" s="65">
        <f>DM352</f>
        <v>841754.60590902634</v>
      </c>
      <c r="DN442" s="65">
        <f>DN352</f>
        <v>841754.60590902634</v>
      </c>
      <c r="DP442" s="65">
        <f>DP352</f>
        <v>858256.24974374799</v>
      </c>
      <c r="DQ442" s="65">
        <f>DQ352</f>
        <v>875158.15726094227</v>
      </c>
      <c r="DR442" s="65">
        <f>DR352</f>
        <v>875158.15726094227</v>
      </c>
      <c r="DW442" s="20"/>
      <c r="DX442" s="20"/>
    </row>
    <row r="443" spans="1:128" s="21" customFormat="1" ht="13.8">
      <c r="A443" s="20" t="s">
        <v>52</v>
      </c>
      <c r="B443" s="27"/>
      <c r="BH443" s="65">
        <f t="shared" ref="BH443:BJ444" si="754">BH375</f>
        <v>60226</v>
      </c>
      <c r="BI443" s="65">
        <f t="shared" si="754"/>
        <v>70376</v>
      </c>
      <c r="BJ443" s="65">
        <f t="shared" si="754"/>
        <v>70376</v>
      </c>
      <c r="BK443" s="49"/>
      <c r="BL443" s="65">
        <f t="shared" ref="BL443:BN444" si="755">BL375</f>
        <v>73552</v>
      </c>
      <c r="BM443" s="65">
        <f t="shared" si="755"/>
        <v>80096</v>
      </c>
      <c r="BN443" s="65">
        <f t="shared" si="755"/>
        <v>80096</v>
      </c>
      <c r="BO443" s="49"/>
      <c r="BP443" s="65">
        <f t="shared" ref="BP443:BR444" si="756">BP375</f>
        <v>85664</v>
      </c>
      <c r="BQ443" s="65">
        <f t="shared" si="756"/>
        <v>93747</v>
      </c>
      <c r="BR443" s="65">
        <f t="shared" si="756"/>
        <v>93747</v>
      </c>
      <c r="BT443" s="65">
        <f t="shared" ref="BT443:BV444" si="757">BT375</f>
        <v>81947</v>
      </c>
      <c r="BU443" s="65">
        <f t="shared" si="757"/>
        <v>91080</v>
      </c>
      <c r="BV443" s="65">
        <f t="shared" si="757"/>
        <v>91080</v>
      </c>
      <c r="BX443" s="65">
        <f t="shared" ref="BX443:BZ444" si="758">BX375</f>
        <v>88778</v>
      </c>
      <c r="BY443" s="65">
        <f t="shared" si="758"/>
        <v>90263</v>
      </c>
      <c r="BZ443" s="65">
        <f t="shared" si="758"/>
        <v>90263</v>
      </c>
      <c r="CB443" s="65">
        <f t="shared" ref="CB443:CD444" si="759">CB375</f>
        <v>97576</v>
      </c>
      <c r="CC443" s="65">
        <f t="shared" si="759"/>
        <v>105300</v>
      </c>
      <c r="CD443" s="65">
        <f t="shared" si="759"/>
        <v>105300</v>
      </c>
      <c r="CF443" s="65">
        <f t="shared" ref="CF443:CH444" si="760">CF375</f>
        <v>113400</v>
      </c>
      <c r="CG443" s="65">
        <f t="shared" si="760"/>
        <v>113100</v>
      </c>
      <c r="CH443" s="65">
        <f t="shared" si="760"/>
        <v>113100</v>
      </c>
      <c r="CJ443" s="65">
        <f t="shared" ref="CJ443:CL444" si="761">CJ375</f>
        <v>119100</v>
      </c>
      <c r="CK443" s="65">
        <f t="shared" si="761"/>
        <v>110600</v>
      </c>
      <c r="CL443" s="65">
        <f t="shared" si="761"/>
        <v>110600</v>
      </c>
      <c r="CN443" s="65">
        <f t="shared" ref="CN443:CP444" si="762">CN375</f>
        <v>96000</v>
      </c>
      <c r="CO443" s="65">
        <f t="shared" si="762"/>
        <v>97100</v>
      </c>
      <c r="CP443" s="65">
        <f t="shared" si="762"/>
        <v>97100</v>
      </c>
      <c r="CR443" s="65">
        <f t="shared" ref="CR443:CT444" si="763">CR375</f>
        <v>86400</v>
      </c>
      <c r="CS443" s="65">
        <f t="shared" si="763"/>
        <v>89000</v>
      </c>
      <c r="CT443" s="65">
        <f t="shared" si="763"/>
        <v>89000</v>
      </c>
      <c r="CV443" s="65">
        <f t="shared" ref="CV443:CX443" si="764">CV375</f>
        <v>97100</v>
      </c>
      <c r="CW443" s="65">
        <f t="shared" si="764"/>
        <v>94000</v>
      </c>
      <c r="CX443" s="65">
        <f t="shared" si="764"/>
        <v>94000</v>
      </c>
      <c r="CZ443" s="65">
        <f t="shared" ref="CZ443:DB443" si="765">CZ375</f>
        <v>102300</v>
      </c>
      <c r="DA443" s="65">
        <f t="shared" si="765"/>
        <v>119200</v>
      </c>
      <c r="DB443" s="65">
        <f t="shared" si="765"/>
        <v>119200</v>
      </c>
      <c r="DC443" s="46"/>
      <c r="DD443" s="65">
        <f t="shared" ref="DD443:DF443" si="766">DD375</f>
        <v>126700</v>
      </c>
      <c r="DE443" s="65">
        <f t="shared" si="766"/>
        <v>125200</v>
      </c>
      <c r="DF443" s="65">
        <f t="shared" si="766"/>
        <v>125200</v>
      </c>
      <c r="DH443" s="65">
        <f t="shared" ref="DH443:DJ443" ca="1" si="767">DH375</f>
        <v>128912.45033187221</v>
      </c>
      <c r="DI443" s="65">
        <f t="shared" ca="1" si="767"/>
        <v>133842.22376056423</v>
      </c>
      <c r="DJ443" s="65">
        <f t="shared" ca="1" si="767"/>
        <v>133842.22376056423</v>
      </c>
      <c r="DL443" s="65">
        <f t="shared" ref="DL443:DN443" ca="1" si="768">DL375</f>
        <v>139353.50262074574</v>
      </c>
      <c r="DM443" s="65">
        <f t="shared" ca="1" si="768"/>
        <v>147554.62773571693</v>
      </c>
      <c r="DN443" s="65">
        <f t="shared" ca="1" si="768"/>
        <v>147554.62773571693</v>
      </c>
      <c r="DP443" s="65">
        <f t="shared" ref="DP443:DR443" ca="1" si="769">DP375</f>
        <v>151422.57595793909</v>
      </c>
      <c r="DQ443" s="65">
        <f t="shared" ca="1" si="769"/>
        <v>156965.29065986277</v>
      </c>
      <c r="DR443" s="65">
        <f t="shared" ca="1" si="769"/>
        <v>156965.29065986277</v>
      </c>
      <c r="DW443" s="20"/>
      <c r="DX443" s="20"/>
    </row>
    <row r="444" spans="1:128" s="21" customFormat="1" ht="13.8">
      <c r="A444" s="20" t="s">
        <v>945</v>
      </c>
      <c r="B444" s="27"/>
      <c r="BH444" s="65">
        <f t="shared" si="754"/>
        <v>11666</v>
      </c>
      <c r="BI444" s="65">
        <f t="shared" si="754"/>
        <v>12804</v>
      </c>
      <c r="BJ444" s="65">
        <f t="shared" si="754"/>
        <v>12804</v>
      </c>
      <c r="BK444" s="49"/>
      <c r="BL444" s="65">
        <f t="shared" si="755"/>
        <v>13226</v>
      </c>
      <c r="BM444" s="65">
        <f t="shared" si="755"/>
        <v>13607</v>
      </c>
      <c r="BN444" s="65">
        <f t="shared" si="755"/>
        <v>13607</v>
      </c>
      <c r="BO444" s="49"/>
      <c r="BP444" s="65">
        <f t="shared" si="756"/>
        <v>16463</v>
      </c>
      <c r="BQ444" s="65">
        <f t="shared" si="756"/>
        <v>17009</v>
      </c>
      <c r="BR444" s="65">
        <f t="shared" si="756"/>
        <v>17009</v>
      </c>
      <c r="BT444" s="65">
        <f t="shared" si="757"/>
        <v>17557</v>
      </c>
      <c r="BU444" s="65">
        <f t="shared" si="757"/>
        <v>21964</v>
      </c>
      <c r="BV444" s="65">
        <f t="shared" si="757"/>
        <v>21964</v>
      </c>
      <c r="BX444" s="65">
        <f t="shared" si="758"/>
        <v>20297</v>
      </c>
      <c r="BY444" s="65">
        <f t="shared" si="758"/>
        <v>17710</v>
      </c>
      <c r="BZ444" s="65">
        <f t="shared" si="758"/>
        <v>17710</v>
      </c>
      <c r="CB444" s="65">
        <f t="shared" si="759"/>
        <v>17260</v>
      </c>
      <c r="CC444" s="65">
        <f t="shared" si="759"/>
        <v>15900</v>
      </c>
      <c r="CD444" s="65">
        <f t="shared" si="759"/>
        <v>15900</v>
      </c>
      <c r="CF444" s="65">
        <f t="shared" si="760"/>
        <v>16300</v>
      </c>
      <c r="CG444" s="65">
        <f t="shared" si="760"/>
        <v>16600</v>
      </c>
      <c r="CH444" s="65">
        <f t="shared" si="760"/>
        <v>16600</v>
      </c>
      <c r="CJ444" s="65">
        <f t="shared" si="761"/>
        <v>21100</v>
      </c>
      <c r="CK444" s="65">
        <f t="shared" si="761"/>
        <v>21100</v>
      </c>
      <c r="CL444" s="65">
        <f t="shared" si="761"/>
        <v>21100</v>
      </c>
      <c r="CN444" s="65">
        <f t="shared" si="762"/>
        <v>23700</v>
      </c>
      <c r="CO444" s="65">
        <f t="shared" si="762"/>
        <v>25300</v>
      </c>
      <c r="CP444" s="65">
        <f t="shared" si="762"/>
        <v>25300</v>
      </c>
      <c r="CR444" s="65">
        <f t="shared" si="763"/>
        <v>22600</v>
      </c>
      <c r="CS444" s="65">
        <f t="shared" si="763"/>
        <v>27300</v>
      </c>
      <c r="CT444" s="65">
        <f t="shared" si="763"/>
        <v>27300</v>
      </c>
      <c r="CV444" s="65">
        <f t="shared" ref="CV444:CX444" si="770">CV376</f>
        <v>32700</v>
      </c>
      <c r="CW444" s="65">
        <f t="shared" si="770"/>
        <v>33700</v>
      </c>
      <c r="CX444" s="65">
        <f t="shared" si="770"/>
        <v>33700</v>
      </c>
      <c r="CZ444" s="65">
        <f t="shared" ref="CZ444:DB444" si="771">CZ376</f>
        <v>36300</v>
      </c>
      <c r="DA444" s="65">
        <f t="shared" si="771"/>
        <v>39700</v>
      </c>
      <c r="DB444" s="65">
        <f t="shared" si="771"/>
        <v>39700</v>
      </c>
      <c r="DD444" s="65">
        <f t="shared" ref="DD444:DF444" si="772">DD376</f>
        <v>42876</v>
      </c>
      <c r="DE444" s="65">
        <f t="shared" si="772"/>
        <v>44100</v>
      </c>
      <c r="DF444" s="65">
        <f t="shared" si="772"/>
        <v>44100</v>
      </c>
      <c r="DH444" s="65">
        <f t="shared" ref="DH444:DJ444" si="773">DH376</f>
        <v>44409.003295038645</v>
      </c>
      <c r="DI444" s="65">
        <f t="shared" si="773"/>
        <v>45373.372719370782</v>
      </c>
      <c r="DJ444" s="65">
        <f t="shared" si="773"/>
        <v>45373.372719370782</v>
      </c>
      <c r="DL444" s="65">
        <f t="shared" ref="DL444:DN444" si="774">DL376</f>
        <v>46384.041097441899</v>
      </c>
      <c r="DM444" s="65">
        <f t="shared" si="774"/>
        <v>47509.15961461985</v>
      </c>
      <c r="DN444" s="65">
        <f t="shared" si="774"/>
        <v>47509.15961461985</v>
      </c>
      <c r="DP444" s="65">
        <f t="shared" ref="DP444:DR444" si="775">DP376</f>
        <v>48465.66724749963</v>
      </c>
      <c r="DQ444" s="65">
        <f t="shared" si="775"/>
        <v>49515.906597334309</v>
      </c>
      <c r="DR444" s="65">
        <f t="shared" si="775"/>
        <v>49515.906597334309</v>
      </c>
      <c r="DW444" s="20"/>
      <c r="DX444" s="20"/>
    </row>
    <row r="445" spans="1:128" s="21" customFormat="1" ht="13.8">
      <c r="A445" s="20" t="s">
        <v>209</v>
      </c>
      <c r="B445" s="27"/>
      <c r="BH445" s="65">
        <f>BH1043+BH1045</f>
        <v>41632</v>
      </c>
      <c r="BI445" s="65">
        <f>BI1043+BI1045</f>
        <v>44732</v>
      </c>
      <c r="BJ445" s="65">
        <f>BI445</f>
        <v>44732</v>
      </c>
      <c r="BK445" s="49"/>
      <c r="BL445" s="65">
        <f>BL1043+BL1045</f>
        <v>46167</v>
      </c>
      <c r="BM445" s="65">
        <f>BM1043+BM1045</f>
        <v>48413</v>
      </c>
      <c r="BN445" s="65">
        <f>BM445</f>
        <v>48413</v>
      </c>
      <c r="BO445" s="49"/>
      <c r="BP445" s="65">
        <f>BP1043+BP1045</f>
        <v>52051</v>
      </c>
      <c r="BQ445" s="65">
        <f>BQ1043+BQ1045</f>
        <v>57353</v>
      </c>
      <c r="BR445" s="65">
        <f>BQ445</f>
        <v>57353</v>
      </c>
      <c r="BT445" s="65">
        <f>BT1043+BT1045</f>
        <v>56464</v>
      </c>
      <c r="BU445" s="65">
        <f>BU1043+BU1045</f>
        <v>57927</v>
      </c>
      <c r="BV445" s="65">
        <f>BU445</f>
        <v>57927</v>
      </c>
      <c r="BX445" s="65">
        <f>BX1043+BX1045</f>
        <v>57908</v>
      </c>
      <c r="BY445" s="65">
        <f>BY1043+BY1045</f>
        <v>59075</v>
      </c>
      <c r="BZ445" s="65">
        <f>BY445</f>
        <v>59075</v>
      </c>
      <c r="CB445" s="65">
        <f>CB1043+CB1045</f>
        <v>59500</v>
      </c>
      <c r="CC445" s="65">
        <f>CC1043+CC1045</f>
        <v>59383</v>
      </c>
      <c r="CD445" s="65">
        <f>CC445</f>
        <v>59383</v>
      </c>
      <c r="CF445" s="65">
        <f>CF1043+CF1045</f>
        <v>59971</v>
      </c>
      <c r="CG445" s="65">
        <f>CG1043+CG1045</f>
        <v>60794</v>
      </c>
      <c r="CH445" s="65">
        <f>CG445</f>
        <v>60794</v>
      </c>
      <c r="CJ445" s="65">
        <f>CJ1043+CJ1045</f>
        <v>61375</v>
      </c>
      <c r="CK445" s="65">
        <f>CK1043+CK1045</f>
        <v>61297</v>
      </c>
      <c r="CL445" s="65">
        <f>CK445</f>
        <v>61297</v>
      </c>
      <c r="CN445" s="65">
        <f>CN1043+CN1045</f>
        <v>62576</v>
      </c>
      <c r="CO445" s="65">
        <f>CO1043+CO1045</f>
        <v>63676</v>
      </c>
      <c r="CP445" s="65">
        <f>CO445</f>
        <v>63676</v>
      </c>
      <c r="CR445" s="65">
        <f>CR1043+CR1045</f>
        <v>61756</v>
      </c>
      <c r="CS445" s="65">
        <f>CS1043+CS1045</f>
        <v>66401</v>
      </c>
      <c r="CT445" s="65">
        <f>CS445</f>
        <v>66401</v>
      </c>
      <c r="CV445" s="65">
        <f>CV1043+CV1045</f>
        <v>69580</v>
      </c>
      <c r="CW445" s="65">
        <f>CW1043+CW1045</f>
        <v>70017</v>
      </c>
      <c r="CX445" s="65">
        <f>CW445</f>
        <v>70017</v>
      </c>
      <c r="CZ445" s="65">
        <f>CZ1043+CZ1045</f>
        <v>71074</v>
      </c>
      <c r="DA445" s="65">
        <f>DA1043+DA1045</f>
        <v>70628</v>
      </c>
      <c r="DB445" s="65">
        <f>DA445</f>
        <v>70628</v>
      </c>
      <c r="DD445" s="65">
        <f>DD1043+DD1045</f>
        <v>72331</v>
      </c>
      <c r="DE445" s="65">
        <f>DE1043+DE1045</f>
        <v>71867</v>
      </c>
      <c r="DF445" s="65">
        <f>DE445</f>
        <v>71867</v>
      </c>
      <c r="DH445" s="65">
        <f ca="1">DH1043+DH1045</f>
        <v>73848.319410450567</v>
      </c>
      <c r="DI445" s="65">
        <f ca="1">DI1043+DI1045</f>
        <v>75134.500404853752</v>
      </c>
      <c r="DJ445" s="65">
        <f ca="1">DI445</f>
        <v>75134.500404853752</v>
      </c>
      <c r="DL445" s="65">
        <f ca="1">DL1043+DL1045</f>
        <v>76526.931352849206</v>
      </c>
      <c r="DM445" s="65">
        <f ca="1">DM1043+DM1045</f>
        <v>77313.233218012116</v>
      </c>
      <c r="DN445" s="65">
        <f ca="1">DM445</f>
        <v>77313.233218012116</v>
      </c>
      <c r="DP445" s="65">
        <f ca="1">DP1043+DP1045</f>
        <v>78252.087646612039</v>
      </c>
      <c r="DQ445" s="65">
        <f ca="1">DQ1043+DQ1045</f>
        <v>79233.214539050052</v>
      </c>
      <c r="DR445" s="65">
        <f ca="1">DQ445</f>
        <v>79233.214539050052</v>
      </c>
      <c r="DW445" s="20"/>
      <c r="DX445" s="20"/>
    </row>
    <row r="446" spans="1:128" s="21" customFormat="1" ht="13.8">
      <c r="A446" s="20" t="s">
        <v>426</v>
      </c>
      <c r="B446" s="27"/>
      <c r="BH446" s="65">
        <f>+BH373+BH374</f>
        <v>59733</v>
      </c>
      <c r="BI446" s="65">
        <f>+BI373+BI374</f>
        <v>49538</v>
      </c>
      <c r="BJ446" s="65">
        <f>+BJ373+BJ374</f>
        <v>49538</v>
      </c>
      <c r="BK446" s="49"/>
      <c r="BL446" s="65">
        <f>+BL373+BL374</f>
        <v>61708</v>
      </c>
      <c r="BM446" s="65">
        <f>+BM373+BM374</f>
        <v>64859</v>
      </c>
      <c r="BN446" s="65">
        <f>+BN373+BN374</f>
        <v>64859</v>
      </c>
      <c r="BO446" s="49"/>
      <c r="BP446" s="65">
        <f>+BP373+BP374</f>
        <v>79607</v>
      </c>
      <c r="BQ446" s="65">
        <f>+BQ373+BQ374</f>
        <v>75577</v>
      </c>
      <c r="BR446" s="65">
        <f>+BR373+BR374</f>
        <v>75577</v>
      </c>
      <c r="BT446" s="65">
        <f>+BT373+BT374</f>
        <v>81403</v>
      </c>
      <c r="BU446" s="65">
        <f>+BU373+BU374</f>
        <v>89251</v>
      </c>
      <c r="BV446" s="65">
        <f>+BV373+BV374</f>
        <v>89251</v>
      </c>
      <c r="BX446" s="65">
        <f>+BX373+BX374</f>
        <v>66651</v>
      </c>
      <c r="BY446" s="781">
        <f>+BY373+BY374+BY440</f>
        <v>96654</v>
      </c>
      <c r="BZ446" s="781">
        <f>+BZ373+BZ374+BZ440</f>
        <v>96654</v>
      </c>
      <c r="CB446" s="781">
        <f>+CB373+CB374+CB440</f>
        <v>117806</v>
      </c>
      <c r="CC446" s="781">
        <f>+CC373+CC374+CC440</f>
        <v>113251</v>
      </c>
      <c r="CD446" s="781">
        <f>+CD373+CD374+CD440</f>
        <v>113251</v>
      </c>
      <c r="CF446" s="781">
        <f>+CF373+CF374+CF440</f>
        <v>124236</v>
      </c>
      <c r="CG446" s="781">
        <f>+CG373+CG374+CG440</f>
        <v>113667</v>
      </c>
      <c r="CH446" s="781">
        <f>+CH373+CH374+CH440</f>
        <v>113667</v>
      </c>
      <c r="CJ446" s="781">
        <f>+CJ373+CJ374+CJ440</f>
        <v>162951</v>
      </c>
      <c r="CK446" s="781">
        <f>+CK373+CK374+CK440</f>
        <v>122249</v>
      </c>
      <c r="CL446" s="781">
        <f>+CL373+CL374+CL440</f>
        <v>122249</v>
      </c>
      <c r="CN446" s="781">
        <f>+CN373+CN374+CN440</f>
        <v>122899.00000000003</v>
      </c>
      <c r="CO446" s="781">
        <f>+CO373+CO374+CO440</f>
        <v>122334</v>
      </c>
      <c r="CP446" s="781">
        <f>+CP373+CP374+CP440</f>
        <v>122334</v>
      </c>
      <c r="CR446" s="781">
        <f>+CR373+CR374+CR440</f>
        <v>152845</v>
      </c>
      <c r="CS446" s="781">
        <f>+CS373+CS374+CS440</f>
        <v>157920</v>
      </c>
      <c r="CT446" s="781">
        <f>+CT373+CT374+CT440</f>
        <v>157920</v>
      </c>
      <c r="CV446" s="781">
        <f>+CV373+CV374+CV440</f>
        <v>172748</v>
      </c>
      <c r="CW446" s="781">
        <f>+CW373+CW374+CW440</f>
        <v>158245</v>
      </c>
      <c r="CX446" s="781">
        <f>+CX373+CX374+CX440</f>
        <v>158245</v>
      </c>
      <c r="CZ446" s="781">
        <f>+CZ373+CZ374+CZ440</f>
        <v>152957</v>
      </c>
      <c r="DA446" s="781">
        <f>+DA373+DA374+DA440</f>
        <v>187955</v>
      </c>
      <c r="DB446" s="781">
        <f>+DB373+DB374+DB440</f>
        <v>187955</v>
      </c>
      <c r="DD446" s="781">
        <f>+DD373+DD374+DD440</f>
        <v>264947</v>
      </c>
      <c r="DE446" s="781">
        <f>+DE373+DE374+DE440</f>
        <v>262615</v>
      </c>
      <c r="DF446" s="781">
        <f>+DF373+DF374+DF440</f>
        <v>262615</v>
      </c>
      <c r="DH446" s="781">
        <f>+DH373+DH374+DH440</f>
        <v>264455.11111851642</v>
      </c>
      <c r="DI446" s="781">
        <f>+DI373+DI374+DI440</f>
        <v>270197.92010652059</v>
      </c>
      <c r="DJ446" s="781">
        <f>+DJ373+DJ374+DJ440</f>
        <v>270197.92010652059</v>
      </c>
      <c r="DL446" s="781">
        <f>+DL373+DL374+DL440</f>
        <v>276216.43883910897</v>
      </c>
      <c r="DM446" s="781">
        <f>+DM373+DM374+DM440</f>
        <v>282916.50685245788</v>
      </c>
      <c r="DN446" s="781">
        <f>+DN373+DN374+DN440</f>
        <v>282916.50685245788</v>
      </c>
      <c r="DP446" s="781">
        <f>+DP373+DP374+DP440</f>
        <v>288612.49896149919</v>
      </c>
      <c r="DQ446" s="781">
        <f>+DQ373+DQ374+DQ440</f>
        <v>294866.66238228907</v>
      </c>
      <c r="DR446" s="781">
        <f>+DR373+DR374+DR440</f>
        <v>294866.66238228907</v>
      </c>
      <c r="DW446" s="20"/>
      <c r="DX446" s="20"/>
    </row>
    <row r="447" spans="1:128" s="21" customFormat="1" ht="13.8">
      <c r="A447" s="21" t="s">
        <v>944</v>
      </c>
      <c r="B447" s="27"/>
      <c r="BH447" s="72">
        <f>SUM(BH442:BH446)</f>
        <v>578002</v>
      </c>
      <c r="BI447" s="72">
        <f>SUM(BI442:BI446)</f>
        <v>603522</v>
      </c>
      <c r="BJ447" s="72">
        <f>SUM(BJ442:BJ446)</f>
        <v>603522</v>
      </c>
      <c r="BK447" s="49"/>
      <c r="BL447" s="72">
        <f>SUM(BL442:BL446)</f>
        <v>639396</v>
      </c>
      <c r="BM447" s="72">
        <f>SUM(BM442:BM446)</f>
        <v>662309</v>
      </c>
      <c r="BN447" s="72">
        <f>SUM(BN442:BN446)</f>
        <v>662309</v>
      </c>
      <c r="BO447" s="49"/>
      <c r="BP447" s="72">
        <f>SUM(BP442:BP446)</f>
        <v>729152</v>
      </c>
      <c r="BQ447" s="72">
        <f>SUM(BQ442:BQ446)</f>
        <v>750153</v>
      </c>
      <c r="BR447" s="72">
        <f>SUM(BR442:BR446)</f>
        <v>750153</v>
      </c>
      <c r="BT447" s="72">
        <f>SUM(BT442:BT446)</f>
        <v>747665</v>
      </c>
      <c r="BU447" s="72">
        <f>SUM(BU442:BU446)</f>
        <v>769791</v>
      </c>
      <c r="BV447" s="72">
        <f>SUM(BV442:BV446)</f>
        <v>769791</v>
      </c>
      <c r="BX447" s="72">
        <f>SUM(BX442:BX446)</f>
        <v>758126</v>
      </c>
      <c r="BY447" s="72">
        <f>SUM(BY442:BY446)</f>
        <v>785600</v>
      </c>
      <c r="BZ447" s="72">
        <f>SUM(BZ442:BZ446)</f>
        <v>785600</v>
      </c>
      <c r="CB447" s="72">
        <f>SUM(CB442:CB446)</f>
        <v>814300</v>
      </c>
      <c r="CC447" s="72">
        <f>SUM(CC442:CC446)</f>
        <v>823000</v>
      </c>
      <c r="CD447" s="72">
        <f>SUM(CD442:CD446)</f>
        <v>823000</v>
      </c>
      <c r="CF447" s="72">
        <f>SUM(CF442:CF446)</f>
        <v>850100</v>
      </c>
      <c r="CG447" s="72">
        <f>SUM(CG442:CG446)</f>
        <v>852500</v>
      </c>
      <c r="CH447" s="72">
        <f>SUM(CH442:CH446)</f>
        <v>852500</v>
      </c>
      <c r="CJ447" s="72">
        <f>SUM(CJ442:CJ446)</f>
        <v>968900</v>
      </c>
      <c r="CK447" s="72">
        <f>SUM(CK442:CK446)</f>
        <v>900100</v>
      </c>
      <c r="CL447" s="72">
        <f>SUM(CL442:CL446)</f>
        <v>900100</v>
      </c>
      <c r="CN447" s="72">
        <f>SUM(CN442:CN446)</f>
        <v>906700</v>
      </c>
      <c r="CO447" s="72">
        <f>SUM(CO442:CO446)</f>
        <v>939700</v>
      </c>
      <c r="CP447" s="72">
        <f>SUM(CP442:CP446)</f>
        <v>939700</v>
      </c>
      <c r="CR447" s="72">
        <f>SUM(CR442:CR446)</f>
        <v>971600</v>
      </c>
      <c r="CS447" s="72">
        <f>SUM(CS442:CS446)</f>
        <v>995100</v>
      </c>
      <c r="CT447" s="72">
        <f>SUM(CT442:CT446)</f>
        <v>995100</v>
      </c>
      <c r="CV447" s="72">
        <f>SUM(CV442:CV446)</f>
        <v>1065300</v>
      </c>
      <c r="CW447" s="72">
        <f>SUM(CW442:CW446)</f>
        <v>1045000</v>
      </c>
      <c r="CX447" s="72">
        <f>SUM(CX442:CX446)</f>
        <v>1045000</v>
      </c>
      <c r="CZ447" s="72">
        <f>SUM(CZ442:CZ446)</f>
        <v>1042816</v>
      </c>
      <c r="DA447" s="72">
        <f>SUM(DA442:DA446)</f>
        <v>1174900</v>
      </c>
      <c r="DB447" s="72">
        <f>SUM(DB442:DB446)</f>
        <v>1174900</v>
      </c>
      <c r="DD447" s="72">
        <f>SUM(DD442:DD446)</f>
        <v>1303000</v>
      </c>
      <c r="DE447" s="72">
        <f>SUM(DE442:DE446)</f>
        <v>1297600</v>
      </c>
      <c r="DF447" s="72">
        <f>SUM(DF442:DF446)</f>
        <v>1297600</v>
      </c>
      <c r="DH447" s="72">
        <f ca="1">SUM(DH442:DH446)</f>
        <v>1306191.5526634075</v>
      </c>
      <c r="DI447" s="72">
        <f ca="1">SUM(DI442:DI446)</f>
        <v>1334466.0473932654</v>
      </c>
      <c r="DJ447" s="72">
        <f ca="1">SUM(DJ442:DJ446)</f>
        <v>1334466.0473932654</v>
      </c>
      <c r="DL447" s="72">
        <f ca="1">SUM(DL442:DL446)</f>
        <v>1364125.558462929</v>
      </c>
      <c r="DM447" s="72">
        <f ca="1">SUM(DM442:DM446)</f>
        <v>1397048.1333298329</v>
      </c>
      <c r="DN447" s="72">
        <f ca="1">SUM(DN442:DN446)</f>
        <v>1397048.1333298329</v>
      </c>
      <c r="DP447" s="72">
        <f ca="1">SUM(DP442:DP446)</f>
        <v>1425009.0795572978</v>
      </c>
      <c r="DQ447" s="72">
        <f ca="1">SUM(DQ442:DQ446)</f>
        <v>1455739.2314394785</v>
      </c>
      <c r="DR447" s="72">
        <f ca="1">SUM(DR442:DR446)</f>
        <v>1455739.2314394785</v>
      </c>
      <c r="DW447" s="20"/>
      <c r="DX447" s="20"/>
    </row>
    <row r="448" spans="1:128" s="21" customFormat="1" ht="13.8">
      <c r="A448" s="20" t="s">
        <v>943</v>
      </c>
      <c r="B448" s="27"/>
      <c r="BH448" s="72"/>
      <c r="BI448" s="72"/>
      <c r="BJ448" s="72"/>
      <c r="BK448" s="49"/>
      <c r="BL448" s="72"/>
      <c r="BM448" s="72"/>
      <c r="BN448" s="72"/>
      <c r="BO448" s="49"/>
      <c r="BP448" s="72"/>
      <c r="BQ448" s="72"/>
      <c r="BR448" s="72"/>
      <c r="BT448" s="72"/>
      <c r="BU448" s="72"/>
      <c r="BV448" s="72"/>
      <c r="BX448" s="72"/>
      <c r="BY448" s="65">
        <f>BZ448</f>
        <v>785600</v>
      </c>
      <c r="BZ448" s="67">
        <v>785600</v>
      </c>
      <c r="CA448" s="20"/>
      <c r="CB448" s="67">
        <v>814300</v>
      </c>
      <c r="CC448" s="65">
        <f>CD448</f>
        <v>823000</v>
      </c>
      <c r="CD448" s="67">
        <v>823000</v>
      </c>
      <c r="CF448" s="67">
        <v>850100</v>
      </c>
      <c r="CG448" s="65">
        <f>CH448</f>
        <v>852500</v>
      </c>
      <c r="CH448" s="67">
        <f>852.5*1000</f>
        <v>852500</v>
      </c>
      <c r="CJ448" s="67">
        <v>968900</v>
      </c>
      <c r="CK448" s="65">
        <f>CL448</f>
        <v>900100</v>
      </c>
      <c r="CL448" s="67">
        <f>900.1*1000</f>
        <v>900100</v>
      </c>
      <c r="CN448" s="67">
        <v>906700</v>
      </c>
      <c r="CO448" s="65">
        <f>CP448</f>
        <v>939700</v>
      </c>
      <c r="CP448" s="67">
        <v>939700</v>
      </c>
      <c r="CR448" s="67">
        <v>971600</v>
      </c>
      <c r="CS448" s="65">
        <f>CT448</f>
        <v>995100</v>
      </c>
      <c r="CT448" s="67">
        <v>995100</v>
      </c>
      <c r="CV448" s="67">
        <v>1065300</v>
      </c>
      <c r="CW448" s="65">
        <f>CX448</f>
        <v>1045000</v>
      </c>
      <c r="CX448" s="67">
        <v>1045000</v>
      </c>
      <c r="CZ448" s="67">
        <v>1042000</v>
      </c>
      <c r="DA448" s="65">
        <f>DB448</f>
        <v>1174900</v>
      </c>
      <c r="DB448" s="67">
        <v>1174900</v>
      </c>
      <c r="DD448" s="67">
        <v>1303000</v>
      </c>
      <c r="DE448" s="65">
        <f>DF448</f>
        <v>1297600</v>
      </c>
      <c r="DF448" s="67">
        <v>1297600</v>
      </c>
      <c r="DG448" s="46"/>
      <c r="DH448" s="72"/>
      <c r="DI448" s="72"/>
      <c r="DJ448" s="72"/>
      <c r="DL448" s="72"/>
      <c r="DM448" s="72"/>
      <c r="DN448" s="72"/>
      <c r="DP448" s="72"/>
      <c r="DQ448" s="72"/>
      <c r="DR448" s="72"/>
      <c r="DW448" s="20"/>
      <c r="DX448" s="20"/>
    </row>
    <row r="449" spans="1:128" s="21" customFormat="1" ht="13.8">
      <c r="A449" s="20" t="s">
        <v>1120</v>
      </c>
      <c r="B449" s="27"/>
      <c r="BH449" s="65">
        <f>BH447-BH445</f>
        <v>536370</v>
      </c>
      <c r="BI449" s="65">
        <f t="shared" ref="BI449:BJ449" si="776">BI447-BI445</f>
        <v>558790</v>
      </c>
      <c r="BJ449" s="65">
        <f t="shared" si="776"/>
        <v>558790</v>
      </c>
      <c r="BK449" s="49"/>
      <c r="BL449" s="65">
        <f>BL447-BL445</f>
        <v>593229</v>
      </c>
      <c r="BM449" s="65">
        <f t="shared" ref="BM449:BN449" si="777">BM447-BM445</f>
        <v>613896</v>
      </c>
      <c r="BN449" s="65">
        <f t="shared" si="777"/>
        <v>613896</v>
      </c>
      <c r="BO449" s="49"/>
      <c r="BP449" s="65">
        <f>BP447-BP445</f>
        <v>677101</v>
      </c>
      <c r="BQ449" s="65">
        <f t="shared" ref="BQ449:BR449" si="778">BQ447-BQ445</f>
        <v>692800</v>
      </c>
      <c r="BR449" s="65">
        <f t="shared" si="778"/>
        <v>692800</v>
      </c>
      <c r="BT449" s="65">
        <f>BT447-BT445</f>
        <v>691201</v>
      </c>
      <c r="BU449" s="65">
        <f t="shared" ref="BU449:BV449" si="779">BU447-BU445</f>
        <v>711864</v>
      </c>
      <c r="BV449" s="65">
        <f t="shared" si="779"/>
        <v>711864</v>
      </c>
      <c r="BX449" s="65">
        <f>BX447-BX445</f>
        <v>700218</v>
      </c>
      <c r="BY449" s="65">
        <f t="shared" ref="BY449:BZ449" si="780">BY447-BY445</f>
        <v>726525</v>
      </c>
      <c r="BZ449" s="65">
        <f t="shared" si="780"/>
        <v>726525</v>
      </c>
      <c r="CB449" s="65">
        <f>CB447-CB445</f>
        <v>754800</v>
      </c>
      <c r="CC449" s="65">
        <f t="shared" ref="CC449:CD449" si="781">CC447-CC445</f>
        <v>763617</v>
      </c>
      <c r="CD449" s="65">
        <f t="shared" si="781"/>
        <v>763617</v>
      </c>
      <c r="CF449" s="65">
        <f>CF447-CF445</f>
        <v>790129</v>
      </c>
      <c r="CG449" s="65">
        <f t="shared" ref="CG449:CH449" si="782">CG447-CG445</f>
        <v>791706</v>
      </c>
      <c r="CH449" s="65">
        <f t="shared" si="782"/>
        <v>791706</v>
      </c>
      <c r="CJ449" s="65">
        <f>CJ447-CJ445</f>
        <v>907525</v>
      </c>
      <c r="CK449" s="65">
        <f t="shared" ref="CK449:CL449" si="783">CK447-CK445</f>
        <v>838803</v>
      </c>
      <c r="CL449" s="65">
        <f t="shared" si="783"/>
        <v>838803</v>
      </c>
      <c r="CN449" s="65">
        <f>CN447-CN445</f>
        <v>844124</v>
      </c>
      <c r="CO449" s="65">
        <f t="shared" ref="CO449:CP449" si="784">CO447-CO445</f>
        <v>876024</v>
      </c>
      <c r="CP449" s="65">
        <f t="shared" si="784"/>
        <v>876024</v>
      </c>
      <c r="CR449" s="65">
        <f>CR447-CR445</f>
        <v>909844</v>
      </c>
      <c r="CS449" s="65">
        <f t="shared" ref="CS449:CT449" si="785">CS447-CS445</f>
        <v>928699</v>
      </c>
      <c r="CT449" s="65">
        <f t="shared" si="785"/>
        <v>928699</v>
      </c>
      <c r="CV449" s="65">
        <f>CV447-CV445</f>
        <v>995720</v>
      </c>
      <c r="CW449" s="65">
        <f t="shared" ref="CW449:CX449" si="786">CW447-CW445</f>
        <v>974983</v>
      </c>
      <c r="CX449" s="65">
        <f t="shared" si="786"/>
        <v>974983</v>
      </c>
      <c r="CZ449" s="65">
        <f>CZ447-CZ445</f>
        <v>971742</v>
      </c>
      <c r="DA449" s="65">
        <f t="shared" ref="DA449:DB449" si="787">DA447-DA445</f>
        <v>1104272</v>
      </c>
      <c r="DB449" s="65">
        <f t="shared" si="787"/>
        <v>1104272</v>
      </c>
      <c r="DD449" s="65">
        <f>DD447-DD445</f>
        <v>1230669</v>
      </c>
      <c r="DE449" s="65">
        <f t="shared" ref="DE449:DF449" si="788">DE447-DE445</f>
        <v>1225733</v>
      </c>
      <c r="DF449" s="65">
        <f t="shared" si="788"/>
        <v>1225733</v>
      </c>
      <c r="DH449" s="65">
        <f ca="1">DH447-DH445</f>
        <v>1232343.233252957</v>
      </c>
      <c r="DI449" s="65">
        <f t="shared" ref="DI449:DJ449" ca="1" si="789">DI447-DI445</f>
        <v>1259331.5469884116</v>
      </c>
      <c r="DJ449" s="65">
        <f t="shared" ca="1" si="789"/>
        <v>1259331.5469884116</v>
      </c>
      <c r="DL449" s="65">
        <f ca="1">DL447-DL445</f>
        <v>1287598.6271100799</v>
      </c>
      <c r="DM449" s="65">
        <f t="shared" ref="DM449:DN449" ca="1" si="790">DM447-DM445</f>
        <v>1319734.9001118208</v>
      </c>
      <c r="DN449" s="65">
        <f t="shared" ca="1" si="790"/>
        <v>1319734.9001118208</v>
      </c>
      <c r="DP449" s="65">
        <f ca="1">DP447-DP445</f>
        <v>1346756.9919106858</v>
      </c>
      <c r="DQ449" s="65">
        <f t="shared" ref="DQ449:DR449" ca="1" si="791">DQ447-DQ445</f>
        <v>1376506.0169004283</v>
      </c>
      <c r="DR449" s="65">
        <f t="shared" ca="1" si="791"/>
        <v>1376506.0169004283</v>
      </c>
      <c r="DW449" s="20"/>
      <c r="DX449" s="20"/>
    </row>
    <row r="450" spans="1:128" s="21" customFormat="1" ht="13.8">
      <c r="B450" s="27"/>
      <c r="BH450" s="72"/>
      <c r="BI450" s="72"/>
      <c r="BJ450" s="72"/>
      <c r="BK450" s="49"/>
      <c r="BL450" s="72"/>
      <c r="BM450" s="72"/>
      <c r="BN450" s="72"/>
      <c r="BO450" s="49"/>
      <c r="BP450" s="72"/>
      <c r="BQ450" s="72"/>
      <c r="BR450" s="72"/>
      <c r="BT450" s="72"/>
      <c r="BU450" s="72"/>
      <c r="BV450" s="72"/>
      <c r="BX450" s="72"/>
      <c r="BY450" s="72"/>
      <c r="BZ450" s="72"/>
      <c r="CA450" s="46"/>
      <c r="CB450" s="72"/>
      <c r="CC450" s="72"/>
      <c r="CD450" s="72"/>
      <c r="CF450" s="72"/>
      <c r="CG450" s="72"/>
      <c r="CH450" s="72"/>
      <c r="CJ450" s="72"/>
      <c r="CK450" s="72"/>
      <c r="CL450" s="72"/>
      <c r="CN450" s="72"/>
      <c r="CO450" s="72"/>
      <c r="CP450" s="72"/>
      <c r="CR450" s="72"/>
      <c r="CS450" s="72"/>
      <c r="CT450" s="72"/>
      <c r="CV450" s="72"/>
      <c r="CW450" s="72"/>
      <c r="CX450" s="72"/>
      <c r="CZ450" s="72"/>
      <c r="DA450" s="72"/>
      <c r="DB450" s="72"/>
      <c r="DD450" s="72"/>
      <c r="DE450" s="72"/>
      <c r="DF450" s="72"/>
      <c r="DH450" s="72"/>
      <c r="DI450" s="72"/>
      <c r="DJ450" s="72"/>
      <c r="DL450" s="72"/>
      <c r="DM450" s="72"/>
      <c r="DN450" s="72"/>
      <c r="DP450" s="72"/>
      <c r="DQ450" s="72"/>
      <c r="DR450" s="72"/>
      <c r="DW450" s="20"/>
      <c r="DX450" s="20"/>
    </row>
    <row r="451" spans="1:128" s="21" customFormat="1" ht="13.8">
      <c r="A451" s="47" t="s">
        <v>53</v>
      </c>
      <c r="B451" s="49" t="s">
        <v>546</v>
      </c>
      <c r="BH451" s="71">
        <f t="shared" ref="BH451:BJ452" si="792">BH348/BH$352</f>
        <v>0.15210564676524727</v>
      </c>
      <c r="BI451" s="71">
        <f t="shared" si="792"/>
        <v>0.13677500516344657</v>
      </c>
      <c r="BJ451" s="71">
        <f t="shared" si="792"/>
        <v>0.13677500516344657</v>
      </c>
      <c r="BK451" s="49"/>
      <c r="BL451" s="71">
        <f t="shared" ref="BL451:BN452" si="793">BL348/BL$352</f>
        <v>0.12975358802724271</v>
      </c>
      <c r="BM451" s="71">
        <f t="shared" si="793"/>
        <v>0.11586000606148454</v>
      </c>
      <c r="BN451" s="71">
        <f t="shared" si="793"/>
        <v>0.11586000606148454</v>
      </c>
      <c r="BO451" s="49"/>
      <c r="BP451" s="71">
        <f t="shared" ref="BP451:BR452" si="794">BP348/BP$352</f>
        <v>0.12040769772713968</v>
      </c>
      <c r="BQ451" s="71">
        <f t="shared" si="794"/>
        <v>0.1252717353746641</v>
      </c>
      <c r="BR451" s="71">
        <f t="shared" si="794"/>
        <v>0.1252717353746641</v>
      </c>
      <c r="BT451" s="71">
        <f t="shared" ref="BT451:BV452" si="795">BT348/BT$352</f>
        <v>0.12752648473233077</v>
      </c>
      <c r="BU451" s="71">
        <f t="shared" si="795"/>
        <v>0.12055089693446815</v>
      </c>
      <c r="BV451" s="71">
        <f t="shared" si="795"/>
        <v>0.12055089693446815</v>
      </c>
      <c r="BX451" s="71">
        <f t="shared" ref="BX451:BZ452" si="796">BX348/BX$352</f>
        <v>0.10949261380535832</v>
      </c>
      <c r="BY451" s="71">
        <f t="shared" si="796"/>
        <v>0.10580994753764146</v>
      </c>
      <c r="BZ451" s="71">
        <f t="shared" si="796"/>
        <v>0.10580994753764146</v>
      </c>
      <c r="CB451" s="71">
        <f t="shared" ref="CB451:CD452" si="797">CB348/CB$352</f>
        <v>9.6308014049387353E-2</v>
      </c>
      <c r="CC451" s="71">
        <f t="shared" si="797"/>
        <v>8.0779944289693595E-2</v>
      </c>
      <c r="CD451" s="71">
        <f t="shared" si="797"/>
        <v>8.0779944289693595E-2</v>
      </c>
      <c r="CF451" s="71">
        <f t="shared" ref="CF451:CH452" si="798">CF348/CF$352</f>
        <v>8.1258054469193E-2</v>
      </c>
      <c r="CG451" s="71">
        <f t="shared" si="798"/>
        <v>6.6830920288361767E-2</v>
      </c>
      <c r="CH451" s="71">
        <f t="shared" si="798"/>
        <v>6.6830920288361767E-2</v>
      </c>
      <c r="CJ451" s="71">
        <f t="shared" ref="CJ451:CL452" si="799">CJ348/CJ$352</f>
        <v>6.2673113006184916E-2</v>
      </c>
      <c r="CK451" s="71">
        <f t="shared" si="799"/>
        <v>5.5554035708057052E-2</v>
      </c>
      <c r="CL451" s="71">
        <f t="shared" si="799"/>
        <v>5.5554035708057052E-2</v>
      </c>
      <c r="CN451" s="71">
        <f t="shared" ref="CN451:CP452" si="800">CN348/CN$352</f>
        <v>6.6497651801670749E-2</v>
      </c>
      <c r="CO451" s="71">
        <f t="shared" si="800"/>
        <v>5.9731660568043216E-2</v>
      </c>
      <c r="CP451" s="71">
        <f t="shared" si="800"/>
        <v>5.9731660568043216E-2</v>
      </c>
      <c r="CR451" s="71">
        <f t="shared" ref="CR451:CT452" si="801">CR348/CR$352</f>
        <v>5.70139768734211E-2</v>
      </c>
      <c r="CS451" s="71">
        <f t="shared" si="801"/>
        <v>5.2024587496313862E-2</v>
      </c>
      <c r="CT451" s="71">
        <f t="shared" si="801"/>
        <v>5.2024587496313862E-2</v>
      </c>
      <c r="CV451" s="71">
        <f t="shared" ref="CV451:CX451" si="802">CV348/CV$352</f>
        <v>6.426254955480025E-2</v>
      </c>
      <c r="CW451" s="71">
        <f t="shared" si="802"/>
        <v>6.0836993025058121E-2</v>
      </c>
      <c r="CX451" s="71">
        <f t="shared" si="802"/>
        <v>6.0836993025058121E-2</v>
      </c>
      <c r="CZ451" s="71">
        <f t="shared" ref="CZ451:DB451" si="803">CZ348/CZ$352</f>
        <v>5.7477009931121682E-2</v>
      </c>
      <c r="DA451" s="71">
        <f t="shared" si="803"/>
        <v>5.5723597437078914E-2</v>
      </c>
      <c r="DB451" s="71">
        <f t="shared" si="803"/>
        <v>5.5723597437078914E-2</v>
      </c>
      <c r="DD451" s="71">
        <f t="shared" ref="DD451:DF451" si="804">DD348/DD$352</f>
        <v>4.9715755652857643E-2</v>
      </c>
      <c r="DE451" s="71">
        <f t="shared" si="804"/>
        <v>5.764671499008589E-2</v>
      </c>
      <c r="DF451" s="71">
        <f t="shared" si="804"/>
        <v>5.764671499008589E-2</v>
      </c>
      <c r="DH451" s="71">
        <f t="shared" ref="DH451:DJ451" si="805">DH348/DH$352</f>
        <v>5.8099855912814823E-2</v>
      </c>
      <c r="DI451" s="71">
        <f t="shared" si="805"/>
        <v>5.8138591023972994E-2</v>
      </c>
      <c r="DJ451" s="71">
        <f t="shared" si="805"/>
        <v>5.8138591023972994E-2</v>
      </c>
      <c r="DL451" s="71">
        <f t="shared" ref="DL451:DN451" si="806">DL348/DL$352</f>
        <v>5.8171809521208803E-2</v>
      </c>
      <c r="DM451" s="71">
        <f t="shared" si="806"/>
        <v>5.8199655233401738E-2</v>
      </c>
      <c r="DN451" s="71">
        <f t="shared" si="806"/>
        <v>5.8199655233401738E-2</v>
      </c>
      <c r="DP451" s="71">
        <f t="shared" ref="DP451:DR451" si="807">DP348/DP$352</f>
        <v>5.8222266866164406E-2</v>
      </c>
      <c r="DQ451" s="71">
        <f t="shared" si="807"/>
        <v>5.8239778121818284E-2</v>
      </c>
      <c r="DR451" s="71">
        <f t="shared" si="807"/>
        <v>5.8239778121818284E-2</v>
      </c>
      <c r="DW451" s="20"/>
      <c r="DX451" s="20"/>
    </row>
    <row r="452" spans="1:128" s="21" customFormat="1" ht="13.8">
      <c r="A452" s="47" t="s">
        <v>54</v>
      </c>
      <c r="B452" s="49" t="s">
        <v>546</v>
      </c>
      <c r="BH452" s="71">
        <f t="shared" si="792"/>
        <v>0.4451420029895366</v>
      </c>
      <c r="BI452" s="71">
        <f t="shared" si="792"/>
        <v>0.43816772752023131</v>
      </c>
      <c r="BJ452" s="71">
        <f t="shared" si="792"/>
        <v>0.43816772752023131</v>
      </c>
      <c r="BK452" s="49"/>
      <c r="BL452" s="71">
        <f t="shared" si="793"/>
        <v>0.42759975986131316</v>
      </c>
      <c r="BM452" s="71">
        <f t="shared" si="793"/>
        <v>0.42324096157985125</v>
      </c>
      <c r="BN452" s="71">
        <f t="shared" si="793"/>
        <v>0.42324096157985125</v>
      </c>
      <c r="BO452" s="49"/>
      <c r="BP452" s="71">
        <f t="shared" si="794"/>
        <v>0.4136185898535833</v>
      </c>
      <c r="BQ452" s="71">
        <f t="shared" si="794"/>
        <v>0.38438042360114283</v>
      </c>
      <c r="BR452" s="71">
        <f t="shared" si="794"/>
        <v>0.38438042360114283</v>
      </c>
      <c r="BT452" s="71">
        <f t="shared" si="795"/>
        <v>0.37705714744833368</v>
      </c>
      <c r="BU452" s="71">
        <f t="shared" si="795"/>
        <v>0.37707749097766935</v>
      </c>
      <c r="BV452" s="71">
        <f t="shared" si="795"/>
        <v>0.37707749097766935</v>
      </c>
      <c r="BX452" s="71">
        <f t="shared" si="796"/>
        <v>0.38733860573659845</v>
      </c>
      <c r="BY452" s="71">
        <f t="shared" si="796"/>
        <v>0.37051492820436177</v>
      </c>
      <c r="BZ452" s="71">
        <f t="shared" si="796"/>
        <v>0.37051492820436177</v>
      </c>
      <c r="CB452" s="71">
        <f t="shared" si="797"/>
        <v>0.37778028872486874</v>
      </c>
      <c r="CC452" s="71">
        <f t="shared" si="797"/>
        <v>0.40569877883310718</v>
      </c>
      <c r="CD452" s="71">
        <f t="shared" si="797"/>
        <v>0.40569877883310718</v>
      </c>
      <c r="CF452" s="71">
        <f t="shared" si="798"/>
        <v>0.41589502287422625</v>
      </c>
      <c r="CG452" s="71">
        <f t="shared" si="798"/>
        <v>0.41413614570548513</v>
      </c>
      <c r="CH452" s="71">
        <f t="shared" si="798"/>
        <v>0.41413614570548513</v>
      </c>
      <c r="CJ452" s="71">
        <f t="shared" si="799"/>
        <v>0.39811606720342041</v>
      </c>
      <c r="CK452" s="71">
        <f t="shared" si="799"/>
        <v>0.33730298501848327</v>
      </c>
      <c r="CL452" s="71">
        <f t="shared" si="799"/>
        <v>0.33730298501848327</v>
      </c>
      <c r="CN452" s="71">
        <f t="shared" si="800"/>
        <v>0.30949337101533603</v>
      </c>
      <c r="CO452" s="71">
        <f t="shared" si="800"/>
        <v>0.28050658176115573</v>
      </c>
      <c r="CP452" s="71">
        <f t="shared" si="800"/>
        <v>0.28050658176115573</v>
      </c>
      <c r="CR452" s="71">
        <f t="shared" si="801"/>
        <v>0.27873654126009456</v>
      </c>
      <c r="CS452" s="71">
        <f t="shared" si="801"/>
        <v>0.30568436878799776</v>
      </c>
      <c r="CT452" s="71">
        <f t="shared" si="801"/>
        <v>0.30568436878799776</v>
      </c>
      <c r="CV452" s="71">
        <f t="shared" ref="CV452:CX452" si="808">CV349/CV$352</f>
        <v>0.36268920267985433</v>
      </c>
      <c r="CW452" s="71">
        <f t="shared" si="808"/>
        <v>0.35976680531407557</v>
      </c>
      <c r="CX452" s="71">
        <f t="shared" si="808"/>
        <v>0.35976680531407557</v>
      </c>
      <c r="CZ452" s="71">
        <f t="shared" ref="CZ452:DB452" si="809">CZ349/CZ$352</f>
        <v>0.35363614310812502</v>
      </c>
      <c r="DA452" s="71">
        <f t="shared" si="809"/>
        <v>0.36111679563569343</v>
      </c>
      <c r="DB452" s="71">
        <f t="shared" si="809"/>
        <v>0.36111679563569343</v>
      </c>
      <c r="DD452" s="71">
        <f t="shared" ref="DD452:DF452" si="810">DD349/DD$352</f>
        <v>0.37463229106219209</v>
      </c>
      <c r="DE452" s="71">
        <f t="shared" si="810"/>
        <v>0.33863933546480429</v>
      </c>
      <c r="DF452" s="71">
        <f t="shared" si="810"/>
        <v>0.33863933546480429</v>
      </c>
      <c r="DH452" s="71">
        <f t="shared" ref="DH452:DJ452" si="811">DH349/DH$352</f>
        <v>0.33513081070208234</v>
      </c>
      <c r="DI452" s="71">
        <f t="shared" si="811"/>
        <v>0.33798747999709028</v>
      </c>
      <c r="DJ452" s="71">
        <f t="shared" si="811"/>
        <v>0.33798747999709028</v>
      </c>
      <c r="DL452" s="71">
        <f t="shared" ref="DL452:DN452" si="812">DL349/DL$352</f>
        <v>0.34084116833509076</v>
      </c>
      <c r="DM452" s="71">
        <f t="shared" si="812"/>
        <v>0.343692265767022</v>
      </c>
      <c r="DN452" s="71">
        <f t="shared" si="812"/>
        <v>0.343692265767022</v>
      </c>
      <c r="DP452" s="71">
        <f t="shared" ref="DP452:DR452" si="813">DP349/DP$352</f>
        <v>0.34654114685484538</v>
      </c>
      <c r="DQ452" s="71">
        <f t="shared" si="813"/>
        <v>0.34938817063029559</v>
      </c>
      <c r="DR452" s="71">
        <f t="shared" si="813"/>
        <v>0.34938817063029559</v>
      </c>
      <c r="DW452" s="20"/>
      <c r="DX452" s="20"/>
    </row>
    <row r="453" spans="1:128" s="21" customFormat="1" ht="13.8">
      <c r="A453" s="47" t="s">
        <v>55</v>
      </c>
      <c r="B453" s="49" t="s">
        <v>546</v>
      </c>
      <c r="BH453" s="71">
        <f>(BH349)/(BH$352-BH$348)</f>
        <v>0.52499701323791237</v>
      </c>
      <c r="BI453" s="71">
        <f>(BI349)/(BI$352-BI$348)</f>
        <v>0.50759388356588975</v>
      </c>
      <c r="BJ453" s="71">
        <f>(BJ349)/(BJ$352-BJ$348)</f>
        <v>0.50759388356588975</v>
      </c>
      <c r="BK453" s="49"/>
      <c r="BL453" s="71">
        <f>(BL349)/(BL$352-BL$348)</f>
        <v>0.49135480937173803</v>
      </c>
      <c r="BM453" s="71">
        <f>(BM349)/(BM$352-BM$348)</f>
        <v>0.4787035588046073</v>
      </c>
      <c r="BN453" s="71">
        <f>(BN349)/(BN$352-BN$348)</f>
        <v>0.4787035588046073</v>
      </c>
      <c r="BO453" s="49"/>
      <c r="BP453" s="71">
        <f>(BP349)/(BP$352-BP$348)</f>
        <v>0.47023898320255392</v>
      </c>
      <c r="BQ453" s="71">
        <f>(BQ349)/(BQ$352-BQ$348)</f>
        <v>0.4394283792416161</v>
      </c>
      <c r="BR453" s="71">
        <f>(BR349)/(BR$352-BR$348)</f>
        <v>0.4394283792416161</v>
      </c>
      <c r="BT453" s="71">
        <f>(BT349)/(BT$352-BT$348)</f>
        <v>0.43217030757965763</v>
      </c>
      <c r="BU453" s="71">
        <f>(BU349)/(BU$352-BU$348)</f>
        <v>0.42876556433257462</v>
      </c>
      <c r="BV453" s="71">
        <f>(BV349)/(BV$352-BV$348)</f>
        <v>0.42876556433257462</v>
      </c>
      <c r="BX453" s="71">
        <f>(BX349)/(BX$352-BX$348)</f>
        <v>0.43496394498398505</v>
      </c>
      <c r="BY453" s="71">
        <f>(BY349)/(BY$352-BY$348)</f>
        <v>0.41435814140860039</v>
      </c>
      <c r="BZ453" s="71">
        <f>(BZ349)/(BZ$352-BZ$348)</f>
        <v>0.41435814140860039</v>
      </c>
      <c r="CB453" s="71">
        <f>(CB349)/(CB$352-CB$348)</f>
        <v>0.41804098586475086</v>
      </c>
      <c r="CC453" s="71">
        <f>(CC349)/(CC$352-CC$348)</f>
        <v>0.44135109576086512</v>
      </c>
      <c r="CD453" s="71">
        <f>(CD349)/(CD$352-CD$348)</f>
        <v>0.44135109576086512</v>
      </c>
      <c r="CF453" s="71">
        <f>(CF349)/(CF$352-CF$348)</f>
        <v>0.45267882335985127</v>
      </c>
      <c r="CG453" s="71">
        <f>(CG349)/(CG$352-CG$348)</f>
        <v>0.44379540075787632</v>
      </c>
      <c r="CH453" s="71">
        <f>(CH349)/(CH$352-CH$348)</f>
        <v>0.44379540075787632</v>
      </c>
      <c r="CJ453" s="71">
        <f>(CJ349)/(CJ$352-CJ$348)</f>
        <v>0.42473556741795176</v>
      </c>
      <c r="CK453" s="71">
        <f>(CK349)/(CK$352-CK$348)</f>
        <v>0.35714376234468997</v>
      </c>
      <c r="CL453" s="71">
        <f>(CL349)/(CL$352-CL$348)</f>
        <v>0.35714376234468997</v>
      </c>
      <c r="CN453" s="71">
        <f>(CN349)/(CN$352-CN$348)</f>
        <v>0.33154000267129691</v>
      </c>
      <c r="CO453" s="71">
        <f>(CO349)/(CO$352-CO$348)</f>
        <v>0.29832609479397959</v>
      </c>
      <c r="CP453" s="71">
        <f>(CP349)/(CP$352-CP$348)</f>
        <v>0.29832609479397959</v>
      </c>
      <c r="CR453" s="71">
        <f>(CR349)/(CR$352-CR$348)</f>
        <v>0.29558926052361983</v>
      </c>
      <c r="CS453" s="71">
        <f>(CS349)/(CS$352-CS$348)</f>
        <v>0.3224602291958803</v>
      </c>
      <c r="CT453" s="71">
        <f>(CT349)/(CT$352-CT$348)</f>
        <v>0.3224602291958803</v>
      </c>
      <c r="CV453" s="71">
        <f>(CV349)/(CV$352-CV$348)</f>
        <v>0.38759718605608462</v>
      </c>
      <c r="CW453" s="71">
        <f>(CW349)/(CW$352-CW$348)</f>
        <v>0.38307173796473293</v>
      </c>
      <c r="CX453" s="71">
        <f>(CX349)/(CX$352-CX$348)</f>
        <v>0.38307173796473293</v>
      </c>
      <c r="CZ453" s="71">
        <f>(CZ349)/(CZ$352-CZ$348)</f>
        <v>0.37520160975838024</v>
      </c>
      <c r="DA453" s="71">
        <f>(DA349)/(DA$352-DA$348)</f>
        <v>0.38242700405894203</v>
      </c>
      <c r="DB453" s="71">
        <f>(DB349)/(DB$352-DB$348)</f>
        <v>0.38242700405894203</v>
      </c>
      <c r="DD453" s="71">
        <f>(DD349)/(DD$352-DD$348)</f>
        <v>0.39423182409971386</v>
      </c>
      <c r="DE453" s="71">
        <f>(DE349)/(DE$352-DE$348)</f>
        <v>0.35935496893953267</v>
      </c>
      <c r="DF453" s="71">
        <f>(DF349)/(DF$352-DF$348)</f>
        <v>0.35935496893953267</v>
      </c>
      <c r="DH453" s="71">
        <f>(DH349)/(DH$352-DH$348)</f>
        <v>0.3558029084143145</v>
      </c>
      <c r="DI453" s="71">
        <f>(DI349)/(DI$352-DI$348)</f>
        <v>0.35885054507599323</v>
      </c>
      <c r="DJ453" s="71">
        <f>(DJ349)/(DJ$352-DJ$348)</f>
        <v>0.35885054507599323</v>
      </c>
      <c r="DL453" s="71">
        <f>(DL349)/(DL$352-DL$348)</f>
        <v>0.36189314758333951</v>
      </c>
      <c r="DM453" s="71">
        <f>(DM349)/(DM$352-DM$348)</f>
        <v>0.36493113182305914</v>
      </c>
      <c r="DN453" s="71">
        <f>(DN349)/(DN$352-DN$348)</f>
        <v>0.36493113182305914</v>
      </c>
      <c r="DP453" s="71">
        <f>(DP349)/(DP$352-DP$348)</f>
        <v>0.36796489730300153</v>
      </c>
      <c r="DQ453" s="71">
        <f>(DQ349)/(DQ$352-DQ$348)</f>
        <v>0.37099482704153708</v>
      </c>
      <c r="DR453" s="71">
        <f>(DR349)/(DR$352-DR$348)</f>
        <v>0.37099482704153708</v>
      </c>
      <c r="DW453" s="20"/>
      <c r="DX453" s="20"/>
    </row>
    <row r="454" spans="1:128" s="21" customFormat="1" ht="13.8">
      <c r="B454" s="27"/>
      <c r="BH454" s="72"/>
      <c r="BI454" s="72"/>
      <c r="BJ454" s="72"/>
      <c r="BK454" s="49"/>
      <c r="BL454" s="72"/>
      <c r="BM454" s="72"/>
      <c r="BN454" s="72"/>
      <c r="BO454" s="49"/>
      <c r="BP454" s="72"/>
      <c r="BQ454" s="72"/>
      <c r="BR454" s="72"/>
      <c r="BT454" s="72"/>
      <c r="BU454" s="72"/>
      <c r="BV454" s="72"/>
      <c r="BX454" s="72"/>
      <c r="BY454" s="72"/>
      <c r="BZ454" s="72"/>
      <c r="CB454" s="72"/>
      <c r="CC454" s="72"/>
      <c r="CD454" s="72"/>
      <c r="CF454" s="72"/>
      <c r="CG454" s="72"/>
      <c r="CH454" s="72"/>
      <c r="CJ454" s="72"/>
      <c r="CK454" s="72"/>
      <c r="CL454" s="72"/>
      <c r="CN454" s="72"/>
      <c r="CO454" s="72"/>
      <c r="CP454" s="72"/>
      <c r="CR454" s="72"/>
      <c r="CS454" s="72"/>
      <c r="CT454" s="72"/>
      <c r="CV454" s="72"/>
      <c r="CW454" s="72"/>
      <c r="CX454" s="72"/>
      <c r="CZ454" s="72"/>
      <c r="DA454" s="72"/>
      <c r="DB454" s="72"/>
      <c r="DD454" s="72"/>
      <c r="DE454" s="72"/>
      <c r="DF454" s="72"/>
      <c r="DH454" s="72"/>
      <c r="DI454" s="72"/>
      <c r="DJ454" s="72"/>
      <c r="DL454" s="72"/>
      <c r="DM454" s="72"/>
      <c r="DN454" s="72"/>
      <c r="DP454" s="72"/>
      <c r="DQ454" s="72"/>
      <c r="DR454" s="72"/>
      <c r="DW454" s="20"/>
      <c r="DX454" s="20"/>
    </row>
    <row r="455" spans="1:128" s="21" customFormat="1" ht="13.8">
      <c r="A455" s="47" t="s">
        <v>56</v>
      </c>
      <c r="B455" s="49" t="s">
        <v>546</v>
      </c>
      <c r="BH455" s="71">
        <f>(BH$352-BH$348)/BH447</f>
        <v>0.59373669987301081</v>
      </c>
      <c r="BI455" s="71">
        <f>(BI$352-BI$348)/BI447</f>
        <v>0.60941606105494084</v>
      </c>
      <c r="BJ455" s="71">
        <f>(BJ$352-BJ$348)/BJ447</f>
        <v>0.60941606105494084</v>
      </c>
      <c r="BK455" s="49"/>
      <c r="BL455" s="71">
        <f>(BL$352-BL$348)/BL447</f>
        <v>0.60531501604639382</v>
      </c>
      <c r="BM455" s="71">
        <f>(BM$352-BM$348)/BM447</f>
        <v>0.60784165699092119</v>
      </c>
      <c r="BN455" s="71">
        <f>(BN$352-BN$348)/BN447</f>
        <v>0.60784165699092119</v>
      </c>
      <c r="BO455" s="49"/>
      <c r="BP455" s="71">
        <f>(BP$352-BP$348)/BP447</f>
        <v>0.59757224831036604</v>
      </c>
      <c r="BQ455" s="71">
        <f>(BQ$352-BQ$348)/BQ447</f>
        <v>0.59057418953200214</v>
      </c>
      <c r="BR455" s="71">
        <f>(BR$352-BR$348)/BR447</f>
        <v>0.59057418953200214</v>
      </c>
      <c r="BT455" s="71">
        <f>(BT$352-BT$348)/BT447</f>
        <v>0.59547792126152754</v>
      </c>
      <c r="BU455" s="71">
        <f>(BU$352-BU$348)/BU447</f>
        <v>0.58215801431817205</v>
      </c>
      <c r="BV455" s="71">
        <f>(BV$352-BV$348)/BV447</f>
        <v>0.58215801431817205</v>
      </c>
      <c r="BX455" s="71">
        <f>(BX$352-BX$348)/BX447</f>
        <v>0.61607701094541012</v>
      </c>
      <c r="BY455" s="71">
        <f>(BY$352-BY$348)/BY447</f>
        <v>0.59403767820773934</v>
      </c>
      <c r="BZ455" s="71">
        <f>(BZ$352-BZ$348)/BZ447</f>
        <v>0.59403767820773934</v>
      </c>
      <c r="CB455" s="71">
        <f>(CB$352-CB$348)/CB447</f>
        <v>0.57947930738057229</v>
      </c>
      <c r="CC455" s="71">
        <f>(CC$352-CC$348)/CC447</f>
        <v>0.5910328068043742</v>
      </c>
      <c r="CD455" s="71">
        <f>(CD$352-CD$348)/CD447</f>
        <v>0.5910328068043742</v>
      </c>
      <c r="CF455" s="71">
        <f>(CF$352-CF$348)/CF447</f>
        <v>0.57948829549464764</v>
      </c>
      <c r="CG455" s="71">
        <f>(CG$352-CG$348)/CG447</f>
        <v>0.60022639296187685</v>
      </c>
      <c r="CH455" s="71">
        <f>(CH$352-CH$348)/CH447</f>
        <v>0.60022639296187685</v>
      </c>
      <c r="CJ455" s="71">
        <f>(CJ$352-CJ$348)/CJ447</f>
        <v>0.58467953349158841</v>
      </c>
      <c r="CK455" s="71">
        <f>(CK$352-CK$348)/CK447</f>
        <v>0.61366848127985785</v>
      </c>
      <c r="CL455" s="71">
        <f>(CL$352-CL$348)/CL447</f>
        <v>0.61366848127985785</v>
      </c>
      <c r="CN455" s="71">
        <f>(CN$352-CN$348)/CN447</f>
        <v>0.61930627550457706</v>
      </c>
      <c r="CO455" s="71">
        <f>(CO$352-CO$348)/CO447</f>
        <v>0.63167181015217622</v>
      </c>
      <c r="CP455" s="71">
        <f>(CP$352-CP$348)/CP447</f>
        <v>0.63167181015217622</v>
      </c>
      <c r="CR455" s="71">
        <f>(CR$352-CR$348)/CR447</f>
        <v>0.6289151914368053</v>
      </c>
      <c r="CS455" s="71">
        <f>(CS$352-CS$348)/CS447</f>
        <v>0.62348507687669585</v>
      </c>
      <c r="CT455" s="71">
        <f>(CT$352-CT$348)/CT447</f>
        <v>0.62348507687669585</v>
      </c>
      <c r="CV455" s="71">
        <f>(CV$352-CV$348)/CV447</f>
        <v>0.60886792452830185</v>
      </c>
      <c r="CW455" s="71">
        <f>(CW$352-CW$348)/CW447</f>
        <v>0.61925263157894739</v>
      </c>
      <c r="CX455" s="71">
        <f>(CX$352-CX$348)/CX447</f>
        <v>0.61925263157894739</v>
      </c>
      <c r="CZ455" s="71">
        <f>(CZ$352-CZ$348)/CZ447</f>
        <v>0.61476808948079043</v>
      </c>
      <c r="DA455" s="71">
        <f>(DA$352-DA$348)/DA447</f>
        <v>0.60874202059749771</v>
      </c>
      <c r="DB455" s="71">
        <f>(DB$352-DB$348)/DB447</f>
        <v>0.60874202059749771</v>
      </c>
      <c r="DD455" s="71">
        <f>(DD$352-DD$348)/DD447</f>
        <v>0.58063315425940143</v>
      </c>
      <c r="DE455" s="71">
        <f>(DE$352-DE$348)/DE447</f>
        <v>0.57649275585696669</v>
      </c>
      <c r="DF455" s="71">
        <f>(DF$352-DF$348)/DF447</f>
        <v>0.57649275585696669</v>
      </c>
      <c r="DH455" s="71">
        <f ca="1">(DH$352-DH$348)/DH447</f>
        <v>0.57296531892897085</v>
      </c>
      <c r="DI455" s="71">
        <f ca="1">(DI$352-DI$348)/DI447</f>
        <v>0.57163727676667508</v>
      </c>
      <c r="DJ455" s="71">
        <f ca="1">(DJ$352-DJ$348)/DJ447</f>
        <v>0.57163727676667508</v>
      </c>
      <c r="DL455" s="71">
        <f ca="1">(DL$352-DL$348)/DL447</f>
        <v>0.57004679425100357</v>
      </c>
      <c r="DM455" s="71">
        <f ca="1">(DM$352-DM$348)/DM447</f>
        <v>0.56745702538140608</v>
      </c>
      <c r="DN455" s="71">
        <f ca="1">(DN$352-DN$348)/DN447</f>
        <v>0.56745702538140608</v>
      </c>
      <c r="DP455" s="71">
        <f ca="1">(DP$352-DP$348)/DP447</f>
        <v>0.56721507036482988</v>
      </c>
      <c r="DQ455" s="71">
        <f ca="1">(DQ$352-DQ$348)/DQ447</f>
        <v>0.56616536984139854</v>
      </c>
      <c r="DR455" s="71">
        <f ca="1">(DR$352-DR$348)/DR447</f>
        <v>0.56616536984139854</v>
      </c>
      <c r="DW455" s="20"/>
      <c r="DX455" s="20"/>
    </row>
    <row r="456" spans="1:128" s="21" customFormat="1" ht="13.8">
      <c r="A456" s="47" t="s">
        <v>57</v>
      </c>
      <c r="B456" s="49" t="s">
        <v>546</v>
      </c>
      <c r="BH456" s="71">
        <f>(BH$352)/BH447</f>
        <v>0.70024844204691328</v>
      </c>
      <c r="BI456" s="71">
        <f>(BI$352)/BI447</f>
        <v>0.70597592134172404</v>
      </c>
      <c r="BJ456" s="71">
        <f>(BJ$352)/BJ447</f>
        <v>0.70597592134172404</v>
      </c>
      <c r="BK456" s="49"/>
      <c r="BL456" s="71">
        <f>(BL$352)/BL447</f>
        <v>0.69556737921413336</v>
      </c>
      <c r="BM456" s="71">
        <f>(BM$352)/BM447</f>
        <v>0.68749480982441735</v>
      </c>
      <c r="BN456" s="71">
        <f>(BN$352)/BN447</f>
        <v>0.68749480982441735</v>
      </c>
      <c r="BO456" s="49"/>
      <c r="BP456" s="71">
        <f>(BP$352)/BP447</f>
        <v>0.67937412226805938</v>
      </c>
      <c r="BQ456" s="71">
        <f>(BQ$352)/BQ447</f>
        <v>0.67515160240644245</v>
      </c>
      <c r="BR456" s="71">
        <f>(BR$352)/BR447</f>
        <v>0.67515160240644245</v>
      </c>
      <c r="BT456" s="71">
        <f>(BT$352)/BT447</f>
        <v>0.68251690262350118</v>
      </c>
      <c r="BU456" s="71">
        <f>(BU$352)/BU447</f>
        <v>0.6619575962826274</v>
      </c>
      <c r="BV456" s="71">
        <f>(BV$352)/BV447</f>
        <v>0.6619575962826274</v>
      </c>
      <c r="BX456" s="71">
        <f>(BX$352)/BX447</f>
        <v>0.69182695224804325</v>
      </c>
      <c r="BY456" s="71">
        <f>(BY$352)/BY447</f>
        <v>0.66433044806517316</v>
      </c>
      <c r="BZ456" s="71">
        <f>(BZ$352)/BZ447</f>
        <v>0.66433044806517316</v>
      </c>
      <c r="CB456" s="71">
        <f>(CB$352)/CB447</f>
        <v>0.64123541692251018</v>
      </c>
      <c r="CC456" s="71">
        <f>(CC$352)/CC447</f>
        <v>0.64297205346294051</v>
      </c>
      <c r="CD456" s="71">
        <f>(CD$352)/CD447</f>
        <v>0.64297205346294051</v>
      </c>
      <c r="CF456" s="71">
        <f>(CF$352)/CF447</f>
        <v>0.63074108928361372</v>
      </c>
      <c r="CG456" s="71">
        <f>(CG$352)/CG447</f>
        <v>0.64321290322580649</v>
      </c>
      <c r="CH456" s="71">
        <f>(CH$352)/CH447</f>
        <v>0.64321290322580649</v>
      </c>
      <c r="CJ456" s="71">
        <f>(CJ$352)/CJ447</f>
        <v>0.62377335122303645</v>
      </c>
      <c r="CK456" s="71">
        <f>(CK$352)/CK447</f>
        <v>0.64976558160204423</v>
      </c>
      <c r="CL456" s="71">
        <f>(CL$352)/CL447</f>
        <v>0.64976558160204423</v>
      </c>
      <c r="CN456" s="71">
        <f>(CN$352)/CN447</f>
        <v>0.66342230065071139</v>
      </c>
      <c r="CO456" s="71">
        <f>(CO$352)/CO447</f>
        <v>0.67179951048206876</v>
      </c>
      <c r="CP456" s="71">
        <f>(CP$352)/CP447</f>
        <v>0.67179951048206876</v>
      </c>
      <c r="CR456" s="71">
        <f>(CR$352)/CR447</f>
        <v>0.66694009880609306</v>
      </c>
      <c r="CS456" s="71">
        <f>(CS$352)/CS447</f>
        <v>0.65770173851874181</v>
      </c>
      <c r="CT456" s="71">
        <f>(CT$352)/CT447</f>
        <v>0.65770173851874181</v>
      </c>
      <c r="CV456" s="71">
        <f>(CV$352)/CV447</f>
        <v>0.65068243687224259</v>
      </c>
      <c r="CW456" s="71">
        <f>(CW$352)/CW447</f>
        <v>0.65936650717703349</v>
      </c>
      <c r="CX456" s="71">
        <f>(CX$352)/CX447</f>
        <v>0.65936650717703349</v>
      </c>
      <c r="CZ456" s="71">
        <f>(CZ$352)/CZ447</f>
        <v>0.65225792469620725</v>
      </c>
      <c r="DA456" s="71">
        <f>(DA$352)/DA447</f>
        <v>0.64466507787896843</v>
      </c>
      <c r="DB456" s="71">
        <f>(DB$352)/DB447</f>
        <v>0.64466507787896843</v>
      </c>
      <c r="DD456" s="71">
        <f>(DD$352)/DD447</f>
        <v>0.61100997697620874</v>
      </c>
      <c r="DE456" s="71">
        <f>(DE$352)/DE447</f>
        <v>0.61175863131935881</v>
      </c>
      <c r="DF456" s="71">
        <f>(DF$352)/DF447</f>
        <v>0.61175863131935881</v>
      </c>
      <c r="DH456" s="71">
        <f ca="1">(DH$352)/DH447</f>
        <v>0.60830792151990098</v>
      </c>
      <c r="DI456" s="71">
        <f ca="1">(DI$352)/DI447</f>
        <v>0.60692292020770633</v>
      </c>
      <c r="DJ456" s="71">
        <f ca="1">(DJ$352)/DJ447</f>
        <v>0.60692292020770633</v>
      </c>
      <c r="DL456" s="71">
        <f ca="1">(DL$352)/DL447</f>
        <v>0.60525560820303392</v>
      </c>
      <c r="DM456" s="71">
        <f ca="1">(DM$352)/DM447</f>
        <v>0.60252369680543727</v>
      </c>
      <c r="DN456" s="71">
        <f ca="1">(DN$352)/DN447</f>
        <v>0.60252369680543727</v>
      </c>
      <c r="DP456" s="71">
        <f ca="1">(DP$352)/DP447</f>
        <v>0.60228125003272204</v>
      </c>
      <c r="DQ456" s="71">
        <f ca="1">(DQ$352)/DQ447</f>
        <v>0.60117783347472176</v>
      </c>
      <c r="DR456" s="71">
        <f ca="1">(DR$352)/DR447</f>
        <v>0.60117783347472176</v>
      </c>
      <c r="DW456" s="20"/>
      <c r="DX456" s="20"/>
    </row>
    <row r="457" spans="1:128" s="21" customFormat="1" ht="13.8">
      <c r="A457" s="47" t="s">
        <v>58</v>
      </c>
      <c r="B457" s="49" t="s">
        <v>546</v>
      </c>
      <c r="BH457" s="71">
        <f>BH364/(BH$352-BH$348)</f>
        <v>1.339570081094233</v>
      </c>
      <c r="BI457" s="71">
        <f>BI364/(BI$352-BI$348)</f>
        <v>1.3283749687326669</v>
      </c>
      <c r="BJ457" s="71">
        <f>BJ364/(BJ$352-BJ$348)</f>
        <v>1.3283749687326669</v>
      </c>
      <c r="BK457" s="49"/>
      <c r="BL457" s="71">
        <f>BL364/(BL$352-BL$348)</f>
        <v>1.3292949493070412</v>
      </c>
      <c r="BM457" s="71">
        <f>BM364/(BM$352-BM$348)</f>
        <v>1.3080091112551822</v>
      </c>
      <c r="BN457" s="71">
        <f>BN364/(BN$352-BN$348)</f>
        <v>1.3080091112551822</v>
      </c>
      <c r="BO457" s="49"/>
      <c r="BP457" s="71">
        <f>BP364/(BP$352-BP$348)</f>
        <v>1.2921892679030849</v>
      </c>
      <c r="BQ457" s="71">
        <f>BQ364/(BQ$352-BQ$348)</f>
        <v>1.29789332785579</v>
      </c>
      <c r="BR457" s="71">
        <f>BR364/(BR$352-BR$348)</f>
        <v>1.29789332785579</v>
      </c>
      <c r="BT457" s="71">
        <f>BT364/(BT$352-BT$348)</f>
        <v>1.2723295104869974</v>
      </c>
      <c r="BU457" s="71">
        <f>BU364/(BU$352-BU$348)</f>
        <v>1.2955304146025794</v>
      </c>
      <c r="BV457" s="71">
        <f>BV364/(BV$352-BV$348)</f>
        <v>1.2955304146025794</v>
      </c>
      <c r="BX457" s="71">
        <f>BX364/(BX$352-BX$348)</f>
        <v>1.2435469229056404</v>
      </c>
      <c r="BY457" s="71">
        <f>BY364/(BY$352-BY$348)</f>
        <v>1.2524792361295631</v>
      </c>
      <c r="BZ457" s="71">
        <f>BZ364/(BZ$352-BZ$348)</f>
        <v>1.2524792361295631</v>
      </c>
      <c r="CB457" s="71">
        <f>CB364/(CB$352-CB$348)</f>
        <v>1.2630237141585605</v>
      </c>
      <c r="CC457" s="71">
        <f>CC364/(CC$352-CC$348)</f>
        <v>1.2516138316681058</v>
      </c>
      <c r="CD457" s="71">
        <f>CD364/(CD$352-CD$348)</f>
        <v>1.2516138316681058</v>
      </c>
      <c r="CF457" s="71">
        <f>CF364/(CF$352-CF$348)</f>
        <v>1.2468276958241902</v>
      </c>
      <c r="CG457" s="71">
        <f>CG364/(CG$352-CG$348)</f>
        <v>1.210032187268538</v>
      </c>
      <c r="CH457" s="71">
        <f>CH364/(CH$352-CH$348)</f>
        <v>1.210032187268538</v>
      </c>
      <c r="CJ457" s="71">
        <f>CJ364/(CJ$352-CJ$348)</f>
        <v>1.1684795656103486</v>
      </c>
      <c r="CK457" s="71">
        <f>CK364/(CK$352-CK$348)</f>
        <v>1.1270378356262096</v>
      </c>
      <c r="CL457" s="71">
        <f>CL364/(CL$352-CL$348)</f>
        <v>1.1270378356262096</v>
      </c>
      <c r="CN457" s="71">
        <f>CN364/(CN$352-CN$348)</f>
        <v>1.1024371132184676</v>
      </c>
      <c r="CO457" s="71">
        <f>CO364/(CO$352-CO$348)</f>
        <v>1.0684252554828144</v>
      </c>
      <c r="CP457" s="71">
        <f>CP364/(CP$352-CP$348)</f>
        <v>1.0684252554828144</v>
      </c>
      <c r="CR457" s="71">
        <f>CR364/(CR$352-CR$348)</f>
        <v>1.0726629725032484</v>
      </c>
      <c r="CS457" s="71">
        <f>CS364/(CS$352-CS$348)</f>
        <v>1.0903840884547813</v>
      </c>
      <c r="CT457" s="71">
        <f>CT364/(CT$352-CT$348)</f>
        <v>1.0903840884547813</v>
      </c>
      <c r="CV457" s="71">
        <f>CV364/(CV$352-CV$348)</f>
        <v>1.0703701819381555</v>
      </c>
      <c r="CW457" s="71">
        <f>CW364/(CW$352-CW$348)</f>
        <v>1.0988782588673798</v>
      </c>
      <c r="CX457" s="71">
        <f>CX364/(CX$352-CX$348)</f>
        <v>1.0988782588673798</v>
      </c>
      <c r="CZ457" s="71">
        <f>CZ364/(CZ$352-CZ$348)</f>
        <v>1.121767614531501</v>
      </c>
      <c r="DA457" s="71">
        <f>DA364/(DA$352-DA$348)</f>
        <v>1.1291381144864943</v>
      </c>
      <c r="DB457" s="71">
        <f>DB364/(DB$352-DB$348)</f>
        <v>1.1291381144864943</v>
      </c>
      <c r="DD457" s="71">
        <f>DD364/(DD$352-DD$348)</f>
        <v>1.089856126043367</v>
      </c>
      <c r="DE457" s="71">
        <f>DE364/(DE$352-DE$348)</f>
        <v>1.114849536866843</v>
      </c>
      <c r="DF457" s="71">
        <f>DF364/(DF$352-DF$348)</f>
        <v>1.114849536866843</v>
      </c>
      <c r="DH457" s="71">
        <f>DH364/(DH$352-DH$348)</f>
        <v>1.1221429350788383</v>
      </c>
      <c r="DI457" s="71">
        <f>DI364/(DI$352-DI$348)</f>
        <v>1.1248260146758946</v>
      </c>
      <c r="DJ457" s="71">
        <f>DJ364/(DJ$352-DJ$348)</f>
        <v>1.1248260146758946</v>
      </c>
      <c r="DL457" s="71">
        <f>DL364/(DL$352-DL$348)</f>
        <v>1.1280181527888611</v>
      </c>
      <c r="DM457" s="71">
        <f>DM364/(DM$352-DM$348)</f>
        <v>1.1333012330922934</v>
      </c>
      <c r="DN457" s="71">
        <f>DN364/(DN$352-DN$348)</f>
        <v>1.1333012330922934</v>
      </c>
      <c r="DP457" s="71">
        <f>DP364/(DP$352-DP$348)</f>
        <v>1.1339167304210704</v>
      </c>
      <c r="DQ457" s="71">
        <f>DQ364/(DQ$352-DQ$348)</f>
        <v>1.1361357002749108</v>
      </c>
      <c r="DR457" s="71">
        <f>DR364/(DR$352-DR$348)</f>
        <v>1.1361357002749108</v>
      </c>
      <c r="DW457" s="20"/>
      <c r="DX457" s="20"/>
    </row>
    <row r="458" spans="1:128" s="21" customFormat="1" ht="13.8">
      <c r="B458" s="27"/>
      <c r="BH458" s="72"/>
      <c r="BI458" s="72"/>
      <c r="BJ458" s="72"/>
      <c r="BK458" s="49"/>
      <c r="BL458" s="72"/>
      <c r="BM458" s="72"/>
      <c r="BN458" s="72"/>
      <c r="BO458" s="49"/>
      <c r="BP458" s="72"/>
      <c r="BT458" s="27"/>
      <c r="BX458" s="27"/>
      <c r="CB458" s="27"/>
      <c r="CF458" s="27"/>
      <c r="CJ458" s="27"/>
      <c r="CN458" s="27"/>
      <c r="CR458" s="27"/>
      <c r="CV458" s="27"/>
      <c r="CZ458" s="27"/>
      <c r="DD458" s="27"/>
      <c r="DH458" s="27"/>
      <c r="DL458" s="27"/>
      <c r="DP458" s="27"/>
      <c r="DW458" s="20"/>
      <c r="DX458" s="20"/>
    </row>
    <row r="459" spans="1:128" s="318" customFormat="1" ht="13.8">
      <c r="A459" s="316" t="s">
        <v>59</v>
      </c>
      <c r="B459" s="317"/>
      <c r="BH459" s="317"/>
      <c r="BI459" s="317"/>
      <c r="BJ459" s="317"/>
      <c r="BK459" s="317"/>
      <c r="BL459" s="317"/>
      <c r="BM459" s="317"/>
      <c r="BN459" s="317"/>
      <c r="BO459" s="317"/>
      <c r="BP459" s="317"/>
      <c r="BQ459" s="319"/>
      <c r="BR459" s="319"/>
      <c r="BT459" s="319"/>
      <c r="BU459" s="319"/>
      <c r="BV459" s="319"/>
      <c r="BX459" s="319"/>
      <c r="BY459" s="319"/>
      <c r="BZ459" s="319"/>
      <c r="CB459" s="319"/>
      <c r="CC459" s="319"/>
      <c r="CD459" s="319"/>
      <c r="CF459" s="319"/>
      <c r="CG459" s="319"/>
      <c r="CH459" s="319"/>
      <c r="CJ459" s="319"/>
      <c r="CK459" s="319"/>
      <c r="CL459" s="319"/>
      <c r="CN459" s="319"/>
      <c r="CO459" s="319"/>
      <c r="CP459" s="319"/>
      <c r="CR459" s="319"/>
      <c r="CS459" s="319"/>
      <c r="CT459" s="319"/>
      <c r="CV459" s="319"/>
      <c r="CW459" s="319"/>
      <c r="CX459" s="319"/>
      <c r="CZ459" s="319"/>
      <c r="DA459" s="319"/>
      <c r="DB459" s="319"/>
      <c r="DD459" s="319"/>
      <c r="DE459" s="319"/>
      <c r="DF459" s="319"/>
      <c r="DH459" s="319"/>
      <c r="DI459" s="319"/>
      <c r="DJ459" s="319"/>
      <c r="DL459" s="319"/>
      <c r="DM459" s="319"/>
      <c r="DN459" s="319"/>
      <c r="DP459" s="319"/>
      <c r="DQ459" s="319"/>
      <c r="DR459" s="319"/>
      <c r="DT459" s="742"/>
      <c r="DU459" s="742"/>
      <c r="DV459" s="742"/>
      <c r="DW459" s="20"/>
      <c r="DX459" s="20"/>
    </row>
    <row r="460" spans="1:128" s="20" customFormat="1" ht="13.8">
      <c r="B460" s="49"/>
      <c r="BH460" s="49"/>
      <c r="BI460" s="49"/>
      <c r="BJ460" s="49"/>
      <c r="BK460" s="49"/>
      <c r="BL460" s="49"/>
      <c r="BM460" s="49"/>
      <c r="BN460" s="49"/>
      <c r="BO460" s="49"/>
      <c r="BP460" s="49"/>
      <c r="BQ460" s="49"/>
      <c r="BR460" s="49"/>
      <c r="BS460" s="49"/>
      <c r="BT460" s="49"/>
      <c r="BU460" s="49"/>
      <c r="BV460" s="49"/>
      <c r="BW460" s="49"/>
      <c r="BX460" s="68"/>
      <c r="BY460" s="49"/>
      <c r="BZ460" s="49"/>
      <c r="CB460" s="49"/>
      <c r="CC460" s="49"/>
      <c r="CD460" s="49"/>
      <c r="CF460" s="49"/>
      <c r="CG460" s="49"/>
      <c r="CH460" s="49"/>
      <c r="CJ460" s="49"/>
      <c r="CK460" s="49"/>
      <c r="CL460" s="49"/>
      <c r="CN460" s="49"/>
      <c r="CO460" s="49"/>
      <c r="CP460" s="49"/>
      <c r="CR460" s="49"/>
      <c r="CS460" s="49"/>
      <c r="CT460" s="49"/>
      <c r="CV460" s="49"/>
      <c r="CW460" s="49"/>
      <c r="CX460" s="49"/>
      <c r="CZ460" s="49"/>
      <c r="DA460" s="49"/>
      <c r="DB460" s="49"/>
      <c r="DD460" s="49"/>
      <c r="DE460" s="49"/>
      <c r="DF460" s="49"/>
      <c r="DH460" s="49"/>
      <c r="DI460" s="49"/>
      <c r="DJ460" s="49"/>
      <c r="DL460" s="49"/>
      <c r="DM460" s="49"/>
      <c r="DN460" s="49"/>
      <c r="DP460" s="49"/>
      <c r="DQ460" s="49"/>
      <c r="DR460" s="49"/>
    </row>
    <row r="461" spans="1:128" s="20" customFormat="1" ht="13.8">
      <c r="A461" s="20" t="s">
        <v>532</v>
      </c>
      <c r="B461" s="49" t="s">
        <v>457</v>
      </c>
      <c r="BH461" s="67">
        <f>313425+57664+78413</f>
        <v>449502</v>
      </c>
      <c r="BI461" s="67">
        <f>321973+68669+84834</f>
        <v>475476</v>
      </c>
      <c r="BJ461" s="67">
        <f>316864+63182+81633</f>
        <v>461679</v>
      </c>
      <c r="BK461" s="49"/>
      <c r="BL461" s="67">
        <f>332847+76408+93349</f>
        <v>502604</v>
      </c>
      <c r="BM461" s="67">
        <f>352275+78950+96189</f>
        <v>527414</v>
      </c>
      <c r="BN461" s="67">
        <f>342587+77682+94773</f>
        <v>515042</v>
      </c>
      <c r="BO461" s="49"/>
      <c r="BP461" s="67">
        <v>544700</v>
      </c>
      <c r="BQ461" s="67">
        <v>566505</v>
      </c>
      <c r="BR461" s="65">
        <f>AVERAGE(BP461:BQ461)</f>
        <v>555602.5</v>
      </c>
      <c r="BT461" s="67">
        <v>550932</v>
      </c>
      <c r="BU461" s="67">
        <v>551085</v>
      </c>
      <c r="BV461" s="65">
        <f>AVERAGE(BT461:BU461)</f>
        <v>551008.5</v>
      </c>
      <c r="BX461" s="67">
        <v>555781</v>
      </c>
      <c r="BY461" s="67">
        <v>558356</v>
      </c>
      <c r="BZ461" s="65">
        <f>AVERAGE(BX461:BY461)</f>
        <v>557068.5</v>
      </c>
      <c r="CB461" s="67">
        <v>561445</v>
      </c>
      <c r="CC461" s="67">
        <v>572505</v>
      </c>
      <c r="CD461" s="806">
        <v>567103</v>
      </c>
      <c r="CF461" s="67">
        <v>585911</v>
      </c>
      <c r="CG461" s="67">
        <v>589929</v>
      </c>
      <c r="CH461" s="806">
        <v>587924</v>
      </c>
      <c r="CI461" s="75">
        <f>+CH461/CD461-1</f>
        <v>3.6714670879893108E-2</v>
      </c>
      <c r="CJ461" s="67">
        <v>604639</v>
      </c>
      <c r="CK461" s="67">
        <v>607394</v>
      </c>
      <c r="CL461" s="806">
        <v>606017</v>
      </c>
      <c r="CM461" s="75">
        <f>+CL461/CH461-1</f>
        <v>3.0774385804968052E-2</v>
      </c>
      <c r="CN461" s="67">
        <v>586454</v>
      </c>
      <c r="CO461" s="67">
        <v>587317</v>
      </c>
      <c r="CP461" s="806">
        <v>586885</v>
      </c>
      <c r="CQ461" s="75">
        <f>+CP461/CL461-1</f>
        <v>-3.1570071466642036E-2</v>
      </c>
      <c r="CR461" s="67">
        <v>607087</v>
      </c>
      <c r="CS461" s="67">
        <v>619490</v>
      </c>
      <c r="CT461" s="806">
        <v>613305</v>
      </c>
      <c r="CU461" s="75">
        <f>+CT461/CP461-1</f>
        <v>4.5017337297767135E-2</v>
      </c>
      <c r="CV461" s="67">
        <v>649253</v>
      </c>
      <c r="CW461" s="67">
        <v>650169</v>
      </c>
      <c r="CX461" s="806">
        <v>649713</v>
      </c>
      <c r="CY461" s="75">
        <f>+CX461/CT461-1</f>
        <v>5.9363611905984826E-2</v>
      </c>
      <c r="CZ461" s="67">
        <v>663982</v>
      </c>
      <c r="DA461" s="67">
        <v>699378</v>
      </c>
      <c r="DB461" s="806">
        <v>681680</v>
      </c>
      <c r="DC461" s="75">
        <f>+DB461/CX461-1</f>
        <v>4.9201724453720397E-2</v>
      </c>
      <c r="DD461" s="67">
        <v>762557</v>
      </c>
      <c r="DE461" s="67">
        <v>777193</v>
      </c>
      <c r="DF461" s="806">
        <v>769895</v>
      </c>
      <c r="DG461" s="75">
        <f>+DF461/DB461-1</f>
        <v>0.12940822673395136</v>
      </c>
      <c r="DH461" s="65">
        <f>+DH493*DH497</f>
        <v>784347.47131220344</v>
      </c>
      <c r="DI461" s="65">
        <f>+DI493*DI497</f>
        <v>795631.82245495776</v>
      </c>
      <c r="DJ461" s="65">
        <f>AVERAGE(DH461:DI461)</f>
        <v>789989.6468835806</v>
      </c>
      <c r="DK461" s="75">
        <f>+DJ461/DF461-1</f>
        <v>2.6100503164172562E-2</v>
      </c>
      <c r="DL461" s="65">
        <f>+DL493*DL497</f>
        <v>813134.17643466685</v>
      </c>
      <c r="DM461" s="65">
        <f>+DM493*DM497</f>
        <v>832061.05379386828</v>
      </c>
      <c r="DN461" s="65">
        <f>AVERAGE(DL461:DM461)</f>
        <v>822597.61511426757</v>
      </c>
      <c r="DO461" s="75">
        <f>+DN461/DJ461-1</f>
        <v>4.1276450089341887E-2</v>
      </c>
      <c r="DP461" s="65">
        <f>+DP493*DP497</f>
        <v>850507.97044903133</v>
      </c>
      <c r="DQ461" s="65">
        <f>+DQ493*DQ497</f>
        <v>868291.32426456013</v>
      </c>
      <c r="DR461" s="65">
        <f>AVERAGE(DP461:DQ461)</f>
        <v>859399.64735679573</v>
      </c>
      <c r="DS461" s="75">
        <f>+DR461/DN461-1</f>
        <v>4.4738802503598185E-2</v>
      </c>
    </row>
    <row r="462" spans="1:128" s="20" customFormat="1" ht="13.8">
      <c r="A462" s="20" t="s">
        <v>60</v>
      </c>
      <c r="B462" s="49"/>
      <c r="BH462" s="65">
        <f>BH463-BH461</f>
        <v>106762</v>
      </c>
      <c r="BI462" s="65">
        <f>BI463-BI461</f>
        <v>120522</v>
      </c>
      <c r="BJ462" s="65">
        <f>BJ463-BJ461</f>
        <v>113660</v>
      </c>
      <c r="BK462" s="49"/>
      <c r="BL462" s="65">
        <f>BL463-BL461</f>
        <v>129796</v>
      </c>
      <c r="BM462" s="65">
        <f>BM463-BM461</f>
        <v>134101</v>
      </c>
      <c r="BN462" s="65">
        <f>BN463-BN461</f>
        <v>131955</v>
      </c>
      <c r="BO462" s="49"/>
      <c r="BP462" s="65">
        <f>BP463-BP461</f>
        <v>157503</v>
      </c>
      <c r="BQ462" s="65">
        <f>BQ463-BQ461</f>
        <v>165234</v>
      </c>
      <c r="BR462" s="65">
        <f>BR463-BR461</f>
        <v>161368.5</v>
      </c>
      <c r="BT462" s="65">
        <f>BT463-BT461</f>
        <v>180463</v>
      </c>
      <c r="BU462" s="65">
        <f>BU463-BU461</f>
        <v>179190</v>
      </c>
      <c r="BV462" s="65">
        <f>BV463-BV461</f>
        <v>179826.5</v>
      </c>
      <c r="BX462" s="65">
        <f>BX463-BX461</f>
        <v>188125</v>
      </c>
      <c r="BY462" s="65">
        <f>BY463-BY461</f>
        <v>193717</v>
      </c>
      <c r="BZ462" s="65">
        <f>BZ463-BZ461</f>
        <v>190921</v>
      </c>
      <c r="CB462" s="65">
        <f>CB463-CB461</f>
        <v>203741</v>
      </c>
      <c r="CC462" s="65">
        <f>CC463-CC461</f>
        <v>211996</v>
      </c>
      <c r="CD462" s="65">
        <f>CD463-CD461</f>
        <v>207781</v>
      </c>
      <c r="CF462" s="65">
        <f>CF463-CF461</f>
        <v>225617</v>
      </c>
      <c r="CG462" s="65">
        <f>CG463-CG461</f>
        <v>224902</v>
      </c>
      <c r="CH462" s="65">
        <f>CH463-CH461</f>
        <v>225295</v>
      </c>
      <c r="CI462" s="75">
        <f>+CH462/CD462-1</f>
        <v>8.4290671428090214E-2</v>
      </c>
      <c r="CJ462" s="65">
        <f>CJ463-CJ461</f>
        <v>252012</v>
      </c>
      <c r="CK462" s="65">
        <f>CK463-CK461</f>
        <v>261716</v>
      </c>
      <c r="CL462" s="65">
        <f>CL463-CL461</f>
        <v>256865</v>
      </c>
      <c r="CM462" s="75">
        <f>+CL462/CH462-1</f>
        <v>0.14012738853503182</v>
      </c>
      <c r="CN462" s="65">
        <f>CN463-CN461</f>
        <v>271070</v>
      </c>
      <c r="CO462" s="65">
        <f>CO463-CO461</f>
        <v>282508</v>
      </c>
      <c r="CP462" s="65">
        <f>CP463-CP461</f>
        <v>276806</v>
      </c>
      <c r="CQ462" s="75">
        <f>+CP462/CL462-1</f>
        <v>7.7632219259143875E-2</v>
      </c>
      <c r="CR462" s="65">
        <f>CR463-CR461</f>
        <v>292591</v>
      </c>
      <c r="CS462" s="65">
        <f>CS463-CS461</f>
        <v>300850</v>
      </c>
      <c r="CT462" s="65">
        <f>CT463-CT461</f>
        <v>296732</v>
      </c>
      <c r="CU462" s="75">
        <f>+CT462/CP462-1</f>
        <v>7.1985433841752045E-2</v>
      </c>
      <c r="CV462" s="65">
        <f>CV463-CV461</f>
        <v>323719</v>
      </c>
      <c r="CW462" s="65">
        <f>CW463-CW461</f>
        <v>327006</v>
      </c>
      <c r="CX462" s="65">
        <f>CX463-CX461</f>
        <v>325366</v>
      </c>
      <c r="CY462" s="75">
        <f>+CX462/CT462-1</f>
        <v>9.6497849911704847E-2</v>
      </c>
      <c r="CZ462" s="65">
        <f>CZ463-CZ461</f>
        <v>351639</v>
      </c>
      <c r="DA462" s="65">
        <f>DA463-DA461</f>
        <v>332233</v>
      </c>
      <c r="DB462" s="65">
        <f>DB463-DB461</f>
        <v>341936</v>
      </c>
      <c r="DC462" s="75">
        <f>+DB462/CX462-1</f>
        <v>5.0927263451005844E-2</v>
      </c>
      <c r="DD462" s="65">
        <f>DD463-DD461</f>
        <v>379571</v>
      </c>
      <c r="DE462" s="65">
        <f>DE463-DE461</f>
        <v>399960</v>
      </c>
      <c r="DF462" s="65">
        <f>DF463-DF461</f>
        <v>389793</v>
      </c>
      <c r="DG462" s="75">
        <f>+DF462/DB462-1</f>
        <v>0.13995893968461925</v>
      </c>
      <c r="DH462" s="65">
        <f>+DH461*DH484</f>
        <v>403641.84266460052</v>
      </c>
      <c r="DI462" s="65">
        <f>+DI461*DI484</f>
        <v>409449.00907378847</v>
      </c>
      <c r="DJ462" s="65">
        <f>AVERAGE(DH462:DI462)</f>
        <v>406545.4258691945</v>
      </c>
      <c r="DK462" s="75">
        <f>+DJ462/DF462-1</f>
        <v>4.2977749393125375E-2</v>
      </c>
      <c r="DL462" s="65">
        <f>+DL461*DL484</f>
        <v>418456.09161020408</v>
      </c>
      <c r="DM462" s="65">
        <f>+DM461*DM484</f>
        <v>428196.26408806501</v>
      </c>
      <c r="DN462" s="65">
        <f>AVERAGE(DL462:DM462)</f>
        <v>423326.17784913455</v>
      </c>
      <c r="DO462" s="75">
        <f>+DN462/DJ462-1</f>
        <v>4.1276450089341887E-2</v>
      </c>
      <c r="DP462" s="65">
        <f>+DP461*DP484</f>
        <v>437689.43860893568</v>
      </c>
      <c r="DQ462" s="65">
        <f>+DQ461*DQ484</f>
        <v>446841.12962012453</v>
      </c>
      <c r="DR462" s="65">
        <f>AVERAGE(DP462:DQ462)</f>
        <v>442265.28411453008</v>
      </c>
      <c r="DS462" s="75">
        <f>+DR462/DN462-1</f>
        <v>4.4738802503598185E-2</v>
      </c>
    </row>
    <row r="463" spans="1:128" s="21" customFormat="1" ht="13.8">
      <c r="A463" s="21" t="s">
        <v>135</v>
      </c>
      <c r="B463" s="27"/>
      <c r="BH463" s="98">
        <v>556264</v>
      </c>
      <c r="BI463" s="98">
        <v>595998</v>
      </c>
      <c r="BJ463" s="98">
        <v>575339</v>
      </c>
      <c r="BK463" s="27"/>
      <c r="BL463" s="98">
        <v>632400</v>
      </c>
      <c r="BM463" s="98">
        <v>661515</v>
      </c>
      <c r="BN463" s="98">
        <v>646997</v>
      </c>
      <c r="BO463" s="27"/>
      <c r="BP463" s="98">
        <v>702203</v>
      </c>
      <c r="BQ463" s="98">
        <v>731739</v>
      </c>
      <c r="BR463" s="72">
        <f>AVERAGE(BP463:BQ463)</f>
        <v>716971</v>
      </c>
      <c r="BT463" s="98">
        <v>731395</v>
      </c>
      <c r="BU463" s="98">
        <v>730275</v>
      </c>
      <c r="BV463" s="72">
        <f>AVERAGE(BT463:BU463)</f>
        <v>730835</v>
      </c>
      <c r="BX463" s="98">
        <v>743906</v>
      </c>
      <c r="BY463" s="98">
        <v>752073</v>
      </c>
      <c r="BZ463" s="72">
        <f>AVERAGE(BX463:BY463)</f>
        <v>747989.5</v>
      </c>
      <c r="CB463" s="98">
        <v>765186</v>
      </c>
      <c r="CC463" s="98">
        <v>784501</v>
      </c>
      <c r="CD463" s="807">
        <v>774884</v>
      </c>
      <c r="CF463" s="98">
        <v>811528</v>
      </c>
      <c r="CG463" s="98">
        <v>814831</v>
      </c>
      <c r="CH463" s="807">
        <v>813219</v>
      </c>
      <c r="CI463" s="79">
        <f>+CH463/CD463-1</f>
        <v>4.9471920958491955E-2</v>
      </c>
      <c r="CJ463" s="98">
        <v>856651</v>
      </c>
      <c r="CK463" s="98">
        <v>869110</v>
      </c>
      <c r="CL463" s="807">
        <v>862882</v>
      </c>
      <c r="CM463" s="79">
        <f>+CL463/CH463-1</f>
        <v>6.1069650364784955E-2</v>
      </c>
      <c r="CN463" s="98">
        <v>857524</v>
      </c>
      <c r="CO463" s="98">
        <v>869825</v>
      </c>
      <c r="CP463" s="807">
        <v>863691</v>
      </c>
      <c r="CQ463" s="79">
        <f>+CP463/CL463-1</f>
        <v>9.3755577239984511E-4</v>
      </c>
      <c r="CR463" s="98">
        <v>899678</v>
      </c>
      <c r="CS463" s="98">
        <v>920340</v>
      </c>
      <c r="CT463" s="807">
        <v>910037</v>
      </c>
      <c r="CU463" s="79">
        <f>+CT463/CP463-1</f>
        <v>5.3660394747658602E-2</v>
      </c>
      <c r="CV463" s="98">
        <v>972972</v>
      </c>
      <c r="CW463" s="98">
        <v>977175</v>
      </c>
      <c r="CX463" s="807">
        <v>975079</v>
      </c>
      <c r="CY463" s="79">
        <f>+CX463/CT463-1</f>
        <v>7.1471819277677762E-2</v>
      </c>
      <c r="CZ463" s="98">
        <v>1015621</v>
      </c>
      <c r="DA463" s="98">
        <v>1031611</v>
      </c>
      <c r="DB463" s="807">
        <v>1023616</v>
      </c>
      <c r="DC463" s="79">
        <f>+DB463/CX463-1</f>
        <v>4.9777505207270423E-2</v>
      </c>
      <c r="DD463" s="98">
        <v>1142128</v>
      </c>
      <c r="DE463" s="98">
        <v>1177153</v>
      </c>
      <c r="DF463" s="807">
        <v>1159688</v>
      </c>
      <c r="DG463" s="79">
        <f>+DF463/DB463-1</f>
        <v>0.1329326622483431</v>
      </c>
      <c r="DH463" s="72">
        <f>SUM(DH461:DH462)</f>
        <v>1187989.313976804</v>
      </c>
      <c r="DI463" s="72">
        <f>SUM(DI461:DI462)</f>
        <v>1205080.8315287463</v>
      </c>
      <c r="DJ463" s="72">
        <f>SUM(DJ461:DJ462)</f>
        <v>1196535.0727527752</v>
      </c>
      <c r="DK463" s="79">
        <f>+DJ463/DF463-1</f>
        <v>3.1773263802656437E-2</v>
      </c>
      <c r="DL463" s="72">
        <f>SUM(DL461:DL462)</f>
        <v>1231590.2680448708</v>
      </c>
      <c r="DM463" s="72">
        <f>SUM(DM461:DM462)</f>
        <v>1260257.3178819334</v>
      </c>
      <c r="DN463" s="72">
        <f>SUM(DN461:DN462)</f>
        <v>1245923.7929634021</v>
      </c>
      <c r="DO463" s="79">
        <f>+DN463/DJ463-1</f>
        <v>4.1276450089341887E-2</v>
      </c>
      <c r="DP463" s="72">
        <f>SUM(DP461:DP462)</f>
        <v>1288197.4090579669</v>
      </c>
      <c r="DQ463" s="72">
        <f>SUM(DQ461:DQ462)</f>
        <v>1315132.4538846847</v>
      </c>
      <c r="DR463" s="72">
        <f>SUM(DR461:DR462)</f>
        <v>1301664.9314713259</v>
      </c>
      <c r="DS463" s="79">
        <f>+DR463/DN463-1</f>
        <v>4.4738802503598407E-2</v>
      </c>
      <c r="DW463" s="20"/>
      <c r="DX463" s="20"/>
    </row>
    <row r="464" spans="1:128" s="20" customFormat="1" ht="13.8">
      <c r="A464" s="20" t="s">
        <v>510</v>
      </c>
      <c r="B464" s="49"/>
      <c r="BH464" s="65">
        <f>BH465-BH463</f>
        <v>98235</v>
      </c>
      <c r="BI464" s="65">
        <f>BI465-BI463</f>
        <v>99995</v>
      </c>
      <c r="BJ464" s="65">
        <f>BJ465-BJ463</f>
        <v>99965</v>
      </c>
      <c r="BK464" s="66"/>
      <c r="BL464" s="65">
        <f>BL465-BL463</f>
        <v>102143</v>
      </c>
      <c r="BM464" s="65">
        <f>BM465-BM463</f>
        <v>102533</v>
      </c>
      <c r="BN464" s="65">
        <f>BN465-BN463</f>
        <v>102337</v>
      </c>
      <c r="BO464" s="49"/>
      <c r="BP464" s="65">
        <f>BP465-BP463</f>
        <v>128150</v>
      </c>
      <c r="BQ464" s="65">
        <f>BQ465-BQ463</f>
        <v>139866</v>
      </c>
      <c r="BR464" s="65">
        <f>BR465-BR463</f>
        <v>134065</v>
      </c>
      <c r="BT464" s="65">
        <f>BT465-BT463</f>
        <v>169353</v>
      </c>
      <c r="BU464" s="65">
        <f>BU465-BU463</f>
        <v>184795</v>
      </c>
      <c r="BV464" s="65">
        <f>BV465-BV463</f>
        <v>177074</v>
      </c>
      <c r="BX464" s="65">
        <f>BX465-BX463</f>
        <v>173988</v>
      </c>
      <c r="BY464" s="65">
        <f>BY465-BY463</f>
        <v>168196</v>
      </c>
      <c r="BZ464" s="65">
        <f>BZ465-BZ463</f>
        <v>171092</v>
      </c>
      <c r="CB464" s="65">
        <f>CB465-CB463</f>
        <v>168809</v>
      </c>
      <c r="CC464" s="65">
        <f>CC465-CC463</f>
        <v>169676</v>
      </c>
      <c r="CD464" s="65">
        <f>CD465-CD463</f>
        <v>169229</v>
      </c>
      <c r="CF464" s="65">
        <f>CF465-CF463</f>
        <v>162663</v>
      </c>
      <c r="CG464" s="65">
        <f>CG465-CG463</f>
        <v>172898</v>
      </c>
      <c r="CH464" s="65">
        <f>CH465-CH463</f>
        <v>167760</v>
      </c>
      <c r="CJ464" s="65">
        <f>CJ465-CJ463</f>
        <v>166543</v>
      </c>
      <c r="CK464" s="65">
        <f>CK465-CK463</f>
        <v>212844</v>
      </c>
      <c r="CL464" s="65">
        <f>CL465-CL463</f>
        <v>189691</v>
      </c>
      <c r="CN464" s="65">
        <f>CN465-CN463</f>
        <v>188044</v>
      </c>
      <c r="CO464" s="65">
        <f>CO465-CO463</f>
        <v>156958</v>
      </c>
      <c r="CP464" s="65">
        <f>CP465-CP463</f>
        <v>172458</v>
      </c>
      <c r="CR464" s="65">
        <f>CR465-CR463</f>
        <v>110098</v>
      </c>
      <c r="CS464" s="65">
        <f>CS465-CS463</f>
        <v>141680</v>
      </c>
      <c r="CT464" s="65">
        <f>CT465-CT463</f>
        <v>125932</v>
      </c>
      <c r="CV464" s="65">
        <f>CV465-CV463</f>
        <v>139344</v>
      </c>
      <c r="CW464" s="65">
        <f>CW465-CW463</f>
        <v>138155</v>
      </c>
      <c r="CX464" s="65">
        <f>CX465-CX463</f>
        <v>138749</v>
      </c>
      <c r="CZ464" s="65">
        <f>CZ465-CZ463</f>
        <v>147375</v>
      </c>
      <c r="DA464" s="65">
        <f>DA465-DA463</f>
        <v>150112</v>
      </c>
      <c r="DB464" s="65">
        <f>DB465-DB463</f>
        <v>148743</v>
      </c>
      <c r="DD464" s="65">
        <f>DD465-DD463</f>
        <v>175841</v>
      </c>
      <c r="DE464" s="65">
        <f>DE465-DE463</f>
        <v>172022</v>
      </c>
      <c r="DF464" s="65">
        <f>DF465-DF463</f>
        <v>173927</v>
      </c>
      <c r="DH464" s="65">
        <f ca="1">DH465-DH463</f>
        <v>162787.8008940646</v>
      </c>
      <c r="DI464" s="65">
        <f ca="1">DI465-DI463</f>
        <v>164821.2814321646</v>
      </c>
      <c r="DJ464" s="65">
        <f ca="1">AVERAGE(DH464:DI464)</f>
        <v>163804.5411631146</v>
      </c>
      <c r="DL464" s="65">
        <f ca="1">DL465-DL463</f>
        <v>168366.41776580061</v>
      </c>
      <c r="DM464" s="65">
        <f ca="1">DM465-DM463</f>
        <v>172165.22397596692</v>
      </c>
      <c r="DN464" s="65">
        <f ca="1">AVERAGE(DL464:DM464)</f>
        <v>170265.82087088376</v>
      </c>
      <c r="DP464" s="65">
        <f ca="1">DP465-DP463</f>
        <v>175809.79832052719</v>
      </c>
      <c r="DQ464" s="65">
        <f ca="1">DQ465-DQ463</f>
        <v>179322.05090946774</v>
      </c>
      <c r="DR464" s="65">
        <f ca="1">AVERAGE(DP464:DQ464)</f>
        <v>177565.92461499746</v>
      </c>
    </row>
    <row r="465" spans="1:122" s="20" customFormat="1" ht="13.8">
      <c r="A465" s="21" t="s">
        <v>164</v>
      </c>
      <c r="B465" s="27"/>
      <c r="C465" s="21"/>
      <c r="D465" s="21"/>
      <c r="E465" s="21"/>
      <c r="F465" s="21"/>
      <c r="G465" s="21"/>
      <c r="H465" s="21"/>
      <c r="I465" s="21"/>
      <c r="J465" s="21"/>
      <c r="K465" s="21"/>
      <c r="L465" s="21"/>
      <c r="M465" s="21"/>
      <c r="N465" s="21"/>
      <c r="O465" s="21"/>
      <c r="P465" s="21"/>
      <c r="Q465" s="21"/>
      <c r="R465" s="21"/>
      <c r="S465" s="21"/>
      <c r="T465" s="21"/>
      <c r="U465" s="21"/>
      <c r="V465" s="21"/>
      <c r="W465" s="21"/>
      <c r="X465" s="21"/>
      <c r="Y465" s="21"/>
      <c r="Z465" s="21"/>
      <c r="AA465" s="21"/>
      <c r="AB465" s="21"/>
      <c r="AC465" s="21"/>
      <c r="AD465" s="21"/>
      <c r="AE465" s="21"/>
      <c r="AF465" s="21"/>
      <c r="AG465" s="21"/>
      <c r="AH465" s="21"/>
      <c r="AI465" s="21"/>
      <c r="AJ465" s="21"/>
      <c r="AK465" s="21"/>
      <c r="AL465" s="21"/>
      <c r="AM465" s="21"/>
      <c r="AN465" s="21"/>
      <c r="AO465" s="21"/>
      <c r="AP465" s="21"/>
      <c r="AQ465" s="21"/>
      <c r="AR465" s="21"/>
      <c r="AS465" s="21"/>
      <c r="AT465" s="21"/>
      <c r="AU465" s="21"/>
      <c r="AV465" s="21"/>
      <c r="AW465" s="21"/>
      <c r="AX465" s="21"/>
      <c r="AY465" s="21"/>
      <c r="AZ465" s="21"/>
      <c r="BA465" s="21"/>
      <c r="BB465" s="21"/>
      <c r="BC465" s="21"/>
      <c r="BD465" s="21"/>
      <c r="BE465" s="21"/>
      <c r="BF465" s="21"/>
      <c r="BG465" s="21"/>
      <c r="BH465" s="98">
        <v>654499</v>
      </c>
      <c r="BI465" s="98">
        <v>695993</v>
      </c>
      <c r="BJ465" s="98">
        <v>675304</v>
      </c>
      <c r="BK465" s="27"/>
      <c r="BL465" s="98">
        <v>734543</v>
      </c>
      <c r="BM465" s="98">
        <v>764048</v>
      </c>
      <c r="BN465" s="98">
        <v>749334</v>
      </c>
      <c r="BO465" s="27"/>
      <c r="BP465" s="98">
        <v>830353</v>
      </c>
      <c r="BQ465" s="98">
        <v>871605</v>
      </c>
      <c r="BR465" s="98">
        <v>851036</v>
      </c>
      <c r="BT465" s="98">
        <v>900748</v>
      </c>
      <c r="BU465" s="98">
        <v>915070</v>
      </c>
      <c r="BV465" s="72">
        <f>AVERAGE(BT465:BU465)</f>
        <v>907909</v>
      </c>
      <c r="BX465" s="98">
        <v>917894</v>
      </c>
      <c r="BY465" s="98">
        <v>920269</v>
      </c>
      <c r="BZ465" s="72">
        <f>AVERAGE(BX465:BY465)</f>
        <v>919081.5</v>
      </c>
      <c r="CB465" s="98">
        <v>933995</v>
      </c>
      <c r="CC465" s="98">
        <v>954177</v>
      </c>
      <c r="CD465" s="98">
        <v>944113</v>
      </c>
      <c r="CF465" s="98">
        <v>974191</v>
      </c>
      <c r="CG465" s="98">
        <v>987729</v>
      </c>
      <c r="CH465" s="98">
        <v>980979</v>
      </c>
      <c r="CJ465" s="98">
        <v>1023194</v>
      </c>
      <c r="CK465" s="98">
        <v>1081954</v>
      </c>
      <c r="CL465" s="98">
        <v>1052573</v>
      </c>
      <c r="CN465" s="98">
        <v>1045568</v>
      </c>
      <c r="CO465" s="98">
        <v>1026783</v>
      </c>
      <c r="CP465" s="98">
        <v>1036149</v>
      </c>
      <c r="CR465" s="98">
        <v>1009776</v>
      </c>
      <c r="CS465" s="98">
        <v>1062020</v>
      </c>
      <c r="CT465" s="98">
        <v>1035969</v>
      </c>
      <c r="CV465" s="98">
        <v>1112316</v>
      </c>
      <c r="CW465" s="98">
        <v>1115330</v>
      </c>
      <c r="CX465" s="98">
        <v>1113828</v>
      </c>
      <c r="CZ465" s="98">
        <v>1162996</v>
      </c>
      <c r="DA465" s="98">
        <v>1181723</v>
      </c>
      <c r="DB465" s="98">
        <v>1172359</v>
      </c>
      <c r="DD465" s="98">
        <v>1317969</v>
      </c>
      <c r="DE465" s="98">
        <v>1349175</v>
      </c>
      <c r="DF465" s="98">
        <v>1333615</v>
      </c>
      <c r="DH465" s="72">
        <f ca="1">+DH506*DH507</f>
        <v>1350777.1148708686</v>
      </c>
      <c r="DI465" s="72">
        <f ca="1">+DI506*DI507</f>
        <v>1369902.1129609109</v>
      </c>
      <c r="DJ465" s="72">
        <f ca="1">SUM(DJ463:DJ464)</f>
        <v>1360339.6139158898</v>
      </c>
      <c r="DL465" s="72">
        <f ca="1">+DL506*DL507</f>
        <v>1399956.6858106714</v>
      </c>
      <c r="DM465" s="72">
        <f ca="1">+DM506*DM507</f>
        <v>1432422.5418579003</v>
      </c>
      <c r="DN465" s="72">
        <f ca="1">SUM(DN463:DN464)</f>
        <v>1416189.6138342859</v>
      </c>
      <c r="DP465" s="72">
        <f ca="1">+DP506*DP507</f>
        <v>1464007.2073784941</v>
      </c>
      <c r="DQ465" s="72">
        <f ca="1">+DQ506*DQ507</f>
        <v>1494454.5047941525</v>
      </c>
      <c r="DR465" s="72">
        <f ca="1">SUM(DR463:DR464)</f>
        <v>1479230.8560863235</v>
      </c>
    </row>
    <row r="466" spans="1:122" s="20" customFormat="1" ht="13.8">
      <c r="A466" s="21"/>
      <c r="B466" s="27"/>
      <c r="C466" s="21"/>
      <c r="D466" s="21"/>
      <c r="E466" s="21"/>
      <c r="F466" s="21"/>
      <c r="G466" s="21"/>
      <c r="H466" s="21"/>
      <c r="I466" s="21"/>
      <c r="J466" s="21"/>
      <c r="K466" s="21"/>
      <c r="L466" s="21"/>
      <c r="M466" s="21"/>
      <c r="N466" s="21"/>
      <c r="O466" s="21"/>
      <c r="P466" s="21"/>
      <c r="Q466" s="21"/>
      <c r="R466" s="21"/>
      <c r="S466" s="21"/>
      <c r="T466" s="21"/>
      <c r="U466" s="21"/>
      <c r="V466" s="21"/>
      <c r="W466" s="21"/>
      <c r="X466" s="21"/>
      <c r="Y466" s="21"/>
      <c r="Z466" s="21"/>
      <c r="AA466" s="21"/>
      <c r="AB466" s="21"/>
      <c r="AC466" s="21"/>
      <c r="AD466" s="21"/>
      <c r="AE466" s="21"/>
      <c r="AF466" s="21"/>
      <c r="AG466" s="21"/>
      <c r="AH466" s="21"/>
      <c r="AI466" s="21"/>
      <c r="AJ466" s="21"/>
      <c r="AK466" s="21"/>
      <c r="AL466" s="21"/>
      <c r="AM466" s="21"/>
      <c r="AN466" s="21"/>
      <c r="AO466" s="21"/>
      <c r="AP466" s="21"/>
      <c r="AQ466" s="21"/>
      <c r="AR466" s="21"/>
      <c r="AS466" s="21"/>
      <c r="AT466" s="21"/>
      <c r="AU466" s="21"/>
      <c r="AV466" s="21"/>
      <c r="AW466" s="21"/>
      <c r="AX466" s="21"/>
      <c r="AY466" s="21"/>
      <c r="AZ466" s="21"/>
      <c r="BA466" s="21"/>
      <c r="BB466" s="21"/>
      <c r="BC466" s="21"/>
      <c r="BD466" s="21"/>
      <c r="BE466" s="21"/>
      <c r="BF466" s="21"/>
      <c r="BG466" s="21"/>
      <c r="BH466" s="72"/>
      <c r="BI466" s="72"/>
      <c r="BJ466" s="72"/>
      <c r="BK466" s="27"/>
      <c r="BL466" s="72"/>
      <c r="BM466" s="72"/>
      <c r="BN466" s="72"/>
      <c r="BO466" s="27"/>
      <c r="BP466" s="72"/>
      <c r="BQ466" s="72"/>
      <c r="BR466" s="72"/>
      <c r="BT466" s="72"/>
      <c r="BU466" s="72"/>
      <c r="BV466" s="72"/>
      <c r="BX466" s="72"/>
      <c r="BY466" s="72"/>
      <c r="BZ466" s="72"/>
      <c r="CB466" s="72"/>
      <c r="CC466" s="72"/>
      <c r="CD466" s="72"/>
      <c r="CF466" s="72"/>
      <c r="CG466" s="72"/>
      <c r="CH466" s="72"/>
      <c r="CJ466" s="72"/>
      <c r="CK466" s="72"/>
      <c r="CL466" s="72"/>
      <c r="CN466" s="72"/>
      <c r="CO466" s="72"/>
      <c r="CP466" s="72"/>
      <c r="CR466" s="72"/>
      <c r="CS466" s="72"/>
      <c r="CT466" s="72"/>
      <c r="CV466" s="72"/>
      <c r="CW466" s="72"/>
      <c r="CX466" s="72"/>
      <c r="CZ466" s="72"/>
      <c r="DA466" s="72"/>
      <c r="DB466" s="72"/>
      <c r="DD466" s="72"/>
      <c r="DE466" s="72"/>
      <c r="DF466" s="72"/>
      <c r="DH466" s="72"/>
      <c r="DI466" s="72"/>
      <c r="DJ466" s="72"/>
      <c r="DL466" s="72"/>
      <c r="DM466" s="72"/>
      <c r="DN466" s="72"/>
      <c r="DP466" s="72"/>
      <c r="DQ466" s="72"/>
      <c r="DR466" s="72"/>
    </row>
    <row r="467" spans="1:122" s="20" customFormat="1" ht="13.8">
      <c r="A467" s="21" t="s">
        <v>61</v>
      </c>
      <c r="B467" s="49" t="s">
        <v>456</v>
      </c>
      <c r="C467" s="21"/>
      <c r="D467" s="21"/>
      <c r="E467" s="21"/>
      <c r="F467" s="21"/>
      <c r="G467" s="21"/>
      <c r="H467" s="21"/>
      <c r="I467" s="21"/>
      <c r="J467" s="21"/>
      <c r="K467" s="21"/>
      <c r="L467" s="21"/>
      <c r="M467" s="21"/>
      <c r="N467" s="21"/>
      <c r="O467" s="21"/>
      <c r="P467" s="21"/>
      <c r="Q467" s="21"/>
      <c r="R467" s="21"/>
      <c r="S467" s="21"/>
      <c r="T467" s="21"/>
      <c r="U467" s="21"/>
      <c r="V467" s="21"/>
      <c r="W467" s="21"/>
      <c r="X467" s="21"/>
      <c r="Y467" s="21"/>
      <c r="Z467" s="21"/>
      <c r="AA467" s="21"/>
      <c r="AB467" s="21"/>
      <c r="AC467" s="21"/>
      <c r="AD467" s="21"/>
      <c r="AE467" s="21"/>
      <c r="AF467" s="21"/>
      <c r="AG467" s="21"/>
      <c r="AH467" s="21"/>
      <c r="AI467" s="21"/>
      <c r="AJ467" s="21"/>
      <c r="AK467" s="21"/>
      <c r="AL467" s="21"/>
      <c r="AM467" s="21"/>
      <c r="AN467" s="21"/>
      <c r="AO467" s="21"/>
      <c r="AP467" s="21"/>
      <c r="AQ467" s="21"/>
      <c r="AR467" s="21"/>
      <c r="AS467" s="21"/>
      <c r="AT467" s="21"/>
      <c r="AU467" s="21"/>
      <c r="AV467" s="21"/>
      <c r="AW467" s="21"/>
      <c r="AX467" s="21"/>
      <c r="AY467" s="21"/>
      <c r="AZ467" s="21"/>
      <c r="BA467" s="21"/>
      <c r="BB467" s="21"/>
      <c r="BC467" s="21"/>
      <c r="BD467" s="21"/>
      <c r="BE467" s="21"/>
      <c r="BF467" s="21"/>
      <c r="BG467" s="21"/>
      <c r="BH467" s="67">
        <v>511368</v>
      </c>
      <c r="BI467" s="67">
        <v>545292</v>
      </c>
      <c r="BJ467" s="67">
        <v>528160</v>
      </c>
      <c r="BK467" s="49"/>
      <c r="BL467" s="67">
        <v>577633</v>
      </c>
      <c r="BM467" s="67">
        <v>604711</v>
      </c>
      <c r="BN467" s="67">
        <v>591210</v>
      </c>
      <c r="BO467" s="49"/>
      <c r="BP467" s="67">
        <v>645698</v>
      </c>
      <c r="BQ467" s="67">
        <v>664117</v>
      </c>
      <c r="BR467" s="67">
        <v>654933</v>
      </c>
      <c r="BT467" s="67">
        <v>661807</v>
      </c>
      <c r="BU467" s="67">
        <v>665165</v>
      </c>
      <c r="BV467" s="65">
        <f>AVERAGE(BT467:BU467)</f>
        <v>663486</v>
      </c>
      <c r="BX467" s="67">
        <v>676201</v>
      </c>
      <c r="BY467" s="67">
        <v>682798</v>
      </c>
      <c r="BZ467" s="65">
        <f>AVERAGE(BX467:BY467)</f>
        <v>679499.5</v>
      </c>
      <c r="CB467" s="67">
        <v>685728</v>
      </c>
      <c r="CC467" s="67">
        <v>700374</v>
      </c>
      <c r="CD467" s="98">
        <v>693070</v>
      </c>
      <c r="CF467" s="67">
        <v>715833</v>
      </c>
      <c r="CG467" s="67">
        <v>730495</v>
      </c>
      <c r="CH467" s="67">
        <v>723583</v>
      </c>
      <c r="CJ467" s="67">
        <v>757402</v>
      </c>
      <c r="CK467" s="67">
        <v>771672</v>
      </c>
      <c r="CL467" s="67">
        <v>764565</v>
      </c>
      <c r="CN467" s="67">
        <v>751477</v>
      </c>
      <c r="CO467" s="67">
        <v>767933</v>
      </c>
      <c r="CP467" s="67">
        <v>759728</v>
      </c>
      <c r="CR467" s="67">
        <v>792900</v>
      </c>
      <c r="CS467" s="67">
        <v>815539</v>
      </c>
      <c r="CT467" s="67">
        <v>804251</v>
      </c>
      <c r="CV467" s="67">
        <v>860906</v>
      </c>
      <c r="CW467" s="67">
        <v>871374</v>
      </c>
      <c r="CX467" s="67">
        <v>866156</v>
      </c>
      <c r="CZ467" s="67">
        <v>922804</v>
      </c>
      <c r="DA467" s="67">
        <v>931029</v>
      </c>
      <c r="DB467" s="67">
        <v>926917</v>
      </c>
      <c r="DD467" s="67">
        <v>1035376</v>
      </c>
      <c r="DE467" s="67">
        <v>1061360</v>
      </c>
      <c r="DF467" s="67">
        <v>1048403</v>
      </c>
      <c r="DH467" s="65">
        <f ca="1">+DH468*DH512</f>
        <v>1062038.5155929134</v>
      </c>
      <c r="DI467" s="65">
        <f ca="1">+DI468*DI512</f>
        <v>1076554.8259109349</v>
      </c>
      <c r="DJ467" s="65">
        <f ca="1">AVERAGE(DH467:DI467)</f>
        <v>1069296.6707519242</v>
      </c>
      <c r="DL467" s="65">
        <f ca="1">+DL468*DL512</f>
        <v>1100428.5887919781</v>
      </c>
      <c r="DM467" s="65">
        <f ca="1">+DM468*DM512</f>
        <v>1126526.7020499234</v>
      </c>
      <c r="DN467" s="65">
        <f ca="1">AVERAGE(DL467:DM467)</f>
        <v>1113477.6454209508</v>
      </c>
      <c r="DP467" s="65">
        <f ca="1">+DP468*DP512</f>
        <v>1152086.9495908229</v>
      </c>
      <c r="DQ467" s="65">
        <f ca="1">+DQ468*DQ512</f>
        <v>1176615.7072902417</v>
      </c>
      <c r="DR467" s="65">
        <f ca="1">AVERAGE(DP467:DQ467)</f>
        <v>1164351.3284405323</v>
      </c>
    </row>
    <row r="468" spans="1:122" s="20" customFormat="1" ht="13.8">
      <c r="A468" s="21" t="s">
        <v>62</v>
      </c>
      <c r="B468" s="49"/>
      <c r="BH468" s="67">
        <v>612750</v>
      </c>
      <c r="BI468" s="67">
        <v>651571</v>
      </c>
      <c r="BJ468" s="67">
        <v>632215</v>
      </c>
      <c r="BK468" s="49"/>
      <c r="BL468" s="67">
        <v>688364</v>
      </c>
      <c r="BM468" s="67">
        <v>716513</v>
      </c>
      <c r="BN468" s="67">
        <v>702478</v>
      </c>
      <c r="BO468" s="49"/>
      <c r="BP468" s="67">
        <v>779856</v>
      </c>
      <c r="BQ468" s="67">
        <v>818640</v>
      </c>
      <c r="BR468" s="67">
        <v>799301</v>
      </c>
      <c r="BT468" s="67">
        <v>843283</v>
      </c>
      <c r="BU468" s="67">
        <v>858256</v>
      </c>
      <c r="BV468" s="65">
        <f>AVERAGE(BT468:BU468)</f>
        <v>850769.5</v>
      </c>
      <c r="BX468" s="67">
        <v>860095</v>
      </c>
      <c r="BY468" s="67">
        <v>861543</v>
      </c>
      <c r="BZ468" s="65">
        <f>AVERAGE(BX468:BY468)</f>
        <v>860819</v>
      </c>
      <c r="CB468" s="573">
        <v>874996</v>
      </c>
      <c r="CC468" s="573">
        <v>895178</v>
      </c>
      <c r="CD468" s="573">
        <v>885114</v>
      </c>
      <c r="CF468" s="573">
        <v>914996</v>
      </c>
      <c r="CG468" s="573">
        <v>927939</v>
      </c>
      <c r="CH468" s="573">
        <v>921483</v>
      </c>
      <c r="CJ468" s="573">
        <v>962964</v>
      </c>
      <c r="CK468" s="573">
        <v>1020807</v>
      </c>
      <c r="CL468" s="573">
        <v>991885</v>
      </c>
      <c r="CN468" s="573">
        <v>983669</v>
      </c>
      <c r="CO468" s="573">
        <v>963972</v>
      </c>
      <c r="CP468" s="573">
        <v>973793</v>
      </c>
      <c r="CR468" s="573">
        <v>947232</v>
      </c>
      <c r="CS468" s="573">
        <v>998900</v>
      </c>
      <c r="CT468" s="573">
        <v>973137</v>
      </c>
      <c r="CV468" s="573">
        <v>1044705</v>
      </c>
      <c r="CW468" s="573">
        <v>1046634</v>
      </c>
      <c r="CX468" s="573">
        <v>1045674</v>
      </c>
      <c r="CZ468" s="573">
        <v>1092113</v>
      </c>
      <c r="DA468" s="573">
        <v>1112017</v>
      </c>
      <c r="DB468" s="573">
        <v>1102065</v>
      </c>
      <c r="DD468" s="573">
        <v>1246723</v>
      </c>
      <c r="DE468" s="573">
        <v>1275831</v>
      </c>
      <c r="DF468" s="573">
        <v>1261317</v>
      </c>
      <c r="DH468" s="65">
        <f ca="1">+DH510*DH511</f>
        <v>1276646.624507634</v>
      </c>
      <c r="DI468" s="65">
        <f ca="1">+DI510*DI511</f>
        <v>1294096.2727978954</v>
      </c>
      <c r="DJ468" s="65">
        <f ca="1">AVERAGE(DH468:DI468)</f>
        <v>1285371.4486527648</v>
      </c>
      <c r="DL468" s="65">
        <f ca="1">+DL510*DL511</f>
        <v>1322794.251589525</v>
      </c>
      <c r="DM468" s="65">
        <f ca="1">+DM510*DM511</f>
        <v>1354166.0593983717</v>
      </c>
      <c r="DN468" s="65">
        <f ca="1">AVERAGE(DL468:DM468)</f>
        <v>1338480.1554939484</v>
      </c>
      <c r="DP468" s="65">
        <f ca="1">+DP510*DP511</f>
        <v>1384891.3139588917</v>
      </c>
      <c r="DQ468" s="65">
        <f ca="1">+DQ510*DQ511</f>
        <v>1414376.6435967216</v>
      </c>
      <c r="DR468" s="65">
        <f ca="1">AVERAGE(DP468:DQ468)</f>
        <v>1399633.9787778067</v>
      </c>
    </row>
    <row r="469" spans="1:122" s="20" customFormat="1" ht="13.8">
      <c r="B469" s="49"/>
      <c r="BH469" s="49"/>
      <c r="BI469" s="49"/>
      <c r="BJ469" s="49"/>
      <c r="BK469" s="49"/>
      <c r="BL469" s="49"/>
      <c r="BM469" s="49"/>
      <c r="BN469" s="49"/>
      <c r="BO469" s="49"/>
      <c r="BP469" s="49"/>
      <c r="BQ469" s="49"/>
      <c r="BR469" s="49"/>
      <c r="BT469" s="49"/>
      <c r="BU469" s="49"/>
      <c r="BV469" s="49"/>
      <c r="BX469" s="49"/>
      <c r="BY469" s="49"/>
      <c r="BZ469" s="49"/>
      <c r="CB469" s="65"/>
      <c r="CC469" s="49"/>
      <c r="CD469" s="49"/>
      <c r="CF469" s="65"/>
      <c r="CG469" s="49"/>
      <c r="CH469" s="49"/>
      <c r="CJ469" s="65"/>
      <c r="CK469" s="49"/>
      <c r="CL469" s="49"/>
      <c r="CN469" s="65"/>
      <c r="CO469" s="49"/>
      <c r="CP469" s="49"/>
      <c r="CR469" s="65"/>
      <c r="CS469" s="49"/>
      <c r="CT469" s="49"/>
      <c r="CV469" s="65"/>
      <c r="CW469" s="49"/>
      <c r="CX469" s="49"/>
      <c r="CZ469" s="65"/>
      <c r="DA469" s="49"/>
      <c r="DB469" s="49"/>
      <c r="DD469" s="65"/>
      <c r="DE469" s="49"/>
      <c r="DF469" s="49"/>
      <c r="DH469" s="65"/>
      <c r="DI469" s="65"/>
      <c r="DJ469" s="65"/>
      <c r="DL469" s="65"/>
      <c r="DM469" s="65"/>
      <c r="DN469" s="65"/>
      <c r="DP469" s="65"/>
      <c r="DQ469" s="65"/>
      <c r="DR469" s="65"/>
    </row>
    <row r="470" spans="1:122" s="20" customFormat="1" ht="13.8">
      <c r="A470" s="20" t="s">
        <v>63</v>
      </c>
      <c r="B470" s="49"/>
      <c r="BH470" s="67">
        <f>40878-BH471</f>
        <v>40625</v>
      </c>
      <c r="BI470" s="67">
        <f>43551-BI471</f>
        <v>43278</v>
      </c>
      <c r="BJ470" s="65">
        <f>+BJ465-BJ468-BJ471-BJ475</f>
        <v>41945</v>
      </c>
      <c r="BK470" s="49"/>
      <c r="BL470" s="67">
        <f>45308-BL471</f>
        <v>45033</v>
      </c>
      <c r="BM470" s="67">
        <f>46664-BM471</f>
        <v>46417</v>
      </c>
      <c r="BN470" s="67">
        <f>45985-BN471</f>
        <v>45724</v>
      </c>
      <c r="BO470" s="49"/>
      <c r="BP470" s="67">
        <f>50131-BP471</f>
        <v>49844</v>
      </c>
      <c r="BQ470" s="67">
        <f>52965-BQ471</f>
        <v>52723</v>
      </c>
      <c r="BR470" s="67">
        <f>51563-BR471</f>
        <v>51321</v>
      </c>
      <c r="BT470" s="67">
        <f>57465-BT471</f>
        <v>57211</v>
      </c>
      <c r="BU470" s="67">
        <f>56814-BU471</f>
        <v>56709</v>
      </c>
      <c r="BV470" s="67">
        <f>57141-BV471</f>
        <v>56961.5</v>
      </c>
      <c r="BX470" s="67">
        <f>57799-BX471</f>
        <v>57686</v>
      </c>
      <c r="BY470" s="772">
        <f>58726-BY471</f>
        <v>58609.5</v>
      </c>
      <c r="BZ470" s="772">
        <f>58264-BZ471</f>
        <v>58149.25</v>
      </c>
      <c r="CA470" s="28"/>
      <c r="CB470" s="67">
        <f>58999-CB471</f>
        <v>58878</v>
      </c>
      <c r="CC470" s="806">
        <f>58999-CC471</f>
        <v>58866</v>
      </c>
      <c r="CD470" s="98">
        <v>58999</v>
      </c>
      <c r="CF470" s="67">
        <f>59195-CF471</f>
        <v>59195</v>
      </c>
      <c r="CG470" s="67">
        <v>59790</v>
      </c>
      <c r="CH470" s="67">
        <v>59496</v>
      </c>
      <c r="CJ470" s="67">
        <v>60230</v>
      </c>
      <c r="CK470" s="67">
        <v>61147</v>
      </c>
      <c r="CL470" s="67">
        <v>60688</v>
      </c>
      <c r="CN470" s="67">
        <v>61899</v>
      </c>
      <c r="CO470" s="67">
        <v>62811</v>
      </c>
      <c r="CP470" s="67">
        <v>62356</v>
      </c>
      <c r="CR470" s="67">
        <v>62544</v>
      </c>
      <c r="CS470" s="67">
        <v>63120</v>
      </c>
      <c r="CT470" s="67">
        <v>62832</v>
      </c>
      <c r="CV470" s="67">
        <v>67611</v>
      </c>
      <c r="CW470" s="67">
        <v>68696</v>
      </c>
      <c r="CX470" s="67">
        <v>68154</v>
      </c>
      <c r="CZ470" s="67">
        <v>70883</v>
      </c>
      <c r="DA470" s="67">
        <v>69706</v>
      </c>
      <c r="DB470" s="67">
        <v>70294</v>
      </c>
      <c r="DD470" s="67">
        <v>71246</v>
      </c>
      <c r="DE470" s="67">
        <v>73344</v>
      </c>
      <c r="DF470" s="67">
        <v>72298</v>
      </c>
      <c r="DH470" s="65">
        <f ca="1">+DH465-DH468-DH471</f>
        <v>74130.490363234654</v>
      </c>
      <c r="DI470" s="65">
        <f ca="1">+DI465-DI468-DI471</f>
        <v>75805.840163015528</v>
      </c>
      <c r="DJ470" s="65">
        <f ca="1">+DJ465-DJ468-DJ471</f>
        <v>74968.165263124974</v>
      </c>
      <c r="DL470" s="65">
        <f ca="1">+DL465-DL468-DL471</f>
        <v>77162.434221146395</v>
      </c>
      <c r="DM470" s="65">
        <f ca="1">+DM465-DM468-DM471</f>
        <v>78256.482459528605</v>
      </c>
      <c r="DN470" s="65">
        <f ca="1">+DN465-DN468-DN471</f>
        <v>77709.4583403375</v>
      </c>
      <c r="DP470" s="65">
        <f ca="1">+DP465-DP468-DP471</f>
        <v>79115.89341960242</v>
      </c>
      <c r="DQ470" s="65">
        <f ca="1">+DQ465-DQ468-DQ471</f>
        <v>80077.861197430873</v>
      </c>
      <c r="DR470" s="65">
        <f ca="1">+DR465-DR468-DR471</f>
        <v>79596.877308516763</v>
      </c>
    </row>
    <row r="471" spans="1:122" s="20" customFormat="1" ht="13.8">
      <c r="A471" s="20" t="s">
        <v>64</v>
      </c>
      <c r="B471" s="420" t="s">
        <v>455</v>
      </c>
      <c r="BH471" s="67">
        <v>253</v>
      </c>
      <c r="BI471" s="67">
        <v>273</v>
      </c>
      <c r="BJ471" s="67">
        <v>273</v>
      </c>
      <c r="BK471" s="49"/>
      <c r="BL471" s="67">
        <v>275</v>
      </c>
      <c r="BM471" s="67">
        <v>247</v>
      </c>
      <c r="BN471" s="65">
        <f>AVERAGE(BL471:BM471)</f>
        <v>261</v>
      </c>
      <c r="BO471" s="49"/>
      <c r="BP471" s="67">
        <v>287</v>
      </c>
      <c r="BQ471" s="67">
        <v>242</v>
      </c>
      <c r="BR471" s="67">
        <v>242</v>
      </c>
      <c r="BT471" s="67">
        <v>254</v>
      </c>
      <c r="BU471" s="65">
        <f>AVERAGE(BU1045,BT1045)</f>
        <v>105</v>
      </c>
      <c r="BV471" s="65">
        <f>AVERAGE(BT471:BU471)</f>
        <v>179.5</v>
      </c>
      <c r="BX471" s="65">
        <f>AVERAGE(BX1045,BU1045)</f>
        <v>113</v>
      </c>
      <c r="BY471" s="65">
        <f>AVERAGE(BY1045,BX1045)</f>
        <v>116.5</v>
      </c>
      <c r="BZ471" s="65">
        <f>AVERAGE(BX471:BY471)</f>
        <v>114.75</v>
      </c>
      <c r="CB471" s="65">
        <f>AVERAGE(CB1045,BY1045)</f>
        <v>121</v>
      </c>
      <c r="CC471" s="65">
        <f>AVERAGE(CC1045,CB1045)</f>
        <v>133</v>
      </c>
      <c r="CD471" s="65">
        <f>AVERAGE(CB471:CC471)</f>
        <v>127</v>
      </c>
      <c r="CF471" s="67">
        <v>0</v>
      </c>
      <c r="CG471" s="67">
        <v>0</v>
      </c>
      <c r="CH471" s="65">
        <f>AVERAGE(CF471:CG471)</f>
        <v>0</v>
      </c>
      <c r="CJ471" s="67">
        <v>0</v>
      </c>
      <c r="CK471" s="67">
        <v>0</v>
      </c>
      <c r="CL471" s="65">
        <f>AVERAGE(CJ471:CK471)</f>
        <v>0</v>
      </c>
      <c r="CN471" s="67">
        <v>0</v>
      </c>
      <c r="CO471" s="67">
        <v>0</v>
      </c>
      <c r="CP471" s="65">
        <f>AVERAGE(CN471:CO471)</f>
        <v>0</v>
      </c>
      <c r="CR471" s="67">
        <v>0</v>
      </c>
      <c r="CS471" s="67">
        <v>0</v>
      </c>
      <c r="CT471" s="65">
        <f>AVERAGE(CR471:CS471)</f>
        <v>0</v>
      </c>
      <c r="CV471" s="67">
        <v>0</v>
      </c>
      <c r="CW471" s="67">
        <v>0</v>
      </c>
      <c r="CX471" s="65">
        <f>AVERAGE(CV471:CW471)</f>
        <v>0</v>
      </c>
      <c r="CZ471" s="67">
        <v>0</v>
      </c>
      <c r="DA471" s="67">
        <v>0</v>
      </c>
      <c r="DB471" s="65">
        <f>AVERAGE(CZ471:DA471)</f>
        <v>0</v>
      </c>
      <c r="DD471" s="67">
        <v>0</v>
      </c>
      <c r="DE471" s="67">
        <v>0</v>
      </c>
      <c r="DF471" s="65">
        <f>AVERAGE(DD471:DE471)</f>
        <v>0</v>
      </c>
      <c r="DH471" s="65">
        <f>AVERAGE(DH1044,DE1044)</f>
        <v>0</v>
      </c>
      <c r="DI471" s="65">
        <f>AVERAGE(DI1044,DH1044)</f>
        <v>0</v>
      </c>
      <c r="DJ471" s="65">
        <f>AVERAGE(DH471:DI471)</f>
        <v>0</v>
      </c>
      <c r="DL471" s="65">
        <f>AVERAGE(DL1044,DI1044)</f>
        <v>0</v>
      </c>
      <c r="DM471" s="65">
        <f>AVERAGE(DM1044,DL1044)</f>
        <v>0</v>
      </c>
      <c r="DN471" s="65">
        <f>AVERAGE(DL471:DM471)</f>
        <v>0</v>
      </c>
      <c r="DP471" s="65">
        <f>AVERAGE(DP1044,DM1044)</f>
        <v>0</v>
      </c>
      <c r="DQ471" s="65">
        <f>AVERAGE(DQ1044,DP1044)</f>
        <v>0</v>
      </c>
      <c r="DR471" s="65">
        <f>AVERAGE(DP471:DQ471)</f>
        <v>0</v>
      </c>
    </row>
    <row r="472" spans="1:122" s="20" customFormat="1" ht="13.8">
      <c r="A472" s="21" t="s">
        <v>65</v>
      </c>
      <c r="B472" s="49"/>
      <c r="BH472" s="72">
        <f>SUM(BH470:BH471)</f>
        <v>40878</v>
      </c>
      <c r="BI472" s="72">
        <f>SUM(BI470:BI471)</f>
        <v>43551</v>
      </c>
      <c r="BJ472" s="72">
        <f>SUM(BJ470:BJ471)</f>
        <v>42218</v>
      </c>
      <c r="BK472" s="49"/>
      <c r="BL472" s="72">
        <f>SUM(BL470:BL471)</f>
        <v>45308</v>
      </c>
      <c r="BM472" s="72">
        <f>SUM(BM470:BM471)</f>
        <v>46664</v>
      </c>
      <c r="BN472" s="72">
        <f>SUM(BN470:BN471)</f>
        <v>45985</v>
      </c>
      <c r="BO472" s="49"/>
      <c r="BP472" s="72">
        <f>SUM(BP470:BP471)</f>
        <v>50131</v>
      </c>
      <c r="BQ472" s="72">
        <f>SUM(BQ470:BQ471)</f>
        <v>52965</v>
      </c>
      <c r="BR472" s="72">
        <f>SUM(BR470:BR471)</f>
        <v>51563</v>
      </c>
      <c r="BT472" s="72">
        <f>SUM(BT470:BT471)</f>
        <v>57465</v>
      </c>
      <c r="BU472" s="72">
        <f>SUM(BU470:BU471)</f>
        <v>56814</v>
      </c>
      <c r="BV472" s="72">
        <f>SUM(BV470:BV471)</f>
        <v>57141</v>
      </c>
      <c r="BX472" s="72">
        <f>SUM(BX470:BX471)</f>
        <v>57799</v>
      </c>
      <c r="BY472" s="72">
        <f>SUM(BY470:BY471)</f>
        <v>58726</v>
      </c>
      <c r="BZ472" s="72">
        <f>SUM(BZ470:BZ471)</f>
        <v>58264</v>
      </c>
      <c r="CB472" s="72">
        <f>SUM(CB470:CB471)</f>
        <v>58999</v>
      </c>
      <c r="CC472" s="72">
        <f>SUM(CC470:CC471)</f>
        <v>58999</v>
      </c>
      <c r="CD472" s="72">
        <f>SUM(CD470:CD471)</f>
        <v>59126</v>
      </c>
      <c r="CF472" s="72">
        <f>SUM(CF470:CF471)</f>
        <v>59195</v>
      </c>
      <c r="CG472" s="72">
        <f>SUM(CG470:CG471)</f>
        <v>59790</v>
      </c>
      <c r="CH472" s="72">
        <f>SUM(CH470:CH471)</f>
        <v>59496</v>
      </c>
      <c r="CJ472" s="72">
        <f>SUM(CJ470:CJ471)</f>
        <v>60230</v>
      </c>
      <c r="CK472" s="72">
        <f>SUM(CK470:CK471)</f>
        <v>61147</v>
      </c>
      <c r="CL472" s="72">
        <f>SUM(CL470:CL471)</f>
        <v>60688</v>
      </c>
      <c r="CN472" s="72">
        <f>SUM(CN470:CN471)</f>
        <v>61899</v>
      </c>
      <c r="CO472" s="72">
        <f>SUM(CO470:CO471)</f>
        <v>62811</v>
      </c>
      <c r="CP472" s="72">
        <f>SUM(CP470:CP471)</f>
        <v>62356</v>
      </c>
      <c r="CR472" s="72">
        <f>SUM(CR470:CR471)</f>
        <v>62544</v>
      </c>
      <c r="CS472" s="72">
        <f>SUM(CS470:CS471)</f>
        <v>63120</v>
      </c>
      <c r="CT472" s="72">
        <f>SUM(CT470:CT471)</f>
        <v>62832</v>
      </c>
      <c r="CV472" s="72">
        <f>SUM(CV470:CV471)</f>
        <v>67611</v>
      </c>
      <c r="CW472" s="72">
        <f>SUM(CW470:CW471)</f>
        <v>68696</v>
      </c>
      <c r="CX472" s="72">
        <f>SUM(CX470:CX471)</f>
        <v>68154</v>
      </c>
      <c r="CZ472" s="72">
        <f>SUM(CZ470:CZ471)</f>
        <v>70883</v>
      </c>
      <c r="DA472" s="72">
        <f>SUM(DA470:DA471)</f>
        <v>69706</v>
      </c>
      <c r="DB472" s="72">
        <f>SUM(DB470:DB471)</f>
        <v>70294</v>
      </c>
      <c r="DD472" s="72">
        <f>SUM(DD470:DD471)</f>
        <v>71246</v>
      </c>
      <c r="DE472" s="72">
        <f>SUM(DE470:DE471)</f>
        <v>73344</v>
      </c>
      <c r="DF472" s="72">
        <f>SUM(DF470:DF471)</f>
        <v>72298</v>
      </c>
      <c r="DH472" s="72">
        <f ca="1">SUM(DH470:DH471)</f>
        <v>74130.490363234654</v>
      </c>
      <c r="DI472" s="72">
        <f ca="1">SUM(DI470:DI471)</f>
        <v>75805.840163015528</v>
      </c>
      <c r="DJ472" s="72">
        <f ca="1">SUM(DJ470:DJ471)</f>
        <v>74968.165263124974</v>
      </c>
      <c r="DL472" s="72">
        <f ca="1">SUM(DL470:DL471)</f>
        <v>77162.434221146395</v>
      </c>
      <c r="DM472" s="72">
        <f ca="1">SUM(DM470:DM471)</f>
        <v>78256.482459528605</v>
      </c>
      <c r="DN472" s="72">
        <f ca="1">SUM(DN470:DN471)</f>
        <v>77709.4583403375</v>
      </c>
      <c r="DP472" s="72">
        <f ca="1">SUM(DP470:DP471)</f>
        <v>79115.89341960242</v>
      </c>
      <c r="DQ472" s="72">
        <f ca="1">SUM(DQ470:DQ471)</f>
        <v>80077.861197430873</v>
      </c>
      <c r="DR472" s="72">
        <f ca="1">SUM(DR470:DR471)</f>
        <v>79596.877308516763</v>
      </c>
    </row>
    <row r="473" spans="1:122" s="20" customFormat="1" ht="13.8">
      <c r="A473" s="47" t="s">
        <v>185</v>
      </c>
      <c r="B473" s="49"/>
      <c r="BH473" s="73">
        <f>BH465-BH468-BH475</f>
        <v>40878</v>
      </c>
      <c r="BI473" s="73">
        <f>BI465-BI468-BI475</f>
        <v>43551</v>
      </c>
      <c r="BJ473" s="73"/>
      <c r="BK473" s="49"/>
      <c r="BL473" s="73">
        <f>BL465-BL468-BL475</f>
        <v>45308</v>
      </c>
      <c r="BM473" s="73">
        <f>BM465-BM468-BM475</f>
        <v>46664</v>
      </c>
      <c r="BN473" s="73"/>
      <c r="BO473" s="49"/>
      <c r="BP473" s="73">
        <f>BP465-BP468-BP475</f>
        <v>50131</v>
      </c>
      <c r="BQ473" s="73">
        <f>BQ465-BQ468-BQ475</f>
        <v>52965</v>
      </c>
      <c r="BR473" s="73"/>
      <c r="BT473" s="73">
        <f>BT465-BT468-BT475</f>
        <v>57465</v>
      </c>
      <c r="BU473" s="73">
        <f>BU465-BU468-BU475</f>
        <v>56814</v>
      </c>
      <c r="BV473" s="73"/>
      <c r="BX473" s="73">
        <f>BX465-BX468-BX475</f>
        <v>57799</v>
      </c>
      <c r="BY473" s="73">
        <f>BY465-BY468-BY475</f>
        <v>58726</v>
      </c>
      <c r="BZ473" s="73"/>
      <c r="CB473" s="73">
        <f>CB465-CB468-CB475</f>
        <v>58999</v>
      </c>
      <c r="CC473" s="73">
        <f>CC465-CC468-CC475</f>
        <v>58999</v>
      </c>
      <c r="CD473" s="73">
        <f>CD465-CD468-CD475</f>
        <v>58999</v>
      </c>
      <c r="CF473" s="73">
        <f>CF465-CF468-CF475</f>
        <v>59195</v>
      </c>
      <c r="CG473" s="73">
        <f>CG465-CG468-CG475</f>
        <v>59790</v>
      </c>
      <c r="CH473" s="73">
        <f>CH465-CH468-CH475</f>
        <v>59496</v>
      </c>
      <c r="CJ473" s="73">
        <f>CJ465-CJ468-CJ475</f>
        <v>60230</v>
      </c>
      <c r="CK473" s="73">
        <f>CK465-CK468-CK475</f>
        <v>61147</v>
      </c>
      <c r="CL473" s="73">
        <f>CL465-CL468-CL475</f>
        <v>60688</v>
      </c>
      <c r="CN473" s="73">
        <f>CN465-CN468-CN475</f>
        <v>61899</v>
      </c>
      <c r="CO473" s="73">
        <f>CO465-CO468-CO475</f>
        <v>62811</v>
      </c>
      <c r="CP473" s="73">
        <f>CP465-CP468-CP475</f>
        <v>62356</v>
      </c>
      <c r="CR473" s="73">
        <f>CR465-CR468-CR475</f>
        <v>62544</v>
      </c>
      <c r="CS473" s="73">
        <f>CS465-CS468-CS475</f>
        <v>63120</v>
      </c>
      <c r="CT473" s="73">
        <f>CT465-CT468-CT475</f>
        <v>62832</v>
      </c>
      <c r="CV473" s="73">
        <f>CV465-CV468-CV475</f>
        <v>67611</v>
      </c>
      <c r="CW473" s="73">
        <f>CW465-CW468-CW475</f>
        <v>68696</v>
      </c>
      <c r="CX473" s="73">
        <f>CX465-CX468-CX475</f>
        <v>68154</v>
      </c>
      <c r="CZ473" s="73">
        <f>CZ465-CZ468-CZ475</f>
        <v>70883</v>
      </c>
      <c r="DA473" s="73">
        <f>DA465-DA468-DA475</f>
        <v>69706</v>
      </c>
      <c r="DB473" s="73">
        <f>DB465-DB468-DB475</f>
        <v>70294</v>
      </c>
      <c r="DD473" s="73">
        <f>DD465-DD468-DD475</f>
        <v>71246</v>
      </c>
      <c r="DE473" s="73">
        <f>DE465-DE468-DE475</f>
        <v>73344</v>
      </c>
      <c r="DF473" s="73">
        <f>DF465-DF468-DF475</f>
        <v>72298</v>
      </c>
      <c r="DH473" s="73"/>
      <c r="DI473" s="73"/>
      <c r="DJ473" s="73"/>
      <c r="DL473" s="73"/>
      <c r="DM473" s="73"/>
      <c r="DN473" s="73"/>
      <c r="DP473" s="73"/>
      <c r="DQ473" s="73"/>
      <c r="DR473" s="73"/>
    </row>
    <row r="474" spans="1:122" s="20" customFormat="1" ht="13.8">
      <c r="B474" s="49"/>
      <c r="BH474" s="49"/>
      <c r="BI474" s="49"/>
      <c r="BJ474" s="49"/>
      <c r="BK474" s="49"/>
      <c r="BL474" s="49"/>
      <c r="BM474" s="49"/>
      <c r="BN474" s="49"/>
      <c r="BO474" s="49"/>
      <c r="BP474" s="49"/>
      <c r="BQ474" s="49"/>
      <c r="BR474" s="49"/>
      <c r="BT474" s="49"/>
      <c r="BU474" s="49"/>
      <c r="BV474" s="49"/>
      <c r="BX474" s="49"/>
      <c r="BY474" s="49"/>
      <c r="BZ474" s="49"/>
      <c r="CB474" s="49"/>
      <c r="CC474" s="49"/>
      <c r="CD474" s="49"/>
      <c r="CF474" s="49"/>
      <c r="CG474" s="49"/>
      <c r="CH474" s="49"/>
      <c r="CJ474" s="49"/>
      <c r="CK474" s="49"/>
      <c r="CL474" s="49"/>
      <c r="CN474" s="49"/>
      <c r="CO474" s="49"/>
      <c r="CP474" s="49"/>
      <c r="CR474" s="49"/>
      <c r="CS474" s="49"/>
      <c r="CT474" s="49"/>
      <c r="CV474" s="49"/>
      <c r="CW474" s="49"/>
      <c r="CX474" s="49"/>
      <c r="CZ474" s="49"/>
      <c r="DA474" s="49"/>
      <c r="DB474" s="49"/>
      <c r="DD474" s="49"/>
      <c r="DE474" s="49"/>
      <c r="DF474" s="49"/>
      <c r="DH474" s="49"/>
      <c r="DI474" s="49"/>
      <c r="DJ474" s="49"/>
      <c r="DL474" s="49"/>
      <c r="DM474" s="49"/>
      <c r="DN474" s="49"/>
      <c r="DP474" s="49"/>
      <c r="DQ474" s="49"/>
      <c r="DR474" s="49"/>
    </row>
    <row r="475" spans="1:122" s="20" customFormat="1" ht="13.8">
      <c r="A475" s="20" t="s">
        <v>66</v>
      </c>
      <c r="B475" s="49"/>
      <c r="BH475" s="67">
        <v>871</v>
      </c>
      <c r="BI475" s="67">
        <v>871</v>
      </c>
      <c r="BJ475" s="67">
        <v>871</v>
      </c>
      <c r="BK475" s="49"/>
      <c r="BL475" s="67">
        <v>871</v>
      </c>
      <c r="BM475" s="67">
        <v>871</v>
      </c>
      <c r="BN475" s="67">
        <v>871</v>
      </c>
      <c r="BO475" s="49"/>
      <c r="BP475" s="67">
        <v>366</v>
      </c>
      <c r="BQ475" s="67">
        <v>0</v>
      </c>
      <c r="BR475" s="67">
        <v>182</v>
      </c>
      <c r="BT475" s="67">
        <v>0</v>
      </c>
      <c r="BU475" s="67">
        <v>0</v>
      </c>
      <c r="BV475" s="67">
        <v>0</v>
      </c>
      <c r="BX475" s="67">
        <v>0</v>
      </c>
      <c r="BY475" s="67">
        <v>0</v>
      </c>
      <c r="BZ475" s="67">
        <v>0</v>
      </c>
      <c r="CB475" s="67">
        <v>0</v>
      </c>
      <c r="CC475" s="67">
        <v>0</v>
      </c>
      <c r="CD475" s="67">
        <v>0</v>
      </c>
      <c r="CF475" s="67">
        <v>0</v>
      </c>
      <c r="CG475" s="67">
        <v>0</v>
      </c>
      <c r="CH475" s="67">
        <v>0</v>
      </c>
      <c r="CJ475" s="67">
        <v>0</v>
      </c>
      <c r="CK475" s="67">
        <v>0</v>
      </c>
      <c r="CL475" s="67">
        <v>0</v>
      </c>
      <c r="CN475" s="67">
        <v>0</v>
      </c>
      <c r="CO475" s="67">
        <v>0</v>
      </c>
      <c r="CP475" s="67">
        <v>0</v>
      </c>
      <c r="CR475" s="67">
        <v>0</v>
      </c>
      <c r="CS475" s="67">
        <v>0</v>
      </c>
      <c r="CT475" s="67">
        <v>0</v>
      </c>
      <c r="CV475" s="67">
        <v>0</v>
      </c>
      <c r="CW475" s="67">
        <v>0</v>
      </c>
      <c r="CX475" s="67">
        <v>0</v>
      </c>
      <c r="CZ475" s="67">
        <v>0</v>
      </c>
      <c r="DA475" s="67">
        <v>0</v>
      </c>
      <c r="DB475" s="67">
        <v>0</v>
      </c>
      <c r="DD475" s="67">
        <v>0</v>
      </c>
      <c r="DE475" s="67">
        <v>0</v>
      </c>
      <c r="DF475" s="67">
        <v>0</v>
      </c>
      <c r="DH475" s="65">
        <f>AVERAGE(DH1044,DE1044)</f>
        <v>0</v>
      </c>
      <c r="DI475" s="65">
        <f>AVERAGE(DI1044,DH1044)</f>
        <v>0</v>
      </c>
      <c r="DJ475" s="65">
        <f>AVERAGE(DH475:DI475)</f>
        <v>0</v>
      </c>
      <c r="DL475" s="65">
        <f>AVERAGE(DL1044,DI1044)</f>
        <v>0</v>
      </c>
      <c r="DM475" s="65">
        <f>AVERAGE(DM1044,DL1044)</f>
        <v>0</v>
      </c>
      <c r="DN475" s="65">
        <f>AVERAGE(DL475:DM475)</f>
        <v>0</v>
      </c>
      <c r="DP475" s="65">
        <f>AVERAGE(DP1044,DM1044)</f>
        <v>0</v>
      </c>
      <c r="DQ475" s="65">
        <f>AVERAGE(DQ1044,DP1044)</f>
        <v>0</v>
      </c>
      <c r="DR475" s="65">
        <f>AVERAGE(DP475:DQ475)</f>
        <v>0</v>
      </c>
    </row>
    <row r="476" spans="1:122" s="20" customFormat="1" ht="13.8">
      <c r="A476" s="21" t="s">
        <v>67</v>
      </c>
      <c r="B476" s="49"/>
      <c r="BH476" s="72">
        <f>BH470-BH475</f>
        <v>39754</v>
      </c>
      <c r="BI476" s="72">
        <f>BI470-BI475</f>
        <v>42407</v>
      </c>
      <c r="BJ476" s="72">
        <f>BJ470-BJ475</f>
        <v>41074</v>
      </c>
      <c r="BK476" s="49"/>
      <c r="BL476" s="72">
        <f>BL470-BL475</f>
        <v>44162</v>
      </c>
      <c r="BM476" s="72">
        <f>BM470-BM475</f>
        <v>45546</v>
      </c>
      <c r="BN476" s="72">
        <f>BN470-BN475</f>
        <v>44853</v>
      </c>
      <c r="BO476" s="49"/>
      <c r="BP476" s="72">
        <f>BP470-BP475</f>
        <v>49478</v>
      </c>
      <c r="BQ476" s="72">
        <f>BQ470-BQ475</f>
        <v>52723</v>
      </c>
      <c r="BR476" s="72">
        <f>BR470-BR475</f>
        <v>51139</v>
      </c>
      <c r="BT476" s="72">
        <f>BT470-BT475</f>
        <v>57211</v>
      </c>
      <c r="BU476" s="72">
        <f>BU470-BU475</f>
        <v>56709</v>
      </c>
      <c r="BV476" s="72">
        <f>BV470-BV475</f>
        <v>56961.5</v>
      </c>
      <c r="BX476" s="72">
        <f>BX470-BX475</f>
        <v>57686</v>
      </c>
      <c r="BY476" s="72">
        <f>BY470-BY475</f>
        <v>58609.5</v>
      </c>
      <c r="BZ476" s="72">
        <f>BZ470-BZ475</f>
        <v>58149.25</v>
      </c>
      <c r="CB476" s="72">
        <f>CB470-CB475</f>
        <v>58878</v>
      </c>
      <c r="CC476" s="72">
        <f>CC470-CC475</f>
        <v>58866</v>
      </c>
      <c r="CD476" s="72">
        <f>CD470-CD475</f>
        <v>58999</v>
      </c>
      <c r="CF476" s="72">
        <f>CF470-CF475</f>
        <v>59195</v>
      </c>
      <c r="CG476" s="72">
        <f>CG470-CG475</f>
        <v>59790</v>
      </c>
      <c r="CH476" s="72">
        <f>CH470-CH475</f>
        <v>59496</v>
      </c>
      <c r="CJ476" s="72">
        <f>CJ470-CJ475</f>
        <v>60230</v>
      </c>
      <c r="CK476" s="72">
        <f>CK470-CK475</f>
        <v>61147</v>
      </c>
      <c r="CL476" s="72">
        <f>CL470-CL475</f>
        <v>60688</v>
      </c>
      <c r="CN476" s="72">
        <f>CN470-CN475</f>
        <v>61899</v>
      </c>
      <c r="CO476" s="72">
        <f>CO470-CO475</f>
        <v>62811</v>
      </c>
      <c r="CP476" s="72">
        <f>CP470-CP475</f>
        <v>62356</v>
      </c>
      <c r="CR476" s="72">
        <f>CR470-CR475</f>
        <v>62544</v>
      </c>
      <c r="CS476" s="72">
        <f>CS470-CS475</f>
        <v>63120</v>
      </c>
      <c r="CT476" s="72">
        <f>CT470-CT475</f>
        <v>62832</v>
      </c>
      <c r="CV476" s="72">
        <f>CV470-CV475</f>
        <v>67611</v>
      </c>
      <c r="CW476" s="72">
        <f>CW470-CW475</f>
        <v>68696</v>
      </c>
      <c r="CX476" s="72">
        <f>CX470-CX475</f>
        <v>68154</v>
      </c>
      <c r="CZ476" s="72">
        <f>CZ470-CZ475</f>
        <v>70883</v>
      </c>
      <c r="DA476" s="72">
        <f>DA470-DA475</f>
        <v>69706</v>
      </c>
      <c r="DB476" s="72">
        <f>DB470-DB475</f>
        <v>70294</v>
      </c>
      <c r="DD476" s="72">
        <f>DD470-DD475</f>
        <v>71246</v>
      </c>
      <c r="DE476" s="72">
        <f>DE470-DE475</f>
        <v>73344</v>
      </c>
      <c r="DF476" s="72">
        <f>DF470-DF475</f>
        <v>72298</v>
      </c>
      <c r="DH476" s="72">
        <f ca="1">DH470-DH475</f>
        <v>74130.490363234654</v>
      </c>
      <c r="DI476" s="72">
        <f ca="1">DI470-DI475</f>
        <v>75805.840163015528</v>
      </c>
      <c r="DJ476" s="72">
        <f ca="1">DJ470-DJ475</f>
        <v>74968.165263124974</v>
      </c>
      <c r="DL476" s="72">
        <f ca="1">DL470-DL475</f>
        <v>77162.434221146395</v>
      </c>
      <c r="DM476" s="72">
        <f ca="1">DM470-DM475</f>
        <v>78256.482459528605</v>
      </c>
      <c r="DN476" s="72">
        <f ca="1">DN470-DN475</f>
        <v>77709.4583403375</v>
      </c>
      <c r="DP476" s="72">
        <f ca="1">DP470-DP475</f>
        <v>79115.89341960242</v>
      </c>
      <c r="DQ476" s="72">
        <f ca="1">DQ470-DQ475</f>
        <v>80077.861197430873</v>
      </c>
      <c r="DR476" s="72">
        <f ca="1">DR470-DR475</f>
        <v>79596.877308516763</v>
      </c>
    </row>
    <row r="477" spans="1:122" s="20" customFormat="1" ht="13.8">
      <c r="B477" s="49"/>
      <c r="BH477" s="49"/>
      <c r="BI477" s="49"/>
      <c r="BJ477" s="49"/>
      <c r="BK477" s="49"/>
      <c r="BL477" s="49"/>
      <c r="BM477" s="49"/>
      <c r="BN477" s="49"/>
      <c r="BO477" s="49"/>
      <c r="BP477" s="49"/>
      <c r="BQ477" s="49"/>
      <c r="BR477" s="49"/>
      <c r="BT477" s="49"/>
      <c r="BU477" s="49"/>
      <c r="BV477" s="49"/>
      <c r="BX477" s="49"/>
      <c r="BY477" s="49"/>
      <c r="BZ477" s="49"/>
      <c r="CB477" s="49"/>
      <c r="CC477" s="49"/>
      <c r="CD477" s="49"/>
      <c r="CF477" s="49"/>
      <c r="CG477" s="49"/>
      <c r="CH477" s="49"/>
      <c r="CJ477" s="49"/>
      <c r="CK477" s="49"/>
      <c r="CL477" s="49"/>
      <c r="CN477" s="49"/>
      <c r="CO477" s="49"/>
      <c r="CP477" s="49"/>
      <c r="CR477" s="49"/>
      <c r="CS477" s="49"/>
      <c r="CT477" s="49"/>
      <c r="CV477" s="49"/>
      <c r="CW477" s="49"/>
      <c r="CX477" s="49"/>
      <c r="CZ477" s="49"/>
      <c r="DA477" s="49"/>
      <c r="DB477" s="49"/>
      <c r="DD477" s="49"/>
      <c r="DE477" s="49"/>
      <c r="DF477" s="49"/>
      <c r="DH477" s="49"/>
      <c r="DI477" s="49"/>
      <c r="DJ477" s="49"/>
      <c r="DL477" s="49"/>
      <c r="DM477" s="49"/>
      <c r="DN477" s="49"/>
      <c r="DP477" s="49"/>
      <c r="DQ477" s="49"/>
      <c r="DR477" s="49"/>
    </row>
    <row r="478" spans="1:122" s="20" customFormat="1" ht="13.8">
      <c r="A478" s="78" t="s">
        <v>816</v>
      </c>
      <c r="B478" s="49"/>
      <c r="BH478" s="49"/>
      <c r="BI478" s="49"/>
      <c r="BJ478" s="49"/>
      <c r="BK478" s="49"/>
      <c r="BL478" s="49"/>
      <c r="BM478" s="49"/>
      <c r="BN478" s="49"/>
      <c r="BO478" s="49"/>
      <c r="BP478" s="49"/>
      <c r="BQ478" s="49"/>
      <c r="BR478" s="49"/>
      <c r="BT478" s="49"/>
      <c r="BU478" s="49"/>
      <c r="BV478" s="49"/>
      <c r="BX478" s="49"/>
      <c r="BY478" s="49"/>
      <c r="BZ478" s="49"/>
      <c r="CB478" s="49"/>
      <c r="CC478" s="49"/>
      <c r="CD478" s="49"/>
      <c r="CF478" s="49"/>
      <c r="CG478" s="49"/>
      <c r="CH478" s="49"/>
      <c r="CJ478" s="49"/>
      <c r="CK478" s="49"/>
      <c r="CL478" s="49"/>
      <c r="CN478" s="49"/>
      <c r="CO478" s="49"/>
      <c r="CP478" s="49"/>
      <c r="CR478" s="49"/>
      <c r="CS478" s="49"/>
      <c r="CT478" s="49"/>
      <c r="CV478" s="49"/>
      <c r="CW478" s="49"/>
      <c r="CX478" s="49"/>
      <c r="CZ478" s="49"/>
      <c r="DA478" s="49"/>
      <c r="DB478" s="49"/>
      <c r="DD478" s="49"/>
      <c r="DE478" s="49"/>
      <c r="DF478" s="49"/>
      <c r="DH478" s="49"/>
      <c r="DI478" s="49"/>
      <c r="DJ478" s="49"/>
      <c r="DL478" s="49"/>
      <c r="DM478" s="49"/>
      <c r="DN478" s="49"/>
      <c r="DP478" s="49"/>
      <c r="DQ478" s="49"/>
      <c r="DR478" s="49"/>
    </row>
    <row r="479" spans="1:122" s="20" customFormat="1" ht="13.8">
      <c r="A479" s="47" t="str">
        <f>+A461</f>
        <v>Average Loans</v>
      </c>
      <c r="B479" s="49"/>
      <c r="BH479" s="49"/>
      <c r="BI479" s="75">
        <f>BI461/BH461-1</f>
        <v>5.778394756864258E-2</v>
      </c>
      <c r="BJ479" s="49"/>
      <c r="BK479" s="49"/>
      <c r="BL479" s="75">
        <f>+BL461/BI461-1</f>
        <v>5.7054404428404482E-2</v>
      </c>
      <c r="BM479" s="75">
        <f>BM461/BL461-1</f>
        <v>4.9362917923454708E-2</v>
      </c>
      <c r="BN479" s="49"/>
      <c r="BO479" s="49"/>
      <c r="BP479" s="75">
        <f>+BP461/BM461-1</f>
        <v>3.2775011660668874E-2</v>
      </c>
      <c r="BQ479" s="75">
        <f>BQ461/BP461-1</f>
        <v>4.0031209840279081E-2</v>
      </c>
      <c r="BR479" s="49"/>
      <c r="BT479" s="75">
        <f>+BT461/BQ461-1</f>
        <v>-2.7489607329149734E-2</v>
      </c>
      <c r="BU479" s="75">
        <f>BU461/BT461-1</f>
        <v>2.7771122388964287E-4</v>
      </c>
      <c r="BV479" s="49"/>
      <c r="BX479" s="75">
        <f>+BX461/BU461-1</f>
        <v>8.5213714762695236E-3</v>
      </c>
      <c r="BY479" s="75">
        <f>BY461/BX461-1</f>
        <v>4.6331198799527407E-3</v>
      </c>
      <c r="BZ479" s="49"/>
      <c r="CB479" s="75">
        <f>+CB461/BY461-1</f>
        <v>5.5323127180508802E-3</v>
      </c>
      <c r="CC479" s="75">
        <f>CC461/CB461-1</f>
        <v>1.9699169108283066E-2</v>
      </c>
      <c r="CD479" s="49"/>
      <c r="CF479" s="75">
        <f>+CF461/CC461-1</f>
        <v>2.3416389376512026E-2</v>
      </c>
      <c r="CG479" s="75">
        <f>CG461/CF461-1</f>
        <v>6.8576968174347552E-3</v>
      </c>
      <c r="CH479" s="49"/>
      <c r="CJ479" s="75">
        <f>+CJ461/CG461-1</f>
        <v>2.4935204066930172E-2</v>
      </c>
      <c r="CK479" s="75">
        <f>CK461/CJ461-1</f>
        <v>4.5564378083451373E-3</v>
      </c>
      <c r="CL479" s="49"/>
      <c r="CN479" s="75">
        <f>+CN461/CK461-1</f>
        <v>-3.447515121980127E-2</v>
      </c>
      <c r="CO479" s="75">
        <f>CO461/CN461-1</f>
        <v>1.4715561663829479E-3</v>
      </c>
      <c r="CP479" s="49"/>
      <c r="CR479" s="75">
        <f>+CR461/CO461-1</f>
        <v>3.3661549044212924E-2</v>
      </c>
      <c r="CS479" s="75">
        <f>CS461/CR461-1</f>
        <v>2.0430350180451917E-2</v>
      </c>
      <c r="CT479" s="49"/>
      <c r="CV479" s="75">
        <f>+CV461/CS461-1</f>
        <v>4.8044359069557174E-2</v>
      </c>
      <c r="CW479" s="75">
        <f>CW461/CV461-1</f>
        <v>1.4108521639484284E-3</v>
      </c>
      <c r="CX479" s="49"/>
      <c r="CZ479" s="75">
        <f>+CZ461/CW461-1</f>
        <v>2.1245245466947837E-2</v>
      </c>
      <c r="DA479" s="75">
        <f>DA461/CZ461-1</f>
        <v>5.3308674030320136E-2</v>
      </c>
      <c r="DB479" s="49"/>
      <c r="DD479" s="75">
        <f>+DD461/DA461-1</f>
        <v>9.0335984260299762E-2</v>
      </c>
      <c r="DE479" s="75">
        <f>DE461/DD461-1</f>
        <v>1.9193319319080304E-2</v>
      </c>
      <c r="DF479" s="49"/>
      <c r="DH479" s="75">
        <f>+DH461/DE461-1</f>
        <v>9.2055272142228528E-3</v>
      </c>
      <c r="DI479" s="75">
        <f>DI461/DH461-1</f>
        <v>1.4386928696124679E-2</v>
      </c>
      <c r="DJ479" s="49"/>
      <c r="DL479" s="75">
        <f>+DL461/DI461-1</f>
        <v>2.1998056746529882E-2</v>
      </c>
      <c r="DM479" s="75">
        <f>DM461/DL461-1</f>
        <v>2.3276450440430141E-2</v>
      </c>
      <c r="DN479" s="49"/>
      <c r="DP479" s="75">
        <f>+DP461/DM461-1</f>
        <v>2.2170147936924067E-2</v>
      </c>
      <c r="DQ479" s="75">
        <f>DQ461/DP461-1</f>
        <v>2.0909097190635384E-2</v>
      </c>
      <c r="DR479" s="49"/>
    </row>
    <row r="480" spans="1:122" s="20" customFormat="1" ht="13.8">
      <c r="A480" s="47" t="str">
        <f>A462</f>
        <v>Non Lending AIEA</v>
      </c>
      <c r="B480" s="49"/>
      <c r="BH480" s="49"/>
      <c r="BI480" s="75">
        <f>BI462/BH462-1</f>
        <v>0.12888480920177581</v>
      </c>
      <c r="BJ480" s="49"/>
      <c r="BK480" s="49"/>
      <c r="BL480" s="75">
        <f>+BL462/BI462-1</f>
        <v>7.6948606893347371E-2</v>
      </c>
      <c r="BM480" s="75">
        <f>BM462/BL462-1</f>
        <v>3.3167431970168471E-2</v>
      </c>
      <c r="BN480" s="49"/>
      <c r="BO480" s="49"/>
      <c r="BP480" s="75">
        <f>+BP462/BM462-1</f>
        <v>0.17451025719420432</v>
      </c>
      <c r="BQ480" s="75">
        <f>BQ462/BP462-1</f>
        <v>4.9084779337536411E-2</v>
      </c>
      <c r="BR480" s="49"/>
      <c r="BT480" s="75">
        <f>+BT462/BQ462-1</f>
        <v>9.216626118111293E-2</v>
      </c>
      <c r="BU480" s="75">
        <f>BU462/BT462-1</f>
        <v>-7.0540775671467104E-3</v>
      </c>
      <c r="BV480" s="49"/>
      <c r="BX480" s="75">
        <f>+BX462/BU462-1</f>
        <v>4.9863273620179616E-2</v>
      </c>
      <c r="BY480" s="75">
        <f>BY462/BX462-1</f>
        <v>2.972491694352164E-2</v>
      </c>
      <c r="BZ480" s="49"/>
      <c r="CB480" s="75">
        <f>+CB462/BY462-1</f>
        <v>5.1745587635571466E-2</v>
      </c>
      <c r="CC480" s="75">
        <f>CC462/CB462-1</f>
        <v>4.0517127136904252E-2</v>
      </c>
      <c r="CD480" s="49"/>
      <c r="CF480" s="75">
        <f>+CF462/CC462-1</f>
        <v>6.425121228702424E-2</v>
      </c>
      <c r="CG480" s="75">
        <f>CG462/CF462-1</f>
        <v>-3.1690874357871435E-3</v>
      </c>
      <c r="CH480" s="49"/>
      <c r="CJ480" s="75">
        <f>+CJ462/CG462-1</f>
        <v>0.12054139136157072</v>
      </c>
      <c r="CK480" s="75">
        <f>CK462/CJ462-1</f>
        <v>3.8506102883989701E-2</v>
      </c>
      <c r="CL480" s="49"/>
      <c r="CN480" s="75">
        <f>+CN462/CK462-1</f>
        <v>3.5741032263980843E-2</v>
      </c>
      <c r="CO480" s="75">
        <f>CO462/CN462-1</f>
        <v>4.2195742797063396E-2</v>
      </c>
      <c r="CP480" s="49"/>
      <c r="CR480" s="75">
        <f>+CR462/CO462-1</f>
        <v>3.5691024678947247E-2</v>
      </c>
      <c r="CS480" s="75">
        <f>CS462/CR462-1</f>
        <v>2.8227115666578984E-2</v>
      </c>
      <c r="CT480" s="49"/>
      <c r="CV480" s="75">
        <f>+CV462/CS462-1</f>
        <v>7.6014625228519206E-2</v>
      </c>
      <c r="CW480" s="75">
        <f>CW462/CV462-1</f>
        <v>1.0153868015161382E-2</v>
      </c>
      <c r="CX480" s="49"/>
      <c r="CZ480" s="75">
        <f>+CZ462/CW462-1</f>
        <v>7.5328893047833967E-2</v>
      </c>
      <c r="DA480" s="75">
        <f>DA462/CZ462-1</f>
        <v>-5.5187280136731132E-2</v>
      </c>
      <c r="DB480" s="49"/>
      <c r="DD480" s="75">
        <f>+DD462/DA462-1</f>
        <v>0.14248434080901062</v>
      </c>
      <c r="DE480" s="75">
        <f>DE462/DD462-1</f>
        <v>5.371590558815087E-2</v>
      </c>
      <c r="DF480" s="49"/>
      <c r="DH480" s="75">
        <f>+DH462/DE462-1</f>
        <v>9.2055272142226308E-3</v>
      </c>
      <c r="DI480" s="75">
        <f>DI462/DH462-1</f>
        <v>1.4386928696124679E-2</v>
      </c>
      <c r="DJ480" s="49"/>
      <c r="DL480" s="75">
        <f>+DL462/DI462-1</f>
        <v>2.1998056746529882E-2</v>
      </c>
      <c r="DM480" s="75">
        <f>DM462/DL462-1</f>
        <v>2.3276450440429919E-2</v>
      </c>
      <c r="DN480" s="49"/>
      <c r="DP480" s="75">
        <f>+DP462/DM462-1</f>
        <v>2.2170147936924289E-2</v>
      </c>
      <c r="DQ480" s="75">
        <f>DQ462/DP462-1</f>
        <v>2.0909097190635384E-2</v>
      </c>
      <c r="DR480" s="49"/>
    </row>
    <row r="481" spans="1:128" s="20" customFormat="1" ht="13.8">
      <c r="A481" s="47" t="str">
        <f>A463</f>
        <v>Total AIEA</v>
      </c>
      <c r="B481" s="49"/>
      <c r="BH481" s="49"/>
      <c r="BI481" s="75">
        <f>BI463/BH463-1</f>
        <v>7.1430112320768568E-2</v>
      </c>
      <c r="BJ481" s="49"/>
      <c r="BK481" s="49"/>
      <c r="BL481" s="75">
        <f>+BL463/BI463-1</f>
        <v>6.1077386165725445E-2</v>
      </c>
      <c r="BM481" s="75">
        <f>BM463/BL463-1</f>
        <v>4.6038899430740132E-2</v>
      </c>
      <c r="BN481" s="49"/>
      <c r="BO481" s="49"/>
      <c r="BP481" s="75">
        <f>+BP463/BM463-1</f>
        <v>6.1507297642532599E-2</v>
      </c>
      <c r="BQ481" s="75">
        <f>BQ463/BP463-1</f>
        <v>4.2061910871927344E-2</v>
      </c>
      <c r="BR481" s="49"/>
      <c r="BT481" s="75">
        <f>+BT463/BQ463-1</f>
        <v>-4.7011297744137259E-4</v>
      </c>
      <c r="BU481" s="75">
        <f>BU463/BT463-1</f>
        <v>-1.5313202852084151E-3</v>
      </c>
      <c r="BV481" s="49"/>
      <c r="BX481" s="75">
        <f>+BX463/BU463-1</f>
        <v>1.8665571188935637E-2</v>
      </c>
      <c r="BY481" s="75">
        <f>BY463/BX463-1</f>
        <v>1.0978537610934813E-2</v>
      </c>
      <c r="BZ481" s="49"/>
      <c r="CB481" s="75">
        <f>+CB463/BY463-1</f>
        <v>1.7435807428268335E-2</v>
      </c>
      <c r="CC481" s="75">
        <f>CC463/CB463-1</f>
        <v>2.5242228686881418E-2</v>
      </c>
      <c r="CD481" s="49"/>
      <c r="CF481" s="75">
        <f>+CF463/CC463-1</f>
        <v>3.4451198914979164E-2</v>
      </c>
      <c r="CG481" s="75">
        <f>CG463/CF463-1</f>
        <v>4.0700998610030403E-3</v>
      </c>
      <c r="CH481" s="49"/>
      <c r="CJ481" s="75">
        <f>+CJ463/CG463-1</f>
        <v>5.1323525982688523E-2</v>
      </c>
      <c r="CK481" s="75">
        <f>CK463/CJ463-1</f>
        <v>1.4543845743482553E-2</v>
      </c>
      <c r="CL481" s="49"/>
      <c r="CN481" s="75">
        <f>+CN463/CK463-1</f>
        <v>-1.3330878715007266E-2</v>
      </c>
      <c r="CO481" s="75">
        <f>CO463/CN463-1</f>
        <v>1.4344788017594867E-2</v>
      </c>
      <c r="CP481" s="49"/>
      <c r="CR481" s="75">
        <f>+CR463/CO463-1</f>
        <v>3.4320696691863217E-2</v>
      </c>
      <c r="CS481" s="75">
        <f>CS463/CR463-1</f>
        <v>2.2965994500254494E-2</v>
      </c>
      <c r="CT481" s="49"/>
      <c r="CV481" s="75">
        <f>+CV463/CS463-1</f>
        <v>5.7187561118716923E-2</v>
      </c>
      <c r="CW481" s="75">
        <f>CW463/CV463-1</f>
        <v>4.3197543197543986E-3</v>
      </c>
      <c r="CX481" s="49"/>
      <c r="CZ481" s="75">
        <f>+CZ463/CW463-1</f>
        <v>3.9344027425998407E-2</v>
      </c>
      <c r="DA481" s="75">
        <f>DA463/CZ463-1</f>
        <v>1.5744062007382764E-2</v>
      </c>
      <c r="DB481" s="49"/>
      <c r="DD481" s="75">
        <f>+DD463/DA463-1</f>
        <v>0.10713049783300099</v>
      </c>
      <c r="DE481" s="75">
        <f>DE463/DD463-1</f>
        <v>3.0666440188840571E-2</v>
      </c>
      <c r="DF481" s="49"/>
      <c r="DH481" s="75">
        <f>+DH463/DE463-1</f>
        <v>9.2055272142228528E-3</v>
      </c>
      <c r="DI481" s="75">
        <f>DI463/DH463-1</f>
        <v>1.4386928696124679E-2</v>
      </c>
      <c r="DJ481" s="49"/>
      <c r="DL481" s="75">
        <f>+DL463/DI463-1</f>
        <v>2.1998056746529659E-2</v>
      </c>
      <c r="DM481" s="75">
        <f>DM463/DL463-1</f>
        <v>2.3276450440430141E-2</v>
      </c>
      <c r="DN481" s="49"/>
      <c r="DP481" s="75">
        <f>+DP463/DM463-1</f>
        <v>2.2170147936924067E-2</v>
      </c>
      <c r="DQ481" s="75">
        <f>DQ463/DP463-1</f>
        <v>2.0909097190635384E-2</v>
      </c>
      <c r="DR481" s="49"/>
    </row>
    <row r="482" spans="1:128" s="20" customFormat="1" ht="13.8">
      <c r="B482" s="49"/>
      <c r="BH482" s="49"/>
      <c r="BI482" s="49"/>
      <c r="BJ482" s="49"/>
      <c r="BK482" s="49"/>
      <c r="BL482" s="49"/>
      <c r="BM482" s="49"/>
      <c r="BN482" s="49"/>
      <c r="BO482" s="49"/>
      <c r="BP482" s="49"/>
      <c r="BQ482" s="49"/>
      <c r="BR482" s="49"/>
      <c r="BT482" s="49"/>
      <c r="BU482" s="49"/>
      <c r="BV482" s="49"/>
      <c r="BX482" s="49"/>
      <c r="BY482" s="49"/>
      <c r="BZ482" s="49"/>
      <c r="CB482" s="49"/>
      <c r="CC482" s="49"/>
      <c r="CD482" s="49"/>
      <c r="CF482" s="49"/>
      <c r="CG482" s="49"/>
      <c r="CH482" s="49"/>
      <c r="CJ482" s="49"/>
      <c r="CK482" s="49"/>
      <c r="CL482" s="49"/>
      <c r="CN482" s="49"/>
      <c r="CO482" s="49"/>
      <c r="CP482" s="49"/>
      <c r="CR482" s="49"/>
      <c r="CS482" s="49"/>
      <c r="CT482" s="49"/>
      <c r="CV482" s="49"/>
      <c r="CW482" s="49"/>
      <c r="CX482" s="49"/>
      <c r="CZ482" s="49"/>
      <c r="DA482" s="49"/>
      <c r="DB482" s="49"/>
      <c r="DD482" s="49"/>
      <c r="DE482" s="49"/>
      <c r="DF482" s="49"/>
      <c r="DH482" s="49"/>
      <c r="DI482" s="49"/>
      <c r="DJ482" s="49"/>
      <c r="DL482" s="49"/>
      <c r="DM482" s="49"/>
      <c r="DN482" s="49"/>
      <c r="DP482" s="49"/>
      <c r="DQ482" s="49"/>
      <c r="DR482" s="49"/>
    </row>
    <row r="483" spans="1:128" s="20" customFormat="1" ht="14.4" thickBot="1">
      <c r="A483" s="20" t="s">
        <v>68</v>
      </c>
      <c r="B483" s="49"/>
      <c r="BH483" s="75">
        <f>BH463/BH461</f>
        <v>1.2375117352091871</v>
      </c>
      <c r="BI483" s="75">
        <f>BI463/BI461</f>
        <v>1.2534765161648538</v>
      </c>
      <c r="BJ483" s="75">
        <f>BJ463/BJ461</f>
        <v>1.2461883689749804</v>
      </c>
      <c r="BK483" s="49"/>
      <c r="BL483" s="75">
        <f>BL463/BL461</f>
        <v>1.2582470493668971</v>
      </c>
      <c r="BM483" s="75">
        <f>BM463/BM461</f>
        <v>1.2542613582498758</v>
      </c>
      <c r="BN483" s="75">
        <f>BN463/BN461</f>
        <v>1.256202406794009</v>
      </c>
      <c r="BO483" s="49"/>
      <c r="BP483" s="75">
        <f>BP463/BP461</f>
        <v>1.2891554984395079</v>
      </c>
      <c r="BQ483" s="75">
        <f>BQ463/BQ461</f>
        <v>1.2916726242486827</v>
      </c>
      <c r="BR483" s="75">
        <f>BR463/BR461</f>
        <v>1.2904387579249554</v>
      </c>
      <c r="BT483" s="75">
        <f>BT463/BT461</f>
        <v>1.3275594810248814</v>
      </c>
      <c r="BU483" s="75">
        <f>BU463/BU461</f>
        <v>1.3251585508587604</v>
      </c>
      <c r="BV483" s="75">
        <f>BV463/BV461</f>
        <v>1.32635884927365</v>
      </c>
      <c r="BX483" s="75">
        <f>BX463/BX461</f>
        <v>1.338487641714992</v>
      </c>
      <c r="BY483" s="75">
        <f>BY463/BY461</f>
        <v>1.3469417360966838</v>
      </c>
      <c r="BZ483" s="75">
        <f>BZ463/BZ461</f>
        <v>1.3427244584822153</v>
      </c>
      <c r="CB483" s="75">
        <f>CB463/CB461</f>
        <v>1.3628868366447293</v>
      </c>
      <c r="CC483" s="75">
        <f>CC463/CC461</f>
        <v>1.3702954559348826</v>
      </c>
      <c r="CD483" s="75">
        <f>CD463/CD461</f>
        <v>1.3663902324621806</v>
      </c>
      <c r="CF483" s="75">
        <f>CF463/CF461</f>
        <v>1.3850704287852591</v>
      </c>
      <c r="CG483" s="75">
        <f>CG463/CG461</f>
        <v>1.381235708025881</v>
      </c>
      <c r="CH483" s="75">
        <f>CH463/CH461</f>
        <v>1.3832042917111735</v>
      </c>
      <c r="CJ483" s="75">
        <f>CJ463/CJ461</f>
        <v>1.416797460964311</v>
      </c>
      <c r="CK483" s="75">
        <f>CK463/CK461</f>
        <v>1.430883413402174</v>
      </c>
      <c r="CL483" s="75">
        <f>CL463/CL461</f>
        <v>1.4238577465648654</v>
      </c>
      <c r="CN483" s="75">
        <f>CN463/CN461</f>
        <v>1.4622186906389929</v>
      </c>
      <c r="CO483" s="75">
        <f>CO463/CO461</f>
        <v>1.4810145117542997</v>
      </c>
      <c r="CP483" s="75">
        <f>CP463/CP461</f>
        <v>1.4716528791841672</v>
      </c>
      <c r="CR483" s="75">
        <f>CR463/CR461</f>
        <v>1.4819589284567121</v>
      </c>
      <c r="CS483" s="75">
        <f>CS463/CS461</f>
        <v>1.485641414712102</v>
      </c>
      <c r="CT483" s="75">
        <f>CT463/CT461</f>
        <v>1.4838245245024906</v>
      </c>
      <c r="CV483" s="75">
        <f>CV463/CV461</f>
        <v>1.4986022398048218</v>
      </c>
      <c r="CW483" s="75">
        <f>CW463/CW461</f>
        <v>1.5029553854459379</v>
      </c>
      <c r="CX483" s="75">
        <f>CX463/CX461</f>
        <v>1.5007841924049541</v>
      </c>
      <c r="CZ483" s="75">
        <f>CZ463/CZ461</f>
        <v>1.5295911636158812</v>
      </c>
      <c r="DA483" s="75">
        <f>DA463/DA461</f>
        <v>1.475040679003343</v>
      </c>
      <c r="DB483" s="75">
        <f>DB463/DB461</f>
        <v>1.5016077925126159</v>
      </c>
      <c r="DD483" s="75">
        <f>DD463/DD461</f>
        <v>1.4977608231253532</v>
      </c>
      <c r="DE483" s="75">
        <f>DE463/DE461</f>
        <v>1.5146212073448937</v>
      </c>
      <c r="DF483" s="75">
        <f>DF463/DF461</f>
        <v>1.5062937153767721</v>
      </c>
      <c r="DH483" s="75">
        <f>DH463/DH461</f>
        <v>1.5146212073448937</v>
      </c>
      <c r="DI483" s="75">
        <f>DI463/DI461</f>
        <v>1.5146212073448937</v>
      </c>
      <c r="DJ483" s="75">
        <f>DJ463/DJ461</f>
        <v>1.5146212073448937</v>
      </c>
      <c r="DL483" s="75">
        <f>DL463/DL461</f>
        <v>1.5146212073448935</v>
      </c>
      <c r="DM483" s="75">
        <f>DM463/DM461</f>
        <v>1.5146212073448939</v>
      </c>
      <c r="DN483" s="75">
        <f>DN463/DN461</f>
        <v>1.5146212073448937</v>
      </c>
      <c r="DP483" s="75">
        <f>DP463/DP461</f>
        <v>1.5146212073448935</v>
      </c>
      <c r="DQ483" s="75">
        <f>DQ463/DQ461</f>
        <v>1.5146212073448937</v>
      </c>
      <c r="DR483" s="75">
        <f>DR463/DR461</f>
        <v>1.5146212073448939</v>
      </c>
    </row>
    <row r="484" spans="1:128" s="325" customFormat="1" ht="14.4" thickBot="1">
      <c r="A484" s="325" t="s">
        <v>69</v>
      </c>
      <c r="B484" s="324"/>
      <c r="BH484" s="345">
        <f>+BH462/BH461</f>
        <v>0.23751173520918706</v>
      </c>
      <c r="BI484" s="345">
        <f>+BI462/BI461</f>
        <v>0.25347651616485373</v>
      </c>
      <c r="BJ484" s="345">
        <f>+BJ462/BJ461</f>
        <v>0.24618836897498045</v>
      </c>
      <c r="BK484" s="324"/>
      <c r="BL484" s="345">
        <f>+BL462/BL461</f>
        <v>0.25824704936689719</v>
      </c>
      <c r="BM484" s="345">
        <f>+BM462/BM461</f>
        <v>0.25426135824987584</v>
      </c>
      <c r="BN484" s="345">
        <f>+BN462/BN461</f>
        <v>0.25620240679400902</v>
      </c>
      <c r="BO484" s="324"/>
      <c r="BP484" s="345">
        <f>+BP462/BP461</f>
        <v>0.289155498439508</v>
      </c>
      <c r="BQ484" s="345">
        <f>+BQ462/BQ461</f>
        <v>0.29167262424868273</v>
      </c>
      <c r="BR484" s="345">
        <f>+BR462/BR461</f>
        <v>0.29043875792495533</v>
      </c>
      <c r="BT484" s="345">
        <f>+BT462/BT461</f>
        <v>0.32755948102488147</v>
      </c>
      <c r="BU484" s="345">
        <f>+BU462/BU461</f>
        <v>0.32515855085876044</v>
      </c>
      <c r="BV484" s="345">
        <f>+BV462/BV461</f>
        <v>0.32635884927365005</v>
      </c>
      <c r="BX484" s="345">
        <f>+BX462/BX461</f>
        <v>0.33848764171499207</v>
      </c>
      <c r="BY484" s="345">
        <f>+BY462/BY461</f>
        <v>0.34694173609668383</v>
      </c>
      <c r="BZ484" s="345">
        <f>+BZ462/BZ461</f>
        <v>0.34272445848221539</v>
      </c>
      <c r="CB484" s="345">
        <f>+CB462/CB461</f>
        <v>0.3628868366447292</v>
      </c>
      <c r="CC484" s="345">
        <f>+CC462/CC461</f>
        <v>0.37029545593488267</v>
      </c>
      <c r="CD484" s="345">
        <f>+CD462/CD461</f>
        <v>0.36639023246218061</v>
      </c>
      <c r="CF484" s="345">
        <f>+CF462/CF461</f>
        <v>0.38507042878525921</v>
      </c>
      <c r="CG484" s="345">
        <f>+CG462/CG461</f>
        <v>0.38123570802588108</v>
      </c>
      <c r="CH484" s="345">
        <f>+CH462/CH461</f>
        <v>0.38320429171117354</v>
      </c>
      <c r="CJ484" s="345">
        <f>+CJ462/CJ461</f>
        <v>0.41679746096431092</v>
      </c>
      <c r="CK484" s="345">
        <f>+CK462/CK461</f>
        <v>0.4308834134021739</v>
      </c>
      <c r="CL484" s="345">
        <f>+CL462/CL461</f>
        <v>0.42385774656486536</v>
      </c>
      <c r="CN484" s="345">
        <f>+CN462/CN461</f>
        <v>0.46221869063899301</v>
      </c>
      <c r="CO484" s="345">
        <f>+CO462/CO461</f>
        <v>0.48101451175429966</v>
      </c>
      <c r="CP484" s="345">
        <f>+CP462/CP461</f>
        <v>0.47165287918416726</v>
      </c>
      <c r="CR484" s="345">
        <f>+CR462/CR461</f>
        <v>0.48195892845671212</v>
      </c>
      <c r="CS484" s="345">
        <f>+CS462/CS461</f>
        <v>0.48564141471210187</v>
      </c>
      <c r="CT484" s="345">
        <f>+CT462/CT461</f>
        <v>0.48382452450249058</v>
      </c>
      <c r="CV484" s="345">
        <f>+CV462/CV461</f>
        <v>0.49860223980482182</v>
      </c>
      <c r="CW484" s="345">
        <f>+CW462/CW461</f>
        <v>0.50295538544593787</v>
      </c>
      <c r="CX484" s="345">
        <f>+CX462/CX461</f>
        <v>0.5007841924049542</v>
      </c>
      <c r="CZ484" s="345">
        <f>+CZ462/CZ461</f>
        <v>0.5295911636158811</v>
      </c>
      <c r="DA484" s="345">
        <f>+DA462/DA461</f>
        <v>0.47504067900334296</v>
      </c>
      <c r="DB484" s="345">
        <f>+DB462/DB461</f>
        <v>0.50160779251261589</v>
      </c>
      <c r="DD484" s="345">
        <f>+DD462/DD461</f>
        <v>0.49776082312535325</v>
      </c>
      <c r="DE484" s="345">
        <f>+DE462/DE461</f>
        <v>0.51462120734489369</v>
      </c>
      <c r="DF484" s="345">
        <f>+DF462/DF461</f>
        <v>0.50629371537677215</v>
      </c>
      <c r="DG484" s="1255"/>
      <c r="DH484" s="1254">
        <f>DE484</f>
        <v>0.51462120734489369</v>
      </c>
      <c r="DI484" s="1254">
        <f>DH484</f>
        <v>0.51462120734489369</v>
      </c>
      <c r="DJ484" s="345">
        <f>+DJ462/DJ461</f>
        <v>0.51462120734489369</v>
      </c>
      <c r="DL484" s="1254">
        <f>DI484</f>
        <v>0.51462120734489369</v>
      </c>
      <c r="DM484" s="1254">
        <f>DL484</f>
        <v>0.51462120734489369</v>
      </c>
      <c r="DN484" s="345">
        <f>+DN462/DN461</f>
        <v>0.51462120734489369</v>
      </c>
      <c r="DP484" s="1254">
        <f>DM484</f>
        <v>0.51462120734489369</v>
      </c>
      <c r="DQ484" s="1254">
        <f>DP484</f>
        <v>0.51462120734489369</v>
      </c>
      <c r="DR484" s="345">
        <f>+DR462/DR461</f>
        <v>0.51462120734489369</v>
      </c>
      <c r="DW484" s="20"/>
      <c r="DX484" s="347"/>
    </row>
    <row r="485" spans="1:128" s="20" customFormat="1" ht="13.8">
      <c r="A485" s="20" t="s">
        <v>70</v>
      </c>
      <c r="B485" s="49"/>
      <c r="BH485" s="75">
        <f>BH462/BH463</f>
        <v>0.19192685487466382</v>
      </c>
      <c r="BI485" s="75">
        <f>BI462/BI463</f>
        <v>0.20221879939194426</v>
      </c>
      <c r="BJ485" s="75">
        <f>BJ462/BJ463</f>
        <v>0.19755309478411859</v>
      </c>
      <c r="BK485" s="49"/>
      <c r="BL485" s="75">
        <f>BL462/BL463</f>
        <v>0.20524351676154332</v>
      </c>
      <c r="BM485" s="75">
        <f>BM462/BM463</f>
        <v>0.20271800337104978</v>
      </c>
      <c r="BN485" s="75">
        <f>BN462/BN463</f>
        <v>0.20394994103527528</v>
      </c>
      <c r="BO485" s="49"/>
      <c r="BP485" s="75">
        <f>BP462/BP463</f>
        <v>0.22429838664887505</v>
      </c>
      <c r="BQ485" s="75">
        <f>BQ462/BQ463</f>
        <v>0.22581002242602896</v>
      </c>
      <c r="BR485" s="75">
        <f>BR462/BR463</f>
        <v>0.22506977269652467</v>
      </c>
      <c r="BT485" s="75">
        <f>BT462/BT463</f>
        <v>0.24673808270496791</v>
      </c>
      <c r="BU485" s="75">
        <f>BU462/BU463</f>
        <v>0.24537331827051453</v>
      </c>
      <c r="BV485" s="75">
        <f>BV462/BV463</f>
        <v>0.24605622336095015</v>
      </c>
      <c r="BX485" s="75">
        <f>BX462/BX463</f>
        <v>0.25288813371581892</v>
      </c>
      <c r="BY485" s="75">
        <f>BY462/BY463</f>
        <v>0.2575773894289517</v>
      </c>
      <c r="BZ485" s="75">
        <f>BZ462/BZ463</f>
        <v>0.2552455616021348</v>
      </c>
      <c r="CB485" s="75">
        <f>CB462/CB463</f>
        <v>0.2662633660312656</v>
      </c>
      <c r="CC485" s="75">
        <f>CC462/CC463</f>
        <v>0.27023037574203218</v>
      </c>
      <c r="CD485" s="75">
        <f>CD462/CD463</f>
        <v>0.26814465132845688</v>
      </c>
      <c r="CF485" s="75">
        <f>CF462/CF463</f>
        <v>0.27801505308504448</v>
      </c>
      <c r="CG485" s="75">
        <f>CG462/CG463</f>
        <v>0.27601060833473445</v>
      </c>
      <c r="CH485" s="75">
        <f>CH462/CH463</f>
        <v>0.27704099387741804</v>
      </c>
      <c r="CJ485" s="75">
        <f>CJ462/CJ463</f>
        <v>0.29418281190356399</v>
      </c>
      <c r="CK485" s="75">
        <f>CK462/CK463</f>
        <v>0.30113104210053965</v>
      </c>
      <c r="CL485" s="75">
        <f>CL462/CL463</f>
        <v>0.29768264953956625</v>
      </c>
      <c r="CN485" s="75">
        <f>CN462/CN463</f>
        <v>0.31610777074460888</v>
      </c>
      <c r="CO485" s="75">
        <f>CO462/CO463</f>
        <v>0.32478716983301237</v>
      </c>
      <c r="CP485" s="75">
        <f>CP462/CP463</f>
        <v>0.3204919351944156</v>
      </c>
      <c r="CR485" s="75">
        <f>CR462/CR463</f>
        <v>0.32521746669363927</v>
      </c>
      <c r="CS485" s="75">
        <f>CS462/CS463</f>
        <v>0.32689006236825519</v>
      </c>
      <c r="CT485" s="75">
        <f>CT462/CT463</f>
        <v>0.32606586325610937</v>
      </c>
      <c r="CV485" s="75">
        <f>CV462/CV463</f>
        <v>0.33271152715597158</v>
      </c>
      <c r="CW485" s="75">
        <f>CW462/CW463</f>
        <v>0.33464425512318674</v>
      </c>
      <c r="CX485" s="75">
        <f>CX462/CX463</f>
        <v>0.33368168117660207</v>
      </c>
      <c r="CZ485" s="75">
        <f>CZ462/CZ463</f>
        <v>0.34623053284640631</v>
      </c>
      <c r="DA485" s="75">
        <f>DA462/DA463</f>
        <v>0.32205259540660192</v>
      </c>
      <c r="DB485" s="75">
        <f>DB462/DB463</f>
        <v>0.33404714267850444</v>
      </c>
      <c r="DD485" s="75">
        <f>DD462/DD463</f>
        <v>0.33233665578639171</v>
      </c>
      <c r="DE485" s="75">
        <f>DE462/DE463</f>
        <v>0.33976891703967116</v>
      </c>
      <c r="DF485" s="75">
        <f>DF462/DF463</f>
        <v>0.33611885265692154</v>
      </c>
      <c r="DH485" s="75">
        <f>DH462/DH463</f>
        <v>0.3397689170396711</v>
      </c>
      <c r="DI485" s="75">
        <f>DI462/DI463</f>
        <v>0.3397689170396711</v>
      </c>
      <c r="DJ485" s="75">
        <f>DJ462/DJ463</f>
        <v>0.3397689170396711</v>
      </c>
      <c r="DL485" s="75">
        <f>DL462/DL463</f>
        <v>0.33976891703967116</v>
      </c>
      <c r="DM485" s="75">
        <f>DM462/DM463</f>
        <v>0.3397689170396711</v>
      </c>
      <c r="DN485" s="75">
        <f>DN462/DN463</f>
        <v>0.3397689170396711</v>
      </c>
      <c r="DP485" s="75">
        <f>DP462/DP463</f>
        <v>0.33976891703967116</v>
      </c>
      <c r="DQ485" s="75">
        <f>DQ462/DQ463</f>
        <v>0.3397689170396711</v>
      </c>
      <c r="DR485" s="75">
        <f>DR462/DR463</f>
        <v>0.3397689170396711</v>
      </c>
    </row>
    <row r="486" spans="1:128" s="20" customFormat="1" ht="13.8">
      <c r="A486" s="20" t="s">
        <v>71</v>
      </c>
      <c r="B486" s="49"/>
      <c r="BH486" s="75">
        <f>BH465/BH461</f>
        <v>1.456053588193156</v>
      </c>
      <c r="BI486" s="75">
        <f>BI465/BI461</f>
        <v>1.4637815578493973</v>
      </c>
      <c r="BJ486" s="75">
        <f>BJ465/BJ461</f>
        <v>1.4627132704758068</v>
      </c>
      <c r="BK486" s="49"/>
      <c r="BL486" s="75">
        <f>BL465/BL461</f>
        <v>1.461474640074492</v>
      </c>
      <c r="BM486" s="75">
        <f>BM465/BM461</f>
        <v>1.4486684084988264</v>
      </c>
      <c r="BN486" s="75">
        <f>BN465/BN461</f>
        <v>1.4548988237852447</v>
      </c>
      <c r="BO486" s="49"/>
      <c r="BP486" s="75">
        <f>BP465/BP461</f>
        <v>1.5244226179548375</v>
      </c>
      <c r="BQ486" s="75">
        <f>BQ465/BQ461</f>
        <v>1.5385654142505363</v>
      </c>
      <c r="BR486" s="75">
        <f>BR465/BR461</f>
        <v>1.5317353683613735</v>
      </c>
      <c r="BT486" s="75">
        <f>BT465/BT461</f>
        <v>1.634953133962086</v>
      </c>
      <c r="BU486" s="75">
        <f>BU465/BU461</f>
        <v>1.66048794650553</v>
      </c>
      <c r="BV486" s="75">
        <f>BV465/BV461</f>
        <v>1.6477223128136862</v>
      </c>
      <c r="BX486" s="75">
        <f>BX465/BX461</f>
        <v>1.6515390054715797</v>
      </c>
      <c r="BY486" s="75">
        <f>BY465/BY461</f>
        <v>1.6481760740459492</v>
      </c>
      <c r="BZ486" s="75">
        <f>BZ465/BZ461</f>
        <v>1.6498536535453001</v>
      </c>
      <c r="CB486" s="75">
        <f>CB465/CB461</f>
        <v>1.6635556465904942</v>
      </c>
      <c r="CC486" s="75">
        <f>CC465/CC461</f>
        <v>1.6666701600859382</v>
      </c>
      <c r="CD486" s="75">
        <f>CD465/CD461</f>
        <v>1.664799868806901</v>
      </c>
      <c r="CF486" s="75">
        <f>CF465/CF461</f>
        <v>1.6626945047968036</v>
      </c>
      <c r="CG486" s="75">
        <f>CG465/CG461</f>
        <v>1.6743184349303051</v>
      </c>
      <c r="CH486" s="75">
        <f>CH465/CH461</f>
        <v>1.6685472952286351</v>
      </c>
      <c r="CJ486" s="75">
        <f>CJ465/CJ461</f>
        <v>1.6922395015868974</v>
      </c>
      <c r="CK486" s="75">
        <f>CK465/CK461</f>
        <v>1.7813050507578276</v>
      </c>
      <c r="CL486" s="75">
        <f>CL465/CL461</f>
        <v>1.7368704178265626</v>
      </c>
      <c r="CN486" s="75">
        <f>CN465/CN461</f>
        <v>1.7828644701886252</v>
      </c>
      <c r="CO486" s="75">
        <f>CO465/CO461</f>
        <v>1.7482603091686433</v>
      </c>
      <c r="CP486" s="75">
        <f>CP465/CP461</f>
        <v>1.7655060190667677</v>
      </c>
      <c r="CR486" s="75">
        <f>CR465/CR461</f>
        <v>1.6633134954298148</v>
      </c>
      <c r="CS486" s="75">
        <f>CS465/CS461</f>
        <v>1.7143456714394099</v>
      </c>
      <c r="CT486" s="75">
        <f>CT465/CT461</f>
        <v>1.6891579230562281</v>
      </c>
      <c r="CV486" s="75">
        <f>CV465/CV461</f>
        <v>1.7132242746664244</v>
      </c>
      <c r="CW486" s="75">
        <f>CW465/CW461</f>
        <v>1.715446291656477</v>
      </c>
      <c r="CX486" s="75">
        <f>CX465/CX461</f>
        <v>1.7143384848386902</v>
      </c>
      <c r="CZ486" s="75">
        <f>CZ465/CZ461</f>
        <v>1.7515474817088414</v>
      </c>
      <c r="DA486" s="75">
        <f>DA465/DA461</f>
        <v>1.6896771130919188</v>
      </c>
      <c r="DB486" s="75">
        <f>DB465/DB461</f>
        <v>1.7198084145053398</v>
      </c>
      <c r="DD486" s="75">
        <f>DD465/DD461</f>
        <v>1.7283547328265296</v>
      </c>
      <c r="DE486" s="75">
        <f>DE465/DE461</f>
        <v>1.7359587644253101</v>
      </c>
      <c r="DF486" s="75">
        <f>DF465/DF461</f>
        <v>1.7322037420687237</v>
      </c>
      <c r="DH486" s="75">
        <f ca="1">DH465/DH461</f>
        <v>1.7221667236474103</v>
      </c>
      <c r="DI486" s="75">
        <f ca="1">DI465/DI461</f>
        <v>1.721778936310034</v>
      </c>
      <c r="DJ486" s="75">
        <f ca="1">DJ465/DJ461</f>
        <v>1.7219714451730792</v>
      </c>
      <c r="DL486" s="75">
        <f ca="1">DL465/DL461</f>
        <v>1.7216797994508526</v>
      </c>
      <c r="DM486" s="75">
        <f ca="1">DM465/DM461</f>
        <v>1.7215353793169645</v>
      </c>
      <c r="DN486" s="75">
        <f ca="1">DN465/DN461</f>
        <v>1.7216067586550954</v>
      </c>
      <c r="DP486" s="75">
        <f ca="1">DP465/DP461</f>
        <v>1.7213327308450288</v>
      </c>
      <c r="DQ486" s="75">
        <f ca="1">DQ465/DQ461</f>
        <v>1.7211441172235027</v>
      </c>
      <c r="DR486" s="75">
        <f ca="1">DR465/DR461</f>
        <v>1.7212374482999915</v>
      </c>
    </row>
    <row r="487" spans="1:128" s="20" customFormat="1" ht="13.8">
      <c r="A487" s="20" t="s">
        <v>72</v>
      </c>
      <c r="B487" s="49"/>
      <c r="BH487" s="75">
        <f>BH465/BH463</f>
        <v>1.1765978024822745</v>
      </c>
      <c r="BI487" s="75">
        <f>BI465/BI463</f>
        <v>1.1677774086490222</v>
      </c>
      <c r="BJ487" s="75">
        <f>BJ465/BJ463</f>
        <v>1.1737497371115115</v>
      </c>
      <c r="BK487" s="49"/>
      <c r="BL487" s="75">
        <f>BL465/BL463</f>
        <v>1.1615164452877926</v>
      </c>
      <c r="BM487" s="75">
        <f>BM465/BM463</f>
        <v>1.1549972411812279</v>
      </c>
      <c r="BN487" s="75">
        <f>BN465/BN463</f>
        <v>1.1581722944619526</v>
      </c>
      <c r="BO487" s="49"/>
      <c r="BP487" s="75">
        <f>BP465/BP463</f>
        <v>1.182497084176513</v>
      </c>
      <c r="BQ487" s="75">
        <f>BQ465/BQ463</f>
        <v>1.19114192355471</v>
      </c>
      <c r="BR487" s="75">
        <f>BR465/BR463</f>
        <v>1.1869880371730517</v>
      </c>
      <c r="BT487" s="75">
        <f>BT465/BT463</f>
        <v>1.2315479323758025</v>
      </c>
      <c r="BU487" s="75">
        <f>BU465/BU463</f>
        <v>1.2530485091232755</v>
      </c>
      <c r="BV487" s="75">
        <f>BV465/BV463</f>
        <v>1.2422899833751804</v>
      </c>
      <c r="BX487" s="75">
        <f>BX465/BX463</f>
        <v>1.2338843886189921</v>
      </c>
      <c r="BY487" s="75">
        <f>BY465/BY463</f>
        <v>1.223643183573935</v>
      </c>
      <c r="BZ487" s="75">
        <f>BZ465/BZ463</f>
        <v>1.228735831184796</v>
      </c>
      <c r="CB487" s="75">
        <f>CB465/CB463</f>
        <v>1.2206117205489908</v>
      </c>
      <c r="CC487" s="75">
        <f>CC465/CC463</f>
        <v>1.2162852564878821</v>
      </c>
      <c r="CD487" s="75">
        <f>CD465/CD463</f>
        <v>1.2183926884540137</v>
      </c>
      <c r="CF487" s="75">
        <f>CF465/CF463</f>
        <v>1.2004404037815084</v>
      </c>
      <c r="CG487" s="75">
        <f>CG465/CG463</f>
        <v>1.2121887851591311</v>
      </c>
      <c r="CH487" s="75">
        <f>CH465/CH463</f>
        <v>1.2062912942270163</v>
      </c>
      <c r="CJ487" s="75">
        <f>CJ465/CJ463</f>
        <v>1.1944117265957781</v>
      </c>
      <c r="CK487" s="75">
        <f>CK465/CK463</f>
        <v>1.2448988045241685</v>
      </c>
      <c r="CL487" s="75">
        <f>CL465/CL463</f>
        <v>1.2198342299410581</v>
      </c>
      <c r="CN487" s="75">
        <f>CN465/CN463</f>
        <v>1.2192871569775308</v>
      </c>
      <c r="CO487" s="75">
        <f>CO465/CO463</f>
        <v>1.1804477912223723</v>
      </c>
      <c r="CP487" s="75">
        <f>CP465/CP463</f>
        <v>1.1996755784186706</v>
      </c>
      <c r="CR487" s="75">
        <f>CR465/CR463</f>
        <v>1.1223748941287883</v>
      </c>
      <c r="CS487" s="75">
        <f>CS465/CS463</f>
        <v>1.1539431079818327</v>
      </c>
      <c r="CT487" s="75">
        <f>CT465/CT463</f>
        <v>1.1383811866990023</v>
      </c>
      <c r="CV487" s="75">
        <f>CV465/CV463</f>
        <v>1.1432148098814765</v>
      </c>
      <c r="CW487" s="75">
        <f>CW465/CW463</f>
        <v>1.1413820451812624</v>
      </c>
      <c r="CX487" s="75">
        <f>CX465/CX463</f>
        <v>1.1422951371119674</v>
      </c>
      <c r="CZ487" s="75">
        <f>CZ465/CZ463</f>
        <v>1.1451082638110082</v>
      </c>
      <c r="DA487" s="75">
        <f>DA465/DA463</f>
        <v>1.1455122134215319</v>
      </c>
      <c r="DB487" s="75">
        <f>DB465/DB463</f>
        <v>1.1453113276853819</v>
      </c>
      <c r="DD487" s="75">
        <f>DD465/DD463</f>
        <v>1.1539591009063783</v>
      </c>
      <c r="DE487" s="75">
        <f>DE465/DE463</f>
        <v>1.1461339350109969</v>
      </c>
      <c r="DF487" s="75">
        <f>DF465/DF463</f>
        <v>1.1499774077165583</v>
      </c>
      <c r="DH487" s="75">
        <f ca="1">DH465/DH463</f>
        <v>1.1370280009919711</v>
      </c>
      <c r="DI487" s="75">
        <f ca="1">DI465/DI463</f>
        <v>1.1367719717382567</v>
      </c>
      <c r="DJ487" s="75">
        <f ca="1">DJ465/DJ463</f>
        <v>1.1368990720733845</v>
      </c>
      <c r="DL487" s="75">
        <f ca="1">DL465/DL463</f>
        <v>1.1367065185023584</v>
      </c>
      <c r="DM487" s="75">
        <f ca="1">DM465/DM463</f>
        <v>1.1366111678409601</v>
      </c>
      <c r="DN487" s="75">
        <f ca="1">DN465/DN463</f>
        <v>1.1366582946986752</v>
      </c>
      <c r="DP487" s="75">
        <f ca="1">DP465/DP463</f>
        <v>1.1364773730208737</v>
      </c>
      <c r="DQ487" s="75">
        <f ca="1">DQ465/DQ463</f>
        <v>1.1363528444452724</v>
      </c>
      <c r="DR487" s="75">
        <f ca="1">DR465/DR463</f>
        <v>1.1364144645229763</v>
      </c>
    </row>
    <row r="488" spans="1:128" s="20" customFormat="1" ht="13.8">
      <c r="A488" s="20" t="s">
        <v>73</v>
      </c>
      <c r="B488" s="49"/>
      <c r="BH488" s="75">
        <f>BH464/BH463</f>
        <v>0.17659780248227461</v>
      </c>
      <c r="BI488" s="75">
        <f>BI464/BI463</f>
        <v>0.16777740864902232</v>
      </c>
      <c r="BJ488" s="75">
        <f>BJ464/BJ463</f>
        <v>0.17374973711151165</v>
      </c>
      <c r="BK488" s="49"/>
      <c r="BL488" s="75">
        <f>BL464/BL463</f>
        <v>0.16151644528779255</v>
      </c>
      <c r="BM488" s="75">
        <f>BM464/BM463</f>
        <v>0.15499724118122793</v>
      </c>
      <c r="BN488" s="75">
        <f>BN464/BN463</f>
        <v>0.15817229446195269</v>
      </c>
      <c r="BO488" s="49"/>
      <c r="BP488" s="75">
        <f>BP464/BP463</f>
        <v>0.18249708417651306</v>
      </c>
      <c r="BQ488" s="75">
        <f>BQ464/BQ463</f>
        <v>0.19114192355471007</v>
      </c>
      <c r="BR488" s="75">
        <f>BR464/BR463</f>
        <v>0.18698803717305162</v>
      </c>
      <c r="BT488" s="75">
        <f>BT464/BT463</f>
        <v>0.2315479323758024</v>
      </c>
      <c r="BU488" s="75">
        <f>BU464/BU463</f>
        <v>0.25304850912327548</v>
      </c>
      <c r="BV488" s="75">
        <f>BV464/BV463</f>
        <v>0.24228998337518046</v>
      </c>
      <c r="BX488" s="75">
        <f>BX464/BX463</f>
        <v>0.23388438861899219</v>
      </c>
      <c r="BY488" s="75">
        <f>BY464/BY463</f>
        <v>0.22364318357393498</v>
      </c>
      <c r="BZ488" s="75">
        <f>BZ464/BZ463</f>
        <v>0.22873583118479604</v>
      </c>
      <c r="CB488" s="75">
        <f>CB464/CB463</f>
        <v>0.2206117205489907</v>
      </c>
      <c r="CC488" s="75">
        <f>CC464/CC463</f>
        <v>0.2162852564878821</v>
      </c>
      <c r="CD488" s="75">
        <f>CD464/CD463</f>
        <v>0.21839268845401377</v>
      </c>
      <c r="CF488" s="75">
        <f>CF464/CF463</f>
        <v>0.20044040378150846</v>
      </c>
      <c r="CG488" s="75">
        <f>CG464/CG463</f>
        <v>0.21218878515913114</v>
      </c>
      <c r="CH488" s="75">
        <f>CH464/CH463</f>
        <v>0.20629129422701634</v>
      </c>
      <c r="CJ488" s="75">
        <f>CJ464/CJ463</f>
        <v>0.19441172659577821</v>
      </c>
      <c r="CK488" s="75">
        <f>CK464/CK463</f>
        <v>0.2448988045241684</v>
      </c>
      <c r="CL488" s="75">
        <f>CL464/CL463</f>
        <v>0.219834229941058</v>
      </c>
      <c r="CN488" s="75">
        <f>CN464/CN463</f>
        <v>0.21928715697753065</v>
      </c>
      <c r="CO488" s="75">
        <f>CO464/CO463</f>
        <v>0.18044779122237231</v>
      </c>
      <c r="CP488" s="75">
        <f>CP464/CP463</f>
        <v>0.19967557841867056</v>
      </c>
      <c r="CR488" s="75">
        <f>CR464/CR463</f>
        <v>0.1223748941287883</v>
      </c>
      <c r="CS488" s="75">
        <f>CS464/CS463</f>
        <v>0.15394310798183281</v>
      </c>
      <c r="CT488" s="75">
        <f>CT464/CT463</f>
        <v>0.13838118669900235</v>
      </c>
      <c r="CV488" s="75">
        <f>CV464/CV463</f>
        <v>0.14321480988147656</v>
      </c>
      <c r="CW488" s="75">
        <f>CW464/CW463</f>
        <v>0.14138204518126232</v>
      </c>
      <c r="CX488" s="75">
        <f>CX464/CX463</f>
        <v>0.14229513711196734</v>
      </c>
      <c r="CZ488" s="75">
        <f>CZ464/CZ463</f>
        <v>0.14510826381100825</v>
      </c>
      <c r="DA488" s="75">
        <f>DA464/DA463</f>
        <v>0.14551221342153195</v>
      </c>
      <c r="DB488" s="75">
        <f>DB464/DB463</f>
        <v>0.14531132768538202</v>
      </c>
      <c r="DD488" s="75">
        <f>DD464/DD463</f>
        <v>0.15395910090637827</v>
      </c>
      <c r="DE488" s="75">
        <f>DE464/DE463</f>
        <v>0.14613393501099686</v>
      </c>
      <c r="DF488" s="75">
        <f>DF464/DF463</f>
        <v>0.14997740771655824</v>
      </c>
      <c r="DH488" s="75">
        <f ca="1">DH464/DH463</f>
        <v>0.13702800099197113</v>
      </c>
      <c r="DI488" s="75">
        <f ca="1">DI464/DI463</f>
        <v>0.13677197173825673</v>
      </c>
      <c r="DJ488" s="75">
        <f ca="1">DJ464/DJ463</f>
        <v>0.13689907207338456</v>
      </c>
      <c r="DL488" s="75">
        <f ca="1">DL464/DL463</f>
        <v>0.13670651850235835</v>
      </c>
      <c r="DM488" s="75">
        <f ca="1">DM464/DM463</f>
        <v>0.13661116784096003</v>
      </c>
      <c r="DN488" s="75">
        <f ca="1">DN464/DN463</f>
        <v>0.13665829469867519</v>
      </c>
      <c r="DP488" s="75">
        <f ca="1">DP464/DP463</f>
        <v>0.1364773730208737</v>
      </c>
      <c r="DQ488" s="75">
        <f ca="1">DQ464/DQ463</f>
        <v>0.13635284444527235</v>
      </c>
      <c r="DR488" s="75">
        <f ca="1">DR464/DR463</f>
        <v>0.13641446452297623</v>
      </c>
    </row>
    <row r="489" spans="1:128" s="20" customFormat="1" ht="13.8">
      <c r="A489" s="20" t="s">
        <v>74</v>
      </c>
      <c r="B489" s="49"/>
      <c r="BH489" s="75">
        <f>BH464/BH465</f>
        <v>0.15009190235584777</v>
      </c>
      <c r="BI489" s="75">
        <f>BI464/BI465</f>
        <v>0.14367242199274993</v>
      </c>
      <c r="BJ489" s="75">
        <f>BJ464/BJ465</f>
        <v>0.14802962813784606</v>
      </c>
      <c r="BK489" s="49"/>
      <c r="BL489" s="75">
        <f>BL464/BL465</f>
        <v>0.13905652902553017</v>
      </c>
      <c r="BM489" s="75">
        <f>BM464/BM465</f>
        <v>0.13419706615291185</v>
      </c>
      <c r="BN489" s="75">
        <f>BN464/BN465</f>
        <v>0.13657060803326687</v>
      </c>
      <c r="BO489" s="49"/>
      <c r="BP489" s="75">
        <f>BP464/BP465</f>
        <v>0.15433195279597955</v>
      </c>
      <c r="BQ489" s="75">
        <f>BQ464/BQ465</f>
        <v>0.16046947872029188</v>
      </c>
      <c r="BR489" s="75">
        <f>BR464/BR465</f>
        <v>0.15753152628090938</v>
      </c>
      <c r="BT489" s="75">
        <f>BT464/BT465</f>
        <v>0.18801373969190052</v>
      </c>
      <c r="BU489" s="75">
        <f>BU464/BU465</f>
        <v>0.20194629919022589</v>
      </c>
      <c r="BV489" s="75">
        <f>BV464/BV465</f>
        <v>0.19503496495794181</v>
      </c>
      <c r="BX489" s="75">
        <f>BX464/BX465</f>
        <v>0.18955129895173081</v>
      </c>
      <c r="BY489" s="75">
        <f>BY464/BY465</f>
        <v>0.18276829926901808</v>
      </c>
      <c r="BZ489" s="75">
        <f>BZ464/BZ465</f>
        <v>0.1861554171202445</v>
      </c>
      <c r="CB489" s="75">
        <f>CB464/CB465</f>
        <v>0.18073865491785288</v>
      </c>
      <c r="CC489" s="75">
        <f>CC464/CC465</f>
        <v>0.17782444976141742</v>
      </c>
      <c r="CD489" s="75">
        <f>CD464/CD465</f>
        <v>0.1792465520546799</v>
      </c>
      <c r="CF489" s="75">
        <f>CF464/CF465</f>
        <v>0.16697239042446502</v>
      </c>
      <c r="CG489" s="75">
        <f>CG464/CG465</f>
        <v>0.17504598933513141</v>
      </c>
      <c r="CH489" s="75">
        <f>CH464/CH465</f>
        <v>0.1710128351371436</v>
      </c>
      <c r="CJ489" s="75">
        <f>CJ464/CJ465</f>
        <v>0.1627677644708628</v>
      </c>
      <c r="CK489" s="75">
        <f>CK464/CK465</f>
        <v>0.19672185693661653</v>
      </c>
      <c r="CL489" s="75">
        <f>CL464/CL465</f>
        <v>0.18021647904705898</v>
      </c>
      <c r="CN489" s="75">
        <f>CN464/CN465</f>
        <v>0.17984865642406805</v>
      </c>
      <c r="CO489" s="75">
        <f>CO464/CO465</f>
        <v>0.1528638475705188</v>
      </c>
      <c r="CP489" s="75">
        <f>CP464/CP465</f>
        <v>0.16644131297718764</v>
      </c>
      <c r="CR489" s="75">
        <f>CR464/CR465</f>
        <v>0.10903210216919396</v>
      </c>
      <c r="CS489" s="75">
        <f>CS464/CS465</f>
        <v>0.13340615054330426</v>
      </c>
      <c r="CT489" s="75">
        <f>CT464/CT465</f>
        <v>0.1215596219577999</v>
      </c>
      <c r="CV489" s="75">
        <f>CV464/CV465</f>
        <v>0.12527375314209271</v>
      </c>
      <c r="CW489" s="75">
        <f>CW464/CW465</f>
        <v>0.12386916876619476</v>
      </c>
      <c r="CX489" s="75">
        <f>CX464/CX465</f>
        <v>0.12456950265211506</v>
      </c>
      <c r="CZ489" s="75">
        <f>CZ464/CZ465</f>
        <v>0.12672012629450144</v>
      </c>
      <c r="DA489" s="75">
        <f>DA464/DA465</f>
        <v>0.1270280767997238</v>
      </c>
      <c r="DB489" s="75">
        <f>DB464/DB465</f>
        <v>0.12687495895028741</v>
      </c>
      <c r="DD489" s="75">
        <f>DD464/DD465</f>
        <v>0.13341816082168853</v>
      </c>
      <c r="DE489" s="75">
        <f>DE464/DE465</f>
        <v>0.12750162136120222</v>
      </c>
      <c r="DF489" s="75">
        <f>DF464/DF465</f>
        <v>0.13041769926103111</v>
      </c>
      <c r="DH489" s="75">
        <f ca="1">DH464/DH465</f>
        <v>0.12051418335557658</v>
      </c>
      <c r="DI489" s="75">
        <f ca="1">DI464/DI465</f>
        <v>0.1203161013277944</v>
      </c>
      <c r="DJ489" s="75">
        <f ca="1">DJ464/DJ465</f>
        <v>0.12041444613348053</v>
      </c>
      <c r="DL489" s="75">
        <f ca="1">DL464/DL465</f>
        <v>0.1202654478329841</v>
      </c>
      <c r="DM489" s="75">
        <f ca="1">DM464/DM465</f>
        <v>0.12019164663009479</v>
      </c>
      <c r="DN489" s="75">
        <f ca="1">DN464/DN465</f>
        <v>0.12022812426218461</v>
      </c>
      <c r="DP489" s="75">
        <f ca="1">DP464/DP465</f>
        <v>0.12008806885270652</v>
      </c>
      <c r="DQ489" s="75">
        <f ca="1">DQ464/DQ465</f>
        <v>0.11999164265905019</v>
      </c>
      <c r="DR489" s="75">
        <f ca="1">DR464/DR465</f>
        <v>0.1200393595660874</v>
      </c>
    </row>
    <row r="490" spans="1:128" s="20" customFormat="1" ht="13.8">
      <c r="B490" s="49"/>
      <c r="BH490" s="49"/>
      <c r="BI490" s="49"/>
      <c r="BJ490" s="49"/>
      <c r="BK490" s="49"/>
      <c r="BL490" s="49"/>
      <c r="BM490" s="49"/>
      <c r="BN490" s="49"/>
      <c r="BO490" s="49"/>
      <c r="BP490" s="49"/>
      <c r="BQ490" s="49"/>
      <c r="BR490" s="49"/>
      <c r="BT490" s="49"/>
      <c r="BU490" s="49"/>
      <c r="BV490" s="49"/>
      <c r="BX490" s="49"/>
      <c r="BY490" s="49"/>
      <c r="BZ490" s="49"/>
      <c r="CB490" s="49"/>
      <c r="CC490" s="49"/>
      <c r="CD490" s="49"/>
      <c r="CF490" s="49"/>
      <c r="CG490" s="49"/>
      <c r="CH490" s="49"/>
      <c r="CJ490" s="49"/>
      <c r="CK490" s="49"/>
      <c r="CL490" s="49"/>
      <c r="CN490" s="49"/>
      <c r="CO490" s="49"/>
      <c r="CP490" s="49"/>
      <c r="CR490" s="49"/>
      <c r="CS490" s="49"/>
      <c r="CT490" s="49"/>
      <c r="CV490" s="49"/>
      <c r="CW490" s="49"/>
      <c r="CX490" s="49"/>
      <c r="CZ490" s="49"/>
      <c r="DA490" s="49"/>
      <c r="DB490" s="49"/>
      <c r="DD490" s="49"/>
      <c r="DE490" s="49"/>
      <c r="DF490" s="49"/>
      <c r="DH490" s="49"/>
      <c r="DI490" s="49"/>
      <c r="DJ490" s="49"/>
      <c r="DL490" s="49"/>
      <c r="DM490" s="49"/>
      <c r="DN490" s="49"/>
      <c r="DP490" s="49"/>
      <c r="DQ490" s="49"/>
      <c r="DR490" s="49"/>
    </row>
    <row r="491" spans="1:128" s="20" customFormat="1" ht="13.8">
      <c r="A491" s="20" t="s">
        <v>736</v>
      </c>
      <c r="B491" s="49"/>
      <c r="BH491" s="65">
        <f>BH154</f>
        <v>459715</v>
      </c>
      <c r="BI491" s="65">
        <f>BI154</f>
        <v>488571</v>
      </c>
      <c r="BJ491" s="65"/>
      <c r="BK491" s="49"/>
      <c r="BL491" s="65">
        <f>BL154</f>
        <v>514485</v>
      </c>
      <c r="BM491" s="65">
        <f>BM154</f>
        <v>526577</v>
      </c>
      <c r="BN491" s="65"/>
      <c r="BO491" s="49"/>
      <c r="BP491" s="65">
        <f>BP154</f>
        <v>563034</v>
      </c>
      <c r="BQ491" s="65">
        <f>BQ154</f>
        <v>574994</v>
      </c>
      <c r="BR491" s="65"/>
      <c r="BT491" s="65">
        <f>BT154</f>
        <v>566464</v>
      </c>
      <c r="BU491" s="65">
        <f>BU154</f>
        <v>580579</v>
      </c>
      <c r="BV491" s="65"/>
      <c r="BX491" s="65">
        <f>BX154</f>
        <v>580816</v>
      </c>
      <c r="BY491" s="65">
        <f>BY154</f>
        <v>584502</v>
      </c>
      <c r="BZ491" s="65">
        <f>BZ154</f>
        <v>584502</v>
      </c>
      <c r="CB491" s="65">
        <f>CB154</f>
        <v>595983</v>
      </c>
      <c r="CC491" s="65">
        <f>CC154</f>
        <v>608810</v>
      </c>
      <c r="CD491" s="65">
        <f>CD154</f>
        <v>608810</v>
      </c>
      <c r="CF491" s="65">
        <f>CF154</f>
        <v>614216</v>
      </c>
      <c r="CG491" s="65">
        <f>CG154</f>
        <v>619165</v>
      </c>
      <c r="CH491" s="65">
        <f>CH154</f>
        <v>619165</v>
      </c>
      <c r="CJ491" s="65">
        <f>CJ154</f>
        <v>661939</v>
      </c>
      <c r="CK491" s="65">
        <f>CK154</f>
        <v>622534</v>
      </c>
      <c r="CL491" s="65">
        <f>CL154</f>
        <v>622534</v>
      </c>
      <c r="CN491" s="65">
        <f>CN154</f>
        <v>619046</v>
      </c>
      <c r="CO491" s="65">
        <f>CO154</f>
        <v>634198</v>
      </c>
      <c r="CP491" s="65">
        <f>CP154</f>
        <v>634198</v>
      </c>
      <c r="CR491" s="65">
        <f>CR154</f>
        <v>655455</v>
      </c>
      <c r="CS491" s="65">
        <f>CS154</f>
        <v>676507</v>
      </c>
      <c r="CT491" s="65">
        <f>CT154</f>
        <v>676507</v>
      </c>
      <c r="CV491" s="65">
        <f>CV154</f>
        <v>694271</v>
      </c>
      <c r="CW491" s="65">
        <f>CW154</f>
        <v>711105</v>
      </c>
      <c r="CX491" s="65">
        <f>CX154</f>
        <v>711105</v>
      </c>
      <c r="CZ491" s="65">
        <f>CZ154</f>
        <v>719154</v>
      </c>
      <c r="DA491" s="65">
        <f>DA154</f>
        <v>807572</v>
      </c>
      <c r="DB491" s="65">
        <f>DB154</f>
        <v>807572</v>
      </c>
      <c r="DD491" s="65">
        <f>DD154</f>
        <v>824547</v>
      </c>
      <c r="DE491" s="65">
        <f>DE154</f>
        <v>833971</v>
      </c>
      <c r="DF491" s="65">
        <f>DF154</f>
        <v>833971</v>
      </c>
      <c r="DH491" s="65">
        <f>DH154</f>
        <v>839814.53258427838</v>
      </c>
      <c r="DI491" s="65">
        <f>DI154</f>
        <v>858051.63310989505</v>
      </c>
      <c r="DJ491" s="65">
        <f>DJ154</f>
        <v>858051.63310989505</v>
      </c>
      <c r="DL491" s="65">
        <f>DL154</f>
        <v>877164.28884523176</v>
      </c>
      <c r="DM491" s="65">
        <f>DM154</f>
        <v>898441.30052072858</v>
      </c>
      <c r="DN491" s="65">
        <f>DN154</f>
        <v>898441.30052072858</v>
      </c>
      <c r="DP491" s="65">
        <f>DP154</f>
        <v>916529.72743910458</v>
      </c>
      <c r="DQ491" s="65">
        <f>DQ154</f>
        <v>936390.7061425281</v>
      </c>
      <c r="DR491" s="65">
        <f>DR154</f>
        <v>936390.7061425281</v>
      </c>
    </row>
    <row r="492" spans="1:128" s="47" customFormat="1" ht="13.8">
      <c r="A492" s="47" t="s">
        <v>217</v>
      </c>
      <c r="B492" s="92"/>
      <c r="BH492" s="92"/>
      <c r="BI492" s="73"/>
      <c r="BJ492" s="92"/>
      <c r="BK492" s="92"/>
      <c r="BL492" s="73"/>
      <c r="BM492" s="73"/>
      <c r="BN492" s="92"/>
      <c r="BO492" s="92"/>
      <c r="BP492" s="75">
        <f>+BP491/BM491-1</f>
        <v>6.923393919597709E-2</v>
      </c>
      <c r="BQ492" s="75">
        <f>+BQ491/BP491-1</f>
        <v>2.1242056429984668E-2</v>
      </c>
      <c r="BR492" s="92"/>
      <c r="BT492" s="75">
        <f>+BT491/BQ491-1</f>
        <v>-1.4834937408042537E-2</v>
      </c>
      <c r="BU492" s="75">
        <f>+BU491/BT491-1</f>
        <v>2.4917735284148756E-2</v>
      </c>
      <c r="BV492" s="92"/>
      <c r="BX492" s="75">
        <f>+BX491/BU491-1</f>
        <v>4.082131802907174E-4</v>
      </c>
      <c r="BY492" s="75">
        <f>+BY491/BX491-1</f>
        <v>6.3462439051265029E-3</v>
      </c>
      <c r="BZ492" s="92"/>
      <c r="CB492" s="75">
        <f>+CB491/BY491-1</f>
        <v>1.9642362216040432E-2</v>
      </c>
      <c r="CC492" s="75">
        <f>+CC491/CB491-1</f>
        <v>2.1522425975237569E-2</v>
      </c>
      <c r="CD492" s="73"/>
      <c r="CF492" s="75">
        <f>+CF491/CC491-1</f>
        <v>8.8796176146910266E-3</v>
      </c>
      <c r="CG492" s="75">
        <f>+CG491/CF491-1</f>
        <v>8.0574260520729357E-3</v>
      </c>
      <c r="CH492" s="73"/>
      <c r="CJ492" s="75">
        <f>+CJ491/CG491-1</f>
        <v>6.9083362270154103E-2</v>
      </c>
      <c r="CK492" s="75">
        <f>+CK491/CJ491-1</f>
        <v>-5.9529654545207311E-2</v>
      </c>
      <c r="CL492" s="73"/>
      <c r="CN492" s="75">
        <f>+CN491/CK491-1</f>
        <v>-5.6029068291851836E-3</v>
      </c>
      <c r="CO492" s="75">
        <f>+CO491/CN491-1</f>
        <v>2.4476371707433664E-2</v>
      </c>
      <c r="CP492" s="73"/>
      <c r="CR492" s="75">
        <f>+CR491/CO491-1</f>
        <v>3.3517923424545737E-2</v>
      </c>
      <c r="CS492" s="75">
        <f>+CS491/CR491-1</f>
        <v>3.2118146936097824E-2</v>
      </c>
      <c r="CT492" s="73"/>
      <c r="CV492" s="75">
        <f>+CV491/CS491-1</f>
        <v>2.6258412699351252E-2</v>
      </c>
      <c r="CW492" s="75">
        <f>+CW491/CV491-1</f>
        <v>2.4247015934699911E-2</v>
      </c>
      <c r="CX492" s="73"/>
      <c r="CZ492" s="75">
        <f>+CZ491/CW491-1</f>
        <v>1.1319003522686444E-2</v>
      </c>
      <c r="DA492" s="75">
        <f>+DA491/CZ491-1</f>
        <v>0.12294724078570107</v>
      </c>
      <c r="DB492" s="73"/>
      <c r="DD492" s="75">
        <f>+DD491/DA491-1</f>
        <v>2.1019797615568603E-2</v>
      </c>
      <c r="DE492" s="75">
        <f>+DE491/DD491-1</f>
        <v>1.1429306031069286E-2</v>
      </c>
      <c r="DF492" s="73"/>
      <c r="DH492" s="75">
        <f>+DH491/DE491-1</f>
        <v>7.0068774385181332E-3</v>
      </c>
      <c r="DI492" s="75">
        <f>+DI491/DH491-1</f>
        <v>2.1715628651361119E-2</v>
      </c>
      <c r="DJ492" s="73"/>
      <c r="DL492" s="75">
        <f>+DL491/DI491-1</f>
        <v>2.2274482091555914E-2</v>
      </c>
      <c r="DM492" s="75">
        <f>+DM491/DL491-1</f>
        <v>2.4256586760397658E-2</v>
      </c>
      <c r="DN492" s="73"/>
      <c r="DP492" s="75">
        <f>+DP491/DM491-1</f>
        <v>2.0133120447481723E-2</v>
      </c>
      <c r="DQ492" s="75">
        <f>+DQ491/DP491-1</f>
        <v>2.1669759429317592E-2</v>
      </c>
      <c r="DR492" s="73"/>
      <c r="DW492" s="20"/>
      <c r="DX492" s="20"/>
    </row>
    <row r="493" spans="1:128" s="47" customFormat="1" ht="13.8">
      <c r="A493" s="47" t="s">
        <v>75</v>
      </c>
      <c r="B493" s="92"/>
      <c r="BH493" s="92"/>
      <c r="BI493" s="73">
        <f>AVERAGE(BI491,BH491)</f>
        <v>474143</v>
      </c>
      <c r="BJ493" s="92"/>
      <c r="BK493" s="92"/>
      <c r="BL493" s="73">
        <f>AVERAGE(BL491,BI491)</f>
        <v>501528</v>
      </c>
      <c r="BM493" s="73">
        <f>AVERAGE(BM491,BL491)</f>
        <v>520531</v>
      </c>
      <c r="BN493" s="92"/>
      <c r="BO493" s="92"/>
      <c r="BP493" s="73">
        <f>AVERAGE(BP491,BM491)</f>
        <v>544805.5</v>
      </c>
      <c r="BQ493" s="73">
        <f>AVERAGE(BQ491,BP491)</f>
        <v>569014</v>
      </c>
      <c r="BR493" s="92"/>
      <c r="BT493" s="73">
        <f>AVERAGE(BT491,BQ491)</f>
        <v>570729</v>
      </c>
      <c r="BU493" s="73">
        <f>AVERAGE(BU491,BT491)</f>
        <v>573521.5</v>
      </c>
      <c r="BV493" s="92"/>
      <c r="BX493" s="73">
        <f>AVERAGE(BX491,BU491)</f>
        <v>580697.5</v>
      </c>
      <c r="BY493" s="73">
        <f>AVERAGE(BY491,BX491)</f>
        <v>582659</v>
      </c>
      <c r="BZ493" s="92"/>
      <c r="CB493" s="73">
        <f>AVERAGE(CB491,BY491)</f>
        <v>590242.5</v>
      </c>
      <c r="CC493" s="73">
        <f>AVERAGE(CC491,CB491)</f>
        <v>602396.5</v>
      </c>
      <c r="CD493" s="73">
        <f>AVERAGE(CB493:CC493)</f>
        <v>596319.5</v>
      </c>
      <c r="CF493" s="73">
        <f>AVERAGE(CF491,CC491)</f>
        <v>611513</v>
      </c>
      <c r="CG493" s="73">
        <f>AVERAGE(CG491,CF491)</f>
        <v>616690.5</v>
      </c>
      <c r="CH493" s="73">
        <f>AVERAGE(CF493:CG493)</f>
        <v>614101.75</v>
      </c>
      <c r="CJ493" s="73">
        <f>AVERAGE(CJ491,CG491)</f>
        <v>640552</v>
      </c>
      <c r="CK493" s="73">
        <f>AVERAGE(CK491,CJ491)</f>
        <v>642236.5</v>
      </c>
      <c r="CL493" s="73">
        <f>AVERAGE(CJ493:CK493)</f>
        <v>641394.25</v>
      </c>
      <c r="CN493" s="73">
        <f>AVERAGE(CN491,CK491)</f>
        <v>620790</v>
      </c>
      <c r="CO493" s="73">
        <f>AVERAGE(CO491,CN491)</f>
        <v>626622</v>
      </c>
      <c r="CP493" s="73">
        <f>AVERAGE(CN493:CO493)</f>
        <v>623706</v>
      </c>
      <c r="CR493" s="73">
        <f>AVERAGE(CR491,CO491)</f>
        <v>644826.5</v>
      </c>
      <c r="CS493" s="73">
        <f>AVERAGE(CS491,CR491)</f>
        <v>665981</v>
      </c>
      <c r="CT493" s="73">
        <f>AVERAGE(CR493:CS493)</f>
        <v>655403.75</v>
      </c>
      <c r="CV493" s="73">
        <f>AVERAGE(CV491,CS491)</f>
        <v>685389</v>
      </c>
      <c r="CW493" s="73">
        <f>AVERAGE(CW491,CV491)</f>
        <v>702688</v>
      </c>
      <c r="CX493" s="73">
        <f>AVERAGE(CV493:CW493)</f>
        <v>694038.5</v>
      </c>
      <c r="CZ493" s="73">
        <f>AVERAGE(CZ491,CW491)</f>
        <v>715129.5</v>
      </c>
      <c r="DA493" s="73">
        <f>AVERAGE(DA491,CZ491)</f>
        <v>763363</v>
      </c>
      <c r="DB493" s="73">
        <f>AVERAGE(CZ493:DA493)</f>
        <v>739246.25</v>
      </c>
      <c r="DD493" s="73">
        <f>AVERAGE(DD491,DA491)</f>
        <v>816059.5</v>
      </c>
      <c r="DE493" s="73">
        <f>AVERAGE(DE491,DD491)</f>
        <v>829259</v>
      </c>
      <c r="DF493" s="73">
        <f>AVERAGE(DD493:DE493)</f>
        <v>822659.25</v>
      </c>
      <c r="DH493" s="73">
        <f>AVERAGE(DH491,DE491)</f>
        <v>836892.76629213919</v>
      </c>
      <c r="DI493" s="73">
        <f>AVERAGE(DI491,DH491)</f>
        <v>848933.08284708671</v>
      </c>
      <c r="DJ493" s="73">
        <f>AVERAGE(DH493:DI493)</f>
        <v>842912.92456961295</v>
      </c>
      <c r="DL493" s="73">
        <f>AVERAGE(DL491,DI491)</f>
        <v>867607.9609775634</v>
      </c>
      <c r="DM493" s="73">
        <f>AVERAGE(DM491,DL491)</f>
        <v>887802.79468298017</v>
      </c>
      <c r="DN493" s="73">
        <f>AVERAGE(DL493:DM493)</f>
        <v>877705.37783027184</v>
      </c>
      <c r="DP493" s="73">
        <f>AVERAGE(DP491,DM491)</f>
        <v>907485.51397991658</v>
      </c>
      <c r="DQ493" s="73">
        <f>AVERAGE(DQ491,DP491)</f>
        <v>926460.21679081628</v>
      </c>
      <c r="DR493" s="73">
        <f>AVERAGE(DP493:DQ493)</f>
        <v>916972.86538536637</v>
      </c>
      <c r="DW493" s="20"/>
      <c r="DX493" s="20"/>
    </row>
    <row r="494" spans="1:128" s="47" customFormat="1" ht="13.8">
      <c r="A494" s="47" t="s">
        <v>217</v>
      </c>
      <c r="B494" s="92"/>
      <c r="BH494" s="92"/>
      <c r="BI494" s="73"/>
      <c r="BJ494" s="92"/>
      <c r="BK494" s="92"/>
      <c r="BL494" s="73"/>
      <c r="BM494" s="73"/>
      <c r="BN494" s="92"/>
      <c r="BO494" s="92"/>
      <c r="BP494" s="75">
        <f>+BP493/BM493-1</f>
        <v>4.6634110168270571E-2</v>
      </c>
      <c r="BQ494" s="75">
        <f>+BQ493/BP493-1</f>
        <v>4.4435124094745815E-2</v>
      </c>
      <c r="BR494" s="92"/>
      <c r="BT494" s="75">
        <f>+BT493/BQ493-1</f>
        <v>3.0139855961364148E-3</v>
      </c>
      <c r="BU494" s="75">
        <f>+BU493/BT493-1</f>
        <v>4.8928650900865733E-3</v>
      </c>
      <c r="BV494" s="92"/>
      <c r="BX494" s="75">
        <f>+BX493/BU493-1</f>
        <v>1.2512172603816873E-2</v>
      </c>
      <c r="BY494" s="75">
        <f>+BY493/BX493-1</f>
        <v>3.3778344146480066E-3</v>
      </c>
      <c r="BZ494" s="92"/>
      <c r="CB494" s="75">
        <f>+CB493/BY493-1</f>
        <v>1.301533143742728E-2</v>
      </c>
      <c r="CC494" s="75">
        <f>+CC493/CB493-1</f>
        <v>2.0591536529477317E-2</v>
      </c>
      <c r="CD494" s="73"/>
      <c r="CF494" s="75">
        <f>+CF493/CC493-1</f>
        <v>1.5133720066434542E-2</v>
      </c>
      <c r="CG494" s="75">
        <f>+CG493/CF493-1</f>
        <v>8.4667047143722751E-3</v>
      </c>
      <c r="CH494" s="73"/>
      <c r="CJ494" s="75">
        <f>+CJ493/CG493-1</f>
        <v>3.86928288987749E-2</v>
      </c>
      <c r="CK494" s="75">
        <f>+CK493/CJ493-1</f>
        <v>2.6297630793441495E-3</v>
      </c>
      <c r="CL494" s="73"/>
      <c r="CN494" s="75">
        <f>+CN493/CK493-1</f>
        <v>-3.3393461754353759E-2</v>
      </c>
      <c r="CO494" s="75">
        <f>+CO493/CN493-1</f>
        <v>9.3944812255351007E-3</v>
      </c>
      <c r="CP494" s="73"/>
      <c r="CR494" s="75">
        <f>+CR493/CO493-1</f>
        <v>2.9051804756296429E-2</v>
      </c>
      <c r="CS494" s="75">
        <f>+CS493/CR493-1</f>
        <v>3.2806499112552068E-2</v>
      </c>
      <c r="CT494" s="73"/>
      <c r="CV494" s="75">
        <f>+CV493/CS493-1</f>
        <v>2.9141972518735626E-2</v>
      </c>
      <c r="CW494" s="75">
        <f>+CW493/CV493-1</f>
        <v>2.5239681407200898E-2</v>
      </c>
      <c r="CX494" s="73"/>
      <c r="CZ494" s="75">
        <f>+CZ493/CW493-1</f>
        <v>1.7705581993715525E-2</v>
      </c>
      <c r="DA494" s="75">
        <f>+DA493/CZ493-1</f>
        <v>6.744722459358754E-2</v>
      </c>
      <c r="DB494" s="73"/>
      <c r="DD494" s="75">
        <f>+DD493/DA493-1</f>
        <v>6.9032033252856007E-2</v>
      </c>
      <c r="DE494" s="75">
        <f>+DE493/DD493-1</f>
        <v>1.6174678439500934E-2</v>
      </c>
      <c r="DF494" s="73"/>
      <c r="DH494" s="75">
        <f>+DH493/DE493-1</f>
        <v>9.2055272142228528E-3</v>
      </c>
      <c r="DI494" s="75">
        <f>+DI493/DH493-1</f>
        <v>1.4386928696124679E-2</v>
      </c>
      <c r="DJ494" s="73"/>
      <c r="DL494" s="75">
        <f>+DL493/DI493-1</f>
        <v>2.1998056746529882E-2</v>
      </c>
      <c r="DM494" s="75">
        <f>+DM493/DL493-1</f>
        <v>2.3276450440429919E-2</v>
      </c>
      <c r="DN494" s="73"/>
      <c r="DP494" s="75">
        <f>+DP493/DM493-1</f>
        <v>2.2170147936924289E-2</v>
      </c>
      <c r="DQ494" s="75">
        <f>+DQ493/DP493-1</f>
        <v>2.0909097190635384E-2</v>
      </c>
      <c r="DR494" s="73"/>
      <c r="DW494" s="20"/>
      <c r="DX494" s="20"/>
    </row>
    <row r="495" spans="1:128" s="47" customFormat="1" ht="13.8">
      <c r="A495" s="20" t="s">
        <v>1024</v>
      </c>
      <c r="B495" s="92"/>
      <c r="BH495" s="65">
        <f>BH461</f>
        <v>449502</v>
      </c>
      <c r="BI495" s="65">
        <f>BI461</f>
        <v>475476</v>
      </c>
      <c r="BJ495" s="49"/>
      <c r="BK495" s="49"/>
      <c r="BL495" s="65">
        <f>BL461</f>
        <v>502604</v>
      </c>
      <c r="BM495" s="65">
        <f>BM461</f>
        <v>527414</v>
      </c>
      <c r="BN495" s="92"/>
      <c r="BO495" s="92"/>
      <c r="BP495" s="65">
        <f>BP461</f>
        <v>544700</v>
      </c>
      <c r="BQ495" s="65">
        <f>BQ461</f>
        <v>566505</v>
      </c>
      <c r="BR495" s="92"/>
      <c r="BT495" s="65">
        <f>BT461</f>
        <v>550932</v>
      </c>
      <c r="BU495" s="65">
        <f>BU461</f>
        <v>551085</v>
      </c>
      <c r="BV495" s="92"/>
      <c r="BX495" s="65">
        <f>BX461</f>
        <v>555781</v>
      </c>
      <c r="BY495" s="65">
        <f>BY461</f>
        <v>558356</v>
      </c>
      <c r="BZ495" s="92"/>
      <c r="CB495" s="65">
        <f>CB461</f>
        <v>561445</v>
      </c>
      <c r="CC495" s="65">
        <f>CC461</f>
        <v>572505</v>
      </c>
      <c r="CD495" s="65">
        <f>CD461</f>
        <v>567103</v>
      </c>
      <c r="CF495" s="65">
        <f>CF461</f>
        <v>585911</v>
      </c>
      <c r="CG495" s="65">
        <f>CG461</f>
        <v>589929</v>
      </c>
      <c r="CH495" s="65">
        <f>CH461</f>
        <v>587924</v>
      </c>
      <c r="CJ495" s="65">
        <f t="shared" ref="CJ495:CL495" si="814">CJ461</f>
        <v>604639</v>
      </c>
      <c r="CK495" s="65">
        <f t="shared" si="814"/>
        <v>607394</v>
      </c>
      <c r="CL495" s="65">
        <f t="shared" si="814"/>
        <v>606017</v>
      </c>
      <c r="CN495" s="65">
        <f t="shared" ref="CN495:CP495" si="815">CN461</f>
        <v>586454</v>
      </c>
      <c r="CO495" s="65">
        <f t="shared" si="815"/>
        <v>587317</v>
      </c>
      <c r="CP495" s="65">
        <f t="shared" si="815"/>
        <v>586885</v>
      </c>
      <c r="CR495" s="65">
        <f t="shared" ref="CR495:CT495" si="816">CR461</f>
        <v>607087</v>
      </c>
      <c r="CS495" s="65">
        <f t="shared" si="816"/>
        <v>619490</v>
      </c>
      <c r="CT495" s="65">
        <f t="shared" si="816"/>
        <v>613305</v>
      </c>
      <c r="CV495" s="65">
        <f t="shared" ref="CV495:CX495" si="817">CV461</f>
        <v>649253</v>
      </c>
      <c r="CW495" s="65">
        <f t="shared" si="817"/>
        <v>650169</v>
      </c>
      <c r="CX495" s="65">
        <f t="shared" si="817"/>
        <v>649713</v>
      </c>
      <c r="CZ495" s="65">
        <f t="shared" ref="CZ495:DB495" si="818">CZ461</f>
        <v>663982</v>
      </c>
      <c r="DA495" s="65">
        <f t="shared" si="818"/>
        <v>699378</v>
      </c>
      <c r="DB495" s="65">
        <f t="shared" si="818"/>
        <v>681680</v>
      </c>
      <c r="DD495" s="65">
        <f t="shared" ref="DD495:DF495" si="819">DD461</f>
        <v>762557</v>
      </c>
      <c r="DE495" s="65">
        <f t="shared" si="819"/>
        <v>777193</v>
      </c>
      <c r="DF495" s="65">
        <f t="shared" si="819"/>
        <v>769895</v>
      </c>
      <c r="DH495" s="65">
        <f>DH461</f>
        <v>784347.47131220344</v>
      </c>
      <c r="DI495" s="65">
        <f>DI461</f>
        <v>795631.82245495776</v>
      </c>
      <c r="DJ495" s="65">
        <f>DJ461</f>
        <v>789989.6468835806</v>
      </c>
      <c r="DL495" s="65">
        <f>DL461</f>
        <v>813134.17643466685</v>
      </c>
      <c r="DM495" s="65">
        <f>DM461</f>
        <v>832061.05379386828</v>
      </c>
      <c r="DN495" s="65">
        <f>DN461</f>
        <v>822597.61511426757</v>
      </c>
      <c r="DP495" s="65">
        <f>DP461</f>
        <v>850507.97044903133</v>
      </c>
      <c r="DQ495" s="65">
        <f>DQ461</f>
        <v>868291.32426456013</v>
      </c>
      <c r="DR495" s="65">
        <f>DR461</f>
        <v>859399.64735679573</v>
      </c>
      <c r="DW495" s="20"/>
      <c r="DX495" s="20"/>
    </row>
    <row r="496" spans="1:128" s="47" customFormat="1" ht="13.8">
      <c r="A496" s="47" t="s">
        <v>217</v>
      </c>
      <c r="B496" s="92"/>
      <c r="BH496" s="92"/>
      <c r="BI496" s="73"/>
      <c r="BJ496" s="92"/>
      <c r="BK496" s="92"/>
      <c r="BL496" s="73"/>
      <c r="BM496" s="73"/>
      <c r="BN496" s="92"/>
      <c r="BO496" s="92"/>
      <c r="BP496" s="75">
        <f>+BP495/BM495-1</f>
        <v>3.2775011660668874E-2</v>
      </c>
      <c r="BQ496" s="75">
        <f>+BQ495/BP495-1</f>
        <v>4.0031209840279081E-2</v>
      </c>
      <c r="BR496" s="92"/>
      <c r="BT496" s="75">
        <f>+BT495/BQ495-1</f>
        <v>-2.7489607329149734E-2</v>
      </c>
      <c r="BU496" s="75">
        <f>+BU495/BT495-1</f>
        <v>2.7771122388964287E-4</v>
      </c>
      <c r="BV496" s="92"/>
      <c r="BX496" s="75">
        <f>+BX495/BU495-1</f>
        <v>8.5213714762695236E-3</v>
      </c>
      <c r="BY496" s="75">
        <f>+BY495/BX495-1</f>
        <v>4.6331198799527407E-3</v>
      </c>
      <c r="BZ496" s="92"/>
      <c r="CB496" s="75">
        <f>+CB495/BY495-1</f>
        <v>5.5323127180508802E-3</v>
      </c>
      <c r="CC496" s="75">
        <f>+CC495/CB495-1</f>
        <v>1.9699169108283066E-2</v>
      </c>
      <c r="CD496" s="73"/>
      <c r="CF496" s="75">
        <f>+CF495/CC495-1</f>
        <v>2.3416389376512026E-2</v>
      </c>
      <c r="CG496" s="75">
        <f>+CG495/CF495-1</f>
        <v>6.8576968174347552E-3</v>
      </c>
      <c r="CH496" s="73"/>
      <c r="CJ496" s="75">
        <f>+CJ495/CG495-1</f>
        <v>2.4935204066930172E-2</v>
      </c>
      <c r="CK496" s="75">
        <f>+CK495/CJ495-1</f>
        <v>4.5564378083451373E-3</v>
      </c>
      <c r="CL496" s="73"/>
      <c r="CN496" s="75">
        <f>+CN495/CK495-1</f>
        <v>-3.447515121980127E-2</v>
      </c>
      <c r="CO496" s="75">
        <f>+CO495/CN495-1</f>
        <v>1.4715561663829479E-3</v>
      </c>
      <c r="CP496" s="73"/>
      <c r="CR496" s="75">
        <f>+CR495/CO495-1</f>
        <v>3.3661549044212924E-2</v>
      </c>
      <c r="CS496" s="75">
        <f>+CS495/CR495-1</f>
        <v>2.0430350180451917E-2</v>
      </c>
      <c r="CT496" s="73"/>
      <c r="CV496" s="75">
        <f>+CV495/CS495-1</f>
        <v>4.8044359069557174E-2</v>
      </c>
      <c r="CW496" s="75">
        <f>+CW495/CV495-1</f>
        <v>1.4108521639484284E-3</v>
      </c>
      <c r="CX496" s="73"/>
      <c r="CZ496" s="75">
        <f>+CZ495/CW495-1</f>
        <v>2.1245245466947837E-2</v>
      </c>
      <c r="DA496" s="75">
        <f>+DA495/CZ495-1</f>
        <v>5.3308674030320136E-2</v>
      </c>
      <c r="DB496" s="73"/>
      <c r="DD496" s="75">
        <f>+DD495/DA495-1</f>
        <v>9.0335984260299762E-2</v>
      </c>
      <c r="DE496" s="75">
        <f>+DE495/DD495-1</f>
        <v>1.9193319319080304E-2</v>
      </c>
      <c r="DF496" s="73"/>
      <c r="DH496" s="75">
        <f>+DH495/DE495-1</f>
        <v>9.2055272142228528E-3</v>
      </c>
      <c r="DI496" s="75">
        <f>+DI495/DH495-1</f>
        <v>1.4386928696124679E-2</v>
      </c>
      <c r="DJ496" s="73"/>
      <c r="DL496" s="75">
        <f>+DL495/DI495-1</f>
        <v>2.1998056746529882E-2</v>
      </c>
      <c r="DM496" s="75">
        <f>+DM495/DL495-1</f>
        <v>2.3276450440430141E-2</v>
      </c>
      <c r="DN496" s="73"/>
      <c r="DP496" s="75">
        <f>+DP495/DM495-1</f>
        <v>2.2170147936924067E-2</v>
      </c>
      <c r="DQ496" s="75">
        <f>+DQ495/DP495-1</f>
        <v>2.0909097190635384E-2</v>
      </c>
      <c r="DR496" s="73"/>
      <c r="DW496" s="20"/>
      <c r="DX496" s="20"/>
    </row>
    <row r="497" spans="1:128" s="325" customFormat="1" ht="13.8">
      <c r="A497" s="335" t="s">
        <v>76</v>
      </c>
      <c r="B497" s="336"/>
      <c r="C497" s="335"/>
      <c r="D497" s="335"/>
      <c r="E497" s="335"/>
      <c r="F497" s="335"/>
      <c r="G497" s="335"/>
      <c r="H497" s="335"/>
      <c r="I497" s="335"/>
      <c r="J497" s="335"/>
      <c r="K497" s="335"/>
      <c r="L497" s="335"/>
      <c r="M497" s="335"/>
      <c r="N497" s="335"/>
      <c r="O497" s="335"/>
      <c r="P497" s="335"/>
      <c r="Q497" s="335"/>
      <c r="R497" s="335"/>
      <c r="S497" s="335"/>
      <c r="T497" s="335"/>
      <c r="U497" s="335"/>
      <c r="V497" s="335"/>
      <c r="W497" s="335"/>
      <c r="X497" s="335"/>
      <c r="Y497" s="335"/>
      <c r="Z497" s="335"/>
      <c r="AA497" s="335"/>
      <c r="AB497" s="335"/>
      <c r="AC497" s="335"/>
      <c r="AD497" s="335"/>
      <c r="AE497" s="335"/>
      <c r="AF497" s="335"/>
      <c r="AG497" s="335"/>
      <c r="AH497" s="335"/>
      <c r="AI497" s="335"/>
      <c r="AJ497" s="335"/>
      <c r="AK497" s="335"/>
      <c r="AL497" s="335"/>
      <c r="AM497" s="335"/>
      <c r="AN497" s="335"/>
      <c r="AO497" s="335"/>
      <c r="AP497" s="335"/>
      <c r="AQ497" s="335"/>
      <c r="AR497" s="335"/>
      <c r="AS497" s="335"/>
      <c r="AT497" s="335"/>
      <c r="AU497" s="335"/>
      <c r="AV497" s="335"/>
      <c r="AW497" s="335"/>
      <c r="AX497" s="335"/>
      <c r="AY497" s="335"/>
      <c r="AZ497" s="335"/>
      <c r="BA497" s="335"/>
      <c r="BB497" s="335"/>
      <c r="BC497" s="335"/>
      <c r="BD497" s="335"/>
      <c r="BE497" s="335"/>
      <c r="BF497" s="335"/>
      <c r="BG497" s="335"/>
      <c r="BH497" s="336"/>
      <c r="BI497" s="345">
        <f>+BI495/BI493</f>
        <v>1.0028113881255234</v>
      </c>
      <c r="BJ497" s="336"/>
      <c r="BK497" s="336"/>
      <c r="BL497" s="345">
        <f>+BL495/BL493</f>
        <v>1.0021454435245889</v>
      </c>
      <c r="BM497" s="345">
        <f>+BM495/BM493</f>
        <v>1.0132230357077676</v>
      </c>
      <c r="BN497" s="336"/>
      <c r="BO497" s="336"/>
      <c r="BP497" s="345">
        <f>+BP495/BP493</f>
        <v>0.99980635290943276</v>
      </c>
      <c r="BQ497" s="345">
        <f>+BQ495/BQ493</f>
        <v>0.99559061815702254</v>
      </c>
      <c r="BR497" s="336"/>
      <c r="BS497" s="93"/>
      <c r="BT497" s="345">
        <f>+BT495/BT493</f>
        <v>0.96531278417602751</v>
      </c>
      <c r="BU497" s="345">
        <f>+BU495/BU493</f>
        <v>0.96087940905441205</v>
      </c>
      <c r="BV497" s="336"/>
      <c r="BW497" s="93"/>
      <c r="BX497" s="345">
        <f>+BX495/BX493</f>
        <v>0.95709211766883795</v>
      </c>
      <c r="BY497" s="345">
        <f>+BY495/BY493</f>
        <v>0.95828949694418175</v>
      </c>
      <c r="BZ497" s="336"/>
      <c r="CB497" s="345">
        <f>+CB495/CB493</f>
        <v>0.95121073118252242</v>
      </c>
      <c r="CC497" s="345">
        <f>+CC495/CC493</f>
        <v>0.95037902776659555</v>
      </c>
      <c r="CD497" s="345">
        <f>+CD495/CD493</f>
        <v>0.95100529162638481</v>
      </c>
      <c r="CF497" s="345">
        <f>+CF495/CF493</f>
        <v>0.95813335121248444</v>
      </c>
      <c r="CG497" s="345">
        <f>+CG495/CG493</f>
        <v>0.9566046501446025</v>
      </c>
      <c r="CH497" s="345">
        <f>+CH495/CH493</f>
        <v>0.95737229213237052</v>
      </c>
      <c r="CJ497" s="345">
        <f>+CJ495/CJ493</f>
        <v>0.94393429417127728</v>
      </c>
      <c r="CK497" s="345">
        <f>+CK495/CK493</f>
        <v>0.94574817843582548</v>
      </c>
      <c r="CL497" s="345">
        <f>+CL495/CL493</f>
        <v>0.94484320681078759</v>
      </c>
      <c r="CN497" s="345">
        <f>+CN495/CN493</f>
        <v>0.94468983069959245</v>
      </c>
      <c r="CO497" s="345">
        <f>+CO495/CO493</f>
        <v>0.93727478447931922</v>
      </c>
      <c r="CP497" s="345">
        <f>+CP495/CP493</f>
        <v>0.94096417222216877</v>
      </c>
      <c r="CR497" s="345">
        <f>+CR495/CR493</f>
        <v>0.94147340408621549</v>
      </c>
      <c r="CS497" s="345">
        <f>+CS495/CS493</f>
        <v>0.93019170216567737</v>
      </c>
      <c r="CT497" s="345">
        <f>+CT495/CT493</f>
        <v>0.93576669343133911</v>
      </c>
      <c r="CV497" s="345">
        <f>+CV495/CV493</f>
        <v>0.94727665603037103</v>
      </c>
      <c r="CW497" s="345">
        <f>+CW495/CW493</f>
        <v>0.92525985928320964</v>
      </c>
      <c r="CX497" s="345">
        <f>+CX495/CX493</f>
        <v>0.93613394645974246</v>
      </c>
      <c r="CZ497" s="345">
        <f>+CZ495/CZ493</f>
        <v>0.92847798895165146</v>
      </c>
      <c r="DA497" s="345">
        <f>+DA495/DA493</f>
        <v>0.91618011352397222</v>
      </c>
      <c r="DB497" s="345">
        <f>+DB495/DB493</f>
        <v>0.92212845178450342</v>
      </c>
      <c r="DD497" s="345">
        <f>+DD495/DD493</f>
        <v>0.93443799134744465</v>
      </c>
      <c r="DE497" s="345">
        <f>+DE495/DE493</f>
        <v>0.93721382583728363</v>
      </c>
      <c r="DF497" s="345">
        <f>+DF495/DF493</f>
        <v>0.93586135450370245</v>
      </c>
      <c r="DH497" s="1293">
        <f>DE497</f>
        <v>0.93721382583728363</v>
      </c>
      <c r="DI497" s="1293">
        <f>DH497</f>
        <v>0.93721382583728363</v>
      </c>
      <c r="DL497" s="1293">
        <f>DI497</f>
        <v>0.93721382583728363</v>
      </c>
      <c r="DM497" s="1293">
        <f>DL497</f>
        <v>0.93721382583728363</v>
      </c>
      <c r="DP497" s="1293">
        <f>DM497</f>
        <v>0.93721382583728363</v>
      </c>
      <c r="DQ497" s="1293">
        <f>DP497</f>
        <v>0.93721382583728363</v>
      </c>
      <c r="DW497" s="20"/>
      <c r="DX497" s="20"/>
    </row>
    <row r="498" spans="1:128" s="20" customFormat="1" ht="13.8">
      <c r="B498" s="49"/>
      <c r="BH498" s="49"/>
      <c r="BI498" s="49"/>
      <c r="BJ498" s="49"/>
      <c r="BK498" s="49"/>
      <c r="BL498" s="49"/>
      <c r="BM498" s="49"/>
      <c r="BN498" s="49"/>
      <c r="BO498" s="49"/>
      <c r="BP498" s="49"/>
      <c r="BQ498" s="49"/>
      <c r="BR498" s="49"/>
      <c r="BT498" s="49"/>
      <c r="BU498" s="49"/>
      <c r="BV498" s="49"/>
      <c r="BX498" s="49"/>
      <c r="BY498" s="49"/>
      <c r="BZ498" s="49"/>
      <c r="CB498" s="49"/>
      <c r="CC498" s="49"/>
      <c r="CD498" s="49"/>
      <c r="CF498" s="49"/>
      <c r="CG498" s="49"/>
      <c r="CH498" s="49"/>
      <c r="CJ498" s="49"/>
      <c r="CK498" s="49"/>
      <c r="CL498" s="49"/>
      <c r="CN498" s="49"/>
      <c r="CO498" s="49"/>
      <c r="CP498" s="49"/>
      <c r="CR498" s="49"/>
      <c r="CS498" s="49"/>
      <c r="CT498" s="49"/>
      <c r="CV498" s="49"/>
      <c r="CW498" s="49"/>
      <c r="CX498" s="49"/>
      <c r="CZ498" s="49"/>
      <c r="DA498" s="49"/>
      <c r="DB498" s="49"/>
      <c r="DD498" s="49"/>
      <c r="DE498" s="49"/>
      <c r="DF498" s="49"/>
      <c r="DG498" s="65"/>
      <c r="DH498" s="65"/>
      <c r="DI498" s="65"/>
      <c r="DJ498" s="65"/>
      <c r="DL498" s="65"/>
      <c r="DM498" s="65"/>
      <c r="DN498" s="65"/>
      <c r="DP498" s="65"/>
      <c r="DQ498" s="65"/>
      <c r="DR498" s="65"/>
    </row>
    <row r="499" spans="1:128" s="47" customFormat="1" ht="13.8">
      <c r="A499" s="47" t="s">
        <v>1025</v>
      </c>
      <c r="B499" s="92"/>
      <c r="BH499" s="92"/>
      <c r="BI499" s="92"/>
      <c r="BJ499" s="92"/>
      <c r="BK499" s="92"/>
      <c r="BL499" s="92"/>
      <c r="BM499" s="92"/>
      <c r="BN499" s="92"/>
      <c r="BO499" s="92"/>
      <c r="BP499" s="605"/>
      <c r="BQ499" s="605">
        <f>+BQ496+BP496</f>
        <v>7.2806221500947954E-2</v>
      </c>
      <c r="BR499" s="92"/>
      <c r="BT499" s="605">
        <f>+BT496+BQ496</f>
        <v>1.2541602511129346E-2</v>
      </c>
      <c r="BU499" s="605">
        <f>+BU496+BT496</f>
        <v>-2.7211896105260092E-2</v>
      </c>
      <c r="BV499" s="92"/>
      <c r="BX499" s="605">
        <f>+BX496+BU496</f>
        <v>8.7990827001591665E-3</v>
      </c>
      <c r="BY499" s="605">
        <f>+BY496+BX496</f>
        <v>1.3154491356222264E-2</v>
      </c>
      <c r="BZ499" s="92"/>
      <c r="CB499" s="605">
        <f>+CB496+BY496</f>
        <v>1.0165432598003621E-2</v>
      </c>
      <c r="CC499" s="605">
        <f>+CC496+CB496</f>
        <v>2.5231481826333946E-2</v>
      </c>
      <c r="CD499" s="92"/>
      <c r="CF499" s="605">
        <f>+CF496+CC496</f>
        <v>4.3115558484795091E-2</v>
      </c>
      <c r="CG499" s="605">
        <f>+CG496+CF496</f>
        <v>3.0274086193946781E-2</v>
      </c>
      <c r="CH499" s="92"/>
      <c r="CJ499" s="605">
        <f>+CJ496+CG496</f>
        <v>3.1792900884364927E-2</v>
      </c>
      <c r="CK499" s="605">
        <f>+CK496+CJ496</f>
        <v>2.949164187527531E-2</v>
      </c>
      <c r="CL499" s="92"/>
      <c r="CN499" s="605">
        <f>+CN496+CK496</f>
        <v>-2.9918713411456133E-2</v>
      </c>
      <c r="CO499" s="605">
        <f>+CO496+CN496</f>
        <v>-3.3003595053418322E-2</v>
      </c>
      <c r="CP499" s="92"/>
      <c r="CR499" s="605">
        <f>+CR496+CO496</f>
        <v>3.5133105210595872E-2</v>
      </c>
      <c r="CS499" s="605">
        <f>+CS496+CR496</f>
        <v>5.4091899224664841E-2</v>
      </c>
      <c r="CT499" s="92"/>
      <c r="CV499" s="605">
        <f>+CV496+CS496</f>
        <v>6.8474709250009091E-2</v>
      </c>
      <c r="CW499" s="605">
        <f>+CW496+CV496</f>
        <v>4.9455211233505603E-2</v>
      </c>
      <c r="CX499" s="92"/>
      <c r="CZ499" s="605">
        <f>+CZ496+CW496</f>
        <v>2.2656097630896266E-2</v>
      </c>
      <c r="DA499" s="605">
        <f>+DA496+CZ496</f>
        <v>7.4553919497267973E-2</v>
      </c>
      <c r="DB499" s="92"/>
      <c r="DD499" s="605">
        <f>+DD496+DA496</f>
        <v>0.1436446582906199</v>
      </c>
      <c r="DE499" s="605">
        <f>+DE496+DD496</f>
        <v>0.10952930357938007</v>
      </c>
      <c r="DF499" s="92"/>
      <c r="DH499" s="605">
        <f>+DH496+DE496</f>
        <v>2.8398846533303157E-2</v>
      </c>
      <c r="DI499" s="605">
        <f>+DI496+DH496</f>
        <v>2.3592455910347532E-2</v>
      </c>
      <c r="DL499" s="605">
        <f>+DL496+DI496</f>
        <v>3.638498544265456E-2</v>
      </c>
      <c r="DM499" s="605">
        <f>+DM496+DL496</f>
        <v>4.5274507186960022E-2</v>
      </c>
      <c r="DP499" s="605">
        <f>+DP496+DM496</f>
        <v>4.5446598377354208E-2</v>
      </c>
      <c r="DQ499" s="605">
        <f>+DQ496+DP496</f>
        <v>4.3079245127559451E-2</v>
      </c>
    </row>
    <row r="500" spans="1:128" s="47" customFormat="1" ht="13.8">
      <c r="A500" s="47" t="s">
        <v>1026</v>
      </c>
      <c r="B500" s="92"/>
      <c r="BH500" s="92"/>
      <c r="BI500" s="92"/>
      <c r="BJ500" s="92"/>
      <c r="BK500" s="92"/>
      <c r="BL500" s="92"/>
      <c r="BM500" s="92"/>
      <c r="BN500" s="92"/>
      <c r="BO500" s="92"/>
      <c r="BP500" s="605"/>
      <c r="BQ500" s="605">
        <f>+BM492+BP492</f>
        <v>6.923393919597709E-2</v>
      </c>
      <c r="BR500" s="92"/>
      <c r="BT500" s="605">
        <f>+BP492+BQ492</f>
        <v>9.0475995625961758E-2</v>
      </c>
      <c r="BU500" s="605">
        <f>+BQ492+BT492</f>
        <v>6.4071190219421315E-3</v>
      </c>
      <c r="BV500" s="92"/>
      <c r="BX500" s="605">
        <f>+BT492+BU492</f>
        <v>1.008279787610622E-2</v>
      </c>
      <c r="BY500" s="605">
        <f>+BU492+BX492</f>
        <v>2.5325948464439474E-2</v>
      </c>
      <c r="BZ500" s="92"/>
      <c r="CB500" s="605">
        <f>+BX492+BY492</f>
        <v>6.7544570854172203E-3</v>
      </c>
      <c r="CC500" s="605">
        <f>+BY492+CB492</f>
        <v>2.5988606121166935E-2</v>
      </c>
      <c r="CD500" s="92"/>
      <c r="CF500" s="605">
        <f>+CB492+CC492</f>
        <v>4.1164788191278001E-2</v>
      </c>
      <c r="CG500" s="605">
        <f>+CC492+CF492</f>
        <v>3.0402043589928596E-2</v>
      </c>
      <c r="CH500" s="92"/>
      <c r="CJ500" s="605">
        <f>+CF492+CG492</f>
        <v>1.6937043666763962E-2</v>
      </c>
      <c r="CK500" s="605">
        <f>+CG492+CJ492</f>
        <v>7.7140788322227039E-2</v>
      </c>
      <c r="CL500" s="92"/>
      <c r="CN500" s="605">
        <f>+CJ492+CK492</f>
        <v>9.5537077249467917E-3</v>
      </c>
      <c r="CO500" s="605">
        <f>+CK492+CN492</f>
        <v>-6.5132561374392495E-2</v>
      </c>
      <c r="CP500" s="92"/>
      <c r="CR500" s="605">
        <f>+CN492+CO492</f>
        <v>1.887346487824848E-2</v>
      </c>
      <c r="CS500" s="605">
        <f>+CO492+CR492</f>
        <v>5.7994295131979401E-2</v>
      </c>
      <c r="CT500" s="92"/>
      <c r="CV500" s="605">
        <f>+CR492+CS492</f>
        <v>6.5636070360643561E-2</v>
      </c>
      <c r="CW500" s="605">
        <f>+CS492+CV492</f>
        <v>5.8376559635449077E-2</v>
      </c>
      <c r="CX500" s="92"/>
      <c r="CZ500" s="605">
        <f>+CV492+CW492</f>
        <v>5.0505428634051164E-2</v>
      </c>
      <c r="DA500" s="605">
        <f>+CW492+CZ492</f>
        <v>3.5566019457386355E-2</v>
      </c>
      <c r="DB500" s="92"/>
      <c r="DD500" s="605">
        <f>+CZ492+DA492</f>
        <v>0.13426624430838752</v>
      </c>
      <c r="DE500" s="605">
        <f>+DA492+DD492</f>
        <v>0.14396703840126968</v>
      </c>
      <c r="DF500" s="92"/>
      <c r="DH500" s="605">
        <f>+DD492+DE492</f>
        <v>3.2449103646637889E-2</v>
      </c>
      <c r="DI500" s="605">
        <f>+DE492+DH492</f>
        <v>1.8436183469587419E-2</v>
      </c>
      <c r="DL500" s="605">
        <f>+DH492+DI492</f>
        <v>2.8722506089879252E-2</v>
      </c>
      <c r="DM500" s="605">
        <f>+DI492+DL492</f>
        <v>4.3990110742917032E-2</v>
      </c>
      <c r="DP500" s="605">
        <f>+DL492+DM492</f>
        <v>4.6531068851953572E-2</v>
      </c>
      <c r="DQ500" s="605">
        <f>+DM492+DP492</f>
        <v>4.4389707207879381E-2</v>
      </c>
    </row>
    <row r="501" spans="1:128" s="20" customFormat="1" ht="13.8">
      <c r="B501" s="49"/>
      <c r="BH501" s="49"/>
      <c r="BI501" s="49"/>
      <c r="BJ501" s="49"/>
      <c r="BK501" s="49"/>
      <c r="BL501" s="49"/>
      <c r="BM501" s="49"/>
      <c r="BN501" s="49"/>
      <c r="BO501" s="49"/>
      <c r="BP501" s="605"/>
      <c r="BQ501" s="605"/>
      <c r="BR501" s="49"/>
      <c r="BT501" s="605"/>
      <c r="BU501" s="605"/>
      <c r="BV501" s="49"/>
      <c r="BX501" s="605"/>
      <c r="BY501" s="605"/>
      <c r="BZ501" s="49"/>
      <c r="CB501" s="605"/>
      <c r="CC501" s="605"/>
      <c r="CD501" s="49"/>
      <c r="CF501" s="605"/>
      <c r="CG501" s="605"/>
      <c r="CH501" s="49"/>
      <c r="CJ501" s="605"/>
      <c r="CK501" s="605"/>
      <c r="CL501" s="49"/>
      <c r="CN501" s="605"/>
      <c r="CO501" s="605"/>
      <c r="CP501" s="49"/>
      <c r="CR501" s="605"/>
      <c r="CS501" s="605"/>
      <c r="CT501" s="49"/>
      <c r="CV501" s="605"/>
      <c r="CW501" s="605"/>
      <c r="CX501" s="49"/>
      <c r="CZ501" s="605"/>
      <c r="DA501" s="605"/>
      <c r="DB501" s="49"/>
      <c r="DD501" s="605"/>
      <c r="DE501" s="605"/>
      <c r="DF501" s="49"/>
      <c r="DH501" s="49"/>
      <c r="DI501" s="49"/>
      <c r="DL501" s="49"/>
      <c r="DM501" s="49"/>
      <c r="DP501" s="49"/>
      <c r="DQ501" s="49"/>
    </row>
    <row r="502" spans="1:128" s="20" customFormat="1" ht="13.8">
      <c r="A502" s="20" t="s">
        <v>1056</v>
      </c>
      <c r="B502" s="49"/>
      <c r="BH502" s="65"/>
      <c r="BI502" s="65"/>
      <c r="BJ502" s="65"/>
      <c r="BK502" s="49"/>
      <c r="BL502" s="65"/>
      <c r="BM502" s="65"/>
      <c r="BN502" s="65"/>
      <c r="BO502" s="49"/>
      <c r="BP502" s="65"/>
      <c r="BQ502" s="65"/>
      <c r="BR502" s="65"/>
      <c r="BT502" s="65"/>
      <c r="BU502" s="65"/>
      <c r="BV502" s="65"/>
      <c r="BX502" s="65"/>
      <c r="BY502" s="65"/>
      <c r="BZ502" s="65"/>
      <c r="CB502" s="65"/>
      <c r="CC502" s="65"/>
      <c r="CD502" s="65"/>
      <c r="CF502" s="65">
        <f>CF150</f>
        <v>264323</v>
      </c>
      <c r="CG502" s="65">
        <f>CG150</f>
        <v>274487</v>
      </c>
      <c r="CH502" s="65">
        <f>CH150</f>
        <v>274487</v>
      </c>
      <c r="CJ502" s="65">
        <f>CJ150</f>
        <v>311353</v>
      </c>
      <c r="CK502" s="65">
        <f>CK150</f>
        <v>262922</v>
      </c>
      <c r="CL502" s="65">
        <f>CL150</f>
        <v>262922</v>
      </c>
      <c r="CN502" s="65">
        <f>CN150</f>
        <v>249090</v>
      </c>
      <c r="CO502" s="65">
        <f>CO150</f>
        <v>260192</v>
      </c>
      <c r="CP502" s="65">
        <f>CP150</f>
        <v>260192</v>
      </c>
      <c r="CR502" s="65">
        <f>CR150</f>
        <v>279821</v>
      </c>
      <c r="CS502" s="65">
        <f>CS150</f>
        <v>299000</v>
      </c>
      <c r="CT502" s="65">
        <f>CT150</f>
        <v>299000</v>
      </c>
      <c r="CV502" s="65">
        <f>CV150</f>
        <v>300095</v>
      </c>
      <c r="CW502" s="65">
        <f>CW150</f>
        <v>303139</v>
      </c>
      <c r="CX502" s="65">
        <f>CX150</f>
        <v>303139</v>
      </c>
      <c r="CZ502" s="65">
        <f>CZ150</f>
        <v>300571</v>
      </c>
      <c r="DA502" s="65">
        <f>DA150</f>
        <v>318781</v>
      </c>
      <c r="DB502" s="65">
        <f>DB150</f>
        <v>318781</v>
      </c>
      <c r="DD502" s="65">
        <f>DD150</f>
        <v>324949</v>
      </c>
      <c r="DE502" s="65">
        <f>DE150</f>
        <v>325474</v>
      </c>
      <c r="DF502" s="65">
        <f>DF150</f>
        <v>325474</v>
      </c>
      <c r="DH502" s="65">
        <f>DH150</f>
        <v>325537.4904494583</v>
      </c>
      <c r="DI502" s="65">
        <f>DI150</f>
        <v>330969.70355331025</v>
      </c>
      <c r="DJ502" s="65">
        <f>DJ150</f>
        <v>330969.70355331025</v>
      </c>
      <c r="DL502" s="65">
        <f>DL150</f>
        <v>335390.72625279636</v>
      </c>
      <c r="DM502" s="65">
        <f>DM150</f>
        <v>341557.3390005409</v>
      </c>
      <c r="DN502" s="65">
        <f>DN150</f>
        <v>341557.3390005409</v>
      </c>
      <c r="DP502" s="65">
        <f>DP150</f>
        <v>346862.82535438251</v>
      </c>
      <c r="DQ502" s="65">
        <f>DQ150</f>
        <v>353638.34457398031</v>
      </c>
      <c r="DR502" s="65">
        <f>DR150</f>
        <v>353638.34457398031</v>
      </c>
    </row>
    <row r="503" spans="1:128" s="47" customFormat="1" ht="13.8">
      <c r="A503" s="47" t="s">
        <v>75</v>
      </c>
      <c r="B503" s="92"/>
      <c r="BH503" s="92"/>
      <c r="BI503" s="73"/>
      <c r="BJ503" s="92"/>
      <c r="BK503" s="92"/>
      <c r="BL503" s="73"/>
      <c r="BM503" s="73"/>
      <c r="BN503" s="92"/>
      <c r="BO503" s="92"/>
      <c r="BP503" s="73"/>
      <c r="BQ503" s="73"/>
      <c r="BR503" s="92"/>
      <c r="BT503" s="73"/>
      <c r="BU503" s="73"/>
      <c r="BV503" s="92"/>
      <c r="BX503" s="73"/>
      <c r="BY503" s="73"/>
      <c r="BZ503" s="92"/>
      <c r="CB503" s="73"/>
      <c r="CC503" s="73"/>
      <c r="CD503" s="73"/>
      <c r="CF503" s="73">
        <f>AVERAGE(CF502,CC502)</f>
        <v>264323</v>
      </c>
      <c r="CG503" s="73">
        <f>AVERAGE(CG502,CF502)</f>
        <v>269405</v>
      </c>
      <c r="CH503" s="73">
        <f>AVERAGE(CH502,CD502)</f>
        <v>274487</v>
      </c>
      <c r="CJ503" s="73">
        <f>AVERAGE(CJ502,CG502)</f>
        <v>292920</v>
      </c>
      <c r="CK503" s="73">
        <f>AVERAGE(CK502,CJ502)</f>
        <v>287137.5</v>
      </c>
      <c r="CL503" s="73">
        <f>AVERAGE(CL502,CH502)</f>
        <v>268704.5</v>
      </c>
      <c r="CN503" s="73">
        <f>AVERAGE(CN502,CK502)</f>
        <v>256006</v>
      </c>
      <c r="CO503" s="73">
        <f>AVERAGE(CO502,CN502)</f>
        <v>254641</v>
      </c>
      <c r="CP503" s="73">
        <f>AVERAGE(CP502,CL502)</f>
        <v>261557</v>
      </c>
      <c r="CR503" s="73">
        <f>AVERAGE(CR502,CO502)</f>
        <v>270006.5</v>
      </c>
      <c r="CS503" s="73">
        <f>AVERAGE(CS502,CR502)</f>
        <v>289410.5</v>
      </c>
      <c r="CT503" s="73">
        <f>AVERAGE(CT502,CP502)</f>
        <v>279596</v>
      </c>
      <c r="CV503" s="73">
        <f>AVERAGE(CV502,CS502)</f>
        <v>299547.5</v>
      </c>
      <c r="CW503" s="73">
        <f>AVERAGE(CW502,CV502)</f>
        <v>301617</v>
      </c>
      <c r="CX503" s="73">
        <f>AVERAGE(CX502,CT502)</f>
        <v>301069.5</v>
      </c>
      <c r="CZ503" s="73">
        <f>AVERAGE(CZ502,CW502)</f>
        <v>301855</v>
      </c>
      <c r="DA503" s="73">
        <f>AVERAGE(DA502,CZ502)</f>
        <v>309676</v>
      </c>
      <c r="DB503" s="73">
        <f>AVERAGE(DB502,CX502)</f>
        <v>310960</v>
      </c>
      <c r="DD503" s="73">
        <f>AVERAGE(DD502,DA502)</f>
        <v>321865</v>
      </c>
      <c r="DE503" s="73">
        <f>AVERAGE(DE502,DD502)</f>
        <v>325211.5</v>
      </c>
      <c r="DF503" s="73">
        <f>AVERAGE(DF502,DB502)</f>
        <v>322127.5</v>
      </c>
      <c r="DH503" s="73">
        <f>AVERAGE(DH502,DE502)</f>
        <v>325505.74522472918</v>
      </c>
      <c r="DI503" s="73">
        <f>AVERAGE(DI502,DH502)</f>
        <v>328253.59700138425</v>
      </c>
      <c r="DJ503" s="73">
        <f>AVERAGE(DJ502,DF502)</f>
        <v>328221.85177665512</v>
      </c>
      <c r="DL503" s="73">
        <f>AVERAGE(DL502,DI502)</f>
        <v>333180.2149030533</v>
      </c>
      <c r="DM503" s="73">
        <f>AVERAGE(DM502,DL502)</f>
        <v>338474.03262666863</v>
      </c>
      <c r="DN503" s="73">
        <f>AVERAGE(DN502,DJ502)</f>
        <v>336263.52127692557</v>
      </c>
      <c r="DP503" s="73">
        <f>AVERAGE(DP502,DM502)</f>
        <v>344210.08217746171</v>
      </c>
      <c r="DQ503" s="73">
        <f>AVERAGE(DQ502,DP502)</f>
        <v>350250.58496418141</v>
      </c>
      <c r="DR503" s="73">
        <f>AVERAGE(DR502,DN502)</f>
        <v>347597.84178726061</v>
      </c>
      <c r="DW503" s="20"/>
      <c r="DX503" s="20"/>
    </row>
    <row r="504" spans="1:128" s="47" customFormat="1" ht="13.8">
      <c r="B504" s="92"/>
      <c r="BH504" s="92"/>
      <c r="BI504" s="73"/>
      <c r="BJ504" s="92"/>
      <c r="BK504" s="92"/>
      <c r="BL504" s="73"/>
      <c r="BM504" s="73"/>
      <c r="BN504" s="92"/>
      <c r="BO504" s="92"/>
      <c r="BP504" s="73"/>
      <c r="BQ504" s="73"/>
      <c r="BR504" s="92"/>
      <c r="BT504" s="73"/>
      <c r="BU504" s="73"/>
      <c r="BV504" s="92"/>
      <c r="BX504" s="73"/>
      <c r="BY504" s="73"/>
      <c r="BZ504" s="92"/>
      <c r="CB504" s="73"/>
      <c r="CC504" s="73"/>
      <c r="CD504" s="73"/>
      <c r="CF504" s="73"/>
      <c r="CG504" s="73"/>
      <c r="CH504" s="73"/>
      <c r="CJ504" s="73"/>
      <c r="CK504" s="73"/>
      <c r="CL504" s="73"/>
      <c r="CN504" s="73"/>
      <c r="CO504" s="73"/>
      <c r="CP504" s="73"/>
      <c r="CR504" s="73"/>
      <c r="CS504" s="73"/>
      <c r="CT504" s="73"/>
      <c r="CV504" s="73"/>
      <c r="CW504" s="73"/>
      <c r="CX504" s="73"/>
      <c r="CZ504" s="73"/>
      <c r="DA504" s="73"/>
      <c r="DB504" s="73"/>
      <c r="DD504" s="73"/>
      <c r="DE504" s="73"/>
      <c r="DF504" s="73"/>
      <c r="DH504" s="73"/>
      <c r="DI504" s="73"/>
      <c r="DJ504" s="73"/>
      <c r="DL504" s="73"/>
      <c r="DM504" s="73"/>
      <c r="DN504" s="73"/>
      <c r="DP504" s="73"/>
      <c r="DQ504" s="73"/>
      <c r="DR504" s="73"/>
      <c r="DW504" s="20"/>
      <c r="DX504" s="20"/>
    </row>
    <row r="505" spans="1:128" s="20" customFormat="1" ht="13.8">
      <c r="A505" s="20" t="s">
        <v>186</v>
      </c>
      <c r="B505" s="49"/>
      <c r="BH505" s="65">
        <f>BH370</f>
        <v>672630</v>
      </c>
      <c r="BI505" s="65">
        <f>BI370</f>
        <v>702995</v>
      </c>
      <c r="BJ505" s="65"/>
      <c r="BK505" s="49"/>
      <c r="BL505" s="65">
        <f>BL370</f>
        <v>737815</v>
      </c>
      <c r="BM505" s="65">
        <f>BM370</f>
        <v>772092</v>
      </c>
      <c r="BN505" s="65"/>
      <c r="BO505" s="49"/>
      <c r="BP505" s="65">
        <f>BP370</f>
        <v>860087</v>
      </c>
      <c r="BQ505" s="65">
        <f>BQ370</f>
        <v>889900</v>
      </c>
      <c r="BR505" s="65"/>
      <c r="BT505" s="65">
        <f>BT370</f>
        <v>895278</v>
      </c>
      <c r="BU505" s="65">
        <f>BU370</f>
        <v>914869</v>
      </c>
      <c r="BV505" s="65"/>
      <c r="BX505" s="65">
        <f>BX370</f>
        <v>896511</v>
      </c>
      <c r="BY505" s="65">
        <f>BY370</f>
        <v>897326</v>
      </c>
      <c r="BZ505" s="65"/>
      <c r="CB505" s="65">
        <f>CB370</f>
        <v>935670</v>
      </c>
      <c r="CC505" s="65">
        <f>CC370</f>
        <v>943182</v>
      </c>
      <c r="CD505" s="65"/>
      <c r="CF505" s="65">
        <f>CF370</f>
        <v>980270</v>
      </c>
      <c r="CG505" s="65">
        <f>CG370</f>
        <v>981137</v>
      </c>
      <c r="CH505" s="65"/>
      <c r="CJ505" s="65">
        <f>CJ370</f>
        <v>1149955</v>
      </c>
      <c r="CK505" s="65">
        <f>CK370</f>
        <v>1042286</v>
      </c>
      <c r="CL505" s="65"/>
      <c r="CN505" s="65">
        <f>CN370</f>
        <v>1018339</v>
      </c>
      <c r="CO505" s="65">
        <f>CO370</f>
        <v>978857</v>
      </c>
      <c r="CP505" s="65"/>
      <c r="CR505" s="65">
        <f>CR370</f>
        <v>1017361</v>
      </c>
      <c r="CS505" s="65">
        <f>CS370</f>
        <v>1085729</v>
      </c>
      <c r="CT505" s="65"/>
      <c r="CV505" s="65">
        <f>CV370</f>
        <v>1111237</v>
      </c>
      <c r="CW505" s="65">
        <f>CW370</f>
        <v>1105643</v>
      </c>
      <c r="CX505" s="65"/>
      <c r="CZ505" s="65">
        <f>CZ370</f>
        <v>1089699</v>
      </c>
      <c r="DA505" s="65">
        <f>DA370</f>
        <v>1229115</v>
      </c>
      <c r="DB505" s="65"/>
      <c r="DD505" s="65">
        <f>DD370</f>
        <v>1302609</v>
      </c>
      <c r="DE505" s="65">
        <f>DE370</f>
        <v>1297108</v>
      </c>
      <c r="DF505" s="65"/>
      <c r="DH505" s="65">
        <f ca="1">DH370</f>
        <v>1305696.1052797078</v>
      </c>
      <c r="DI505" s="65">
        <f ca="1">DI370</f>
        <v>1333959.8410581651</v>
      </c>
      <c r="DL505" s="65">
        <f ca="1">DL370</f>
        <v>1363608.0766438828</v>
      </c>
      <c r="DM505" s="65">
        <f ca="1">DM370</f>
        <v>1396518.0991681463</v>
      </c>
      <c r="DP505" s="65">
        <f ca="1">DP370</f>
        <v>1424468.3741539924</v>
      </c>
      <c r="DQ505" s="65">
        <f ca="1">DQ370</f>
        <v>1455186.8090801614</v>
      </c>
    </row>
    <row r="506" spans="1:128" s="20" customFormat="1" ht="13.8">
      <c r="A506" s="47" t="s">
        <v>75</v>
      </c>
      <c r="B506" s="49"/>
      <c r="BH506" s="49"/>
      <c r="BI506" s="73">
        <f>AVERAGE(BI505,BH505)</f>
        <v>687812.5</v>
      </c>
      <c r="BJ506" s="92"/>
      <c r="BK506" s="92"/>
      <c r="BL506" s="73">
        <f>AVERAGE(BL505,BI505)</f>
        <v>720405</v>
      </c>
      <c r="BM506" s="73">
        <f>AVERAGE(BM505,BL505)</f>
        <v>754953.5</v>
      </c>
      <c r="BN506" s="92"/>
      <c r="BO506" s="92"/>
      <c r="BP506" s="73">
        <f>AVERAGE(BP505,BM505)</f>
        <v>816089.5</v>
      </c>
      <c r="BQ506" s="73">
        <f>AVERAGE(BQ505,BP505)</f>
        <v>874993.5</v>
      </c>
      <c r="BR506" s="92"/>
      <c r="BS506" s="47"/>
      <c r="BT506" s="73">
        <f>AVERAGE(BT505,BQ505)</f>
        <v>892589</v>
      </c>
      <c r="BU506" s="73">
        <f>AVERAGE(BU505,BT505)</f>
        <v>905073.5</v>
      </c>
      <c r="BV506" s="92"/>
      <c r="BW506" s="47"/>
      <c r="BX506" s="73">
        <f>AVERAGE(BX505,BU505)</f>
        <v>905690</v>
      </c>
      <c r="BY506" s="73">
        <f>AVERAGE(BY505,BX505)</f>
        <v>896918.5</v>
      </c>
      <c r="BZ506" s="92"/>
      <c r="CB506" s="73">
        <f>AVERAGE(CB505,BY505)</f>
        <v>916498</v>
      </c>
      <c r="CC506" s="73">
        <f>AVERAGE(CC505,CB505)</f>
        <v>939426</v>
      </c>
      <c r="CD506" s="92"/>
      <c r="CF506" s="73">
        <f>AVERAGE(CF505,CC505)</f>
        <v>961726</v>
      </c>
      <c r="CG506" s="73">
        <f>AVERAGE(CG505,CF505)</f>
        <v>980703.5</v>
      </c>
      <c r="CH506" s="92"/>
      <c r="CJ506" s="73">
        <f>AVERAGE(CJ505,CG505)</f>
        <v>1065546</v>
      </c>
      <c r="CK506" s="73">
        <f>AVERAGE(CK505,CJ505)</f>
        <v>1096120.5</v>
      </c>
      <c r="CL506" s="92"/>
      <c r="CN506" s="73">
        <f>AVERAGE(CN505,CK505)</f>
        <v>1030312.5</v>
      </c>
      <c r="CO506" s="73">
        <f>AVERAGE(CO505,CN505)</f>
        <v>998598</v>
      </c>
      <c r="CP506" s="92"/>
      <c r="CR506" s="73">
        <f>AVERAGE(CR505,CO505)</f>
        <v>998109</v>
      </c>
      <c r="CS506" s="73">
        <f>AVERAGE(CS505,CR505)</f>
        <v>1051545</v>
      </c>
      <c r="CT506" s="92"/>
      <c r="CV506" s="73">
        <f>AVERAGE(CV505,CS505)</f>
        <v>1098483</v>
      </c>
      <c r="CW506" s="73">
        <f>AVERAGE(CW505,CV505)</f>
        <v>1108440</v>
      </c>
      <c r="CX506" s="92"/>
      <c r="CZ506" s="73">
        <f>AVERAGE(CZ505,CW505)</f>
        <v>1097671</v>
      </c>
      <c r="DA506" s="73">
        <f>AVERAGE(DA505,CZ505)</f>
        <v>1159407</v>
      </c>
      <c r="DB506" s="92"/>
      <c r="DD506" s="73">
        <f>AVERAGE(DD505,DA505)</f>
        <v>1265862</v>
      </c>
      <c r="DE506" s="73">
        <f>AVERAGE(DE505,DD505)</f>
        <v>1299858.5</v>
      </c>
      <c r="DF506" s="92"/>
      <c r="DH506" s="73">
        <f ca="1">AVERAGE(DH505,DE505)</f>
        <v>1301402.0526398539</v>
      </c>
      <c r="DI506" s="73">
        <f ca="1">AVERAGE(DI505,DH505)</f>
        <v>1319827.9731689366</v>
      </c>
      <c r="DL506" s="73">
        <f ca="1">AVERAGE(DL505,DI505)</f>
        <v>1348783.958851024</v>
      </c>
      <c r="DM506" s="73">
        <f ca="1">AVERAGE(DM505,DL505)</f>
        <v>1380063.0879060146</v>
      </c>
      <c r="DP506" s="73">
        <f ca="1">AVERAGE(DP505,DM505)</f>
        <v>1410493.2366610693</v>
      </c>
      <c r="DQ506" s="73">
        <f ca="1">AVERAGE(DQ505,DP505)</f>
        <v>1439827.5916170769</v>
      </c>
    </row>
    <row r="507" spans="1:128" s="325" customFormat="1" ht="13.8">
      <c r="A507" s="335" t="s">
        <v>76</v>
      </c>
      <c r="B507" s="324"/>
      <c r="BH507" s="324"/>
      <c r="BI507" s="345">
        <f>+BI465/BI506</f>
        <v>1.011893502953203</v>
      </c>
      <c r="BJ507" s="336"/>
      <c r="BK507" s="336"/>
      <c r="BL507" s="345">
        <f>+BL465/BL506</f>
        <v>1.0196250720081066</v>
      </c>
      <c r="BM507" s="345">
        <f>+BM465/BM506</f>
        <v>1.0120464372971316</v>
      </c>
      <c r="BN507" s="336"/>
      <c r="BO507" s="336"/>
      <c r="BP507" s="345">
        <f>+BP465/BP506</f>
        <v>1.0174778624158256</v>
      </c>
      <c r="BQ507" s="345">
        <f>+BQ465/BQ506</f>
        <v>0.99612739980354137</v>
      </c>
      <c r="BR507" s="336"/>
      <c r="BT507" s="345">
        <f>+BT465/BT506</f>
        <v>1.0091408251726159</v>
      </c>
      <c r="BU507" s="345">
        <f>+BU465/BU506</f>
        <v>1.0110449593320321</v>
      </c>
      <c r="BV507" s="336"/>
      <c r="BX507" s="345">
        <f>+BX465/BX506</f>
        <v>1.0134748092614472</v>
      </c>
      <c r="BY507" s="345">
        <f>+BY465/BY506</f>
        <v>1.0260341379958158</v>
      </c>
      <c r="BZ507" s="336"/>
      <c r="CB507" s="345">
        <f>+CB465/CB506</f>
        <v>1.0190911491350771</v>
      </c>
      <c r="CC507" s="345">
        <f>+CC465/CC506</f>
        <v>1.0157021415204603</v>
      </c>
      <c r="CD507" s="336"/>
      <c r="CF507" s="345">
        <f>+CF465/CF506</f>
        <v>1.0129610720725031</v>
      </c>
      <c r="CG507" s="345">
        <f>+CG465/CG506</f>
        <v>1.0071637350126721</v>
      </c>
      <c r="CH507" s="336"/>
      <c r="CJ507" s="345">
        <f>+CJ465/CJ506</f>
        <v>0.96025324106139009</v>
      </c>
      <c r="CK507" s="345">
        <f>+CK465/CK506</f>
        <v>0.98707578227028869</v>
      </c>
      <c r="CL507" s="336"/>
      <c r="CN507" s="345">
        <f>+CN465/CN506</f>
        <v>1.0148066727327874</v>
      </c>
      <c r="CO507" s="345">
        <f>+CO465/CO506</f>
        <v>1.0282245708483293</v>
      </c>
      <c r="CP507" s="336"/>
      <c r="CR507" s="345">
        <f>+CR465/CR506</f>
        <v>1.0116891040958453</v>
      </c>
      <c r="CS507" s="345">
        <f>+CS465/CS506</f>
        <v>1.0099615327922247</v>
      </c>
      <c r="CT507" s="336"/>
      <c r="CV507" s="345">
        <f>+CV465/CV506</f>
        <v>1.0125928211906785</v>
      </c>
      <c r="CW507" s="345">
        <f>+CW465/CW506</f>
        <v>1.0062159431272779</v>
      </c>
      <c r="CX507" s="336"/>
      <c r="CZ507" s="345">
        <f>+CZ465/CZ506</f>
        <v>1.0595123675491107</v>
      </c>
      <c r="DA507" s="345">
        <f>+DA465/DA506</f>
        <v>1.0192477706275709</v>
      </c>
      <c r="DB507" s="336"/>
      <c r="DD507" s="345">
        <f>+DD465/DD506</f>
        <v>1.0411632547623675</v>
      </c>
      <c r="DE507" s="345">
        <f>+DE465/DE506</f>
        <v>1.0379398988428357</v>
      </c>
      <c r="DF507" s="336"/>
      <c r="DH507" s="346">
        <f>DE507</f>
        <v>1.0379398988428357</v>
      </c>
      <c r="DI507" s="346">
        <f>DH507</f>
        <v>1.0379398988428357</v>
      </c>
      <c r="DL507" s="346">
        <f>DI507</f>
        <v>1.0379398988428357</v>
      </c>
      <c r="DM507" s="346">
        <f>DL507</f>
        <v>1.0379398988428357</v>
      </c>
      <c r="DP507" s="346">
        <f>DM507</f>
        <v>1.0379398988428357</v>
      </c>
      <c r="DQ507" s="346">
        <f>DP507</f>
        <v>1.0379398988428357</v>
      </c>
      <c r="DW507" s="20"/>
      <c r="DX507" s="20"/>
    </row>
    <row r="508" spans="1:128" s="20" customFormat="1" ht="13.8">
      <c r="B508" s="49"/>
      <c r="BH508" s="49"/>
      <c r="BI508" s="49"/>
      <c r="BJ508" s="49"/>
      <c r="BK508" s="49"/>
      <c r="BL508" s="49"/>
      <c r="BM508" s="49"/>
      <c r="BN508" s="49"/>
      <c r="BO508" s="49"/>
      <c r="BP508" s="49"/>
      <c r="BQ508" s="49"/>
      <c r="BR508" s="49"/>
      <c r="BT508" s="49"/>
      <c r="BU508" s="49"/>
      <c r="BV508" s="49"/>
      <c r="BX508" s="49"/>
      <c r="BY508" s="49"/>
      <c r="BZ508" s="49"/>
      <c r="CB508" s="49"/>
      <c r="CC508" s="49"/>
      <c r="CD508" s="49"/>
      <c r="CF508" s="49"/>
      <c r="CG508" s="49"/>
      <c r="CH508" s="49"/>
      <c r="CJ508" s="49"/>
      <c r="CK508" s="49"/>
      <c r="CL508" s="49"/>
      <c r="CN508" s="49"/>
      <c r="CO508" s="49"/>
      <c r="CP508" s="49"/>
      <c r="CR508" s="49"/>
      <c r="CS508" s="49"/>
      <c r="CT508" s="49"/>
      <c r="CV508" s="49"/>
      <c r="CW508" s="49"/>
      <c r="CX508" s="49"/>
      <c r="CZ508" s="49"/>
      <c r="DA508" s="49"/>
      <c r="DB508" s="49"/>
      <c r="DD508" s="49"/>
      <c r="DE508" s="49"/>
      <c r="DF508" s="49"/>
      <c r="DH508" s="49"/>
      <c r="DI508" s="49"/>
      <c r="DL508" s="49"/>
      <c r="DM508" s="49"/>
      <c r="DP508" s="49"/>
      <c r="DQ508" s="49"/>
    </row>
    <row r="509" spans="1:128" s="20" customFormat="1" ht="13.8">
      <c r="A509" s="20" t="s">
        <v>324</v>
      </c>
      <c r="B509" s="49"/>
      <c r="BH509" s="65">
        <f>BH378</f>
        <v>630127</v>
      </c>
      <c r="BI509" s="65">
        <f>BI378</f>
        <v>657392</v>
      </c>
      <c r="BJ509" s="65"/>
      <c r="BK509" s="49"/>
      <c r="BL509" s="65">
        <f>BL378</f>
        <v>690777</v>
      </c>
      <c r="BM509" s="65">
        <f>BM378</f>
        <v>722808</v>
      </c>
      <c r="BN509" s="65"/>
      <c r="BO509" s="49"/>
      <c r="BP509" s="65">
        <f>BP378</f>
        <v>808036</v>
      </c>
      <c r="BQ509" s="65">
        <f>BQ378</f>
        <v>832547</v>
      </c>
      <c r="BR509" s="65"/>
      <c r="BT509" s="65">
        <f>BT378</f>
        <v>838814</v>
      </c>
      <c r="BU509" s="65">
        <f>BU378</f>
        <v>856942</v>
      </c>
      <c r="BV509" s="65"/>
      <c r="BX509" s="65">
        <f>BX378</f>
        <v>838603</v>
      </c>
      <c r="BY509" s="65">
        <f>BY378</f>
        <v>838251</v>
      </c>
      <c r="BZ509" s="65"/>
      <c r="CB509" s="65">
        <f>CB378</f>
        <v>876148</v>
      </c>
      <c r="CC509" s="65">
        <f>CC378</f>
        <v>883751</v>
      </c>
      <c r="CD509" s="65"/>
      <c r="CF509" s="65">
        <f>CF378</f>
        <v>920273</v>
      </c>
      <c r="CG509" s="65">
        <f>CG378</f>
        <v>920343</v>
      </c>
      <c r="CH509" s="65"/>
      <c r="CJ509" s="65">
        <f>CJ378</f>
        <v>1088580</v>
      </c>
      <c r="CK509" s="65">
        <f>CK378</f>
        <v>980989</v>
      </c>
      <c r="CL509" s="65"/>
      <c r="CN509" s="65">
        <f>CN378</f>
        <v>955763</v>
      </c>
      <c r="CO509" s="65">
        <f>CO378</f>
        <v>915181</v>
      </c>
      <c r="CP509" s="65"/>
      <c r="CR509" s="65">
        <f>CR378</f>
        <v>955605</v>
      </c>
      <c r="CS509" s="65">
        <f>CS378</f>
        <v>1019328</v>
      </c>
      <c r="CT509" s="65"/>
      <c r="CV509" s="65">
        <f>CV378</f>
        <v>1041657</v>
      </c>
      <c r="CW509" s="65">
        <f>CW378</f>
        <v>1035626</v>
      </c>
      <c r="CX509" s="65"/>
      <c r="CZ509" s="65">
        <f>CZ378</f>
        <v>1018625</v>
      </c>
      <c r="DA509" s="65">
        <f>DA378</f>
        <v>1158487</v>
      </c>
      <c r="DB509" s="65"/>
      <c r="DD509" s="65">
        <f>DD378</f>
        <v>1230278</v>
      </c>
      <c r="DE509" s="65">
        <f>DE378</f>
        <v>1225241</v>
      </c>
      <c r="DF509" s="65"/>
      <c r="DH509" s="65">
        <f ca="1">DH378</f>
        <v>1231847.7858692573</v>
      </c>
      <c r="DI509" s="65">
        <f ca="1">DI378</f>
        <v>1258825.3406533112</v>
      </c>
      <c r="DL509" s="65">
        <f ca="1">DL378</f>
        <v>1287081.1452910337</v>
      </c>
      <c r="DM509" s="65">
        <f ca="1">DM378</f>
        <v>1319204.8659501341</v>
      </c>
      <c r="DP509" s="65">
        <f ca="1">DP378</f>
        <v>1346216.2865073804</v>
      </c>
      <c r="DQ509" s="65">
        <f ca="1">DQ378</f>
        <v>1375953.5945411113</v>
      </c>
    </row>
    <row r="510" spans="1:128" s="20" customFormat="1" ht="13.8">
      <c r="A510" s="47" t="s">
        <v>75</v>
      </c>
      <c r="B510" s="49"/>
      <c r="BH510" s="49"/>
      <c r="BI510" s="73">
        <f>AVERAGE(BI509,BH509)</f>
        <v>643759.5</v>
      </c>
      <c r="BJ510" s="92"/>
      <c r="BK510" s="92"/>
      <c r="BL510" s="73">
        <f>AVERAGE(BL509,BI509)</f>
        <v>674084.5</v>
      </c>
      <c r="BM510" s="73">
        <f>AVERAGE(BM509,BL509)</f>
        <v>706792.5</v>
      </c>
      <c r="BN510" s="92"/>
      <c r="BO510" s="92"/>
      <c r="BP510" s="73">
        <f>AVERAGE(BP509,BM509)</f>
        <v>765422</v>
      </c>
      <c r="BQ510" s="73">
        <f>AVERAGE(BQ509,BP509)</f>
        <v>820291.5</v>
      </c>
      <c r="BR510" s="92"/>
      <c r="BS510" s="47"/>
      <c r="BT510" s="73">
        <f>AVERAGE(BT509,BQ509)</f>
        <v>835680.5</v>
      </c>
      <c r="BU510" s="73">
        <f>AVERAGE(BU509,BT509)</f>
        <v>847878</v>
      </c>
      <c r="BV510" s="92"/>
      <c r="BW510" s="47"/>
      <c r="BX510" s="73">
        <f>AVERAGE(BX509,BU509)</f>
        <v>847772.5</v>
      </c>
      <c r="BY510" s="73">
        <f>AVERAGE(BY509,BX509)</f>
        <v>838427</v>
      </c>
      <c r="BZ510" s="92"/>
      <c r="CB510" s="73">
        <f>AVERAGE(CB509,BY509)</f>
        <v>857199.5</v>
      </c>
      <c r="CC510" s="73">
        <f>AVERAGE(CC509,CB509)</f>
        <v>879949.5</v>
      </c>
      <c r="CD510" s="92"/>
      <c r="CF510" s="73">
        <f>AVERAGE(CF509,CC509)</f>
        <v>902012</v>
      </c>
      <c r="CG510" s="73">
        <f>AVERAGE(CG509,CF509)</f>
        <v>920308</v>
      </c>
      <c r="CH510" s="92"/>
      <c r="CJ510" s="73">
        <f>AVERAGE(CJ509,CG509)</f>
        <v>1004461.5</v>
      </c>
      <c r="CK510" s="73">
        <f>AVERAGE(CK509,CJ509)</f>
        <v>1034784.5</v>
      </c>
      <c r="CL510" s="92"/>
      <c r="CN510" s="73">
        <f>AVERAGE(CN509,CK509)</f>
        <v>968376</v>
      </c>
      <c r="CO510" s="73">
        <f>AVERAGE(CO509,CN509)</f>
        <v>935472</v>
      </c>
      <c r="CP510" s="92"/>
      <c r="CR510" s="73">
        <f>AVERAGE(CR509,CO509)</f>
        <v>935393</v>
      </c>
      <c r="CS510" s="73">
        <f>AVERAGE(CS509,CR509)</f>
        <v>987466.5</v>
      </c>
      <c r="CT510" s="92"/>
      <c r="CV510" s="73">
        <f>AVERAGE(CV509,CS509)</f>
        <v>1030492.5</v>
      </c>
      <c r="CW510" s="73">
        <f>AVERAGE(CW509,CV509)</f>
        <v>1038641.5</v>
      </c>
      <c r="CX510" s="92"/>
      <c r="CZ510" s="73">
        <f>AVERAGE(CZ509,CW509)</f>
        <v>1027125.5</v>
      </c>
      <c r="DA510" s="73">
        <f>AVERAGE(DA509,CZ509)</f>
        <v>1088556</v>
      </c>
      <c r="DB510" s="92"/>
      <c r="DD510" s="73">
        <f>AVERAGE(DD509,DA509)</f>
        <v>1194382.5</v>
      </c>
      <c r="DE510" s="73">
        <f>AVERAGE(DE509,DD509)</f>
        <v>1227759.5</v>
      </c>
      <c r="DF510" s="92"/>
      <c r="DH510" s="73">
        <f ca="1">AVERAGE(DH509,DE509)</f>
        <v>1228544.3929346288</v>
      </c>
      <c r="DI510" s="73">
        <f ca="1">AVERAGE(DI509,DH509)</f>
        <v>1245336.5632612843</v>
      </c>
      <c r="DL510" s="73">
        <f ca="1">AVERAGE(DL509,DI509)</f>
        <v>1272953.2429721723</v>
      </c>
      <c r="DM510" s="73">
        <f ca="1">AVERAGE(DM509,DL509)</f>
        <v>1303143.0056205839</v>
      </c>
      <c r="DP510" s="73">
        <f ca="1">AVERAGE(DP509,DM509)</f>
        <v>1332710.5762287574</v>
      </c>
      <c r="DQ510" s="73">
        <f ca="1">AVERAGE(DQ509,DP509)</f>
        <v>1361084.9405242458</v>
      </c>
    </row>
    <row r="511" spans="1:128" s="325" customFormat="1" ht="13.8">
      <c r="A511" s="335" t="s">
        <v>76</v>
      </c>
      <c r="B511" s="324"/>
      <c r="BH511" s="324"/>
      <c r="BI511" s="345">
        <f>BI468/BI510</f>
        <v>1.0121341898643825</v>
      </c>
      <c r="BJ511" s="336"/>
      <c r="BK511" s="336"/>
      <c r="BL511" s="345">
        <f>BL468/BL510</f>
        <v>1.0211835459797696</v>
      </c>
      <c r="BM511" s="345">
        <f>BM468/BM510</f>
        <v>1.0137529755904313</v>
      </c>
      <c r="BN511" s="336"/>
      <c r="BO511" s="336"/>
      <c r="BP511" s="345">
        <f>BP468/BP510</f>
        <v>1.0188575713789256</v>
      </c>
      <c r="BQ511" s="345">
        <f>BQ468/BQ510</f>
        <v>0.99798669131644058</v>
      </c>
      <c r="BR511" s="336"/>
      <c r="BT511" s="345">
        <f>BT468/BT510</f>
        <v>1.0090973763298294</v>
      </c>
      <c r="BU511" s="345">
        <f>BU468/BU510</f>
        <v>1.0122399684860321</v>
      </c>
      <c r="BV511" s="336"/>
      <c r="BX511" s="345">
        <f>BX468/BX510</f>
        <v>1.0145351494652162</v>
      </c>
      <c r="BY511" s="345">
        <f>BY468/BY510</f>
        <v>1.0275706769939423</v>
      </c>
      <c r="BZ511" s="336"/>
      <c r="CB511" s="345">
        <f>CB468/CB510</f>
        <v>1.0207612113632825</v>
      </c>
      <c r="CC511" s="345">
        <f>CC468/CC510</f>
        <v>1.0173061067708999</v>
      </c>
      <c r="CD511" s="336"/>
      <c r="CF511" s="345">
        <f>CF468/CF510</f>
        <v>1.014394486991304</v>
      </c>
      <c r="CG511" s="345">
        <f>CG468/CG510</f>
        <v>1.0082917892705485</v>
      </c>
      <c r="CH511" s="336"/>
      <c r="CJ511" s="345">
        <f>CJ468/CJ510</f>
        <v>0.95868681875811068</v>
      </c>
      <c r="CK511" s="345">
        <f>CK468/CK510</f>
        <v>0.9864923566211129</v>
      </c>
      <c r="CL511" s="336"/>
      <c r="CN511" s="345">
        <f>CN468/CN510</f>
        <v>1.0157924194734276</v>
      </c>
      <c r="CO511" s="345">
        <f>CO468/CO510</f>
        <v>1.0304659038431936</v>
      </c>
      <c r="CP511" s="336"/>
      <c r="CR511" s="345">
        <f>CR468/CR510</f>
        <v>1.0126567122054579</v>
      </c>
      <c r="CS511" s="345">
        <f>CS468/CS510</f>
        <v>1.0115786206418143</v>
      </c>
      <c r="CT511" s="336"/>
      <c r="CV511" s="345">
        <f>CV468/CV510</f>
        <v>1.013791948995262</v>
      </c>
      <c r="CW511" s="345">
        <f>CW468/CW510</f>
        <v>1.0076951479408438</v>
      </c>
      <c r="CX511" s="336"/>
      <c r="CZ511" s="345">
        <f>CZ468/CZ510</f>
        <v>1.0632712360855612</v>
      </c>
      <c r="DA511" s="345">
        <f>DA468/DA510</f>
        <v>1.0215524052046931</v>
      </c>
      <c r="DB511" s="336"/>
      <c r="DD511" s="345">
        <f>DD468/DD510</f>
        <v>1.0438222261294017</v>
      </c>
      <c r="DE511" s="345">
        <f>DE468/DE510</f>
        <v>1.0391538407969965</v>
      </c>
      <c r="DF511" s="336"/>
      <c r="DH511" s="346">
        <f>DE511</f>
        <v>1.0391538407969965</v>
      </c>
      <c r="DI511" s="346">
        <f>DH511</f>
        <v>1.0391538407969965</v>
      </c>
      <c r="DL511" s="346">
        <f>DI511</f>
        <v>1.0391538407969965</v>
      </c>
      <c r="DM511" s="346">
        <f>DL511</f>
        <v>1.0391538407969965</v>
      </c>
      <c r="DP511" s="346">
        <f>DM511</f>
        <v>1.0391538407969965</v>
      </c>
      <c r="DQ511" s="346">
        <f>DP511</f>
        <v>1.0391538407969965</v>
      </c>
      <c r="DW511" s="20"/>
      <c r="DX511" s="20"/>
    </row>
    <row r="512" spans="1:128" s="325" customFormat="1" ht="13.8">
      <c r="A512" s="325" t="s">
        <v>77</v>
      </c>
      <c r="B512" s="324"/>
      <c r="BH512" s="345">
        <f>BH467/BH468</f>
        <v>0.8345458996328029</v>
      </c>
      <c r="BI512" s="345">
        <f>BI467/BI468</f>
        <v>0.83688807512918773</v>
      </c>
      <c r="BJ512" s="345">
        <f>BJ467/BJ468</f>
        <v>0.83541200382781178</v>
      </c>
      <c r="BK512" s="324"/>
      <c r="BL512" s="345">
        <f>BL467/BL468</f>
        <v>0.839138885822036</v>
      </c>
      <c r="BM512" s="345">
        <f>BM467/BM468</f>
        <v>0.84396375222780329</v>
      </c>
      <c r="BN512" s="345">
        <f>BN467/BN468</f>
        <v>0.84160642753225012</v>
      </c>
      <c r="BO512" s="324"/>
      <c r="BP512" s="345">
        <f>BP467/BP468</f>
        <v>0.82797080486653951</v>
      </c>
      <c r="BQ512" s="345">
        <f>BQ467/BQ468</f>
        <v>0.81124425877064399</v>
      </c>
      <c r="BR512" s="345">
        <f>BR467/BR468</f>
        <v>0.81938218518430483</v>
      </c>
      <c r="BT512" s="345">
        <f>BT467/BT468</f>
        <v>0.78479822313505665</v>
      </c>
      <c r="BU512" s="345">
        <f>BU467/BU468</f>
        <v>0.77501934154844243</v>
      </c>
      <c r="BV512" s="345">
        <f>BV467/BV468</f>
        <v>0.77986575682367554</v>
      </c>
      <c r="BX512" s="345">
        <f>BX467/BX468</f>
        <v>0.78619338561437979</v>
      </c>
      <c r="BY512" s="345">
        <f>BY467/BY468</f>
        <v>0.79252921792644127</v>
      </c>
      <c r="BZ512" s="345">
        <f>BZ467/BZ468</f>
        <v>0.78936396617639715</v>
      </c>
      <c r="CB512" s="345">
        <f>CB467/CB468</f>
        <v>0.78369272545245916</v>
      </c>
      <c r="CC512" s="345">
        <f>CC467/CC468</f>
        <v>0.7823851792604376</v>
      </c>
      <c r="CD512" s="345">
        <f>CD467/CD468</f>
        <v>0.78302907874013972</v>
      </c>
      <c r="CF512" s="345">
        <f>CF467/CF468</f>
        <v>0.78233456758280906</v>
      </c>
      <c r="CG512" s="345">
        <f>CG467/CG468</f>
        <v>0.78722308255176254</v>
      </c>
      <c r="CH512" s="345">
        <f>CH467/CH468</f>
        <v>0.78523749217294292</v>
      </c>
      <c r="CJ512" s="345">
        <f>CJ467/CJ468</f>
        <v>0.78653199911938554</v>
      </c>
      <c r="CK512" s="345">
        <f>CK467/CK468</f>
        <v>0.75594309208302846</v>
      </c>
      <c r="CL512" s="345">
        <f>CL467/CL468</f>
        <v>0.77082020597145839</v>
      </c>
      <c r="CN512" s="345">
        <f>CN467/CN468</f>
        <v>0.76395311837620172</v>
      </c>
      <c r="CO512" s="345">
        <f>CO467/CO468</f>
        <v>0.79663413460141996</v>
      </c>
      <c r="CP512" s="345">
        <f>CP467/CP468</f>
        <v>0.78017402055673024</v>
      </c>
      <c r="CR512" s="345">
        <f>CR467/CR468</f>
        <v>0.83707053815749466</v>
      </c>
      <c r="CS512" s="345">
        <f>CS467/CS468</f>
        <v>0.81643708078886779</v>
      </c>
      <c r="CT512" s="345">
        <f>CT467/CT468</f>
        <v>0.82645197952600713</v>
      </c>
      <c r="CV512" s="345">
        <f>CV467/CV468</f>
        <v>0.82406612392972178</v>
      </c>
      <c r="CW512" s="345">
        <f>CW467/CW468</f>
        <v>0.83254891394699582</v>
      </c>
      <c r="CX512" s="345">
        <f>CX467/CX468</f>
        <v>0.82832316764115776</v>
      </c>
      <c r="CZ512" s="345">
        <f>CZ467/CZ468</f>
        <v>0.84497117056568327</v>
      </c>
      <c r="DA512" s="345">
        <f>DA467/DA468</f>
        <v>0.83724349537821818</v>
      </c>
      <c r="DB512" s="345">
        <f>DB467/DB468</f>
        <v>0.84107289497443438</v>
      </c>
      <c r="DD512" s="345">
        <f>DD467/DD468</f>
        <v>0.83047798107518667</v>
      </c>
      <c r="DE512" s="345">
        <f>DE467/DE468</f>
        <v>0.83189701457324672</v>
      </c>
      <c r="DF512" s="345">
        <f>DF467/DF468</f>
        <v>0.83119707416930078</v>
      </c>
      <c r="DH512" s="346">
        <f>DE512</f>
        <v>0.83189701457324672</v>
      </c>
      <c r="DI512" s="346">
        <f>DH512</f>
        <v>0.83189701457324672</v>
      </c>
      <c r="DJ512" s="345">
        <f ca="1">DJ467/DJ468</f>
        <v>0.83189701457324661</v>
      </c>
      <c r="DL512" s="346">
        <f>DI512</f>
        <v>0.83189701457324672</v>
      </c>
      <c r="DM512" s="346">
        <f>DL512</f>
        <v>0.83189701457324672</v>
      </c>
      <c r="DN512" s="345">
        <f ca="1">DN467/DN468</f>
        <v>0.83189701457324683</v>
      </c>
      <c r="DP512" s="346">
        <f>DM512</f>
        <v>0.83189701457324672</v>
      </c>
      <c r="DQ512" s="346">
        <f>DP512</f>
        <v>0.83189701457324672</v>
      </c>
      <c r="DR512" s="345">
        <f ca="1">DR467/DR468</f>
        <v>0.83189701457324672</v>
      </c>
      <c r="DW512" s="20"/>
      <c r="DX512" s="20"/>
    </row>
    <row r="513" spans="1:128" s="20" customFormat="1" ht="13.8">
      <c r="B513" s="49"/>
      <c r="BH513" s="49"/>
      <c r="BI513" s="49"/>
      <c r="BJ513" s="49"/>
      <c r="BK513" s="49"/>
      <c r="BL513" s="49"/>
      <c r="BM513" s="49"/>
      <c r="BN513" s="49"/>
      <c r="BO513" s="49"/>
      <c r="BP513" s="49"/>
      <c r="BQ513" s="49"/>
      <c r="BR513" s="49"/>
      <c r="BT513" s="49"/>
      <c r="BU513" s="49"/>
      <c r="BV513" s="49"/>
      <c r="BX513" s="49"/>
      <c r="BY513" s="49"/>
      <c r="BZ513" s="49"/>
      <c r="CB513" s="49"/>
      <c r="CC513" s="49"/>
      <c r="CD513" s="49"/>
      <c r="CF513" s="49"/>
      <c r="CG513" s="49"/>
      <c r="CH513" s="49"/>
      <c r="CJ513" s="49"/>
      <c r="CK513" s="49"/>
      <c r="CL513" s="49"/>
      <c r="CN513" s="49"/>
      <c r="CO513" s="49"/>
      <c r="CP513" s="49"/>
      <c r="CR513" s="49"/>
      <c r="CS513" s="49"/>
      <c r="CT513" s="49"/>
      <c r="CV513" s="49"/>
      <c r="CW513" s="49"/>
      <c r="CX513" s="49"/>
      <c r="CZ513" s="49"/>
      <c r="DA513" s="49"/>
      <c r="DB513" s="49"/>
      <c r="DD513" s="49"/>
      <c r="DE513" s="49"/>
      <c r="DF513" s="49"/>
      <c r="DH513" s="49"/>
      <c r="DI513" s="49"/>
      <c r="DL513" s="49"/>
      <c r="DM513" s="49"/>
      <c r="DP513" s="49"/>
      <c r="DQ513" s="49"/>
    </row>
    <row r="514" spans="1:128" s="20" customFormat="1" ht="13.8">
      <c r="A514" s="20" t="s">
        <v>960</v>
      </c>
      <c r="B514" s="49"/>
      <c r="BH514" s="65">
        <f>AVERAGE(BE1407,BH1407)</f>
        <v>322582</v>
      </c>
      <c r="BI514" s="65">
        <f>AVERAGE(BH1407,BI1407)</f>
        <v>330923.5</v>
      </c>
      <c r="BJ514" s="65">
        <f>AVERAGE(BF1407,BJ1407)</f>
        <v>339265</v>
      </c>
      <c r="BK514" s="49"/>
      <c r="BL514" s="65">
        <f>AVERAGE(BI1407,BL1407)</f>
        <v>350002.5</v>
      </c>
      <c r="BM514" s="65">
        <f>AVERAGE(BL1407,BM1407)</f>
        <v>361134.5</v>
      </c>
      <c r="BN514" s="65">
        <f>AVERAGE(BJ1407,BN1407)</f>
        <v>350397</v>
      </c>
      <c r="BO514" s="49"/>
      <c r="BP514" s="65">
        <f>AVERAGE(BM1407,BP1407)</f>
        <v>374196</v>
      </c>
      <c r="BQ514" s="65">
        <f>AVERAGE(BP1407,BQ1407)</f>
        <v>394400</v>
      </c>
      <c r="BR514" s="65">
        <f>AVERAGE(BN1407,BR1407)</f>
        <v>381733</v>
      </c>
      <c r="BT514" s="65">
        <f>AVERAGE(BQ1407,BT1407)</f>
        <v>395136</v>
      </c>
      <c r="BU514" s="65">
        <f>AVERAGE(BT1407,BU1407)</f>
        <v>398458.5</v>
      </c>
      <c r="BV514" s="65">
        <f>AVERAGE(BR1407,BV1407)</f>
        <v>405259.5</v>
      </c>
      <c r="BX514" s="65">
        <f>AVERAGE(BU1407,BX1407)</f>
        <v>402811</v>
      </c>
      <c r="BY514" s="65">
        <f>AVERAGE(BX1407,BY1407)</f>
        <v>394076.5</v>
      </c>
      <c r="BZ514" s="65">
        <f>AVERAGE(BV1407,BZ1407)</f>
        <v>399847.5</v>
      </c>
      <c r="CB514" s="65">
        <f>AVERAGE(BY1407,CB1407)</f>
        <v>393445</v>
      </c>
      <c r="CC514" s="65">
        <f>AVERAGE(CB1407,CC1407)</f>
        <v>393298.5</v>
      </c>
      <c r="CD514" s="65">
        <f>AVERAGE(BZ1407,CD1407)</f>
        <v>390966.5</v>
      </c>
      <c r="CF514" s="65">
        <f>AVERAGE(CC1407,CF1407)</f>
        <v>393555.5</v>
      </c>
      <c r="CG514" s="65">
        <f>AVERAGE(CF1407,CG1407)</f>
        <v>406626</v>
      </c>
      <c r="CH514" s="65">
        <f>AVERAGE(CD1407,CH1407)</f>
        <v>403890.5</v>
      </c>
      <c r="CJ514" s="65">
        <f>AVERAGE(CG1407,CJ1407)</f>
        <v>432986.5</v>
      </c>
      <c r="CK514" s="65">
        <f>AVERAGE(CJ1407,CK1407)</f>
        <v>439198</v>
      </c>
      <c r="CL514" s="65">
        <f>AVERAGE(CH1407,CL1407)</f>
        <v>423172.5</v>
      </c>
      <c r="CN514" s="65">
        <f>AVERAGE(CK1407,CN1407)</f>
        <v>418775</v>
      </c>
      <c r="CO514" s="65">
        <f>AVERAGE(CN1407,CO1407)</f>
        <v>412126</v>
      </c>
      <c r="CP514" s="65">
        <f>AVERAGE(CL1407,CP1407)</f>
        <v>422735</v>
      </c>
      <c r="CR514" s="65">
        <f>AVERAGE(CO1407,CR1407)</f>
        <v>426998</v>
      </c>
      <c r="CS514" s="65">
        <f>AVERAGE(CR1407,CS1407)</f>
        <v>446314</v>
      </c>
      <c r="CT514" s="65">
        <f>AVERAGE(CP1407,CT1407)</f>
        <v>435402</v>
      </c>
      <c r="CV514" s="65">
        <f>AVERAGE(CS1407,CV1407)</f>
        <v>445116.01249999995</v>
      </c>
      <c r="CW514" s="65">
        <f>AVERAGE(CV1407,CW1407)</f>
        <v>434420.51249999995</v>
      </c>
      <c r="CX514" s="65">
        <f>AVERAGE(CT1407,CX1407)</f>
        <v>444022.5</v>
      </c>
      <c r="CZ514" s="65">
        <f>AVERAGE(CW1407,CZ1407)</f>
        <v>433053</v>
      </c>
      <c r="DA514" s="65">
        <f>AVERAGE(CZ1407,DA1407)</f>
        <v>439680.5</v>
      </c>
      <c r="DB514" s="65">
        <f>AVERAGE(CX1407,DB1407)</f>
        <v>439954.5</v>
      </c>
      <c r="DD514" s="65">
        <f>AVERAGE(DA1407,DD1407)</f>
        <v>457790.5</v>
      </c>
      <c r="DE514" s="65">
        <f>AVERAGE(DD1407,DE1407)</f>
        <v>463773</v>
      </c>
      <c r="DF514" s="65">
        <f>AVERAGE(DB1407,DF1407)</f>
        <v>452564.5</v>
      </c>
      <c r="DH514" s="65">
        <f ca="1">AVERAGE(DE1407,DH1407)</f>
        <v>463056.31756939535</v>
      </c>
      <c r="DI514" s="65">
        <f ca="1">AVERAGE(DH1407,DI1407)</f>
        <v>472311.81146111724</v>
      </c>
      <c r="DJ514" s="65">
        <f ca="1">AVERAGE(DF1407,DJ1407)</f>
        <v>467802.49389172188</v>
      </c>
      <c r="DL514" s="65">
        <f ca="1">AVERAGE(DI1407,DL1407)</f>
        <v>480561.43955860363</v>
      </c>
      <c r="DM514" s="65">
        <f ca="1">AVERAGE(DL1407,DM1407)</f>
        <v>488477.88435784273</v>
      </c>
      <c r="DN514" s="65">
        <f ca="1">AVERAGE(DJ1407,DN1407)</f>
        <v>484974.43258268293</v>
      </c>
      <c r="DP514" s="65">
        <f ca="1">AVERAGE(DM1407,DP1407)</f>
        <v>498620.29162689828</v>
      </c>
      <c r="DQ514" s="65">
        <f ca="1">AVERAGE(DP1407,DQ1407)</f>
        <v>508560.93866524776</v>
      </c>
      <c r="DR514" s="65">
        <f ca="1">AVERAGE(DN1407,DR1407)</f>
        <v>502831.52442027151</v>
      </c>
    </row>
    <row r="515" spans="1:128" s="20" customFormat="1" ht="13.8">
      <c r="B515" s="49"/>
      <c r="BH515" s="49"/>
      <c r="BI515" s="49"/>
      <c r="BJ515" s="49"/>
      <c r="BK515" s="49"/>
      <c r="BL515" s="49"/>
      <c r="BM515" s="49"/>
      <c r="BN515" s="49"/>
      <c r="BO515" s="49"/>
      <c r="BP515" s="49"/>
      <c r="BQ515" s="49"/>
      <c r="BR515" s="49"/>
      <c r="BT515" s="49"/>
      <c r="BX515" s="49"/>
      <c r="CB515" s="49"/>
      <c r="CF515" s="49"/>
      <c r="CJ515" s="49"/>
      <c r="CN515" s="49"/>
      <c r="CR515" s="49"/>
      <c r="CV515" s="49"/>
      <c r="CZ515" s="49"/>
      <c r="DD515" s="49"/>
      <c r="DH515" s="49"/>
      <c r="DL515" s="49"/>
      <c r="DP515" s="49"/>
    </row>
    <row r="516" spans="1:128" s="318" customFormat="1" ht="13.8">
      <c r="A516" s="316" t="s">
        <v>714</v>
      </c>
      <c r="B516" s="317"/>
      <c r="BH516" s="317"/>
      <c r="BI516" s="317"/>
      <c r="BJ516" s="317"/>
      <c r="BK516" s="317"/>
      <c r="BL516" s="317"/>
      <c r="BM516" s="317"/>
      <c r="BN516" s="317"/>
      <c r="BO516" s="317"/>
      <c r="BP516" s="317"/>
      <c r="BT516" s="317"/>
      <c r="BX516" s="317"/>
      <c r="CB516" s="317"/>
      <c r="CF516" s="317"/>
      <c r="CJ516" s="317"/>
      <c r="CN516" s="317"/>
      <c r="CR516" s="317"/>
      <c r="CV516" s="317"/>
      <c r="CZ516" s="317"/>
      <c r="DD516" s="317"/>
      <c r="DH516" s="317"/>
      <c r="DL516" s="317"/>
      <c r="DP516" s="317"/>
      <c r="DT516" s="742"/>
      <c r="DU516" s="742"/>
      <c r="DV516" s="742"/>
      <c r="DW516" s="20"/>
      <c r="DX516" s="20"/>
    </row>
    <row r="517" spans="1:128" s="20" customFormat="1" ht="13.8">
      <c r="B517" s="49"/>
      <c r="BH517" s="49"/>
      <c r="BI517" s="49"/>
      <c r="BJ517" s="49"/>
      <c r="BK517" s="49"/>
      <c r="BL517" s="49"/>
      <c r="BM517" s="49"/>
      <c r="BN517" s="49"/>
      <c r="BO517" s="49"/>
      <c r="BP517" s="49"/>
      <c r="CB517" s="49"/>
      <c r="CF517" s="49"/>
      <c r="CJ517" s="49"/>
      <c r="CN517" s="49"/>
      <c r="CR517" s="49"/>
      <c r="CV517" s="49"/>
      <c r="CZ517" s="49"/>
      <c r="DD517" s="49"/>
      <c r="DH517" s="49"/>
      <c r="DL517" s="49"/>
      <c r="DP517" s="49"/>
    </row>
    <row r="518" spans="1:128" s="359" customFormat="1" ht="13.8">
      <c r="A518" s="359" t="s">
        <v>967</v>
      </c>
      <c r="B518" s="360"/>
      <c r="BH518" s="360"/>
      <c r="BI518" s="360"/>
      <c r="BJ518" s="360"/>
      <c r="BK518" s="360"/>
      <c r="BL518" s="360"/>
      <c r="BM518" s="360"/>
      <c r="BN518" s="360"/>
      <c r="BO518" s="360"/>
      <c r="BP518" s="360"/>
      <c r="BT518" s="360"/>
      <c r="BX518" s="360"/>
      <c r="CB518" s="360"/>
      <c r="CF518" s="360"/>
      <c r="CJ518" s="360"/>
      <c r="CN518" s="360"/>
      <c r="CR518" s="360"/>
      <c r="CV518" s="360"/>
      <c r="CZ518" s="360"/>
      <c r="DD518" s="360"/>
      <c r="DH518" s="360"/>
      <c r="DL518" s="360"/>
      <c r="DP518" s="360"/>
      <c r="DT518" s="744"/>
      <c r="DU518" s="744"/>
      <c r="DV518" s="744"/>
      <c r="DW518" s="20"/>
      <c r="DX518" s="20"/>
    </row>
    <row r="519" spans="1:128" s="21" customFormat="1" ht="13.8">
      <c r="B519" s="27"/>
      <c r="BH519" s="27"/>
      <c r="BI519" s="27"/>
      <c r="BJ519" s="27"/>
      <c r="BK519" s="27"/>
      <c r="BL519" s="27"/>
      <c r="BM519" s="27"/>
      <c r="BN519" s="27"/>
      <c r="BO519" s="27"/>
      <c r="BP519" s="27"/>
      <c r="BT519" s="27"/>
      <c r="BX519" s="27"/>
      <c r="CB519" s="27"/>
      <c r="CF519" s="27"/>
      <c r="CJ519" s="27"/>
      <c r="CN519" s="27"/>
      <c r="CR519" s="27"/>
      <c r="CV519" s="27"/>
      <c r="CZ519" s="27"/>
      <c r="DD519" s="27"/>
      <c r="DH519" s="27"/>
      <c r="DL519" s="27"/>
      <c r="DP519" s="27"/>
      <c r="DW519" s="20"/>
      <c r="DX519" s="20"/>
    </row>
    <row r="520" spans="1:128" s="20" customFormat="1" ht="13.8">
      <c r="A520" s="20" t="s">
        <v>957</v>
      </c>
      <c r="B520" s="49"/>
      <c r="BH520" s="49"/>
      <c r="BI520" s="49"/>
      <c r="BJ520" s="49"/>
      <c r="BK520" s="49"/>
      <c r="BL520" s="49"/>
      <c r="BM520" s="49"/>
      <c r="BN520" s="49"/>
      <c r="BO520" s="49"/>
      <c r="BP520" s="49"/>
      <c r="BX520" s="65"/>
      <c r="BY520" s="65"/>
      <c r="BZ520" s="65"/>
      <c r="CB520" s="65">
        <f>CB581</f>
        <v>406</v>
      </c>
      <c r="CC520" s="65">
        <f>CC581</f>
        <v>-19</v>
      </c>
      <c r="CD520" s="65">
        <f>CD581</f>
        <v>387</v>
      </c>
      <c r="CF520" s="65">
        <f>CF581</f>
        <v>238</v>
      </c>
      <c r="CG520" s="65">
        <f>CG581</f>
        <v>-95</v>
      </c>
      <c r="CH520" s="65">
        <f>CH581</f>
        <v>143</v>
      </c>
      <c r="CJ520" s="65">
        <f>CJ581</f>
        <v>-797</v>
      </c>
      <c r="CK520" s="65">
        <f>CK581</f>
        <v>-162</v>
      </c>
      <c r="CL520" s="65">
        <f>CL581</f>
        <v>-959</v>
      </c>
      <c r="CN520" s="65">
        <f>CN581</f>
        <v>-659</v>
      </c>
      <c r="CO520" s="65">
        <f>CO581</f>
        <v>-68</v>
      </c>
      <c r="CP520" s="65">
        <f>CP581</f>
        <v>-727</v>
      </c>
      <c r="CR520" s="65">
        <f>CR581</f>
        <v>269</v>
      </c>
      <c r="CS520" s="65">
        <f>CS581</f>
        <v>18</v>
      </c>
      <c r="CT520" s="65">
        <f>CT581</f>
        <v>287</v>
      </c>
      <c r="CV520" s="65">
        <f>CV581</f>
        <v>-60</v>
      </c>
      <c r="CW520" s="65">
        <f>CW581</f>
        <v>35</v>
      </c>
      <c r="CX520" s="65">
        <f>CX581</f>
        <v>-25</v>
      </c>
      <c r="CZ520" s="65">
        <f>CZ581</f>
        <v>-21</v>
      </c>
      <c r="DA520" s="65">
        <f>DA581</f>
        <v>0</v>
      </c>
      <c r="DB520" s="65">
        <f>DB581</f>
        <v>-21</v>
      </c>
      <c r="DD520" s="65">
        <f>DD581</f>
        <v>0</v>
      </c>
      <c r="DE520" s="65">
        <f>DE581</f>
        <v>-285</v>
      </c>
      <c r="DF520" s="65">
        <f>DF581</f>
        <v>-285</v>
      </c>
      <c r="DH520" s="65">
        <f>DH581</f>
        <v>0</v>
      </c>
      <c r="DI520" s="65">
        <f>DI581</f>
        <v>0</v>
      </c>
      <c r="DJ520" s="65">
        <f>DJ581</f>
        <v>0</v>
      </c>
      <c r="DL520" s="65">
        <f>DL581</f>
        <v>0</v>
      </c>
      <c r="DM520" s="65">
        <f>DM581</f>
        <v>0</v>
      </c>
      <c r="DN520" s="65">
        <f>DN581</f>
        <v>0</v>
      </c>
      <c r="DP520" s="65">
        <f>DP581</f>
        <v>0</v>
      </c>
      <c r="DQ520" s="65">
        <f>DQ581</f>
        <v>0</v>
      </c>
      <c r="DR520" s="65">
        <f>DR581</f>
        <v>0</v>
      </c>
    </row>
    <row r="521" spans="1:128" s="20" customFormat="1" ht="13.8">
      <c r="A521" s="20" t="s">
        <v>238</v>
      </c>
      <c r="B521" s="49"/>
      <c r="BH521" s="49"/>
      <c r="BI521" s="49"/>
      <c r="BJ521" s="49"/>
      <c r="BK521" s="49"/>
      <c r="BL521" s="49"/>
      <c r="BM521" s="49"/>
      <c r="BN521" s="49"/>
      <c r="BO521" s="49"/>
      <c r="BP521" s="49"/>
      <c r="BX521" s="65"/>
      <c r="BY521" s="65"/>
      <c r="BZ521" s="65"/>
      <c r="CB521" s="65">
        <f>CB846</f>
        <v>-189</v>
      </c>
      <c r="CC521" s="65">
        <f>CC846</f>
        <v>-649</v>
      </c>
      <c r="CD521" s="65">
        <f>CD846</f>
        <v>-838</v>
      </c>
      <c r="CF521" s="65">
        <f>CF846</f>
        <v>-125</v>
      </c>
      <c r="CG521" s="65">
        <f>CG846</f>
        <v>-384</v>
      </c>
      <c r="CH521" s="65">
        <f>CH846</f>
        <v>-509</v>
      </c>
      <c r="CJ521" s="65">
        <f>CJ846</f>
        <v>-244</v>
      </c>
      <c r="CK521" s="65">
        <f>CK846</f>
        <v>-490</v>
      </c>
      <c r="CL521" s="65">
        <f>CL846</f>
        <v>-734</v>
      </c>
      <c r="CN521" s="65">
        <f>CN846</f>
        <v>-266</v>
      </c>
      <c r="CO521" s="65">
        <f>CO846</f>
        <v>-115</v>
      </c>
      <c r="CP521" s="65">
        <f>CP846</f>
        <v>-381</v>
      </c>
      <c r="CR521" s="65">
        <f>CR846</f>
        <v>-247</v>
      </c>
      <c r="CS521" s="65">
        <f>CS846</f>
        <v>-162</v>
      </c>
      <c r="CT521" s="65">
        <f>CT846</f>
        <v>-409</v>
      </c>
      <c r="CV521" s="65">
        <f>CV846</f>
        <v>-153</v>
      </c>
      <c r="CW521" s="65">
        <f>CW846</f>
        <v>-268</v>
      </c>
      <c r="CX521" s="65">
        <f>CX846</f>
        <v>-421</v>
      </c>
      <c r="CZ521" s="65">
        <f>CZ846</f>
        <v>-141</v>
      </c>
      <c r="DA521" s="65">
        <f>DA846</f>
        <v>0</v>
      </c>
      <c r="DB521" s="65">
        <f>DB846</f>
        <v>-141</v>
      </c>
      <c r="DD521" s="65">
        <f>DD846</f>
        <v>0</v>
      </c>
      <c r="DE521" s="65">
        <f>DE846</f>
        <v>-1031</v>
      </c>
      <c r="DF521" s="65">
        <f>DF846</f>
        <v>-1031</v>
      </c>
      <c r="DH521" s="65">
        <f>DH846</f>
        <v>0</v>
      </c>
      <c r="DI521" s="65">
        <f>DI846</f>
        <v>0</v>
      </c>
      <c r="DJ521" s="65">
        <f>DJ846</f>
        <v>0</v>
      </c>
      <c r="DL521" s="65">
        <f>DL846</f>
        <v>0</v>
      </c>
      <c r="DM521" s="65">
        <f>DM846</f>
        <v>0</v>
      </c>
      <c r="DN521" s="65">
        <f>DN846</f>
        <v>0</v>
      </c>
      <c r="DP521" s="65">
        <f>DP846</f>
        <v>0</v>
      </c>
      <c r="DQ521" s="65">
        <f>DQ846</f>
        <v>0</v>
      </c>
      <c r="DR521" s="65">
        <f>DR846</f>
        <v>0</v>
      </c>
    </row>
    <row r="522" spans="1:128" s="21" customFormat="1" ht="13.8">
      <c r="A522" s="21" t="s">
        <v>448</v>
      </c>
      <c r="B522" s="27"/>
      <c r="BH522" s="27"/>
      <c r="BI522" s="27"/>
      <c r="BJ522" s="27"/>
      <c r="BK522" s="27"/>
      <c r="BL522" s="27"/>
      <c r="BM522" s="27"/>
      <c r="BN522" s="27"/>
      <c r="BO522" s="27"/>
      <c r="BP522" s="27"/>
      <c r="BX522" s="72"/>
      <c r="BY522" s="72"/>
      <c r="BZ522" s="72"/>
      <c r="CB522" s="72">
        <f>SUM(CB520:CB521)</f>
        <v>217</v>
      </c>
      <c r="CC522" s="72">
        <f>SUM(CC520:CC521)</f>
        <v>-668</v>
      </c>
      <c r="CD522" s="72">
        <f>SUM(CD520:CD521)</f>
        <v>-451</v>
      </c>
      <c r="CF522" s="72">
        <f>SUM(CF520:CF521)</f>
        <v>113</v>
      </c>
      <c r="CG522" s="72">
        <f>SUM(CG520:CG521)</f>
        <v>-479</v>
      </c>
      <c r="CH522" s="72">
        <f>SUM(CH520:CH521)</f>
        <v>-366</v>
      </c>
      <c r="CJ522" s="72">
        <f>SUM(CJ520:CJ521)</f>
        <v>-1041</v>
      </c>
      <c r="CK522" s="72">
        <f>SUM(CK520:CK521)</f>
        <v>-652</v>
      </c>
      <c r="CL522" s="72">
        <f>SUM(CL520:CL521)</f>
        <v>-1693</v>
      </c>
      <c r="CN522" s="72">
        <f>SUM(CN520:CN521)</f>
        <v>-925</v>
      </c>
      <c r="CO522" s="72">
        <f>SUM(CO520:CO521)</f>
        <v>-183</v>
      </c>
      <c r="CP522" s="72">
        <f>SUM(CP520:CP521)</f>
        <v>-1108</v>
      </c>
      <c r="CR522" s="72">
        <f>SUM(CR520:CR521)</f>
        <v>22</v>
      </c>
      <c r="CS522" s="72">
        <f>SUM(CS520:CS521)</f>
        <v>-144</v>
      </c>
      <c r="CT522" s="72">
        <f>SUM(CT520:CT521)</f>
        <v>-122</v>
      </c>
      <c r="CV522" s="72">
        <f>SUM(CV520:CV521)</f>
        <v>-213</v>
      </c>
      <c r="CW522" s="72">
        <f>SUM(CW520:CW521)</f>
        <v>-233</v>
      </c>
      <c r="CX522" s="72">
        <f>SUM(CX520:CX521)</f>
        <v>-446</v>
      </c>
      <c r="CZ522" s="72">
        <f>SUM(CZ520:CZ521)</f>
        <v>-162</v>
      </c>
      <c r="DA522" s="72">
        <f>SUM(DA520:DA521)</f>
        <v>0</v>
      </c>
      <c r="DB522" s="72">
        <f>SUM(DB520:DB521)</f>
        <v>-162</v>
      </c>
      <c r="DD522" s="72">
        <f>SUM(DD520:DD521)</f>
        <v>0</v>
      </c>
      <c r="DE522" s="72">
        <f>SUM(DE520:DE521)</f>
        <v>-1316</v>
      </c>
      <c r="DF522" s="72">
        <f>SUM(DF520:DF521)</f>
        <v>-1316</v>
      </c>
      <c r="DH522" s="72">
        <f>SUM(DH520:DH521)</f>
        <v>0</v>
      </c>
      <c r="DI522" s="72">
        <f>SUM(DI520:DI521)</f>
        <v>0</v>
      </c>
      <c r="DJ522" s="72">
        <f>SUM(DJ520:DJ521)</f>
        <v>0</v>
      </c>
      <c r="DL522" s="72">
        <f>SUM(DL520:DL521)</f>
        <v>0</v>
      </c>
      <c r="DM522" s="72">
        <f>SUM(DM520:DM521)</f>
        <v>0</v>
      </c>
      <c r="DN522" s="72">
        <f>SUM(DN520:DN521)</f>
        <v>0</v>
      </c>
      <c r="DP522" s="72">
        <f>SUM(DP520:DP521)</f>
        <v>0</v>
      </c>
      <c r="DQ522" s="72">
        <f>SUM(DQ520:DQ521)</f>
        <v>0</v>
      </c>
      <c r="DR522" s="72">
        <f>SUM(DR520:DR521)</f>
        <v>0</v>
      </c>
    </row>
    <row r="523" spans="1:128" s="20" customFormat="1" ht="13.8">
      <c r="A523" s="20" t="s">
        <v>1020</v>
      </c>
      <c r="B523" s="49"/>
      <c r="BH523" s="49"/>
      <c r="BI523" s="49"/>
      <c r="BJ523" s="49"/>
      <c r="BK523" s="49"/>
      <c r="BL523" s="49"/>
      <c r="BM523" s="49"/>
      <c r="BN523" s="49"/>
      <c r="BO523" s="49"/>
      <c r="BP523" s="49"/>
      <c r="BX523" s="65"/>
      <c r="BY523" s="65"/>
      <c r="BZ523" s="65"/>
      <c r="CB523" s="65">
        <f>CB530</f>
        <v>0</v>
      </c>
      <c r="CC523" s="65">
        <f>CC530</f>
        <v>-28</v>
      </c>
      <c r="CD523" s="65">
        <f>CD530</f>
        <v>-28</v>
      </c>
      <c r="CF523" s="65">
        <f>CF530</f>
        <v>1</v>
      </c>
      <c r="CG523" s="65">
        <f>CG530</f>
        <v>-2</v>
      </c>
      <c r="CH523" s="65">
        <f>CH530</f>
        <v>-1</v>
      </c>
      <c r="CJ523" s="65">
        <f>CJ530</f>
        <v>-20</v>
      </c>
      <c r="CK523" s="65">
        <f>CK530</f>
        <v>-3</v>
      </c>
      <c r="CL523" s="65">
        <f>CL530</f>
        <v>-23</v>
      </c>
      <c r="CN523" s="65">
        <f>CN530</f>
        <v>0</v>
      </c>
      <c r="CO523" s="65">
        <f>CO530</f>
        <v>0</v>
      </c>
      <c r="CP523" s="65">
        <f>CP530</f>
        <v>0</v>
      </c>
      <c r="CR523" s="65">
        <f>CR530</f>
        <v>-4</v>
      </c>
      <c r="CS523" s="65">
        <f>CS530</f>
        <v>0</v>
      </c>
      <c r="CT523" s="65">
        <f>CT530</f>
        <v>-4</v>
      </c>
      <c r="CV523" s="65">
        <f>CV530</f>
        <v>0</v>
      </c>
      <c r="CW523" s="65">
        <f>CW530</f>
        <v>0</v>
      </c>
      <c r="CX523" s="65">
        <f>CX530</f>
        <v>0</v>
      </c>
      <c r="CZ523" s="65">
        <f>CZ530</f>
        <v>0</v>
      </c>
      <c r="DA523" s="65">
        <f>DA530</f>
        <v>0</v>
      </c>
      <c r="DB523" s="65">
        <f>DB530</f>
        <v>0</v>
      </c>
      <c r="DD523" s="65">
        <f>DD530</f>
        <v>0</v>
      </c>
      <c r="DE523" s="65">
        <f>DE530</f>
        <v>0</v>
      </c>
      <c r="DF523" s="65">
        <f>DF530</f>
        <v>0</v>
      </c>
      <c r="DH523" s="65">
        <f>DH530</f>
        <v>0</v>
      </c>
      <c r="DI523" s="65">
        <f>DI530</f>
        <v>0</v>
      </c>
      <c r="DJ523" s="65">
        <f>DJ530</f>
        <v>0</v>
      </c>
      <c r="DL523" s="65">
        <f>DL530</f>
        <v>0</v>
      </c>
      <c r="DM523" s="65">
        <f>DM530</f>
        <v>0</v>
      </c>
      <c r="DN523" s="65">
        <f>DN530</f>
        <v>0</v>
      </c>
      <c r="DP523" s="65">
        <f>DP530</f>
        <v>0</v>
      </c>
      <c r="DQ523" s="65">
        <f>DQ530</f>
        <v>0</v>
      </c>
      <c r="DR523" s="65">
        <f>DR530</f>
        <v>0</v>
      </c>
    </row>
    <row r="524" spans="1:128" s="21" customFormat="1" ht="13.8">
      <c r="A524" s="21" t="s">
        <v>1021</v>
      </c>
      <c r="B524" s="27"/>
      <c r="BH524" s="27"/>
      <c r="BI524" s="27"/>
      <c r="BJ524" s="27"/>
      <c r="BK524" s="27"/>
      <c r="BL524" s="27"/>
      <c r="BM524" s="27"/>
      <c r="BN524" s="27"/>
      <c r="BO524" s="27"/>
      <c r="BP524" s="27"/>
      <c r="BX524" s="72"/>
      <c r="BY524" s="72"/>
      <c r="BZ524" s="72"/>
      <c r="CB524" s="72">
        <f>SUM(CB522:CB523)</f>
        <v>217</v>
      </c>
      <c r="CC524" s="72">
        <f>SUM(CC522:CC523)</f>
        <v>-696</v>
      </c>
      <c r="CD524" s="72">
        <f>SUM(CD522:CD523)</f>
        <v>-479</v>
      </c>
      <c r="CF524" s="72">
        <f>SUM(CF522:CF523)</f>
        <v>114</v>
      </c>
      <c r="CG524" s="72">
        <f>SUM(CG522:CG523)</f>
        <v>-481</v>
      </c>
      <c r="CH524" s="72">
        <f>SUM(CH522:CH523)</f>
        <v>-367</v>
      </c>
      <c r="CJ524" s="72">
        <f>SUM(CJ522:CJ523)</f>
        <v>-1061</v>
      </c>
      <c r="CK524" s="72">
        <f>SUM(CK522:CK523)</f>
        <v>-655</v>
      </c>
      <c r="CL524" s="72">
        <f>SUM(CL522:CL523)</f>
        <v>-1716</v>
      </c>
      <c r="CN524" s="72">
        <f>SUM(CN522:CN523)</f>
        <v>-925</v>
      </c>
      <c r="CO524" s="72">
        <f>SUM(CO522:CO523)</f>
        <v>-183</v>
      </c>
      <c r="CP524" s="72">
        <f>SUM(CP522:CP523)</f>
        <v>-1108</v>
      </c>
      <c r="CR524" s="72">
        <f>SUM(CR522:CR523)</f>
        <v>18</v>
      </c>
      <c r="CS524" s="72">
        <f>SUM(CS522:CS523)</f>
        <v>-144</v>
      </c>
      <c r="CT524" s="72">
        <f>SUM(CT522:CT523)</f>
        <v>-126</v>
      </c>
      <c r="CV524" s="72">
        <f>SUM(CV522:CV523)</f>
        <v>-213</v>
      </c>
      <c r="CW524" s="72">
        <f>SUM(CW522:CW523)</f>
        <v>-233</v>
      </c>
      <c r="CX524" s="72">
        <f>SUM(CX522:CX523)</f>
        <v>-446</v>
      </c>
      <c r="CZ524" s="72">
        <f>SUM(CZ522:CZ523)</f>
        <v>-162</v>
      </c>
      <c r="DA524" s="72">
        <f>SUM(DA522:DA523)</f>
        <v>0</v>
      </c>
      <c r="DB524" s="72">
        <f>SUM(DB522:DB523)</f>
        <v>-162</v>
      </c>
      <c r="DD524" s="72">
        <f>SUM(DD522:DD523)</f>
        <v>0</v>
      </c>
      <c r="DE524" s="72">
        <f>SUM(DE522:DE523)</f>
        <v>-1316</v>
      </c>
      <c r="DF524" s="72">
        <f>SUM(DF522:DF523)</f>
        <v>-1316</v>
      </c>
      <c r="DH524" s="72">
        <f>SUM(DH522:DH523)</f>
        <v>0</v>
      </c>
      <c r="DI524" s="72">
        <f>SUM(DI522:DI523)</f>
        <v>0</v>
      </c>
      <c r="DJ524" s="72">
        <f>SUM(DJ522:DJ523)</f>
        <v>0</v>
      </c>
      <c r="DL524" s="72">
        <f>SUM(DL522:DL523)</f>
        <v>0</v>
      </c>
      <c r="DM524" s="72">
        <f>SUM(DM522:DM523)</f>
        <v>0</v>
      </c>
      <c r="DN524" s="72">
        <f>SUM(DN522:DN523)</f>
        <v>0</v>
      </c>
      <c r="DP524" s="72">
        <f>SUM(DP522:DP523)</f>
        <v>0</v>
      </c>
      <c r="DQ524" s="72">
        <f>SUM(DQ522:DQ523)</f>
        <v>0</v>
      </c>
      <c r="DR524" s="72">
        <f>SUM(DR522:DR523)</f>
        <v>0</v>
      </c>
    </row>
    <row r="525" spans="1:128" s="20" customFormat="1" ht="13.8">
      <c r="A525" s="20" t="s">
        <v>545</v>
      </c>
      <c r="B525" s="49"/>
      <c r="BH525" s="49"/>
      <c r="BI525" s="49"/>
      <c r="BJ525" s="49"/>
      <c r="BK525" s="49"/>
      <c r="BL525" s="49"/>
      <c r="BM525" s="49"/>
      <c r="BN525" s="49"/>
      <c r="BO525" s="49"/>
      <c r="BP525" s="49"/>
      <c r="BX525" s="65"/>
      <c r="BY525" s="65"/>
      <c r="BZ525" s="65"/>
      <c r="CB525" s="65">
        <f>CB532</f>
        <v>-44</v>
      </c>
      <c r="CC525" s="65">
        <f>CC532</f>
        <v>142</v>
      </c>
      <c r="CD525" s="65">
        <f>CD532</f>
        <v>98</v>
      </c>
      <c r="CF525" s="65">
        <f>CF532</f>
        <v>-17</v>
      </c>
      <c r="CG525" s="65">
        <f>CG532</f>
        <v>82</v>
      </c>
      <c r="CH525" s="65">
        <f>CH532</f>
        <v>65</v>
      </c>
      <c r="CJ525" s="65">
        <f>CJ532</f>
        <v>74</v>
      </c>
      <c r="CK525" s="65">
        <f>CK532</f>
        <v>141</v>
      </c>
      <c r="CL525" s="65">
        <f>CL532</f>
        <v>215</v>
      </c>
      <c r="CN525" s="65">
        <f>CN532</f>
        <v>108</v>
      </c>
      <c r="CO525" s="65">
        <f>CO532</f>
        <v>54</v>
      </c>
      <c r="CP525" s="65">
        <f>CP532</f>
        <v>162</v>
      </c>
      <c r="CR525" s="65">
        <f>CR532</f>
        <v>-59</v>
      </c>
      <c r="CS525" s="65">
        <f>CS532</f>
        <v>31</v>
      </c>
      <c r="CT525" s="65">
        <f>CT532</f>
        <v>-28</v>
      </c>
      <c r="CV525" s="65">
        <f>CV532</f>
        <v>52</v>
      </c>
      <c r="CW525" s="65">
        <f>CW532</f>
        <v>87</v>
      </c>
      <c r="CX525" s="65">
        <f>CX532</f>
        <v>139</v>
      </c>
      <c r="CZ525" s="65">
        <f>CZ532</f>
        <v>0</v>
      </c>
      <c r="DA525" s="65">
        <f>DA532</f>
        <v>0</v>
      </c>
      <c r="DB525" s="65">
        <f>DB532</f>
        <v>0</v>
      </c>
      <c r="DD525" s="65">
        <f>DD532</f>
        <v>0</v>
      </c>
      <c r="DE525" s="65">
        <f>DE532</f>
        <v>207</v>
      </c>
      <c r="DF525" s="65">
        <f>DF532</f>
        <v>207</v>
      </c>
      <c r="DH525" s="65">
        <f>DH532</f>
        <v>0</v>
      </c>
      <c r="DI525" s="65">
        <f>DI532</f>
        <v>0</v>
      </c>
      <c r="DJ525" s="65">
        <f>DJ532</f>
        <v>0</v>
      </c>
      <c r="DL525" s="65">
        <f>DL532</f>
        <v>0</v>
      </c>
      <c r="DM525" s="65">
        <f>DM532</f>
        <v>0</v>
      </c>
      <c r="DN525" s="65">
        <f>DN532</f>
        <v>0</v>
      </c>
      <c r="DP525" s="65">
        <f>DP532</f>
        <v>0</v>
      </c>
      <c r="DQ525" s="65">
        <f>DQ532</f>
        <v>0</v>
      </c>
      <c r="DR525" s="65">
        <f>DR532</f>
        <v>0</v>
      </c>
    </row>
    <row r="526" spans="1:128" s="21" customFormat="1" ht="13.8">
      <c r="A526" s="941" t="s">
        <v>1022</v>
      </c>
      <c r="B526" s="942"/>
      <c r="C526" s="941"/>
      <c r="D526" s="941"/>
      <c r="E526" s="941"/>
      <c r="F526" s="941"/>
      <c r="G526" s="941"/>
      <c r="H526" s="941"/>
      <c r="I526" s="941"/>
      <c r="J526" s="941"/>
      <c r="K526" s="941"/>
      <c r="L526" s="941"/>
      <c r="M526" s="941"/>
      <c r="N526" s="941"/>
      <c r="O526" s="941"/>
      <c r="P526" s="941"/>
      <c r="Q526" s="941"/>
      <c r="R526" s="941"/>
      <c r="S526" s="941"/>
      <c r="T526" s="941"/>
      <c r="U526" s="941"/>
      <c r="V526" s="941"/>
      <c r="W526" s="941"/>
      <c r="X526" s="941"/>
      <c r="Y526" s="941"/>
      <c r="Z526" s="941"/>
      <c r="AA526" s="941"/>
      <c r="AB526" s="941"/>
      <c r="AC526" s="941"/>
      <c r="AD526" s="941"/>
      <c r="AE526" s="941"/>
      <c r="AF526" s="941"/>
      <c r="AG526" s="941"/>
      <c r="AH526" s="941"/>
      <c r="AI526" s="941"/>
      <c r="AJ526" s="941"/>
      <c r="AK526" s="941"/>
      <c r="AL526" s="941"/>
      <c r="AM526" s="941"/>
      <c r="AN526" s="941"/>
      <c r="AO526" s="941"/>
      <c r="AP526" s="941"/>
      <c r="AQ526" s="941"/>
      <c r="AR526" s="941"/>
      <c r="AS526" s="941"/>
      <c r="AT526" s="941"/>
      <c r="AU526" s="941"/>
      <c r="AV526" s="941"/>
      <c r="AW526" s="941"/>
      <c r="AX526" s="941"/>
      <c r="AY526" s="941"/>
      <c r="AZ526" s="941"/>
      <c r="BA526" s="941"/>
      <c r="BB526" s="941"/>
      <c r="BC526" s="941"/>
      <c r="BD526" s="941"/>
      <c r="BE526" s="941"/>
      <c r="BF526" s="941"/>
      <c r="BG526" s="941"/>
      <c r="BH526" s="942"/>
      <c r="BI526" s="942"/>
      <c r="BJ526" s="942"/>
      <c r="BK526" s="942"/>
      <c r="BL526" s="942"/>
      <c r="BM526" s="942"/>
      <c r="BN526" s="942"/>
      <c r="BO526" s="942"/>
      <c r="BP526" s="942"/>
      <c r="BQ526" s="941"/>
      <c r="BR526" s="941"/>
      <c r="BS526" s="941"/>
      <c r="BT526" s="941"/>
      <c r="BU526" s="941"/>
      <c r="BV526" s="941"/>
      <c r="BW526" s="941"/>
      <c r="BX526" s="943"/>
      <c r="BY526" s="943"/>
      <c r="BZ526" s="943"/>
      <c r="CA526" s="941"/>
      <c r="CB526" s="943">
        <f>SUM(CB524:CB525)</f>
        <v>173</v>
      </c>
      <c r="CC526" s="943">
        <f>SUM(CC524:CC525)</f>
        <v>-554</v>
      </c>
      <c r="CD526" s="943">
        <f>SUM(CD524:CD525)</f>
        <v>-381</v>
      </c>
      <c r="CE526" s="941"/>
      <c r="CF526" s="943">
        <f>SUM(CF524:CF525)</f>
        <v>97</v>
      </c>
      <c r="CG526" s="943">
        <f>SUM(CG524:CG525)</f>
        <v>-399</v>
      </c>
      <c r="CH526" s="943">
        <f>SUM(CH524:CH525)</f>
        <v>-302</v>
      </c>
      <c r="CI526" s="941"/>
      <c r="CJ526" s="943">
        <f>SUM(CJ524:CJ525)</f>
        <v>-987</v>
      </c>
      <c r="CK526" s="943">
        <f>SUM(CK524:CK525)</f>
        <v>-514</v>
      </c>
      <c r="CL526" s="943">
        <f>SUM(CL524:CL525)</f>
        <v>-1501</v>
      </c>
      <c r="CM526" s="941"/>
      <c r="CN526" s="943">
        <f>SUM(CN524:CN525)</f>
        <v>-817</v>
      </c>
      <c r="CO526" s="943">
        <f>SUM(CO524:CO525)</f>
        <v>-129</v>
      </c>
      <c r="CP526" s="943">
        <f>SUM(CP524:CP525)</f>
        <v>-946</v>
      </c>
      <c r="CQ526" s="941"/>
      <c r="CR526" s="943">
        <f>SUM(CR524:CR525)</f>
        <v>-41</v>
      </c>
      <c r="CS526" s="943">
        <f>SUM(CS524:CS525)</f>
        <v>-113</v>
      </c>
      <c r="CT526" s="943">
        <f>SUM(CT524:CT525)</f>
        <v>-154</v>
      </c>
      <c r="CU526" s="941"/>
      <c r="CV526" s="943">
        <f>SUM(CV524:CV525)</f>
        <v>-161</v>
      </c>
      <c r="CW526" s="943">
        <f>SUM(CW524:CW525)</f>
        <v>-146</v>
      </c>
      <c r="CX526" s="943">
        <f>SUM(CX524:CX525)</f>
        <v>-307</v>
      </c>
      <c r="CY526" s="941"/>
      <c r="CZ526" s="943">
        <f>SUM(CZ524:CZ525)</f>
        <v>-162</v>
      </c>
      <c r="DA526" s="943">
        <f>SUM(DA524:DA525)</f>
        <v>0</v>
      </c>
      <c r="DB526" s="943">
        <f>SUM(DB524:DB525)</f>
        <v>-162</v>
      </c>
      <c r="DC526" s="941"/>
      <c r="DD526" s="943">
        <f>SUM(DD524:DD525)</f>
        <v>0</v>
      </c>
      <c r="DE526" s="943">
        <f>SUM(DE524:DE525)</f>
        <v>-1109</v>
      </c>
      <c r="DF526" s="943">
        <f>SUM(DF524:DF525)</f>
        <v>-1109</v>
      </c>
      <c r="DG526" s="941"/>
      <c r="DH526" s="943">
        <f>SUM(DH524:DH525)</f>
        <v>0</v>
      </c>
      <c r="DI526" s="943">
        <f>SUM(DI524:DI525)</f>
        <v>0</v>
      </c>
      <c r="DJ526" s="943">
        <f>SUM(DJ524:DJ525)</f>
        <v>0</v>
      </c>
      <c r="DK526" s="941"/>
      <c r="DL526" s="943">
        <f>SUM(DL524:DL525)</f>
        <v>0</v>
      </c>
      <c r="DM526" s="943">
        <f>SUM(DM524:DM525)</f>
        <v>0</v>
      </c>
      <c r="DN526" s="943">
        <f>SUM(DN524:DN525)</f>
        <v>0</v>
      </c>
      <c r="DO526" s="941"/>
      <c r="DP526" s="943">
        <f>SUM(DP524:DP525)</f>
        <v>0</v>
      </c>
      <c r="DQ526" s="943">
        <f>SUM(DQ524:DQ525)</f>
        <v>0</v>
      </c>
      <c r="DR526" s="943">
        <f>SUM(DR524:DR525)</f>
        <v>0</v>
      </c>
      <c r="DS526" s="941"/>
      <c r="DT526" s="941"/>
      <c r="DU526" s="941"/>
      <c r="DV526" s="941"/>
    </row>
    <row r="527" spans="1:128" s="20" customFormat="1" ht="13.8">
      <c r="B527" s="49"/>
      <c r="BH527" s="49"/>
      <c r="BI527" s="49"/>
      <c r="BJ527" s="49"/>
      <c r="BK527" s="49"/>
      <c r="BL527" s="49"/>
      <c r="BM527" s="49"/>
      <c r="BN527" s="49"/>
      <c r="BO527" s="49"/>
      <c r="BP527" s="49"/>
      <c r="CB527" s="49"/>
      <c r="CF527" s="49"/>
      <c r="CJ527" s="49"/>
      <c r="CL527" s="908">
        <v>-1501</v>
      </c>
      <c r="CM527" s="28"/>
      <c r="CN527" s="908">
        <v>-817</v>
      </c>
      <c r="CO527" s="908">
        <v>-129</v>
      </c>
      <c r="CP527" s="908">
        <v>-946</v>
      </c>
      <c r="CR527" s="908">
        <v>-41</v>
      </c>
      <c r="CS527" s="908">
        <v>-113</v>
      </c>
      <c r="CT527" s="908">
        <v>-154</v>
      </c>
      <c r="CV527" s="908">
        <v>-161</v>
      </c>
      <c r="CW527" s="908">
        <v>-146</v>
      </c>
      <c r="CX527" s="908">
        <v>-307</v>
      </c>
      <c r="CZ527" s="908"/>
      <c r="DA527" s="908"/>
      <c r="DB527" s="908"/>
      <c r="DD527" s="908"/>
      <c r="DH527" s="49"/>
      <c r="DL527" s="49"/>
      <c r="DP527" s="49"/>
    </row>
    <row r="528" spans="1:128" s="20" customFormat="1" ht="13.8">
      <c r="B528" s="49"/>
      <c r="BH528" s="49"/>
      <c r="BI528" s="49"/>
      <c r="BJ528" s="49"/>
      <c r="BK528" s="49"/>
      <c r="BL528" s="49"/>
      <c r="BM528" s="49"/>
      <c r="BN528" s="49"/>
      <c r="BO528" s="49"/>
      <c r="BP528" s="49"/>
      <c r="CB528" s="49"/>
      <c r="CF528" s="49"/>
      <c r="CJ528" s="49"/>
      <c r="CN528" s="993"/>
      <c r="CO528" s="993"/>
      <c r="CR528" s="49"/>
      <c r="CS528" s="993"/>
      <c r="CV528" s="49"/>
      <c r="CW528" s="993"/>
      <c r="CZ528" s="49"/>
      <c r="DA528" s="993"/>
      <c r="DD528" s="49"/>
      <c r="DH528" s="49"/>
      <c r="DL528" s="49"/>
      <c r="DP528" s="49"/>
    </row>
    <row r="529" spans="1:126" s="20" customFormat="1" ht="13.8">
      <c r="A529" s="20" t="s">
        <v>972</v>
      </c>
      <c r="B529" s="49"/>
      <c r="BH529" s="73"/>
      <c r="BI529" s="73"/>
      <c r="BJ529" s="73"/>
      <c r="BK529" s="49"/>
      <c r="BL529" s="73"/>
      <c r="BM529" s="73"/>
      <c r="BN529" s="73"/>
      <c r="BO529" s="49"/>
      <c r="BP529" s="73"/>
      <c r="BQ529" s="73"/>
      <c r="BR529" s="73"/>
      <c r="BT529" s="73"/>
      <c r="BU529" s="73"/>
      <c r="BV529" s="73"/>
      <c r="BX529" s="104"/>
      <c r="BY529" s="104"/>
      <c r="BZ529" s="72"/>
      <c r="CA529" s="21"/>
      <c r="CB529" s="102">
        <f>CB581+CB846</f>
        <v>217</v>
      </c>
      <c r="CC529" s="102">
        <f>CC581+CC846</f>
        <v>-668</v>
      </c>
      <c r="CD529" s="102">
        <f>CD581+CD846</f>
        <v>-451</v>
      </c>
      <c r="CF529" s="102">
        <f>CF581+CF846</f>
        <v>113</v>
      </c>
      <c r="CG529" s="102">
        <f>CG581+CG846</f>
        <v>-479</v>
      </c>
      <c r="CH529" s="102">
        <f>CH581+CH846</f>
        <v>-366</v>
      </c>
      <c r="CJ529" s="102">
        <f>CJ581+CJ846</f>
        <v>-1041</v>
      </c>
      <c r="CK529" s="102">
        <f>CK581+CK846</f>
        <v>-652</v>
      </c>
      <c r="CL529" s="102">
        <f>CL581+CL846</f>
        <v>-1693</v>
      </c>
      <c r="CN529" s="102">
        <f>CN581+CN846</f>
        <v>-925</v>
      </c>
      <c r="CO529" s="102">
        <f>CO581+CO846</f>
        <v>-183</v>
      </c>
      <c r="CP529" s="102">
        <f>CP581+CP846</f>
        <v>-1108</v>
      </c>
      <c r="CR529" s="102">
        <f>CR581+CR846</f>
        <v>22</v>
      </c>
      <c r="CS529" s="102">
        <f>CS581+CS846</f>
        <v>-144</v>
      </c>
      <c r="CT529" s="102">
        <f>CT581+CT846</f>
        <v>-122</v>
      </c>
      <c r="CU529" s="21"/>
      <c r="CV529" s="102">
        <f>CV581+CV846</f>
        <v>-213</v>
      </c>
      <c r="CW529" s="102">
        <f>CW581+CW846</f>
        <v>-233</v>
      </c>
      <c r="CX529" s="102">
        <f>CX581+CX846</f>
        <v>-446</v>
      </c>
      <c r="CY529" s="21"/>
      <c r="CZ529" s="102">
        <f>CZ581+CZ846</f>
        <v>-162</v>
      </c>
      <c r="DA529" s="102">
        <f>DA581+DA846</f>
        <v>0</v>
      </c>
      <c r="DB529" s="102">
        <f>DB581+DB846</f>
        <v>-162</v>
      </c>
      <c r="DC529" s="21"/>
      <c r="DD529" s="102">
        <f>DD581+DD846</f>
        <v>0</v>
      </c>
      <c r="DE529" s="102">
        <f>DE581+DE846</f>
        <v>-1316</v>
      </c>
      <c r="DF529" s="102">
        <f>DF581+DF846</f>
        <v>-1316</v>
      </c>
      <c r="DG529" s="21"/>
      <c r="DH529" s="102">
        <f>DH581+DH846</f>
        <v>0</v>
      </c>
      <c r="DI529" s="102">
        <f>DI581+DI846</f>
        <v>0</v>
      </c>
      <c r="DJ529" s="102">
        <f>DJ581+DJ846</f>
        <v>0</v>
      </c>
      <c r="DK529" s="21"/>
      <c r="DL529" s="102">
        <f>DL581+DL846</f>
        <v>0</v>
      </c>
      <c r="DM529" s="102">
        <f>DM581+DM846</f>
        <v>0</v>
      </c>
      <c r="DN529" s="102">
        <f>DN581+DN846</f>
        <v>0</v>
      </c>
      <c r="DO529" s="21"/>
      <c r="DP529" s="102">
        <f>DP581+DP846</f>
        <v>0</v>
      </c>
      <c r="DQ529" s="102">
        <f>DQ581+DQ846</f>
        <v>0</v>
      </c>
      <c r="DR529" s="102">
        <f>DR581+DR846</f>
        <v>0</v>
      </c>
      <c r="DS529" s="21"/>
      <c r="DT529" s="21"/>
      <c r="DU529" s="21"/>
    </row>
    <row r="530" spans="1:126" s="20" customFormat="1" ht="13.8">
      <c r="A530" s="20" t="s">
        <v>970</v>
      </c>
      <c r="B530" s="49"/>
      <c r="BH530" s="73"/>
      <c r="BI530" s="73"/>
      <c r="BJ530" s="73"/>
      <c r="BK530" s="49"/>
      <c r="BL530" s="73"/>
      <c r="BM530" s="73"/>
      <c r="BN530" s="73"/>
      <c r="BO530" s="49"/>
      <c r="BP530" s="73"/>
      <c r="BQ530" s="73"/>
      <c r="BR530" s="73"/>
      <c r="BT530" s="73"/>
      <c r="BU530" s="73"/>
      <c r="BV530" s="73"/>
      <c r="BX530" s="104"/>
      <c r="BY530" s="104"/>
      <c r="BZ530" s="72"/>
      <c r="CA530" s="21"/>
      <c r="CB530" s="102"/>
      <c r="CC530" s="573">
        <v>-28</v>
      </c>
      <c r="CD530" s="573">
        <v>-28</v>
      </c>
      <c r="CF530" s="573">
        <v>1</v>
      </c>
      <c r="CG530" s="573">
        <v>-2</v>
      </c>
      <c r="CH530" s="65">
        <f>SUM(CF530:CG530)</f>
        <v>-1</v>
      </c>
      <c r="CJ530" s="573">
        <v>-20</v>
      </c>
      <c r="CK530" s="573">
        <v>-3</v>
      </c>
      <c r="CL530" s="65">
        <f>SUM(CJ530:CK530)</f>
        <v>-23</v>
      </c>
      <c r="CN530" s="573">
        <v>0</v>
      </c>
      <c r="CO530" s="573">
        <v>0</v>
      </c>
      <c r="CP530" s="65">
        <f>SUM(CN530:CO530)</f>
        <v>0</v>
      </c>
      <c r="CR530" s="573">
        <v>-4</v>
      </c>
      <c r="CS530" s="573">
        <v>0</v>
      </c>
      <c r="CT530" s="65">
        <f>SUM(CR530:CS530)</f>
        <v>-4</v>
      </c>
      <c r="CU530" s="21"/>
      <c r="CV530" s="573">
        <v>0</v>
      </c>
      <c r="CW530" s="573">
        <v>0</v>
      </c>
      <c r="CX530" s="65">
        <f>SUM(CV530:CW530)</f>
        <v>0</v>
      </c>
      <c r="CY530" s="21"/>
      <c r="CZ530" s="573">
        <v>0</v>
      </c>
      <c r="DA530" s="573">
        <v>0</v>
      </c>
      <c r="DB530" s="65">
        <f>SUM(CZ530:DA530)</f>
        <v>0</v>
      </c>
      <c r="DC530" s="21"/>
      <c r="DD530" s="573">
        <v>0</v>
      </c>
      <c r="DE530" s="573">
        <v>0</v>
      </c>
      <c r="DF530" s="65">
        <f>SUM(DD530:DE530)</f>
        <v>0</v>
      </c>
      <c r="DG530" s="21"/>
      <c r="DH530" s="608">
        <v>0</v>
      </c>
      <c r="DI530" s="608">
        <v>0</v>
      </c>
      <c r="DJ530" s="65">
        <f>SUM(DH530:DI530)</f>
        <v>0</v>
      </c>
      <c r="DK530" s="21"/>
      <c r="DL530" s="608">
        <v>0</v>
      </c>
      <c r="DM530" s="608">
        <v>0</v>
      </c>
      <c r="DN530" s="65">
        <f>SUM(DL530:DM530)</f>
        <v>0</v>
      </c>
      <c r="DO530" s="21"/>
      <c r="DP530" s="608">
        <v>0</v>
      </c>
      <c r="DQ530" s="608">
        <v>0</v>
      </c>
      <c r="DR530" s="65">
        <f>SUM(DP530:DQ530)</f>
        <v>0</v>
      </c>
      <c r="DS530" s="21"/>
      <c r="DT530" s="21"/>
      <c r="DU530" s="21"/>
    </row>
    <row r="531" spans="1:126" s="20" customFormat="1" ht="13.8">
      <c r="A531" s="21" t="s">
        <v>1021</v>
      </c>
      <c r="B531" s="49"/>
      <c r="BH531" s="73"/>
      <c r="BI531" s="73"/>
      <c r="BJ531" s="73"/>
      <c r="BK531" s="49"/>
      <c r="BL531" s="73"/>
      <c r="BM531" s="73"/>
      <c r="BN531" s="73"/>
      <c r="BO531" s="49"/>
      <c r="BP531" s="73"/>
      <c r="BQ531" s="73"/>
      <c r="BR531" s="73"/>
      <c r="BT531" s="73"/>
      <c r="BU531" s="73"/>
      <c r="BV531" s="73"/>
      <c r="BX531" s="104"/>
      <c r="BY531" s="104"/>
      <c r="BZ531" s="72"/>
      <c r="CA531" s="21"/>
      <c r="CB531" s="65">
        <f>SUM(CB529:CB530)</f>
        <v>217</v>
      </c>
      <c r="CC531" s="65">
        <f>SUM(CC529:CC530)</f>
        <v>-696</v>
      </c>
      <c r="CD531" s="65">
        <f>SUM(CD529:CD530)</f>
        <v>-479</v>
      </c>
      <c r="CF531" s="65">
        <f>SUM(CF529:CF530)</f>
        <v>114</v>
      </c>
      <c r="CG531" s="65">
        <f>SUM(CG529:CG530)</f>
        <v>-481</v>
      </c>
      <c r="CH531" s="65">
        <f>SUM(CH529:CH530)</f>
        <v>-367</v>
      </c>
      <c r="CJ531" s="65">
        <f>SUM(CJ529:CJ530)</f>
        <v>-1061</v>
      </c>
      <c r="CK531" s="65">
        <f>SUM(CK529:CK530)</f>
        <v>-655</v>
      </c>
      <c r="CL531" s="65">
        <f>SUM(CL529:CL530)</f>
        <v>-1716</v>
      </c>
      <c r="CN531" s="65">
        <f>SUM(CN529:CN530)</f>
        <v>-925</v>
      </c>
      <c r="CO531" s="65">
        <f>SUM(CO529:CO530)</f>
        <v>-183</v>
      </c>
      <c r="CP531" s="65">
        <f>SUM(CP529:CP530)</f>
        <v>-1108</v>
      </c>
      <c r="CR531" s="65">
        <f>SUM(CR529:CR530)</f>
        <v>18</v>
      </c>
      <c r="CS531" s="65">
        <f>SUM(CS529:CS530)</f>
        <v>-144</v>
      </c>
      <c r="CT531" s="65">
        <f>SUM(CT529:CT530)</f>
        <v>-126</v>
      </c>
      <c r="CU531" s="21"/>
      <c r="CV531" s="65">
        <f>SUM(CV529:CV530)</f>
        <v>-213</v>
      </c>
      <c r="CW531" s="65">
        <f>SUM(CW529:CW530)</f>
        <v>-233</v>
      </c>
      <c r="CX531" s="65">
        <f>SUM(CX529:CX530)</f>
        <v>-446</v>
      </c>
      <c r="CY531" s="21"/>
      <c r="CZ531" s="65">
        <f>SUM(CZ529:CZ530)</f>
        <v>-162</v>
      </c>
      <c r="DA531" s="65">
        <f>SUM(DA529:DA530)</f>
        <v>0</v>
      </c>
      <c r="DB531" s="65">
        <f>SUM(DB529:DB530)</f>
        <v>-162</v>
      </c>
      <c r="DC531" s="21"/>
      <c r="DD531" s="65">
        <f>SUM(DD529:DD530)</f>
        <v>0</v>
      </c>
      <c r="DE531" s="65">
        <f>SUM(DE529:DE530)</f>
        <v>-1316</v>
      </c>
      <c r="DF531" s="65">
        <f>SUM(DF529:DF530)</f>
        <v>-1316</v>
      </c>
      <c r="DG531" s="21"/>
      <c r="DH531" s="65">
        <f>SUM(DH529:DH530)</f>
        <v>0</v>
      </c>
      <c r="DI531" s="65">
        <f>SUM(DI529:DI530)</f>
        <v>0</v>
      </c>
      <c r="DJ531" s="65">
        <f>SUM(DJ529:DJ530)</f>
        <v>0</v>
      </c>
      <c r="DK531" s="21"/>
      <c r="DL531" s="65">
        <f>SUM(DL529:DL530)</f>
        <v>0</v>
      </c>
      <c r="DM531" s="65">
        <f>SUM(DM529:DM530)</f>
        <v>0</v>
      </c>
      <c r="DN531" s="65">
        <f>SUM(DN529:DN530)</f>
        <v>0</v>
      </c>
      <c r="DO531" s="21"/>
      <c r="DP531" s="65">
        <f>SUM(DP529:DP530)</f>
        <v>0</v>
      </c>
      <c r="DQ531" s="65">
        <f>SUM(DQ529:DQ530)</f>
        <v>0</v>
      </c>
      <c r="DR531" s="65">
        <f>SUM(DR529:DR530)</f>
        <v>0</v>
      </c>
      <c r="DS531" s="21"/>
      <c r="DT531" s="21"/>
      <c r="DU531" s="21"/>
    </row>
    <row r="532" spans="1:126" s="20" customFormat="1" ht="13.8">
      <c r="A532" s="20" t="s">
        <v>971</v>
      </c>
      <c r="B532" s="49"/>
      <c r="BH532" s="73"/>
      <c r="BI532" s="73"/>
      <c r="BJ532" s="73"/>
      <c r="BK532" s="49"/>
      <c r="BL532" s="73"/>
      <c r="BM532" s="73"/>
      <c r="BN532" s="73"/>
      <c r="BO532" s="49"/>
      <c r="BP532" s="73"/>
      <c r="BQ532" s="73"/>
      <c r="BR532" s="73"/>
      <c r="BT532" s="73"/>
      <c r="BU532" s="73"/>
      <c r="BV532" s="73"/>
      <c r="BX532" s="104"/>
      <c r="BY532" s="104"/>
      <c r="BZ532" s="72"/>
      <c r="CA532" s="21"/>
      <c r="CB532" s="573">
        <v>-44</v>
      </c>
      <c r="CC532" s="573">
        <f>137+5</f>
        <v>142</v>
      </c>
      <c r="CD532" s="573">
        <v>98</v>
      </c>
      <c r="CF532" s="573">
        <v>-17</v>
      </c>
      <c r="CG532" s="573">
        <v>82</v>
      </c>
      <c r="CH532" s="65">
        <f>SUM(CF532:CG532)</f>
        <v>65</v>
      </c>
      <c r="CJ532" s="573">
        <v>74</v>
      </c>
      <c r="CK532" s="573">
        <v>141</v>
      </c>
      <c r="CL532" s="65">
        <f>SUM(CJ532:CK532)</f>
        <v>215</v>
      </c>
      <c r="CN532" s="573">
        <v>108</v>
      </c>
      <c r="CO532" s="573">
        <v>54</v>
      </c>
      <c r="CP532" s="65">
        <f>SUM(CN532:CO532)</f>
        <v>162</v>
      </c>
      <c r="CR532" s="573">
        <v>-59</v>
      </c>
      <c r="CS532" s="573">
        <v>31</v>
      </c>
      <c r="CT532" s="65">
        <f>SUM(CR532:CS532)</f>
        <v>-28</v>
      </c>
      <c r="CU532" s="21"/>
      <c r="CV532" s="573">
        <v>52</v>
      </c>
      <c r="CW532" s="573">
        <v>87</v>
      </c>
      <c r="CX532" s="65">
        <f>SUM(CV532:CW532)</f>
        <v>139</v>
      </c>
      <c r="CY532" s="21"/>
      <c r="CZ532" s="573">
        <v>0</v>
      </c>
      <c r="DA532" s="573">
        <v>0</v>
      </c>
      <c r="DB532" s="65">
        <f>SUM(CZ532:DA532)</f>
        <v>0</v>
      </c>
      <c r="DC532" s="21"/>
      <c r="DD532" s="573">
        <v>0</v>
      </c>
      <c r="DE532" s="573">
        <v>207</v>
      </c>
      <c r="DF532" s="65">
        <f>SUM(DD532:DE532)</f>
        <v>207</v>
      </c>
      <c r="DG532" s="21"/>
      <c r="DH532" s="65">
        <f>-DH531*DH534</f>
        <v>0</v>
      </c>
      <c r="DI532" s="65">
        <f>-DI531*DI534</f>
        <v>0</v>
      </c>
      <c r="DJ532" s="65">
        <f>SUM(DH532:DI532)</f>
        <v>0</v>
      </c>
      <c r="DK532" s="21"/>
      <c r="DL532" s="65">
        <f>-DL531*DL534</f>
        <v>0</v>
      </c>
      <c r="DM532" s="65">
        <f>-DM531*DM534</f>
        <v>0</v>
      </c>
      <c r="DN532" s="65">
        <f>SUM(DL532:DM532)</f>
        <v>0</v>
      </c>
      <c r="DO532" s="21"/>
      <c r="DP532" s="65">
        <f>-DP531*DP534</f>
        <v>0</v>
      </c>
      <c r="DQ532" s="65">
        <f>-DQ531*DQ534</f>
        <v>0</v>
      </c>
      <c r="DR532" s="65">
        <f>SUM(DP532:DQ532)</f>
        <v>0</v>
      </c>
      <c r="DS532" s="21"/>
      <c r="DT532" s="21"/>
      <c r="DU532" s="21"/>
    </row>
    <row r="533" spans="1:126" s="21" customFormat="1" ht="13.8">
      <c r="A533" s="21" t="s">
        <v>1022</v>
      </c>
      <c r="B533" s="27"/>
      <c r="BH533" s="383"/>
      <c r="BI533" s="383"/>
      <c r="BJ533" s="383"/>
      <c r="BK533" s="27"/>
      <c r="BL533" s="383"/>
      <c r="BM533" s="383"/>
      <c r="BN533" s="383"/>
      <c r="BO533" s="27"/>
      <c r="BP533" s="383"/>
      <c r="BQ533" s="383"/>
      <c r="BR533" s="383"/>
      <c r="BT533" s="383"/>
      <c r="BU533" s="383"/>
      <c r="BV533" s="383"/>
      <c r="BX533" s="72"/>
      <c r="BY533" s="72"/>
      <c r="BZ533" s="72"/>
      <c r="CB533" s="72">
        <f>CB531+CB532</f>
        <v>173</v>
      </c>
      <c r="CC533" s="72">
        <f t="shared" ref="CC533:CH533" si="820">CC531+CC532</f>
        <v>-554</v>
      </c>
      <c r="CD533" s="72">
        <f t="shared" si="820"/>
        <v>-381</v>
      </c>
      <c r="CF533" s="72">
        <f t="shared" si="820"/>
        <v>97</v>
      </c>
      <c r="CG533" s="72">
        <f t="shared" si="820"/>
        <v>-399</v>
      </c>
      <c r="CH533" s="72">
        <f t="shared" si="820"/>
        <v>-302</v>
      </c>
      <c r="CJ533" s="72">
        <f>CJ531+CJ532</f>
        <v>-987</v>
      </c>
      <c r="CK533" s="72">
        <f>CK531+CK532</f>
        <v>-514</v>
      </c>
      <c r="CL533" s="72">
        <f>CL531+CL532</f>
        <v>-1501</v>
      </c>
      <c r="CN533" s="72">
        <f>CN531+CN532</f>
        <v>-817</v>
      </c>
      <c r="CO533" s="72">
        <f>CO531+CO532</f>
        <v>-129</v>
      </c>
      <c r="CP533" s="72">
        <f>CP531+CP532</f>
        <v>-946</v>
      </c>
      <c r="CR533" s="72">
        <f>CR531+CR532</f>
        <v>-41</v>
      </c>
      <c r="CS533" s="72">
        <f>CS531+CS532</f>
        <v>-113</v>
      </c>
      <c r="CT533" s="72">
        <f>CT531+CT532</f>
        <v>-154</v>
      </c>
      <c r="CV533" s="72">
        <f>CV531+CV532</f>
        <v>-161</v>
      </c>
      <c r="CW533" s="72">
        <f>CW531+CW532</f>
        <v>-146</v>
      </c>
      <c r="CX533" s="72">
        <f>CX531+CX532</f>
        <v>-307</v>
      </c>
      <c r="CZ533" s="72">
        <f>CZ531+CZ532</f>
        <v>-162</v>
      </c>
      <c r="DA533" s="72">
        <f>DA531+DA532</f>
        <v>0</v>
      </c>
      <c r="DB533" s="72">
        <f>DB531+DB532</f>
        <v>-162</v>
      </c>
      <c r="DD533" s="72">
        <f>DD531+DD532</f>
        <v>0</v>
      </c>
      <c r="DE533" s="72">
        <f>DE531+DE532</f>
        <v>-1109</v>
      </c>
      <c r="DF533" s="72">
        <f>DF531+DF532</f>
        <v>-1109</v>
      </c>
      <c r="DH533" s="72">
        <f>DH531+DH532</f>
        <v>0</v>
      </c>
      <c r="DI533" s="72">
        <f>DI531+DI532</f>
        <v>0</v>
      </c>
      <c r="DJ533" s="72">
        <f>DJ531+DJ532</f>
        <v>0</v>
      </c>
      <c r="DL533" s="72">
        <f>DL531+DL532</f>
        <v>0</v>
      </c>
      <c r="DM533" s="72">
        <f>DM531+DM532</f>
        <v>0</v>
      </c>
      <c r="DN533" s="72">
        <f>DN531+DN532</f>
        <v>0</v>
      </c>
      <c r="DP533" s="72">
        <f>DP531+DP532</f>
        <v>0</v>
      </c>
      <c r="DQ533" s="72">
        <f>DQ531+DQ532</f>
        <v>0</v>
      </c>
      <c r="DR533" s="72">
        <f>DR531+DR532</f>
        <v>0</v>
      </c>
    </row>
    <row r="534" spans="1:126" s="47" customFormat="1" ht="13.8">
      <c r="A534" s="574" t="s">
        <v>132</v>
      </c>
      <c r="B534" s="575"/>
      <c r="C534" s="574"/>
      <c r="D534" s="574"/>
      <c r="E534" s="574"/>
      <c r="F534" s="574"/>
      <c r="G534" s="574"/>
      <c r="H534" s="574"/>
      <c r="I534" s="574"/>
      <c r="J534" s="574"/>
      <c r="K534" s="574"/>
      <c r="L534" s="574"/>
      <c r="M534" s="574"/>
      <c r="N534" s="574"/>
      <c r="O534" s="574"/>
      <c r="P534" s="574"/>
      <c r="Q534" s="574"/>
      <c r="R534" s="574"/>
      <c r="S534" s="574"/>
      <c r="T534" s="574"/>
      <c r="U534" s="574"/>
      <c r="V534" s="574"/>
      <c r="W534" s="574"/>
      <c r="X534" s="574"/>
      <c r="Y534" s="574"/>
      <c r="Z534" s="574"/>
      <c r="AA534" s="574"/>
      <c r="AB534" s="574"/>
      <c r="AC534" s="574"/>
      <c r="AD534" s="574"/>
      <c r="AE534" s="574"/>
      <c r="AF534" s="574"/>
      <c r="AG534" s="574"/>
      <c r="AH534" s="574"/>
      <c r="AI534" s="574"/>
      <c r="AJ534" s="574"/>
      <c r="AK534" s="574"/>
      <c r="AL534" s="574"/>
      <c r="AM534" s="574"/>
      <c r="AN534" s="574"/>
      <c r="AO534" s="574"/>
      <c r="AP534" s="574"/>
      <c r="AQ534" s="574"/>
      <c r="AR534" s="574"/>
      <c r="AS534" s="574"/>
      <c r="AT534" s="574"/>
      <c r="AU534" s="574"/>
      <c r="AV534" s="574"/>
      <c r="AW534" s="574"/>
      <c r="AX534" s="574"/>
      <c r="AY534" s="574"/>
      <c r="AZ534" s="574"/>
      <c r="BA534" s="574"/>
      <c r="BB534" s="574"/>
      <c r="BC534" s="574"/>
      <c r="BD534" s="574"/>
      <c r="BE534" s="574"/>
      <c r="BF534" s="574"/>
      <c r="BG534" s="574"/>
      <c r="BH534" s="576"/>
      <c r="BI534" s="576"/>
      <c r="BJ534" s="576"/>
      <c r="BK534" s="575"/>
      <c r="BL534" s="576"/>
      <c r="BM534" s="576"/>
      <c r="BN534" s="576"/>
      <c r="BO534" s="575"/>
      <c r="BP534" s="576"/>
      <c r="BQ534" s="576"/>
      <c r="BR534" s="576"/>
      <c r="BS534" s="574"/>
      <c r="BT534" s="576"/>
      <c r="BU534" s="576"/>
      <c r="BV534" s="576"/>
      <c r="BW534" s="574"/>
      <c r="BX534" s="576"/>
      <c r="BY534" s="576"/>
      <c r="BZ534" s="576"/>
      <c r="CA534" s="574"/>
      <c r="CB534" s="577">
        <f>-CB532/CB531</f>
        <v>0.20276497695852536</v>
      </c>
      <c r="CC534" s="577">
        <f>-CC532/CC531</f>
        <v>0.20402298850574713</v>
      </c>
      <c r="CD534" s="577">
        <f>-CD532/CD531</f>
        <v>0.20459290187891441</v>
      </c>
      <c r="CE534" s="574"/>
      <c r="CF534" s="577">
        <f>-CF532/CF531</f>
        <v>0.14912280701754385</v>
      </c>
      <c r="CG534" s="577">
        <f>-CG532/CG531</f>
        <v>0.17047817047817049</v>
      </c>
      <c r="CH534" s="577">
        <f>-CH532/CH531</f>
        <v>0.17711171662125341</v>
      </c>
      <c r="CI534" s="574"/>
      <c r="CJ534" s="577">
        <f>-CJ532/CJ531</f>
        <v>6.9745523091423192E-2</v>
      </c>
      <c r="CK534" s="577">
        <f>-CK532/CK531</f>
        <v>0.21526717557251909</v>
      </c>
      <c r="CL534" s="577">
        <f>-CL532/CL531</f>
        <v>0.1252913752913753</v>
      </c>
      <c r="CM534" s="609"/>
      <c r="CN534" s="577">
        <f>-CN532/CN531</f>
        <v>0.11675675675675676</v>
      </c>
      <c r="CO534" s="577">
        <f>-CO532/CO531</f>
        <v>0.29508196721311475</v>
      </c>
      <c r="CP534" s="577">
        <f>-CP532/CP531</f>
        <v>0.14620938628158844</v>
      </c>
      <c r="CQ534" s="609"/>
      <c r="CR534" s="577">
        <f>-CR532/CR531</f>
        <v>3.2777777777777777</v>
      </c>
      <c r="CS534" s="577">
        <f>-CS532/CS531</f>
        <v>0.21527777777777779</v>
      </c>
      <c r="CT534" s="577">
        <f>-CT532/CT531</f>
        <v>-0.22222222222222221</v>
      </c>
      <c r="CU534" s="574"/>
      <c r="CV534" s="577">
        <f>-CV532/CV531</f>
        <v>0.24413145539906103</v>
      </c>
      <c r="CW534" s="577">
        <f>-CW532/CW531</f>
        <v>0.37339055793991416</v>
      </c>
      <c r="CX534" s="577">
        <f>-CX532/CX531</f>
        <v>0.31165919282511212</v>
      </c>
      <c r="CY534" s="574"/>
      <c r="CZ534" s="577">
        <f>IFERROR(-CZ532/CZ531,0)</f>
        <v>0</v>
      </c>
      <c r="DA534" s="577"/>
      <c r="DB534" s="577">
        <f>-DB532/DB531</f>
        <v>0</v>
      </c>
      <c r="DC534" s="574"/>
      <c r="DD534" s="577">
        <f>IFERROR(-DD532/DD531,0)</f>
        <v>0</v>
      </c>
      <c r="DE534" s="577">
        <f>IFERROR(-DE532/DE531,0)</f>
        <v>0.15729483282674772</v>
      </c>
      <c r="DF534" s="577">
        <f>-DF532/DF531</f>
        <v>0.15729483282674772</v>
      </c>
      <c r="DG534" s="574"/>
      <c r="DH534" s="616">
        <v>0.3</v>
      </c>
      <c r="DI534" s="616">
        <v>0.3</v>
      </c>
      <c r="DJ534" s="577"/>
      <c r="DK534" s="574"/>
      <c r="DL534" s="616">
        <v>0.3</v>
      </c>
      <c r="DM534" s="616">
        <v>0.3</v>
      </c>
      <c r="DN534" s="577"/>
      <c r="DO534" s="574"/>
      <c r="DP534" s="616">
        <v>0.3</v>
      </c>
      <c r="DQ534" s="616">
        <v>0.3</v>
      </c>
      <c r="DR534" s="577"/>
      <c r="DS534" s="574"/>
      <c r="DT534" s="574"/>
      <c r="DU534" s="574"/>
      <c r="DV534" s="574"/>
    </row>
    <row r="535" spans="1:126" s="20" customFormat="1" ht="13.8">
      <c r="A535" s="21"/>
      <c r="B535" s="49"/>
      <c r="BH535" s="73"/>
      <c r="BI535" s="73"/>
      <c r="BJ535" s="73"/>
      <c r="BK535" s="49"/>
      <c r="BL535" s="73"/>
      <c r="BM535" s="73"/>
      <c r="BN535" s="73"/>
      <c r="BO535" s="49"/>
      <c r="BP535" s="73"/>
      <c r="BQ535" s="73"/>
      <c r="BR535" s="73"/>
      <c r="BT535" s="73"/>
      <c r="BU535" s="73"/>
      <c r="BV535" s="73"/>
      <c r="BX535" s="104"/>
      <c r="BY535" s="104"/>
      <c r="BZ535" s="72"/>
      <c r="CA535" s="21"/>
      <c r="CB535" s="104"/>
      <c r="CC535" s="607"/>
      <c r="CD535" s="72"/>
      <c r="CE535" s="21"/>
      <c r="CF535" s="104"/>
      <c r="CG535" s="607"/>
      <c r="CH535" s="72"/>
      <c r="CI535" s="21"/>
      <c r="CJ535" s="104"/>
      <c r="CK535" s="607"/>
      <c r="CL535" s="72"/>
      <c r="CM535" s="21"/>
      <c r="CN535" s="104"/>
      <c r="CO535" s="607"/>
      <c r="CP535" s="72"/>
      <c r="CQ535" s="21"/>
      <c r="CR535" s="104"/>
      <c r="CS535" s="607"/>
      <c r="CT535" s="72"/>
      <c r="CU535" s="21"/>
      <c r="CV535" s="104"/>
      <c r="CW535" s="607"/>
      <c r="CX535" s="72"/>
      <c r="CY535" s="21"/>
      <c r="CZ535" s="104"/>
      <c r="DA535" s="607"/>
      <c r="DB535" s="72"/>
      <c r="DC535" s="21"/>
      <c r="DD535" s="104"/>
      <c r="DE535" s="607"/>
      <c r="DF535" s="72"/>
      <c r="DG535" s="21"/>
      <c r="DH535" s="104"/>
      <c r="DI535" s="104"/>
      <c r="DJ535" s="72"/>
      <c r="DK535" s="21"/>
      <c r="DL535" s="104"/>
      <c r="DM535" s="104"/>
      <c r="DN535" s="72"/>
      <c r="DO535" s="21"/>
      <c r="DP535" s="104"/>
      <c r="DQ535" s="104"/>
      <c r="DR535" s="72"/>
      <c r="DS535" s="21"/>
      <c r="DT535" s="21"/>
      <c r="DU535" s="21"/>
    </row>
    <row r="536" spans="1:126" s="20" customFormat="1" ht="13.8">
      <c r="A536" s="21" t="s">
        <v>124</v>
      </c>
      <c r="B536" s="49"/>
      <c r="BH536" s="73"/>
      <c r="BI536" s="73"/>
      <c r="BJ536" s="73"/>
      <c r="BK536" s="49"/>
      <c r="BL536" s="73"/>
      <c r="BM536" s="73"/>
      <c r="BN536" s="73"/>
      <c r="BO536" s="49"/>
      <c r="BP536" s="73"/>
      <c r="BQ536" s="73"/>
      <c r="BR536" s="73"/>
      <c r="BT536" s="73"/>
      <c r="BU536" s="73"/>
      <c r="BV536" s="73"/>
      <c r="BX536" s="104"/>
      <c r="BY536" s="104"/>
      <c r="BZ536" s="72"/>
      <c r="CA536" s="21"/>
      <c r="CB536" s="104">
        <f>CB37</f>
        <v>3493</v>
      </c>
      <c r="CC536" s="104">
        <f>CC37</f>
        <v>2994</v>
      </c>
      <c r="CD536" s="104">
        <f>CD37</f>
        <v>6487</v>
      </c>
      <c r="CE536" s="21"/>
      <c r="CF536" s="104">
        <f>CF37</f>
        <v>3564</v>
      </c>
      <c r="CG536" s="104">
        <f>CG37</f>
        <v>2906</v>
      </c>
      <c r="CH536" s="104">
        <f>CH37</f>
        <v>6470</v>
      </c>
      <c r="CI536" s="21"/>
      <c r="CJ536" s="104">
        <f>CJ37</f>
        <v>1413</v>
      </c>
      <c r="CK536" s="104">
        <f>CK37</f>
        <v>2345</v>
      </c>
      <c r="CL536" s="104">
        <f>CL37</f>
        <v>3758</v>
      </c>
      <c r="CM536" s="21"/>
      <c r="CN536" s="104">
        <f>CN37</f>
        <v>2990</v>
      </c>
      <c r="CO536" s="104">
        <f>CO37</f>
        <v>3208</v>
      </c>
      <c r="CP536" s="104">
        <f>CP37</f>
        <v>6198</v>
      </c>
      <c r="CQ536" s="21"/>
      <c r="CR536" s="104">
        <f>CR37</f>
        <v>3113</v>
      </c>
      <c r="CS536" s="104">
        <f>CS37</f>
        <v>3402</v>
      </c>
      <c r="CT536" s="104">
        <f>CT37</f>
        <v>6515</v>
      </c>
      <c r="CU536" s="21"/>
      <c r="CV536" s="104">
        <f>CV37</f>
        <v>3829</v>
      </c>
      <c r="CW536" s="104">
        <f>CW37</f>
        <v>3584</v>
      </c>
      <c r="CX536" s="104">
        <f>CX37</f>
        <v>7413</v>
      </c>
      <c r="CY536" s="21"/>
      <c r="CZ536" s="104">
        <f>CZ37</f>
        <v>3552</v>
      </c>
      <c r="DA536" s="104">
        <f>DA37</f>
        <v>3173</v>
      </c>
      <c r="DB536" s="104">
        <f>DB37</f>
        <v>6725</v>
      </c>
      <c r="DC536" s="21"/>
      <c r="DD536" s="104">
        <f>DD37</f>
        <v>3568</v>
      </c>
      <c r="DE536" s="104">
        <f>DE37</f>
        <v>2219</v>
      </c>
      <c r="DF536" s="104">
        <f>DF37</f>
        <v>5787</v>
      </c>
      <c r="DG536" s="21"/>
      <c r="DH536" s="104">
        <f ca="1">DH37</f>
        <v>3701.5536350305647</v>
      </c>
      <c r="DI536" s="104">
        <f ca="1">DI37</f>
        <v>3826.2909150494493</v>
      </c>
      <c r="DJ536" s="104">
        <f ca="1">DJ37</f>
        <v>7527.8445500800126</v>
      </c>
      <c r="DK536" s="21"/>
      <c r="DL536" s="104">
        <f ca="1">DL37</f>
        <v>3980.3177206167493</v>
      </c>
      <c r="DM536" s="104">
        <f ca="1">DM37</f>
        <v>3994.2697629431987</v>
      </c>
      <c r="DN536" s="104">
        <f ca="1">DN37</f>
        <v>7974.5874835599489</v>
      </c>
      <c r="DO536" s="21"/>
      <c r="DP536" s="104">
        <f ca="1">DP37</f>
        <v>4160.966953009286</v>
      </c>
      <c r="DQ536" s="104">
        <f ca="1">DQ37</f>
        <v>4318.1038988617502</v>
      </c>
      <c r="DR536" s="104">
        <f ca="1">DR37</f>
        <v>8479.0708518710398</v>
      </c>
      <c r="DS536" s="21"/>
      <c r="DT536" s="21"/>
      <c r="DU536" s="21"/>
    </row>
    <row r="537" spans="1:126" s="20" customFormat="1" ht="13.8">
      <c r="A537" s="21"/>
      <c r="B537" s="49"/>
      <c r="BH537" s="73"/>
      <c r="BI537" s="73"/>
      <c r="BJ537" s="73"/>
      <c r="BK537" s="49"/>
      <c r="BL537" s="73"/>
      <c r="BM537" s="73"/>
      <c r="BN537" s="73"/>
      <c r="BO537" s="49"/>
      <c r="BP537" s="73"/>
      <c r="BQ537" s="73"/>
      <c r="BR537" s="73"/>
      <c r="BT537" s="73"/>
      <c r="BU537" s="73"/>
      <c r="BV537" s="73"/>
      <c r="BX537" s="104"/>
      <c r="BY537" s="104"/>
      <c r="BZ537" s="72"/>
      <c r="CA537" s="21"/>
      <c r="CB537" s="104"/>
      <c r="CC537" s="607"/>
      <c r="CD537" s="72"/>
      <c r="CE537" s="21"/>
      <c r="CF537" s="104"/>
      <c r="CG537" s="607"/>
      <c r="CH537" s="72"/>
      <c r="CI537" s="21"/>
      <c r="CJ537" s="104"/>
      <c r="CK537" s="607"/>
      <c r="CL537" s="72"/>
      <c r="CM537" s="21"/>
      <c r="CN537" s="104"/>
      <c r="CO537" s="607"/>
      <c r="CP537" s="72"/>
      <c r="CQ537" s="21"/>
      <c r="CR537" s="104"/>
      <c r="CS537" s="607"/>
      <c r="CT537" s="72"/>
      <c r="CU537" s="21"/>
      <c r="CV537" s="104"/>
      <c r="CW537" s="607"/>
      <c r="CX537" s="72"/>
      <c r="CY537" s="21"/>
      <c r="CZ537" s="104"/>
      <c r="DA537" s="607"/>
      <c r="DB537" s="72"/>
      <c r="DC537" s="21"/>
      <c r="DD537" s="104"/>
      <c r="DE537" s="607"/>
      <c r="DF537" s="72"/>
      <c r="DG537" s="21"/>
      <c r="DH537" s="104"/>
      <c r="DI537" s="104"/>
      <c r="DJ537" s="72"/>
      <c r="DK537" s="21"/>
      <c r="DL537" s="104"/>
      <c r="DM537" s="104"/>
      <c r="DN537" s="72"/>
      <c r="DO537" s="21"/>
      <c r="DP537" s="104"/>
      <c r="DQ537" s="104"/>
      <c r="DR537" s="72"/>
      <c r="DS537" s="21"/>
      <c r="DT537" s="21"/>
      <c r="DU537" s="21"/>
    </row>
    <row r="538" spans="1:126" s="20" customFormat="1" ht="13.8">
      <c r="A538" s="21" t="s">
        <v>958</v>
      </c>
      <c r="B538" s="49"/>
      <c r="BH538" s="73"/>
      <c r="BI538" s="73"/>
      <c r="BJ538" s="73"/>
      <c r="BK538" s="49"/>
      <c r="BL538" s="73"/>
      <c r="BM538" s="73"/>
      <c r="BN538" s="73"/>
      <c r="BO538" s="49"/>
      <c r="BP538" s="73"/>
      <c r="BQ538" s="73"/>
      <c r="BR538" s="73"/>
      <c r="BT538" s="73"/>
      <c r="BU538" s="73"/>
      <c r="BV538" s="73"/>
      <c r="BX538" s="104"/>
      <c r="BY538" s="104"/>
      <c r="BZ538" s="72"/>
      <c r="CA538" s="21"/>
      <c r="CB538" s="104">
        <f>CB37-CB533</f>
        <v>3320</v>
      </c>
      <c r="CC538" s="104">
        <f>CC37-CC533</f>
        <v>3548</v>
      </c>
      <c r="CD538" s="104">
        <f>SUM(CB538:CC538)</f>
        <v>6868</v>
      </c>
      <c r="CE538" s="21"/>
      <c r="CF538" s="104">
        <f>CF37-CF533</f>
        <v>3467</v>
      </c>
      <c r="CG538" s="104">
        <f>CG37-CG533</f>
        <v>3305</v>
      </c>
      <c r="CH538" s="104">
        <f>SUM(CF538:CG538)</f>
        <v>6772</v>
      </c>
      <c r="CI538" s="21"/>
      <c r="CJ538" s="104">
        <f>CJ37-CJ533</f>
        <v>2400</v>
      </c>
      <c r="CK538" s="104">
        <f>CK37-CK533</f>
        <v>2859</v>
      </c>
      <c r="CL538" s="104">
        <f>SUM(CJ538:CK538)</f>
        <v>5259</v>
      </c>
      <c r="CM538" s="21"/>
      <c r="CN538" s="104">
        <f>CN536-CN533</f>
        <v>3807</v>
      </c>
      <c r="CO538" s="104">
        <f>CO37-CO533</f>
        <v>3337</v>
      </c>
      <c r="CP538" s="104">
        <f>SUM(CN538:CO538)</f>
        <v>7144</v>
      </c>
      <c r="CQ538" s="21"/>
      <c r="CR538" s="104">
        <f>CR37-CR533</f>
        <v>3154</v>
      </c>
      <c r="CS538" s="104">
        <f>CS37-CS533</f>
        <v>3515</v>
      </c>
      <c r="CT538" s="104">
        <f>SUM(CR538:CS538)</f>
        <v>6669</v>
      </c>
      <c r="CU538" s="21"/>
      <c r="CV538" s="104">
        <f>CV37-CV533</f>
        <v>3990</v>
      </c>
      <c r="CW538" s="104">
        <f>CW37-CW533</f>
        <v>3730</v>
      </c>
      <c r="CX538" s="104">
        <f>SUM(CV538:CW538)</f>
        <v>7720</v>
      </c>
      <c r="CY538" s="21"/>
      <c r="CZ538" s="104">
        <f>CZ37-CZ533</f>
        <v>3714</v>
      </c>
      <c r="DA538" s="104">
        <f>DA37-DA533</f>
        <v>3173</v>
      </c>
      <c r="DB538" s="104">
        <f>SUM(CZ538:DA538)</f>
        <v>6887</v>
      </c>
      <c r="DC538" s="21"/>
      <c r="DD538" s="104">
        <f>DD37-DD533</f>
        <v>3568</v>
      </c>
      <c r="DE538" s="104">
        <f>DE37-DE533</f>
        <v>3328</v>
      </c>
      <c r="DF538" s="104">
        <f>SUM(DD538:DE538)</f>
        <v>6896</v>
      </c>
      <c r="DG538" s="21"/>
      <c r="DH538" s="104">
        <f ca="1">DH37-DH533</f>
        <v>3701.5536350305647</v>
      </c>
      <c r="DI538" s="104">
        <f ca="1">DI37-DI533</f>
        <v>3826.2909150494493</v>
      </c>
      <c r="DJ538" s="104">
        <f ca="1">SUM(DH538:DI538)</f>
        <v>7527.8445500800135</v>
      </c>
      <c r="DK538" s="21"/>
      <c r="DL538" s="104">
        <f ca="1">DL37-DL533</f>
        <v>3980.3177206167493</v>
      </c>
      <c r="DM538" s="104">
        <f ca="1">DM37-DM533</f>
        <v>3994.2697629431987</v>
      </c>
      <c r="DN538" s="104">
        <f ca="1">SUM(DL538:DM538)</f>
        <v>7974.5874835599479</v>
      </c>
      <c r="DO538" s="21"/>
      <c r="DP538" s="104">
        <f ca="1">DP37-DP533</f>
        <v>4160.966953009286</v>
      </c>
      <c r="DQ538" s="104">
        <f ca="1">DQ37-DQ533</f>
        <v>4318.1038988617502</v>
      </c>
      <c r="DR538" s="104">
        <f ca="1">SUM(DP538:DQ538)</f>
        <v>8479.0708518710362</v>
      </c>
      <c r="DS538" s="21"/>
      <c r="DT538" s="21"/>
      <c r="DU538" s="21"/>
    </row>
    <row r="539" spans="1:126" s="20" customFormat="1" ht="13.8">
      <c r="A539" s="915" t="s">
        <v>293</v>
      </c>
      <c r="B539" s="49"/>
      <c r="BH539" s="73"/>
      <c r="BI539" s="73"/>
      <c r="BJ539" s="73"/>
      <c r="BK539" s="49"/>
      <c r="BL539" s="73"/>
      <c r="BM539" s="73"/>
      <c r="BN539" s="73"/>
      <c r="BO539" s="49"/>
      <c r="BP539" s="73"/>
      <c r="BQ539" s="73"/>
      <c r="BR539" s="73"/>
      <c r="BT539" s="73"/>
      <c r="BU539" s="73"/>
      <c r="BV539" s="73"/>
      <c r="BX539" s="104"/>
      <c r="BY539" s="104"/>
      <c r="BZ539" s="72"/>
      <c r="CA539" s="21"/>
      <c r="CB539" s="104"/>
      <c r="CC539" s="607"/>
      <c r="CD539" s="72"/>
      <c r="CE539" s="21"/>
      <c r="CF539" s="908">
        <v>3467</v>
      </c>
      <c r="CG539" s="908">
        <v>3305</v>
      </c>
      <c r="CH539" s="72"/>
      <c r="CI539" s="21"/>
      <c r="CJ539" s="908">
        <v>2400</v>
      </c>
      <c r="CK539" s="908">
        <v>2859</v>
      </c>
      <c r="CL539" s="72"/>
      <c r="CM539" s="21"/>
      <c r="CN539" s="908">
        <v>3807</v>
      </c>
      <c r="CO539" s="908">
        <v>3337</v>
      </c>
      <c r="CP539" s="908">
        <v>7144</v>
      </c>
      <c r="CQ539" s="21"/>
      <c r="CR539" s="908">
        <v>3154</v>
      </c>
      <c r="CS539" s="908">
        <v>3515</v>
      </c>
      <c r="CT539" s="908">
        <v>6669</v>
      </c>
      <c r="CU539" s="21"/>
      <c r="CV539" s="908">
        <v>3982</v>
      </c>
      <c r="CW539" s="908">
        <v>3730</v>
      </c>
      <c r="CX539" s="908">
        <v>7712</v>
      </c>
      <c r="CY539" s="21"/>
      <c r="CZ539" s="908"/>
      <c r="DA539" s="908"/>
      <c r="DB539" s="908"/>
      <c r="DC539" s="21"/>
      <c r="DD539" s="908"/>
      <c r="DE539" s="908"/>
      <c r="DF539" s="908"/>
      <c r="DG539" s="21"/>
      <c r="DH539" s="104"/>
      <c r="DI539" s="104"/>
      <c r="DJ539" s="72"/>
      <c r="DK539" s="21"/>
      <c r="DL539" s="104"/>
      <c r="DM539" s="104"/>
      <c r="DN539" s="72"/>
      <c r="DO539" s="21"/>
      <c r="DP539" s="104"/>
      <c r="DQ539" s="104"/>
      <c r="DR539" s="72"/>
      <c r="DS539" s="21"/>
      <c r="DT539" s="21"/>
      <c r="DU539" s="21"/>
    </row>
    <row r="540" spans="1:126" s="20" customFormat="1" ht="13.8">
      <c r="B540" s="49"/>
      <c r="BH540" s="49"/>
      <c r="BI540" s="49"/>
      <c r="BJ540" s="49"/>
      <c r="BK540" s="49"/>
      <c r="BL540" s="49"/>
      <c r="BM540" s="49"/>
      <c r="BN540" s="49"/>
      <c r="BO540" s="49"/>
      <c r="BP540" s="49"/>
      <c r="CB540" s="49"/>
      <c r="CF540" s="49"/>
      <c r="CJ540" s="49"/>
      <c r="CN540" s="49"/>
      <c r="CR540" s="49"/>
      <c r="CV540" s="49"/>
      <c r="CZ540" s="49"/>
      <c r="DD540" s="49"/>
      <c r="DH540" s="49"/>
      <c r="DL540" s="49"/>
      <c r="DP540" s="49"/>
    </row>
    <row r="541" spans="1:126" s="20" customFormat="1" ht="13.8">
      <c r="A541" s="21" t="s">
        <v>940</v>
      </c>
      <c r="B541" s="49"/>
      <c r="BH541" s="73"/>
      <c r="BI541" s="73"/>
      <c r="BJ541" s="73"/>
      <c r="BK541" s="49"/>
      <c r="BL541" s="73"/>
      <c r="BM541" s="73"/>
      <c r="BN541" s="73"/>
      <c r="BO541" s="49"/>
      <c r="BP541" s="73"/>
      <c r="BQ541" s="73"/>
      <c r="BR541" s="73"/>
      <c r="BT541" s="73"/>
      <c r="BU541" s="73"/>
      <c r="BV541" s="73"/>
      <c r="BX541" s="104"/>
      <c r="BY541" s="104"/>
      <c r="BZ541" s="72"/>
      <c r="CA541" s="21"/>
      <c r="CB541" s="104"/>
      <c r="CC541" s="607"/>
      <c r="CD541" s="72"/>
      <c r="CE541" s="21"/>
      <c r="CF541" s="104"/>
      <c r="CG541" s="104"/>
      <c r="CH541" s="72"/>
      <c r="CI541" s="21"/>
      <c r="CJ541" s="104"/>
      <c r="CK541" s="912"/>
      <c r="CL541" s="72"/>
      <c r="CM541" s="21"/>
      <c r="CN541" s="104"/>
      <c r="CO541" s="912"/>
      <c r="CP541" s="72"/>
      <c r="CQ541" s="21"/>
      <c r="CR541" s="104"/>
      <c r="CS541" s="912"/>
      <c r="CT541" s="72"/>
      <c r="CU541" s="21"/>
      <c r="CV541" s="104"/>
      <c r="CW541" s="912"/>
      <c r="CX541" s="72"/>
      <c r="CY541" s="21"/>
      <c r="CZ541" s="104"/>
      <c r="DA541" s="912"/>
      <c r="DB541" s="72"/>
      <c r="DC541" s="21"/>
      <c r="DD541" s="104"/>
      <c r="DE541" s="912"/>
      <c r="DF541" s="72"/>
      <c r="DG541" s="21"/>
      <c r="DH541" s="104"/>
      <c r="DI541" s="104"/>
      <c r="DJ541" s="72"/>
      <c r="DK541" s="21"/>
      <c r="DL541" s="104"/>
      <c r="DM541" s="104"/>
      <c r="DN541" s="72"/>
      <c r="DO541" s="21"/>
      <c r="DP541" s="104"/>
      <c r="DQ541" s="104"/>
      <c r="DR541" s="72"/>
      <c r="DS541" s="21"/>
      <c r="DT541" s="21"/>
      <c r="DU541" s="21"/>
    </row>
    <row r="542" spans="1:126" s="20" customFormat="1" ht="13.8">
      <c r="A542" s="20" t="s">
        <v>282</v>
      </c>
      <c r="B542" s="49"/>
      <c r="BH542" s="73"/>
      <c r="BI542" s="73"/>
      <c r="BJ542" s="73"/>
      <c r="BK542" s="49"/>
      <c r="BL542" s="73"/>
      <c r="BM542" s="73"/>
      <c r="BN542" s="73"/>
      <c r="BO542" s="49"/>
      <c r="BP542" s="73"/>
      <c r="BQ542" s="73"/>
      <c r="BR542" s="73"/>
      <c r="BT542" s="73"/>
      <c r="BU542" s="73"/>
      <c r="BV542" s="73"/>
      <c r="BX542" s="102"/>
      <c r="BY542" s="102"/>
      <c r="BZ542" s="102">
        <f>BZ599</f>
        <v>-36</v>
      </c>
      <c r="CA542" s="21"/>
      <c r="CB542" s="102">
        <f>CB599</f>
        <v>-19</v>
      </c>
      <c r="CC542" s="102">
        <f>CC599</f>
        <v>-86</v>
      </c>
      <c r="CD542" s="65">
        <f>+CC542+CB542</f>
        <v>-105</v>
      </c>
      <c r="CE542" s="21"/>
      <c r="CF542" s="102">
        <f>CF599</f>
        <v>-22</v>
      </c>
      <c r="CG542" s="102">
        <f>CG599</f>
        <v>-119</v>
      </c>
      <c r="CH542" s="65">
        <f>+CG542+CF542</f>
        <v>-141</v>
      </c>
      <c r="CI542" s="21"/>
      <c r="CJ542" s="102">
        <f>CJ599</f>
        <v>-22</v>
      </c>
      <c r="CK542" s="102">
        <f>CK599</f>
        <v>-84</v>
      </c>
      <c r="CL542" s="65">
        <f>+CK542+CJ542</f>
        <v>-106</v>
      </c>
      <c r="CM542" s="21"/>
      <c r="CN542" s="102">
        <f>CN599</f>
        <v>-56</v>
      </c>
      <c r="CO542" s="102">
        <f>CO599</f>
        <v>-30</v>
      </c>
      <c r="CP542" s="65">
        <f>+CO542+CN542</f>
        <v>-86</v>
      </c>
      <c r="CQ542" s="21"/>
      <c r="CR542" s="102">
        <f>CR599</f>
        <v>-3</v>
      </c>
      <c r="CS542" s="102">
        <f>CS599</f>
        <v>3</v>
      </c>
      <c r="CT542" s="65">
        <f>+CS542+CR542</f>
        <v>0</v>
      </c>
      <c r="CU542" s="21"/>
      <c r="CV542" s="102">
        <f>CV599</f>
        <v>-10</v>
      </c>
      <c r="CW542" s="102">
        <f>CW599</f>
        <v>-8</v>
      </c>
      <c r="CX542" s="65">
        <f>+CW542+CV542</f>
        <v>-18</v>
      </c>
      <c r="CY542" s="21"/>
      <c r="CZ542" s="102">
        <f>CZ599</f>
        <v>0</v>
      </c>
      <c r="DA542" s="102">
        <f>DA599</f>
        <v>0</v>
      </c>
      <c r="DB542" s="65">
        <f>+DA542+CZ542</f>
        <v>0</v>
      </c>
      <c r="DC542" s="21"/>
      <c r="DD542" s="102">
        <f>DD599</f>
        <v>0</v>
      </c>
      <c r="DE542" s="102">
        <f>DE599</f>
        <v>0</v>
      </c>
      <c r="DF542" s="65">
        <f>+DE542+DD542</f>
        <v>0</v>
      </c>
      <c r="DG542" s="21"/>
      <c r="DH542" s="102">
        <f>DH599</f>
        <v>0</v>
      </c>
      <c r="DI542" s="102">
        <f>DI599</f>
        <v>0</v>
      </c>
      <c r="DJ542" s="65">
        <f>+DI542+DH542</f>
        <v>0</v>
      </c>
      <c r="DK542" s="21"/>
      <c r="DL542" s="102">
        <f>DL599</f>
        <v>0</v>
      </c>
      <c r="DM542" s="102">
        <f>DM599</f>
        <v>0</v>
      </c>
      <c r="DN542" s="65">
        <f>+DM542+DL542</f>
        <v>0</v>
      </c>
      <c r="DO542" s="21"/>
      <c r="DP542" s="102">
        <f>DP599</f>
        <v>0</v>
      </c>
      <c r="DQ542" s="102">
        <f>DQ599</f>
        <v>0</v>
      </c>
      <c r="DR542" s="65">
        <f>+DQ542+DP542</f>
        <v>0</v>
      </c>
      <c r="DS542" s="21"/>
      <c r="DT542" s="21"/>
      <c r="DU542" s="21"/>
    </row>
    <row r="543" spans="1:126" s="20" customFormat="1" ht="13.8">
      <c r="A543" s="20" t="s">
        <v>346</v>
      </c>
      <c r="B543" s="49"/>
      <c r="BH543" s="73"/>
      <c r="BI543" s="73"/>
      <c r="BJ543" s="73"/>
      <c r="BK543" s="49"/>
      <c r="BL543" s="73"/>
      <c r="BM543" s="73"/>
      <c r="BN543" s="73"/>
      <c r="BO543" s="49"/>
      <c r="BP543" s="73"/>
      <c r="BQ543" s="73"/>
      <c r="BR543" s="73"/>
      <c r="BT543" s="73"/>
      <c r="BU543" s="73"/>
      <c r="BV543" s="73"/>
      <c r="BX543" s="102"/>
      <c r="BY543" s="102"/>
      <c r="BZ543" s="102">
        <f>BZ743</f>
        <v>-34</v>
      </c>
      <c r="CA543" s="21"/>
      <c r="CB543" s="102">
        <f>CB743</f>
        <v>-13</v>
      </c>
      <c r="CC543" s="102">
        <f>CC743</f>
        <v>-81</v>
      </c>
      <c r="CD543" s="65">
        <f t="shared" ref="CD543:CD549" si="821">+CC543+CB543</f>
        <v>-94</v>
      </c>
      <c r="CE543" s="21"/>
      <c r="CF543" s="102">
        <f>CF743</f>
        <v>-34</v>
      </c>
      <c r="CG543" s="102">
        <f>CG743</f>
        <v>-29</v>
      </c>
      <c r="CH543" s="65">
        <f t="shared" ref="CH543:CH549" si="822">+CG543+CF543</f>
        <v>-63</v>
      </c>
      <c r="CI543" s="21"/>
      <c r="CJ543" s="102">
        <f>CJ743</f>
        <v>-36</v>
      </c>
      <c r="CK543" s="102">
        <f>CK743</f>
        <v>-32</v>
      </c>
      <c r="CL543" s="65">
        <f t="shared" ref="CL543:CL549" si="823">+CK543+CJ543</f>
        <v>-68</v>
      </c>
      <c r="CM543" s="21"/>
      <c r="CN543" s="102">
        <f>CN743</f>
        <v>-18</v>
      </c>
      <c r="CO543" s="102">
        <f>CO743</f>
        <v>-38</v>
      </c>
      <c r="CP543" s="65">
        <f t="shared" ref="CP543:CP549" si="824">+CO543+CN543</f>
        <v>-56</v>
      </c>
      <c r="CQ543" s="21"/>
      <c r="CR543" s="102">
        <f>CR743</f>
        <v>-22</v>
      </c>
      <c r="CS543" s="102">
        <f>CS743</f>
        <v>-12</v>
      </c>
      <c r="CT543" s="65">
        <f t="shared" ref="CT543:CT549" si="825">+CS543+CR543</f>
        <v>-34</v>
      </c>
      <c r="CU543" s="21"/>
      <c r="CV543" s="102">
        <f>CV743</f>
        <v>-7</v>
      </c>
      <c r="CW543" s="102">
        <f>CW743</f>
        <v>-23</v>
      </c>
      <c r="CX543" s="65">
        <f t="shared" ref="CX543:CX549" si="826">+CW543+CV543</f>
        <v>-30</v>
      </c>
      <c r="CY543" s="21"/>
      <c r="CZ543" s="102">
        <f>CZ743</f>
        <v>0</v>
      </c>
      <c r="DA543" s="102">
        <f>DA743</f>
        <v>0</v>
      </c>
      <c r="DB543" s="65">
        <f t="shared" ref="DB543:DB549" si="827">+DA543+CZ543</f>
        <v>0</v>
      </c>
      <c r="DC543" s="21"/>
      <c r="DD543" s="102">
        <f>DD743</f>
        <v>0</v>
      </c>
      <c r="DE543" s="102">
        <f>DE743</f>
        <v>0</v>
      </c>
      <c r="DF543" s="65">
        <f t="shared" ref="DF543:DF549" si="828">+DE543+DD543</f>
        <v>0</v>
      </c>
      <c r="DG543" s="21"/>
      <c r="DH543" s="102">
        <f>DH743</f>
        <v>0</v>
      </c>
      <c r="DI543" s="102">
        <f>DI743</f>
        <v>0</v>
      </c>
      <c r="DJ543" s="65">
        <f t="shared" ref="DJ543:DJ549" si="829">+DI543+DH543</f>
        <v>0</v>
      </c>
      <c r="DK543" s="21"/>
      <c r="DL543" s="102">
        <f>DL743</f>
        <v>0</v>
      </c>
      <c r="DM543" s="102">
        <f>DM743</f>
        <v>0</v>
      </c>
      <c r="DN543" s="65">
        <f t="shared" ref="DN543:DN549" si="830">+DM543+DL543</f>
        <v>0</v>
      </c>
      <c r="DO543" s="21"/>
      <c r="DP543" s="102">
        <f>DP743</f>
        <v>0</v>
      </c>
      <c r="DQ543" s="102">
        <f>DQ743</f>
        <v>0</v>
      </c>
      <c r="DR543" s="65">
        <f t="shared" ref="DR543:DR549" si="831">+DQ543+DP543</f>
        <v>0</v>
      </c>
      <c r="DS543" s="21"/>
      <c r="DT543" s="21"/>
      <c r="DU543" s="21"/>
    </row>
    <row r="544" spans="1:126" s="20" customFormat="1" ht="13.8">
      <c r="A544" s="20" t="s">
        <v>929</v>
      </c>
      <c r="B544" s="49"/>
      <c r="BH544" s="73"/>
      <c r="BI544" s="73"/>
      <c r="BJ544" s="73"/>
      <c r="BK544" s="49"/>
      <c r="BL544" s="73"/>
      <c r="BM544" s="73"/>
      <c r="BN544" s="73"/>
      <c r="BO544" s="49"/>
      <c r="BP544" s="73"/>
      <c r="BQ544" s="73"/>
      <c r="BR544" s="73"/>
      <c r="BT544" s="73"/>
      <c r="BU544" s="73"/>
      <c r="BV544" s="73"/>
      <c r="BX544" s="102"/>
      <c r="BY544" s="102"/>
      <c r="BZ544" s="102">
        <f>BZ791</f>
        <v>0</v>
      </c>
      <c r="CA544" s="21"/>
      <c r="CB544" s="102">
        <f>CB791</f>
        <v>0</v>
      </c>
      <c r="CC544" s="102">
        <f>CC791</f>
        <v>-29</v>
      </c>
      <c r="CD544" s="65">
        <f t="shared" si="821"/>
        <v>-29</v>
      </c>
      <c r="CE544" s="21"/>
      <c r="CF544" s="102">
        <f>CF791</f>
        <v>-8</v>
      </c>
      <c r="CG544" s="102">
        <f>CG791</f>
        <v>0</v>
      </c>
      <c r="CH544" s="65">
        <f t="shared" si="822"/>
        <v>-8</v>
      </c>
      <c r="CI544" s="21"/>
      <c r="CJ544" s="102">
        <f>CJ791</f>
        <v>0</v>
      </c>
      <c r="CK544" s="102">
        <f>CK791</f>
        <v>0</v>
      </c>
      <c r="CL544" s="65">
        <f t="shared" si="823"/>
        <v>0</v>
      </c>
      <c r="CM544" s="21"/>
      <c r="CN544" s="102">
        <f>CN791</f>
        <v>0</v>
      </c>
      <c r="CO544" s="102">
        <f>CO791</f>
        <v>0</v>
      </c>
      <c r="CP544" s="65">
        <f t="shared" si="824"/>
        <v>0</v>
      </c>
      <c r="CQ544" s="21"/>
      <c r="CR544" s="102">
        <f>CR791</f>
        <v>0</v>
      </c>
      <c r="CS544" s="102">
        <f>CS791</f>
        <v>0</v>
      </c>
      <c r="CT544" s="65">
        <f t="shared" si="825"/>
        <v>0</v>
      </c>
      <c r="CU544" s="21"/>
      <c r="CV544" s="102">
        <f>CV791</f>
        <v>0</v>
      </c>
      <c r="CW544" s="102">
        <f>CW791</f>
        <v>0</v>
      </c>
      <c r="CX544" s="65">
        <f t="shared" si="826"/>
        <v>0</v>
      </c>
      <c r="CY544" s="21"/>
      <c r="CZ544" s="102">
        <f>CZ791</f>
        <v>0</v>
      </c>
      <c r="DA544" s="102">
        <f>DA791</f>
        <v>0</v>
      </c>
      <c r="DB544" s="65">
        <f t="shared" si="827"/>
        <v>0</v>
      </c>
      <c r="DC544" s="21"/>
      <c r="DD544" s="102">
        <f>DD791</f>
        <v>0</v>
      </c>
      <c r="DE544" s="102">
        <f>DE791</f>
        <v>0</v>
      </c>
      <c r="DF544" s="65">
        <f t="shared" si="828"/>
        <v>0</v>
      </c>
      <c r="DG544" s="21"/>
      <c r="DH544" s="102">
        <f>DH791</f>
        <v>0</v>
      </c>
      <c r="DI544" s="102">
        <f>DI791</f>
        <v>0</v>
      </c>
      <c r="DJ544" s="65">
        <f t="shared" si="829"/>
        <v>0</v>
      </c>
      <c r="DK544" s="21"/>
      <c r="DL544" s="102">
        <f>DL791</f>
        <v>0</v>
      </c>
      <c r="DM544" s="102">
        <f>DM791</f>
        <v>0</v>
      </c>
      <c r="DN544" s="65">
        <f t="shared" si="830"/>
        <v>0</v>
      </c>
      <c r="DO544" s="21"/>
      <c r="DP544" s="102">
        <f>DP791</f>
        <v>0</v>
      </c>
      <c r="DQ544" s="102">
        <f>DQ791</f>
        <v>0</v>
      </c>
      <c r="DR544" s="65">
        <f t="shared" si="831"/>
        <v>0</v>
      </c>
      <c r="DS544" s="21"/>
      <c r="DT544" s="21"/>
      <c r="DU544" s="21"/>
    </row>
    <row r="545" spans="1:128" s="21" customFormat="1" ht="13.8">
      <c r="A545" s="21" t="s">
        <v>256</v>
      </c>
      <c r="B545" s="27"/>
      <c r="BH545" s="383"/>
      <c r="BI545" s="383"/>
      <c r="BJ545" s="383"/>
      <c r="BK545" s="27"/>
      <c r="BL545" s="383"/>
      <c r="BM545" s="383"/>
      <c r="BN545" s="383"/>
      <c r="BO545" s="27"/>
      <c r="BP545" s="383"/>
      <c r="BQ545" s="383"/>
      <c r="BR545" s="383"/>
      <c r="BT545" s="383"/>
      <c r="BU545" s="383"/>
      <c r="BV545" s="383"/>
      <c r="BX545" s="104"/>
      <c r="BY545" s="104"/>
      <c r="BZ545" s="104">
        <f>SUM(BZ542:BZ544)</f>
        <v>-70</v>
      </c>
      <c r="CB545" s="104">
        <f>SUM(CB542:CB544)</f>
        <v>-32</v>
      </c>
      <c r="CC545" s="104">
        <f>SUM(CC542:CC544)</f>
        <v>-196</v>
      </c>
      <c r="CD545" s="65">
        <f t="shared" si="821"/>
        <v>-228</v>
      </c>
      <c r="CF545" s="104">
        <f>SUM(CF542:CF544)</f>
        <v>-64</v>
      </c>
      <c r="CG545" s="104">
        <f>SUM(CG542:CG544)</f>
        <v>-148</v>
      </c>
      <c r="CH545" s="65">
        <f t="shared" si="822"/>
        <v>-212</v>
      </c>
      <c r="CJ545" s="104">
        <f>SUM(CJ542:CJ544)</f>
        <v>-58</v>
      </c>
      <c r="CK545" s="104">
        <f>SUM(CK542:CK544)</f>
        <v>-116</v>
      </c>
      <c r="CL545" s="65">
        <f t="shared" si="823"/>
        <v>-174</v>
      </c>
      <c r="CN545" s="104">
        <f>SUM(CN542:CN544)</f>
        <v>-74</v>
      </c>
      <c r="CO545" s="104">
        <f>SUM(CO542:CO544)</f>
        <v>-68</v>
      </c>
      <c r="CP545" s="65">
        <f t="shared" si="824"/>
        <v>-142</v>
      </c>
      <c r="CR545" s="104">
        <f>SUM(CR542:CR544)</f>
        <v>-25</v>
      </c>
      <c r="CS545" s="104">
        <f>SUM(CS542:CS544)</f>
        <v>-9</v>
      </c>
      <c r="CT545" s="65">
        <f t="shared" si="825"/>
        <v>-34</v>
      </c>
      <c r="CV545" s="104">
        <f>SUM(CV542:CV544)</f>
        <v>-17</v>
      </c>
      <c r="CW545" s="104">
        <f>SUM(CW542:CW544)</f>
        <v>-31</v>
      </c>
      <c r="CX545" s="65">
        <f t="shared" si="826"/>
        <v>-48</v>
      </c>
      <c r="CZ545" s="104">
        <f>SUM(CZ542:CZ544)</f>
        <v>0</v>
      </c>
      <c r="DA545" s="104">
        <f>SUM(DA542:DA544)</f>
        <v>0</v>
      </c>
      <c r="DB545" s="65">
        <f t="shared" si="827"/>
        <v>0</v>
      </c>
      <c r="DD545" s="104">
        <f>SUM(DD542:DD544)</f>
        <v>0</v>
      </c>
      <c r="DE545" s="104">
        <f>SUM(DE542:DE544)</f>
        <v>0</v>
      </c>
      <c r="DF545" s="65">
        <f t="shared" si="828"/>
        <v>0</v>
      </c>
      <c r="DH545" s="104">
        <f>SUM(DH542:DH544)</f>
        <v>0</v>
      </c>
      <c r="DI545" s="104">
        <f>SUM(DI542:DI544)</f>
        <v>0</v>
      </c>
      <c r="DJ545" s="65">
        <f t="shared" si="829"/>
        <v>0</v>
      </c>
      <c r="DL545" s="104">
        <f>SUM(DL542:DL544)</f>
        <v>0</v>
      </c>
      <c r="DM545" s="104">
        <f>SUM(DM542:DM544)</f>
        <v>0</v>
      </c>
      <c r="DN545" s="65">
        <f t="shared" si="830"/>
        <v>0</v>
      </c>
      <c r="DP545" s="104">
        <f>SUM(DP542:DP544)</f>
        <v>0</v>
      </c>
      <c r="DQ545" s="104">
        <f>SUM(DQ542:DQ544)</f>
        <v>0</v>
      </c>
      <c r="DR545" s="65">
        <f t="shared" si="831"/>
        <v>0</v>
      </c>
    </row>
    <row r="546" spans="1:128" s="20" customFormat="1" ht="13.8">
      <c r="A546" s="20" t="s">
        <v>238</v>
      </c>
      <c r="B546" s="49"/>
      <c r="BH546" s="73"/>
      <c r="BI546" s="73"/>
      <c r="BJ546" s="73"/>
      <c r="BK546" s="49"/>
      <c r="BL546" s="73"/>
      <c r="BM546" s="73"/>
      <c r="BN546" s="73"/>
      <c r="BO546" s="49"/>
      <c r="BP546" s="73"/>
      <c r="BQ546" s="73"/>
      <c r="BR546" s="73"/>
      <c r="BT546" s="73"/>
      <c r="BU546" s="73"/>
      <c r="BV546" s="73"/>
      <c r="BX546" s="102"/>
      <c r="BY546" s="102"/>
      <c r="BZ546" s="102">
        <f>BZ944</f>
        <v>-83</v>
      </c>
      <c r="CA546" s="21"/>
      <c r="CB546" s="102">
        <f>CB944</f>
        <v>-35</v>
      </c>
      <c r="CC546" s="102">
        <f>CC944</f>
        <v>-156</v>
      </c>
      <c r="CD546" s="65">
        <f t="shared" si="821"/>
        <v>-191</v>
      </c>
      <c r="CE546" s="21"/>
      <c r="CF546" s="102">
        <f>CF944</f>
        <v>-38</v>
      </c>
      <c r="CG546" s="102">
        <f>CG944</f>
        <v>-308</v>
      </c>
      <c r="CH546" s="65">
        <f t="shared" si="822"/>
        <v>-346</v>
      </c>
      <c r="CI546" s="21"/>
      <c r="CJ546" s="102">
        <f>CJ886</f>
        <v>-71</v>
      </c>
      <c r="CK546" s="102">
        <f>CK886</f>
        <v>-138</v>
      </c>
      <c r="CL546" s="65">
        <f t="shared" si="823"/>
        <v>-209</v>
      </c>
      <c r="CM546" s="21"/>
      <c r="CN546" s="102">
        <f>CN886</f>
        <v>-92</v>
      </c>
      <c r="CO546" s="102">
        <f>CO886</f>
        <v>-93</v>
      </c>
      <c r="CP546" s="65">
        <f t="shared" si="824"/>
        <v>-185</v>
      </c>
      <c r="CQ546" s="21"/>
      <c r="CR546" s="102">
        <f>CR886</f>
        <v>-158</v>
      </c>
      <c r="CS546" s="102">
        <f>CS886</f>
        <v>-42</v>
      </c>
      <c r="CT546" s="65">
        <f t="shared" si="825"/>
        <v>-200</v>
      </c>
      <c r="CU546" s="21"/>
      <c r="CV546" s="102">
        <f>CV886</f>
        <v>-43</v>
      </c>
      <c r="CW546" s="102">
        <f>CW886</f>
        <v>-41</v>
      </c>
      <c r="CX546" s="65">
        <f t="shared" si="826"/>
        <v>-84</v>
      </c>
      <c r="CY546" s="21"/>
      <c r="CZ546" s="102">
        <f>CZ886</f>
        <v>0</v>
      </c>
      <c r="DA546" s="102">
        <f>DA886</f>
        <v>0</v>
      </c>
      <c r="DB546" s="65">
        <f t="shared" si="827"/>
        <v>0</v>
      </c>
      <c r="DC546" s="21"/>
      <c r="DD546" s="102">
        <f>DD886</f>
        <v>0</v>
      </c>
      <c r="DE546" s="102">
        <f>DE886</f>
        <v>0</v>
      </c>
      <c r="DF546" s="65">
        <f t="shared" si="828"/>
        <v>0</v>
      </c>
      <c r="DG546" s="21"/>
      <c r="DH546" s="102">
        <f>DH886</f>
        <v>0</v>
      </c>
      <c r="DI546" s="102">
        <f>DI886</f>
        <v>0</v>
      </c>
      <c r="DJ546" s="65">
        <f t="shared" si="829"/>
        <v>0</v>
      </c>
      <c r="DK546" s="21"/>
      <c r="DL546" s="102">
        <f>DL886</f>
        <v>0</v>
      </c>
      <c r="DM546" s="102">
        <f>DM886</f>
        <v>0</v>
      </c>
      <c r="DN546" s="65">
        <f t="shared" si="830"/>
        <v>0</v>
      </c>
      <c r="DO546" s="21"/>
      <c r="DP546" s="102">
        <f>DP886</f>
        <v>0</v>
      </c>
      <c r="DQ546" s="102">
        <f>DQ886</f>
        <v>0</v>
      </c>
      <c r="DR546" s="65">
        <f t="shared" si="831"/>
        <v>0</v>
      </c>
      <c r="DS546" s="21"/>
      <c r="DT546" s="21"/>
      <c r="DU546" s="21"/>
    </row>
    <row r="547" spans="1:128" s="21" customFormat="1" ht="13.8">
      <c r="A547" s="21" t="s">
        <v>740</v>
      </c>
      <c r="B547" s="27"/>
      <c r="BH547" s="383"/>
      <c r="BI547" s="383"/>
      <c r="BJ547" s="383"/>
      <c r="BK547" s="27"/>
      <c r="BL547" s="383"/>
      <c r="BM547" s="383"/>
      <c r="BN547" s="383"/>
      <c r="BO547" s="27"/>
      <c r="BP547" s="383"/>
      <c r="BQ547" s="383"/>
      <c r="BR547" s="383"/>
      <c r="BT547" s="383"/>
      <c r="BU547" s="383"/>
      <c r="BV547" s="383"/>
      <c r="BX547" s="104"/>
      <c r="BY547" s="104"/>
      <c r="BZ547" s="104">
        <f>SUM(BZ545:BZ546)</f>
        <v>-153</v>
      </c>
      <c r="CB547" s="104">
        <f>SUM(CB545:CB546)</f>
        <v>-67</v>
      </c>
      <c r="CC547" s="104">
        <f>SUM(CC545:CC546)</f>
        <v>-352</v>
      </c>
      <c r="CD547" s="72">
        <f t="shared" si="821"/>
        <v>-419</v>
      </c>
      <c r="CF547" s="104">
        <f>SUM(CF545:CF546)</f>
        <v>-102</v>
      </c>
      <c r="CG547" s="104">
        <f>SUM(CG545:CG546)</f>
        <v>-456</v>
      </c>
      <c r="CH547" s="72">
        <f t="shared" si="822"/>
        <v>-558</v>
      </c>
      <c r="CJ547" s="104">
        <f>SUM(CJ545:CJ546)</f>
        <v>-129</v>
      </c>
      <c r="CK547" s="104">
        <f>SUM(CK545:CK546)</f>
        <v>-254</v>
      </c>
      <c r="CL547" s="72">
        <f t="shared" si="823"/>
        <v>-383</v>
      </c>
      <c r="CN547" s="104">
        <f>SUM(CN545:CN546)</f>
        <v>-166</v>
      </c>
      <c r="CO547" s="104">
        <f>SUM(CO545:CO546)</f>
        <v>-161</v>
      </c>
      <c r="CP547" s="72">
        <f t="shared" si="824"/>
        <v>-327</v>
      </c>
      <c r="CR547" s="104">
        <f>SUM(CR545:CR546)</f>
        <v>-183</v>
      </c>
      <c r="CS547" s="104">
        <f>SUM(CS545:CS546)</f>
        <v>-51</v>
      </c>
      <c r="CT547" s="72">
        <f t="shared" si="825"/>
        <v>-234</v>
      </c>
      <c r="CV547" s="104">
        <f>SUM(CV545:CV546)</f>
        <v>-60</v>
      </c>
      <c r="CW547" s="104">
        <f>SUM(CW545:CW546)</f>
        <v>-72</v>
      </c>
      <c r="CX547" s="72">
        <f t="shared" si="826"/>
        <v>-132</v>
      </c>
      <c r="CZ547" s="104">
        <f>SUM(CZ545:CZ546)</f>
        <v>0</v>
      </c>
      <c r="DA547" s="104">
        <f>SUM(DA545:DA546)</f>
        <v>0</v>
      </c>
      <c r="DB547" s="72">
        <f t="shared" si="827"/>
        <v>0</v>
      </c>
      <c r="DD547" s="104">
        <f>SUM(DD545:DD546)</f>
        <v>0</v>
      </c>
      <c r="DE547" s="104">
        <f>SUM(DE545:DE546)</f>
        <v>0</v>
      </c>
      <c r="DF547" s="72">
        <f t="shared" si="828"/>
        <v>0</v>
      </c>
      <c r="DH547" s="104">
        <f>SUM(DH545:DH546)</f>
        <v>0</v>
      </c>
      <c r="DI547" s="104">
        <f>SUM(DI545:DI546)</f>
        <v>0</v>
      </c>
      <c r="DJ547" s="72">
        <f t="shared" si="829"/>
        <v>0</v>
      </c>
      <c r="DL547" s="104">
        <f>SUM(DL545:DL546)</f>
        <v>0</v>
      </c>
      <c r="DM547" s="104">
        <f>SUM(DM545:DM546)</f>
        <v>0</v>
      </c>
      <c r="DN547" s="72">
        <f t="shared" si="830"/>
        <v>0</v>
      </c>
      <c r="DP547" s="104">
        <f>SUM(DP545:DP546)</f>
        <v>0</v>
      </c>
      <c r="DQ547" s="104">
        <f>SUM(DQ545:DQ546)</f>
        <v>0</v>
      </c>
      <c r="DR547" s="72">
        <f t="shared" si="831"/>
        <v>0</v>
      </c>
    </row>
    <row r="548" spans="1:128" s="20" customFormat="1" ht="13.8">
      <c r="A548" s="20" t="s">
        <v>927</v>
      </c>
      <c r="B548" s="49"/>
      <c r="BH548" s="73"/>
      <c r="BI548" s="73"/>
      <c r="BJ548" s="73"/>
      <c r="BK548" s="49"/>
      <c r="BL548" s="73"/>
      <c r="BM548" s="73"/>
      <c r="BN548" s="73"/>
      <c r="BO548" s="49"/>
      <c r="BP548" s="73"/>
      <c r="BQ548" s="73"/>
      <c r="BR548" s="73"/>
      <c r="BT548" s="73"/>
      <c r="BU548" s="73"/>
      <c r="BV548" s="73"/>
      <c r="BX548" s="102"/>
      <c r="BY548" s="102"/>
      <c r="BZ548" s="573">
        <v>41</v>
      </c>
      <c r="CA548" s="21"/>
      <c r="CB548" s="573">
        <v>22</v>
      </c>
      <c r="CC548" s="573">
        <v>102</v>
      </c>
      <c r="CD548" s="65">
        <f t="shared" si="821"/>
        <v>124</v>
      </c>
      <c r="CE548" s="21"/>
      <c r="CF548" s="573">
        <v>30</v>
      </c>
      <c r="CG548" s="573">
        <v>80</v>
      </c>
      <c r="CH548" s="65">
        <f t="shared" si="822"/>
        <v>110</v>
      </c>
      <c r="CI548" s="21"/>
      <c r="CJ548" s="573">
        <v>38</v>
      </c>
      <c r="CK548" s="573">
        <v>66</v>
      </c>
      <c r="CL548" s="65">
        <f t="shared" si="823"/>
        <v>104</v>
      </c>
      <c r="CM548" s="21"/>
      <c r="CN548" s="573">
        <v>50</v>
      </c>
      <c r="CO548" s="573">
        <v>48</v>
      </c>
      <c r="CP548" s="65">
        <f t="shared" si="824"/>
        <v>98</v>
      </c>
      <c r="CQ548" s="21"/>
      <c r="CR548" s="573">
        <v>50</v>
      </c>
      <c r="CS548" s="573">
        <v>8</v>
      </c>
      <c r="CT548" s="65">
        <f t="shared" si="825"/>
        <v>58</v>
      </c>
      <c r="CU548" s="21"/>
      <c r="CV548" s="573">
        <v>18</v>
      </c>
      <c r="CW548" s="573">
        <v>8</v>
      </c>
      <c r="CX548" s="65">
        <f t="shared" si="826"/>
        <v>26</v>
      </c>
      <c r="CY548" s="21"/>
      <c r="CZ548" s="573">
        <v>0</v>
      </c>
      <c r="DA548" s="573">
        <v>0</v>
      </c>
      <c r="DB548" s="65">
        <f t="shared" si="827"/>
        <v>0</v>
      </c>
      <c r="DC548" s="21"/>
      <c r="DD548" s="573">
        <v>0</v>
      </c>
      <c r="DE548" s="573">
        <v>0</v>
      </c>
      <c r="DF548" s="65">
        <f t="shared" si="828"/>
        <v>0</v>
      </c>
      <c r="DG548" s="21"/>
      <c r="DH548" s="102">
        <f>-DH547*DH550</f>
        <v>0</v>
      </c>
      <c r="DI548" s="102">
        <f>-DI547*DI550</f>
        <v>0</v>
      </c>
      <c r="DJ548" s="65">
        <f t="shared" si="829"/>
        <v>0</v>
      </c>
      <c r="DK548" s="21"/>
      <c r="DL548" s="102">
        <f>-DL547*DL550</f>
        <v>0</v>
      </c>
      <c r="DM548" s="102">
        <f>-DM547*DM550</f>
        <v>0</v>
      </c>
      <c r="DN548" s="65">
        <f t="shared" si="830"/>
        <v>0</v>
      </c>
      <c r="DO548" s="21"/>
      <c r="DP548" s="102">
        <f>-DP547*DP550</f>
        <v>0</v>
      </c>
      <c r="DQ548" s="102">
        <f>-DQ547*DQ550</f>
        <v>0</v>
      </c>
      <c r="DR548" s="65">
        <f t="shared" si="831"/>
        <v>0</v>
      </c>
      <c r="DS548" s="21"/>
      <c r="DT548" s="21"/>
      <c r="DU548" s="21"/>
    </row>
    <row r="549" spans="1:128" s="21" customFormat="1" ht="13.8">
      <c r="A549" s="21" t="s">
        <v>928</v>
      </c>
      <c r="B549" s="27"/>
      <c r="BH549" s="383"/>
      <c r="BI549" s="383"/>
      <c r="BJ549" s="383"/>
      <c r="BK549" s="27"/>
      <c r="BL549" s="383"/>
      <c r="BM549" s="383"/>
      <c r="BN549" s="383"/>
      <c r="BO549" s="27"/>
      <c r="BP549" s="383"/>
      <c r="BQ549" s="383"/>
      <c r="BR549" s="383"/>
      <c r="BT549" s="383"/>
      <c r="BU549" s="383"/>
      <c r="BV549" s="383"/>
      <c r="BX549" s="104"/>
      <c r="BY549" s="104"/>
      <c r="BZ549" s="104">
        <f>SUM(BZ547:BZ548)</f>
        <v>-112</v>
      </c>
      <c r="CB549" s="104">
        <f>SUM(CB547:CB548)</f>
        <v>-45</v>
      </c>
      <c r="CC549" s="104">
        <f>SUM(CC547:CC548)</f>
        <v>-250</v>
      </c>
      <c r="CD549" s="72">
        <f t="shared" si="821"/>
        <v>-295</v>
      </c>
      <c r="CF549" s="104">
        <f>SUM(CF547:CF548)</f>
        <v>-72</v>
      </c>
      <c r="CG549" s="104">
        <f>SUM(CG547:CG548)</f>
        <v>-376</v>
      </c>
      <c r="CH549" s="72">
        <f t="shared" si="822"/>
        <v>-448</v>
      </c>
      <c r="CJ549" s="104">
        <f>SUM(CJ547:CJ548)</f>
        <v>-91</v>
      </c>
      <c r="CK549" s="104">
        <f>SUM(CK547:CK548)</f>
        <v>-188</v>
      </c>
      <c r="CL549" s="72">
        <f t="shared" si="823"/>
        <v>-279</v>
      </c>
      <c r="CN549" s="104">
        <f>SUM(CN547:CN548)</f>
        <v>-116</v>
      </c>
      <c r="CO549" s="104">
        <f>SUM(CO547:CO548)</f>
        <v>-113</v>
      </c>
      <c r="CP549" s="72">
        <f t="shared" si="824"/>
        <v>-229</v>
      </c>
      <c r="CR549" s="104">
        <f>SUM(CR547:CR548)</f>
        <v>-133</v>
      </c>
      <c r="CS549" s="104">
        <f>SUM(CS547:CS548)</f>
        <v>-43</v>
      </c>
      <c r="CT549" s="72">
        <f t="shared" si="825"/>
        <v>-176</v>
      </c>
      <c r="CV549" s="104">
        <f>SUM(CV547:CV548)</f>
        <v>-42</v>
      </c>
      <c r="CW549" s="104">
        <f>SUM(CW547:CW548)</f>
        <v>-64</v>
      </c>
      <c r="CX549" s="72">
        <f t="shared" si="826"/>
        <v>-106</v>
      </c>
      <c r="CZ549" s="104">
        <f>SUM(CZ547:CZ548)</f>
        <v>0</v>
      </c>
      <c r="DA549" s="104">
        <f>SUM(DA547:DA548)</f>
        <v>0</v>
      </c>
      <c r="DB549" s="72">
        <f t="shared" si="827"/>
        <v>0</v>
      </c>
      <c r="DD549" s="104">
        <f>SUM(DD547:DD548)</f>
        <v>0</v>
      </c>
      <c r="DE549" s="104">
        <f>SUM(DE547:DE548)</f>
        <v>0</v>
      </c>
      <c r="DF549" s="72">
        <f t="shared" si="828"/>
        <v>0</v>
      </c>
      <c r="DH549" s="104">
        <f>SUM(DH547:DH548)</f>
        <v>0</v>
      </c>
      <c r="DI549" s="104">
        <f>SUM(DI547:DI548)</f>
        <v>0</v>
      </c>
      <c r="DJ549" s="72">
        <f t="shared" si="829"/>
        <v>0</v>
      </c>
      <c r="DL549" s="104">
        <f>SUM(DL547:DL548)</f>
        <v>0</v>
      </c>
      <c r="DM549" s="104">
        <f>SUM(DM547:DM548)</f>
        <v>0</v>
      </c>
      <c r="DN549" s="72">
        <f t="shared" si="830"/>
        <v>0</v>
      </c>
      <c r="DP549" s="104">
        <f>SUM(DP547:DP548)</f>
        <v>0</v>
      </c>
      <c r="DQ549" s="104">
        <f>SUM(DQ547:DQ548)</f>
        <v>0</v>
      </c>
      <c r="DR549" s="72">
        <f t="shared" si="831"/>
        <v>0</v>
      </c>
    </row>
    <row r="550" spans="1:128" s="20" customFormat="1" ht="13.8">
      <c r="A550" s="574" t="s">
        <v>132</v>
      </c>
      <c r="B550" s="547"/>
      <c r="C550" s="533"/>
      <c r="D550" s="533"/>
      <c r="E550" s="533"/>
      <c r="F550" s="533"/>
      <c r="G550" s="533"/>
      <c r="H550" s="533"/>
      <c r="I550" s="533"/>
      <c r="J550" s="533"/>
      <c r="K550" s="533"/>
      <c r="L550" s="533"/>
      <c r="M550" s="533"/>
      <c r="N550" s="533"/>
      <c r="O550" s="533"/>
      <c r="P550" s="533"/>
      <c r="Q550" s="533"/>
      <c r="R550" s="533"/>
      <c r="S550" s="533"/>
      <c r="T550" s="533"/>
      <c r="U550" s="533"/>
      <c r="V550" s="533"/>
      <c r="W550" s="533"/>
      <c r="X550" s="533"/>
      <c r="Y550" s="533"/>
      <c r="Z550" s="533"/>
      <c r="AA550" s="533"/>
      <c r="AB550" s="533"/>
      <c r="AC550" s="533"/>
      <c r="AD550" s="533"/>
      <c r="AE550" s="533"/>
      <c r="AF550" s="533"/>
      <c r="AG550" s="533"/>
      <c r="AH550" s="533"/>
      <c r="AI550" s="533"/>
      <c r="AJ550" s="533"/>
      <c r="AK550" s="533"/>
      <c r="AL550" s="533"/>
      <c r="AM550" s="533"/>
      <c r="AN550" s="533"/>
      <c r="AO550" s="533"/>
      <c r="AP550" s="533"/>
      <c r="AQ550" s="533"/>
      <c r="AR550" s="533"/>
      <c r="AS550" s="533"/>
      <c r="AT550" s="533"/>
      <c r="AU550" s="533"/>
      <c r="AV550" s="533"/>
      <c r="AW550" s="533"/>
      <c r="AX550" s="533"/>
      <c r="AY550" s="533"/>
      <c r="AZ550" s="533"/>
      <c r="BA550" s="533"/>
      <c r="BB550" s="533"/>
      <c r="BC550" s="533"/>
      <c r="BD550" s="533"/>
      <c r="BE550" s="533"/>
      <c r="BF550" s="533"/>
      <c r="BG550" s="533"/>
      <c r="BH550" s="576"/>
      <c r="BI550" s="576"/>
      <c r="BJ550" s="576"/>
      <c r="BK550" s="547"/>
      <c r="BL550" s="576"/>
      <c r="BM550" s="576"/>
      <c r="BN550" s="576"/>
      <c r="BO550" s="547"/>
      <c r="BP550" s="576"/>
      <c r="BQ550" s="576"/>
      <c r="BR550" s="576"/>
      <c r="BS550" s="533"/>
      <c r="BT550" s="576"/>
      <c r="BU550" s="576"/>
      <c r="BV550" s="576"/>
      <c r="BW550" s="533"/>
      <c r="BX550" s="836"/>
      <c r="BY550" s="836"/>
      <c r="BZ550" s="577">
        <f>-BZ548/BZ549</f>
        <v>0.36607142857142855</v>
      </c>
      <c r="CA550" s="609"/>
      <c r="CB550" s="577">
        <f>-CB548/CB549</f>
        <v>0.48888888888888887</v>
      </c>
      <c r="CC550" s="577">
        <f>-CC548/CC549</f>
        <v>0.40799999999999997</v>
      </c>
      <c r="CD550" s="577">
        <f>-CD548/CD549</f>
        <v>0.42033898305084744</v>
      </c>
      <c r="CE550" s="609"/>
      <c r="CF550" s="577">
        <f>-CF548/CF549</f>
        <v>0.41666666666666669</v>
      </c>
      <c r="CG550" s="577">
        <f>-CG548/CG549</f>
        <v>0.21276595744680851</v>
      </c>
      <c r="CH550" s="577">
        <f>-CH548/CH549</f>
        <v>0.24553571428571427</v>
      </c>
      <c r="CI550" s="609"/>
      <c r="CJ550" s="577">
        <f>-CJ548/CJ549</f>
        <v>0.4175824175824176</v>
      </c>
      <c r="CK550" s="577">
        <f>-CK548/CK549</f>
        <v>0.35106382978723405</v>
      </c>
      <c r="CL550" s="577">
        <f>-CL548/CL549</f>
        <v>0.37275985663082439</v>
      </c>
      <c r="CM550" s="609"/>
      <c r="CN550" s="577">
        <f>-CN548/CN547</f>
        <v>0.30120481927710846</v>
      </c>
      <c r="CO550" s="577">
        <f>-CO548/CO549</f>
        <v>0.4247787610619469</v>
      </c>
      <c r="CP550" s="577">
        <f>-CP548/CP549</f>
        <v>0.42794759825327511</v>
      </c>
      <c r="CQ550" s="609"/>
      <c r="CR550" s="577">
        <f>-CR548/CR547</f>
        <v>0.27322404371584702</v>
      </c>
      <c r="CS550" s="577">
        <f>-CS548/CS549</f>
        <v>0.18604651162790697</v>
      </c>
      <c r="CT550" s="577">
        <f>-CT548/CT549</f>
        <v>0.32954545454545453</v>
      </c>
      <c r="CU550" s="609"/>
      <c r="CV550" s="577">
        <f>-CV548/CV547</f>
        <v>0.3</v>
      </c>
      <c r="CW550" s="577">
        <f>-CW548/CW549</f>
        <v>0.125</v>
      </c>
      <c r="CX550" s="577">
        <f>-CX548/CX549</f>
        <v>0.24528301886792453</v>
      </c>
      <c r="CY550" s="609"/>
      <c r="CZ550" s="577">
        <f>IFERROR(-CZ548/CZ549,0)</f>
        <v>0</v>
      </c>
      <c r="DA550" s="577"/>
      <c r="DB550" s="577"/>
      <c r="DC550" s="609"/>
      <c r="DD550" s="577">
        <f>IFERROR(-DD548/DD549,0)</f>
        <v>0</v>
      </c>
      <c r="DE550" s="577"/>
      <c r="DF550" s="577"/>
      <c r="DG550" s="609"/>
      <c r="DH550" s="613">
        <v>0.3</v>
      </c>
      <c r="DI550" s="613">
        <v>0.3</v>
      </c>
      <c r="DJ550" s="577" t="str">
        <f>IFERROR((-DJ548/DJ547),"na")</f>
        <v>na</v>
      </c>
      <c r="DK550" s="609"/>
      <c r="DL550" s="613">
        <v>0.3</v>
      </c>
      <c r="DM550" s="613">
        <v>0.3</v>
      </c>
      <c r="DN550" s="577" t="str">
        <f>IFERROR((-DN548/DN547),"na")</f>
        <v>na</v>
      </c>
      <c r="DO550" s="609"/>
      <c r="DP550" s="613">
        <v>0.3</v>
      </c>
      <c r="DQ550" s="613">
        <v>0.3</v>
      </c>
      <c r="DR550" s="577" t="str">
        <f>IFERROR((-DR548/DR547),"na")</f>
        <v>na</v>
      </c>
      <c r="DS550" s="609"/>
      <c r="DT550" s="609"/>
      <c r="DU550" s="609"/>
    </row>
    <row r="551" spans="1:128" s="20" customFormat="1" ht="13.8">
      <c r="B551" s="49"/>
      <c r="BH551" s="49"/>
      <c r="BI551" s="49"/>
      <c r="BJ551" s="49"/>
      <c r="BK551" s="49"/>
      <c r="BL551" s="49"/>
      <c r="BM551" s="49"/>
      <c r="BN551" s="49"/>
      <c r="BO551" s="49"/>
      <c r="BP551" s="49"/>
      <c r="CB551" s="49"/>
      <c r="CF551" s="49"/>
      <c r="CJ551" s="49"/>
      <c r="CN551" s="49"/>
      <c r="CR551" s="49"/>
      <c r="CV551" s="49"/>
      <c r="CZ551" s="49"/>
      <c r="DD551" s="49"/>
      <c r="DH551" s="49"/>
      <c r="DL551" s="49"/>
      <c r="DP551" s="49"/>
    </row>
    <row r="552" spans="1:128" s="359" customFormat="1" ht="13.8">
      <c r="A552" s="359" t="s">
        <v>840</v>
      </c>
      <c r="B552" s="360"/>
      <c r="BH552" s="360"/>
      <c r="BI552" s="360"/>
      <c r="BJ552" s="360"/>
      <c r="BK552" s="360"/>
      <c r="BL552" s="360"/>
      <c r="BM552" s="360"/>
      <c r="BN552" s="360"/>
      <c r="BO552" s="360"/>
      <c r="BP552" s="360"/>
      <c r="BT552" s="360"/>
      <c r="BX552" s="360"/>
      <c r="CB552" s="360"/>
      <c r="CF552" s="360"/>
      <c r="CJ552" s="360"/>
      <c r="CN552" s="360"/>
      <c r="CR552" s="360"/>
      <c r="CV552" s="360"/>
      <c r="CZ552" s="360"/>
      <c r="DD552" s="360"/>
      <c r="DH552" s="360"/>
      <c r="DL552" s="360"/>
      <c r="DP552" s="360"/>
      <c r="DT552" s="744"/>
      <c r="DU552" s="744"/>
      <c r="DV552" s="744"/>
      <c r="DW552" s="20"/>
      <c r="DX552" s="20"/>
    </row>
    <row r="553" spans="1:128" s="20" customFormat="1" ht="13.8">
      <c r="B553" s="49"/>
      <c r="BH553" s="49"/>
      <c r="BI553" s="49"/>
      <c r="BJ553" s="49"/>
      <c r="BK553" s="49"/>
      <c r="BL553" s="49"/>
      <c r="BM553" s="49"/>
      <c r="BN553" s="49"/>
      <c r="BO553" s="49"/>
      <c r="BP553" s="49"/>
      <c r="CB553" s="49"/>
      <c r="CF553" s="49"/>
      <c r="CJ553" s="49"/>
      <c r="CN553" s="49"/>
      <c r="CR553" s="49"/>
      <c r="CV553" s="49"/>
      <c r="CZ553" s="49"/>
      <c r="DD553" s="49"/>
      <c r="DH553" s="49"/>
      <c r="DL553" s="49"/>
      <c r="DP553" s="49"/>
    </row>
    <row r="554" spans="1:128" s="20" customFormat="1" ht="13.8">
      <c r="A554" s="20" t="s">
        <v>957</v>
      </c>
      <c r="B554" s="49"/>
      <c r="BH554" s="49"/>
      <c r="BI554" s="49"/>
      <c r="BJ554" s="49"/>
      <c r="BK554" s="49"/>
      <c r="BL554" s="65">
        <f>BL598+BL666+BL793</f>
        <v>9668</v>
      </c>
      <c r="BM554" s="65">
        <f>BM598+BM666+BM793</f>
        <v>9910</v>
      </c>
      <c r="BN554" s="65">
        <f>BN598+BN666+BN793</f>
        <v>19578</v>
      </c>
      <c r="BO554" s="49"/>
      <c r="BP554" s="65">
        <f>BP598+BP666+BP793</f>
        <v>10195</v>
      </c>
      <c r="BQ554" s="65">
        <f>BQ598+BQ666+BQ793</f>
        <v>10342</v>
      </c>
      <c r="BR554" s="65">
        <f>BR598+BR666+BR793</f>
        <v>20537</v>
      </c>
      <c r="BT554" s="65">
        <f>BT598+BT666+BT793</f>
        <v>10325</v>
      </c>
      <c r="BU554" s="65">
        <f>BU598+BU666+BU793</f>
        <v>10269</v>
      </c>
      <c r="BV554" s="65">
        <f>BV598+BV666+BV793</f>
        <v>20594</v>
      </c>
      <c r="BX554" s="65">
        <f>BX598+BX666+BX793</f>
        <v>9976</v>
      </c>
      <c r="BY554" s="65">
        <f>BY598+BY666+BY793</f>
        <v>9840</v>
      </c>
      <c r="BZ554" s="65">
        <f>BZ598+BZ666+BZ793</f>
        <v>19816</v>
      </c>
      <c r="CB554" s="65">
        <f>CB598+CB666+CB793</f>
        <v>9870</v>
      </c>
      <c r="CC554" s="65">
        <f>CC598+CC666+CC793</f>
        <v>9497</v>
      </c>
      <c r="CD554" s="65">
        <f>CD598+CD666+CD793</f>
        <v>19367</v>
      </c>
      <c r="CF554" s="65">
        <f>CF598+CF666+CF793</f>
        <v>9746</v>
      </c>
      <c r="CG554" s="65">
        <f>CG598+CG666+CG793</f>
        <v>9283</v>
      </c>
      <c r="CH554" s="65">
        <f>CH598+CH666+CH793</f>
        <v>19029</v>
      </c>
      <c r="CJ554" s="65">
        <f>CJ598+CJ666+CJ793</f>
        <v>8579</v>
      </c>
      <c r="CK554" s="65">
        <f>CK598+CK666+CK793</f>
        <v>9173</v>
      </c>
      <c r="CL554" s="65">
        <f>CL598+CL666+CL793</f>
        <v>17752</v>
      </c>
      <c r="CM554" s="49"/>
      <c r="CN554" s="65">
        <f>CN598+CN666+CN793</f>
        <v>8423</v>
      </c>
      <c r="CO554" s="65">
        <f>CO598+CO666+CO793</f>
        <v>9024</v>
      </c>
      <c r="CP554" s="65">
        <f>CP598+CP666+CP793</f>
        <v>17447</v>
      </c>
      <c r="CQ554" s="49"/>
      <c r="CR554" s="65">
        <f>CR598+CR666+CR793</f>
        <v>8948</v>
      </c>
      <c r="CS554" s="65">
        <f>CS598+CS666+CS793</f>
        <v>9599</v>
      </c>
      <c r="CT554" s="65">
        <f>CT598+CT666+CT793</f>
        <v>18547</v>
      </c>
      <c r="CU554" s="49"/>
      <c r="CV554" s="65">
        <f>CV598+CV666+CV793</f>
        <v>10540</v>
      </c>
      <c r="CW554" s="65">
        <f>CW598+CW666+CW793</f>
        <v>10365</v>
      </c>
      <c r="CX554" s="65">
        <f>CX598+CX666+CX793</f>
        <v>20905</v>
      </c>
      <c r="CY554" s="49"/>
      <c r="CZ554" s="65">
        <f>CZ598+CZ666+CZ793</f>
        <v>10347</v>
      </c>
      <c r="DA554" s="65">
        <f>DA598+DA666+DA793</f>
        <v>10462</v>
      </c>
      <c r="DB554" s="65">
        <f>DB598+DB666+DB793</f>
        <v>20809</v>
      </c>
      <c r="DC554" s="49"/>
      <c r="DD554" s="65">
        <f>DD598+DD666+DD793</f>
        <v>10995</v>
      </c>
      <c r="DE554" s="65">
        <f>DE598+DE666+DE793</f>
        <v>10904</v>
      </c>
      <c r="DF554" s="65">
        <f>DF598+DF666+DF793</f>
        <v>21899</v>
      </c>
      <c r="DG554" s="49"/>
      <c r="DH554" s="65">
        <f ca="1">DH598+DH666+DH793</f>
        <v>11288.984147560002</v>
      </c>
      <c r="DI554" s="65">
        <f ca="1">DI598+DI666+DI793</f>
        <v>11374.515751326247</v>
      </c>
      <c r="DJ554" s="65">
        <f ca="1">DJ598+DJ666+DJ793</f>
        <v>22663.49989888625</v>
      </c>
      <c r="DK554" s="49"/>
      <c r="DL554" s="65">
        <f ca="1">DL598+DL666+DL793</f>
        <v>11626.422084593729</v>
      </c>
      <c r="DM554" s="65">
        <f ca="1">DM598+DM666+DM793</f>
        <v>11798.408556718041</v>
      </c>
      <c r="DN554" s="65">
        <f ca="1">DN598+DN666+DN793</f>
        <v>23424.830641311772</v>
      </c>
      <c r="DO554" s="49"/>
      <c r="DP554" s="65">
        <f ca="1">DP598+DP666+DP793</f>
        <v>12079.634094440931</v>
      </c>
      <c r="DQ554" s="65">
        <f ca="1">DQ598+DQ666+DQ793</f>
        <v>12244.903307413953</v>
      </c>
      <c r="DR554" s="65">
        <f ca="1">DR598+DR666+DR793</f>
        <v>24324.537401854886</v>
      </c>
      <c r="DS554" s="49"/>
      <c r="DT554" s="49"/>
      <c r="DU554" s="49"/>
    </row>
    <row r="555" spans="1:128" s="20" customFormat="1" ht="13.8">
      <c r="A555" s="21" t="s">
        <v>969</v>
      </c>
      <c r="B555" s="49"/>
      <c r="BH555" s="49"/>
      <c r="BI555" s="49"/>
      <c r="BJ555" s="49"/>
      <c r="BK555" s="49"/>
      <c r="BL555" s="65">
        <f>+BL554-BL581</f>
        <v>9668</v>
      </c>
      <c r="BM555" s="65">
        <f>+BM554-BM581</f>
        <v>9910</v>
      </c>
      <c r="BN555" s="65">
        <f>+BN554-BN581</f>
        <v>19578</v>
      </c>
      <c r="BO555" s="49"/>
      <c r="BP555" s="65">
        <f>+BP554-BP581</f>
        <v>10195</v>
      </c>
      <c r="BQ555" s="65">
        <f>+BQ554-BQ581</f>
        <v>10342</v>
      </c>
      <c r="BR555" s="65">
        <f>+BR554-BR581</f>
        <v>20537</v>
      </c>
      <c r="BT555" s="65">
        <f>+BT554-BT581</f>
        <v>10325</v>
      </c>
      <c r="BU555" s="65">
        <f>+BU554-BU581</f>
        <v>10269</v>
      </c>
      <c r="BV555" s="65">
        <f>+BV554-BV581</f>
        <v>20594</v>
      </c>
      <c r="BX555" s="65">
        <f>+BX554-BX581</f>
        <v>9976</v>
      </c>
      <c r="BY555" s="65">
        <f>+BY554-BY581</f>
        <v>9840</v>
      </c>
      <c r="BZ555" s="65">
        <f>+BZ554-BZ581</f>
        <v>19816</v>
      </c>
      <c r="CB555" s="65">
        <f>+CB554-CB581</f>
        <v>9464</v>
      </c>
      <c r="CC555" s="65">
        <f>+CC554-CC581</f>
        <v>9516</v>
      </c>
      <c r="CD555" s="65">
        <f>+CD554-CD581</f>
        <v>18980</v>
      </c>
      <c r="CF555" s="65">
        <f>+CF554-CF581</f>
        <v>9508</v>
      </c>
      <c r="CG555" s="65">
        <f>+CG554-CG581</f>
        <v>9378</v>
      </c>
      <c r="CH555" s="65">
        <f>+CH554-CH581</f>
        <v>18886</v>
      </c>
      <c r="CJ555" s="65">
        <f>+CJ554-CJ581</f>
        <v>9376</v>
      </c>
      <c r="CK555" s="65">
        <f>+CK554-CK581</f>
        <v>9335</v>
      </c>
      <c r="CL555" s="65">
        <f>+CL554-CL581</f>
        <v>18711</v>
      </c>
      <c r="CM555" s="49"/>
      <c r="CN555" s="65">
        <f>+CN554-CN581</f>
        <v>9082</v>
      </c>
      <c r="CO555" s="65">
        <f>+CO554-CO581</f>
        <v>9092</v>
      </c>
      <c r="CP555" s="65">
        <f>+CP554-CP581</f>
        <v>18174</v>
      </c>
      <c r="CQ555" s="49"/>
      <c r="CR555" s="65">
        <f>+CR554-CR581</f>
        <v>8679</v>
      </c>
      <c r="CS555" s="65">
        <f>+CS554-CS581</f>
        <v>9581</v>
      </c>
      <c r="CT555" s="65">
        <f>+CT554-CT581</f>
        <v>18260</v>
      </c>
      <c r="CU555" s="49"/>
      <c r="CV555" s="65">
        <f>+CV554-CV581</f>
        <v>10600</v>
      </c>
      <c r="CW555" s="65">
        <f>+CW554-CW581</f>
        <v>10330</v>
      </c>
      <c r="CX555" s="65">
        <f>+CX554-CX581</f>
        <v>20930</v>
      </c>
      <c r="CY555" s="49"/>
      <c r="CZ555" s="65">
        <f>+CZ554-CZ581</f>
        <v>10368</v>
      </c>
      <c r="DA555" s="65">
        <f>+DA554-DA581</f>
        <v>10462</v>
      </c>
      <c r="DB555" s="65">
        <f>+DB554-DB581</f>
        <v>20830</v>
      </c>
      <c r="DC555" s="49"/>
      <c r="DD555" s="65">
        <f>+DD554-DD581</f>
        <v>10995</v>
      </c>
      <c r="DE555" s="65">
        <f>+DE554-DE581</f>
        <v>11189</v>
      </c>
      <c r="DF555" s="65">
        <f>+DF554-DF581</f>
        <v>22184</v>
      </c>
      <c r="DG555" s="49"/>
      <c r="DH555" s="65">
        <f ca="1">+DH554-DH581</f>
        <v>11288.984147560002</v>
      </c>
      <c r="DI555" s="65">
        <f ca="1">+DI554-DI581</f>
        <v>11374.515751326247</v>
      </c>
      <c r="DJ555" s="65">
        <f ca="1">+DJ554-DJ581</f>
        <v>22663.49989888625</v>
      </c>
      <c r="DK555" s="49"/>
      <c r="DL555" s="65">
        <f ca="1">+DL554-DL581</f>
        <v>11626.422084593729</v>
      </c>
      <c r="DM555" s="65">
        <f ca="1">+DM554-DM581</f>
        <v>11798.408556718041</v>
      </c>
      <c r="DN555" s="65">
        <f ca="1">+DN554-DN581</f>
        <v>23424.830641311772</v>
      </c>
      <c r="DO555" s="49"/>
      <c r="DP555" s="65">
        <f ca="1">+DP554-DP581</f>
        <v>12079.634094440931</v>
      </c>
      <c r="DQ555" s="65">
        <f ca="1">+DQ554-DQ581</f>
        <v>12244.903307413953</v>
      </c>
      <c r="DR555" s="65">
        <f ca="1">+DR554-DR581</f>
        <v>24324.537401854886</v>
      </c>
      <c r="DS555" s="49"/>
      <c r="DT555" s="49"/>
      <c r="DU555" s="49"/>
    </row>
    <row r="556" spans="1:128" s="20" customFormat="1" ht="13.8">
      <c r="A556" s="21"/>
      <c r="B556" s="49"/>
      <c r="BH556" s="49"/>
      <c r="BI556" s="49"/>
      <c r="BJ556" s="49"/>
      <c r="BK556" s="49"/>
      <c r="BL556" s="49"/>
      <c r="BM556" s="49"/>
      <c r="BN556" s="49"/>
      <c r="BO556" s="49"/>
      <c r="BP556" s="49"/>
      <c r="CB556" s="908"/>
      <c r="CC556" s="908"/>
      <c r="CD556" s="908">
        <v>18980</v>
      </c>
      <c r="CF556" s="908">
        <v>9508</v>
      </c>
      <c r="CG556" s="908">
        <v>9378</v>
      </c>
      <c r="CH556" s="908">
        <v>18886</v>
      </c>
      <c r="CJ556" s="908">
        <v>9376</v>
      </c>
      <c r="CK556" s="908">
        <v>9335</v>
      </c>
      <c r="CL556" s="908">
        <f>CJ556+CK556</f>
        <v>18711</v>
      </c>
      <c r="CM556" s="49"/>
      <c r="CN556" s="908">
        <v>9082</v>
      </c>
      <c r="CO556" s="908">
        <v>9092</v>
      </c>
      <c r="CP556" s="908"/>
      <c r="CQ556" s="49"/>
      <c r="CR556" s="908">
        <v>8679</v>
      </c>
      <c r="CS556" s="908">
        <v>9581</v>
      </c>
      <c r="CT556" s="908">
        <v>18260</v>
      </c>
      <c r="CU556" s="49"/>
      <c r="CV556" s="908">
        <v>10588</v>
      </c>
      <c r="CW556" s="908">
        <v>10330</v>
      </c>
      <c r="CX556" s="908">
        <v>20918</v>
      </c>
      <c r="CY556" s="49"/>
      <c r="CZ556" s="908"/>
      <c r="DA556" s="908"/>
      <c r="DB556" s="908"/>
      <c r="DC556" s="49"/>
      <c r="DD556" s="908"/>
      <c r="DE556" s="908"/>
      <c r="DF556" s="908"/>
      <c r="DG556" s="49"/>
      <c r="DH556" s="908"/>
      <c r="DI556" s="908"/>
      <c r="DJ556" s="908"/>
      <c r="DK556" s="49"/>
      <c r="DL556" s="908"/>
      <c r="DM556" s="908"/>
      <c r="DN556" s="908"/>
      <c r="DO556" s="49"/>
      <c r="DP556" s="908"/>
      <c r="DQ556" s="908"/>
      <c r="DR556" s="908"/>
      <c r="DS556" s="49"/>
      <c r="DT556" s="49"/>
      <c r="DU556" s="49"/>
    </row>
    <row r="557" spans="1:128" s="20" customFormat="1" ht="13.8">
      <c r="A557" s="21"/>
      <c r="B557" s="49"/>
      <c r="BH557" s="49"/>
      <c r="BI557" s="49"/>
      <c r="BJ557" s="49"/>
      <c r="BK557" s="49"/>
      <c r="BL557" s="49"/>
      <c r="BM557" s="49"/>
      <c r="BN557" s="49"/>
      <c r="BO557" s="49"/>
      <c r="BP557" s="49"/>
      <c r="CB557" s="908"/>
      <c r="CC557" s="908"/>
      <c r="CD557" s="908"/>
      <c r="CF557" s="908"/>
      <c r="CG557" s="908"/>
      <c r="CH557" s="908"/>
      <c r="CJ557" s="908">
        <f>+CJ568+CJ573</f>
        <v>9376</v>
      </c>
      <c r="CK557" s="908">
        <f t="shared" ref="CK557:CL557" si="832">+CK568+CK573</f>
        <v>9335</v>
      </c>
      <c r="CL557" s="908">
        <f t="shared" si="832"/>
        <v>18711</v>
      </c>
      <c r="CM557" s="49"/>
      <c r="CN557" s="908">
        <f t="shared" ref="CN557:CP557" si="833">+CN568+CN573</f>
        <v>9082</v>
      </c>
      <c r="CO557" s="908">
        <f t="shared" si="833"/>
        <v>9092</v>
      </c>
      <c r="CP557" s="908">
        <f t="shared" si="833"/>
        <v>18174</v>
      </c>
      <c r="CQ557" s="49"/>
      <c r="CR557" s="908">
        <f t="shared" ref="CR557:CT557" si="834">+CR568+CR573</f>
        <v>8679</v>
      </c>
      <c r="CS557" s="908">
        <f t="shared" si="834"/>
        <v>9581</v>
      </c>
      <c r="CT557" s="908">
        <f t="shared" si="834"/>
        <v>18260</v>
      </c>
      <c r="CU557" s="49"/>
      <c r="CV557" s="908">
        <f t="shared" ref="CV557:CZ557" si="835">+CV568+CV573</f>
        <v>10600</v>
      </c>
      <c r="CW557" s="908">
        <f t="shared" si="835"/>
        <v>10330</v>
      </c>
      <c r="CX557" s="908">
        <f t="shared" si="835"/>
        <v>20930</v>
      </c>
      <c r="CY557" s="49"/>
      <c r="CZ557" s="908">
        <f t="shared" si="835"/>
        <v>10368</v>
      </c>
      <c r="DA557" s="908">
        <f t="shared" ref="DA557:DB557" si="836">+DA568+DA573</f>
        <v>10462</v>
      </c>
      <c r="DB557" s="908">
        <f t="shared" si="836"/>
        <v>20830</v>
      </c>
      <c r="DC557" s="49"/>
      <c r="DD557" s="908">
        <f t="shared" ref="DD557:DF557" si="837">+DD568+DD573</f>
        <v>10995</v>
      </c>
      <c r="DE557" s="908">
        <f t="shared" si="837"/>
        <v>11189</v>
      </c>
      <c r="DF557" s="908">
        <f t="shared" si="837"/>
        <v>22184</v>
      </c>
      <c r="DG557" s="49"/>
      <c r="DH557" s="908">
        <f t="shared" ref="DH557:DJ557" ca="1" si="838">+DH568+DH573</f>
        <v>11288.984147560002</v>
      </c>
      <c r="DI557" s="908">
        <f t="shared" ca="1" si="838"/>
        <v>11374.515751326247</v>
      </c>
      <c r="DJ557" s="908">
        <f t="shared" ca="1" si="838"/>
        <v>22663.49989888625</v>
      </c>
      <c r="DK557" s="49"/>
      <c r="DL557" s="908">
        <f t="shared" ref="DL557:DN557" ca="1" si="839">+DL568+DL573</f>
        <v>11626.422084593729</v>
      </c>
      <c r="DM557" s="908">
        <f t="shared" ca="1" si="839"/>
        <v>11798.408556718041</v>
      </c>
      <c r="DN557" s="908">
        <f t="shared" ca="1" si="839"/>
        <v>23424.830641311768</v>
      </c>
      <c r="DO557" s="49"/>
      <c r="DP557" s="908">
        <f t="shared" ref="DP557:DR557" ca="1" si="840">+DP568+DP573</f>
        <v>12079.634094440933</v>
      </c>
      <c r="DQ557" s="908">
        <f t="shared" ca="1" si="840"/>
        <v>12244.903307413953</v>
      </c>
      <c r="DR557" s="908">
        <f t="shared" ca="1" si="840"/>
        <v>24324.537401854886</v>
      </c>
      <c r="DS557" s="49"/>
      <c r="DT557" s="49"/>
      <c r="DU557" s="49"/>
    </row>
    <row r="558" spans="1:128" s="20" customFormat="1" ht="13.8">
      <c r="A558" s="21"/>
      <c r="B558" s="49"/>
      <c r="BH558" s="49"/>
      <c r="BI558" s="49"/>
      <c r="BJ558" s="49"/>
      <c r="BK558" s="49"/>
      <c r="BL558" s="49"/>
      <c r="BM558" s="49"/>
      <c r="BN558" s="49"/>
      <c r="BO558" s="49"/>
      <c r="BP558" s="49"/>
      <c r="CB558" s="908"/>
      <c r="CC558" s="908"/>
      <c r="CD558" s="908"/>
      <c r="CF558" s="908"/>
      <c r="CG558" s="908"/>
      <c r="CH558" s="908"/>
      <c r="CJ558" s="908"/>
      <c r="CK558" s="908"/>
      <c r="CL558" s="908"/>
      <c r="CM558" s="49"/>
      <c r="CN558" s="908"/>
      <c r="CO558" s="908"/>
      <c r="CP558" s="908"/>
      <c r="CQ558" s="49"/>
      <c r="CR558" s="908"/>
      <c r="CS558" s="908"/>
      <c r="CT558" s="908"/>
      <c r="CU558" s="49"/>
      <c r="CV558" s="908"/>
      <c r="CW558" s="908"/>
      <c r="CX558" s="908"/>
      <c r="CY558" s="49"/>
      <c r="CZ558" s="908"/>
      <c r="DA558" s="908"/>
      <c r="DB558" s="908"/>
      <c r="DC558" s="49"/>
      <c r="DD558" s="908"/>
      <c r="DE558" s="908"/>
      <c r="DF558" s="908"/>
      <c r="DG558" s="49"/>
      <c r="DH558" s="908"/>
      <c r="DI558" s="908"/>
      <c r="DJ558" s="908"/>
      <c r="DK558" s="49"/>
      <c r="DL558" s="908"/>
      <c r="DM558" s="908"/>
      <c r="DN558" s="908"/>
      <c r="DO558" s="49"/>
      <c r="DP558" s="908"/>
      <c r="DQ558" s="908"/>
      <c r="DR558" s="908"/>
      <c r="DS558" s="49"/>
      <c r="DT558" s="49"/>
      <c r="DU558" s="49"/>
    </row>
    <row r="559" spans="1:128" s="20" customFormat="1" ht="13.8">
      <c r="A559" s="21" t="s">
        <v>1063</v>
      </c>
      <c r="B559" s="49"/>
      <c r="BH559" s="49"/>
      <c r="BI559" s="49"/>
      <c r="BJ559" s="49"/>
      <c r="BK559" s="49"/>
      <c r="BL559" s="49"/>
      <c r="BM559" s="49"/>
      <c r="BN559" s="49"/>
      <c r="BO559" s="49"/>
      <c r="BP559" s="49"/>
      <c r="CB559" s="65">
        <f>CB555-CB728</f>
        <v>8568</v>
      </c>
      <c r="CC559" s="65">
        <f>CC555-CC728</f>
        <v>8688</v>
      </c>
      <c r="CD559" s="65">
        <f>CD555-CD728</f>
        <v>17256</v>
      </c>
      <c r="CF559" s="65">
        <f>CF555-CF728</f>
        <v>8551</v>
      </c>
      <c r="CG559" s="65">
        <f>CG555-CG728</f>
        <v>8596</v>
      </c>
      <c r="CH559" s="65">
        <f>CH555-CH728</f>
        <v>17147</v>
      </c>
      <c r="CI559" s="49"/>
      <c r="CJ559" s="65">
        <f>CJ555-CJ728</f>
        <v>8236</v>
      </c>
      <c r="CK559" s="65">
        <f>CK555-CK728</f>
        <v>7976</v>
      </c>
      <c r="CL559" s="65">
        <f>CL555-CL728</f>
        <v>16212</v>
      </c>
      <c r="CM559" s="49"/>
      <c r="CN559" s="65">
        <f>CN555-CN728</f>
        <v>8063</v>
      </c>
      <c r="CO559" s="65">
        <f>CO555-CO728</f>
        <v>8168</v>
      </c>
      <c r="CP559" s="65">
        <f>CP555-CP728</f>
        <v>16231</v>
      </c>
      <c r="CQ559" s="49"/>
      <c r="CR559" s="65">
        <f>CR555-CR728</f>
        <v>7866</v>
      </c>
      <c r="CS559" s="65">
        <f>CS555-CS728</f>
        <v>8800</v>
      </c>
      <c r="CT559" s="65">
        <f>CT555-CT728</f>
        <v>16666</v>
      </c>
      <c r="CU559" s="49"/>
      <c r="CV559" s="65">
        <f>CV555-CV728</f>
        <v>9487</v>
      </c>
      <c r="CW559" s="65">
        <f>CW555-CW728</f>
        <v>9390</v>
      </c>
      <c r="CX559" s="65">
        <f>CX555-CX728</f>
        <v>18877</v>
      </c>
      <c r="CY559" s="49"/>
      <c r="CZ559" s="65">
        <f>CZ555-CZ728</f>
        <v>9215</v>
      </c>
      <c r="DA559" s="65">
        <f>DA555-DA728</f>
        <v>9534</v>
      </c>
      <c r="DB559" s="65">
        <f>DB555-DB728</f>
        <v>18749</v>
      </c>
      <c r="DC559" s="49"/>
      <c r="DD559" s="65">
        <f>DD555-DD728</f>
        <v>9944</v>
      </c>
      <c r="DE559" s="65">
        <f>DE555-DE728</f>
        <v>10114</v>
      </c>
      <c r="DF559" s="65">
        <f>DF555-DF728</f>
        <v>20058</v>
      </c>
      <c r="DG559" s="49"/>
      <c r="DH559" s="65">
        <f ca="1">DH555-DH728</f>
        <v>10182.524147560001</v>
      </c>
      <c r="DI559" s="65">
        <f ca="1">DI555-DI728</f>
        <v>10359.585751326247</v>
      </c>
      <c r="DJ559" s="65">
        <f ca="1">DJ555-DJ728</f>
        <v>20542.10989888625</v>
      </c>
      <c r="DK559" s="49"/>
      <c r="DL559" s="65">
        <f ca="1">DL555-DL728</f>
        <v>10489.657884593729</v>
      </c>
      <c r="DM559" s="65">
        <f ca="1">DM555-DM728</f>
        <v>10755.969456718041</v>
      </c>
      <c r="DN559" s="65">
        <f ca="1">DN555-DN728</f>
        <v>21245.627341311771</v>
      </c>
      <c r="DO559" s="49"/>
      <c r="DP559" s="65">
        <f ca="1">DP555-DP728</f>
        <v>10911.714360440932</v>
      </c>
      <c r="DQ559" s="65">
        <f ca="1">DQ555-DQ728</f>
        <v>11174.188610413954</v>
      </c>
      <c r="DR559" s="65">
        <f ca="1">DR555-DR728</f>
        <v>22085.902970854888</v>
      </c>
      <c r="DS559" s="49"/>
      <c r="DT559" s="49"/>
      <c r="DU559" s="49"/>
    </row>
    <row r="560" spans="1:128" s="20" customFormat="1" ht="13.8">
      <c r="A560" s="21"/>
      <c r="B560" s="49"/>
      <c r="BH560" s="49"/>
      <c r="BI560" s="49"/>
      <c r="BJ560" s="49"/>
      <c r="BK560" s="49"/>
      <c r="BL560" s="49"/>
      <c r="BM560" s="49"/>
      <c r="BN560" s="49"/>
      <c r="BO560" s="49"/>
      <c r="BP560" s="49"/>
      <c r="CB560" s="910"/>
      <c r="CC560" s="910"/>
      <c r="CD560" s="910"/>
      <c r="CF560" s="908"/>
      <c r="CG560" s="908"/>
      <c r="CH560" s="908"/>
      <c r="CI560" s="49"/>
      <c r="CJ560" s="908"/>
      <c r="CK560" s="908"/>
      <c r="CL560" s="908"/>
      <c r="CM560" s="49"/>
      <c r="CN560" s="908"/>
      <c r="CO560" s="908"/>
      <c r="CP560" s="908"/>
      <c r="CQ560" s="49"/>
      <c r="CR560" s="908"/>
      <c r="CS560" s="908"/>
      <c r="CT560" s="908"/>
      <c r="CU560" s="49"/>
      <c r="CV560" s="908"/>
      <c r="CW560" s="908"/>
      <c r="CX560" s="908"/>
      <c r="CY560" s="49"/>
      <c r="CZ560" s="908"/>
      <c r="DA560" s="908"/>
      <c r="DB560" s="908"/>
      <c r="DC560" s="49"/>
      <c r="DD560" s="908"/>
      <c r="DE560" s="908"/>
      <c r="DF560" s="908"/>
      <c r="DG560" s="49"/>
      <c r="DH560" s="908"/>
      <c r="DI560" s="908"/>
      <c r="DJ560" s="908"/>
      <c r="DK560" s="49"/>
      <c r="DL560" s="908"/>
      <c r="DM560" s="908"/>
      <c r="DN560" s="908"/>
      <c r="DO560" s="49"/>
      <c r="DP560" s="908"/>
      <c r="DQ560" s="908"/>
      <c r="DR560" s="908"/>
      <c r="DS560" s="49"/>
      <c r="DT560" s="49"/>
      <c r="DU560" s="49"/>
    </row>
    <row r="561" spans="1:125" s="20" customFormat="1" ht="13.8">
      <c r="A561" s="47" t="s">
        <v>127</v>
      </c>
      <c r="B561" s="49"/>
      <c r="BH561" s="49"/>
      <c r="BI561" s="49"/>
      <c r="BJ561" s="49"/>
      <c r="BK561" s="49"/>
      <c r="BL561" s="49"/>
      <c r="BM561" s="49"/>
      <c r="BN561" s="49"/>
      <c r="BO561" s="49"/>
      <c r="BP561" s="49"/>
      <c r="CB561" s="910"/>
      <c r="CC561" s="910"/>
      <c r="CD561" s="910"/>
      <c r="CF561" s="910"/>
      <c r="CG561" s="910"/>
      <c r="CH561" s="910"/>
      <c r="CJ561" s="908"/>
      <c r="CK561" s="908"/>
      <c r="CL561" s="908"/>
      <c r="CM561" s="49"/>
      <c r="CN561" s="908"/>
      <c r="CO561" s="908"/>
      <c r="CP561" s="908"/>
      <c r="CQ561" s="49"/>
      <c r="CR561" s="908"/>
      <c r="CS561" s="908"/>
      <c r="CT561" s="908"/>
      <c r="CU561" s="49"/>
      <c r="CV561" s="908"/>
      <c r="CW561" s="908"/>
      <c r="CX561" s="908"/>
      <c r="CY561" s="49"/>
      <c r="CZ561" s="908"/>
      <c r="DA561" s="908"/>
      <c r="DB561" s="908"/>
      <c r="DC561" s="49"/>
      <c r="DD561" s="908"/>
      <c r="DE561" s="908"/>
      <c r="DF561" s="908"/>
      <c r="DG561" s="49"/>
      <c r="DH561" s="908"/>
      <c r="DI561" s="908"/>
      <c r="DJ561" s="908"/>
      <c r="DK561" s="49"/>
      <c r="DL561" s="908"/>
      <c r="DM561" s="908"/>
      <c r="DN561" s="908"/>
      <c r="DO561" s="49"/>
      <c r="DP561" s="908"/>
      <c r="DQ561" s="908"/>
      <c r="DR561" s="908"/>
      <c r="DS561" s="49"/>
      <c r="DT561" s="49"/>
      <c r="DU561" s="49"/>
    </row>
    <row r="562" spans="1:125" s="20" customFormat="1" ht="13.8">
      <c r="A562" s="47" t="str">
        <f>A554</f>
        <v>Revenue</v>
      </c>
      <c r="B562" s="49"/>
      <c r="BH562" s="49"/>
      <c r="BI562" s="49"/>
      <c r="BJ562" s="49"/>
      <c r="BK562" s="49"/>
      <c r="BL562" s="49"/>
      <c r="BM562" s="49"/>
      <c r="BN562" s="49"/>
      <c r="BO562" s="49"/>
      <c r="BP562" s="49"/>
      <c r="CB562" s="910"/>
      <c r="CC562" s="910"/>
      <c r="CD562" s="910"/>
      <c r="CF562" s="75">
        <f t="shared" ref="CF562:CH563" si="841">CF554/CB554-1</f>
        <v>-1.2563323201621124E-2</v>
      </c>
      <c r="CG562" s="75">
        <f t="shared" si="841"/>
        <v>-2.2533431609982113E-2</v>
      </c>
      <c r="CH562" s="75">
        <f t="shared" si="841"/>
        <v>-1.7452367429132032E-2</v>
      </c>
      <c r="CJ562" s="75">
        <f t="shared" ref="CJ562:CL563" si="842">CJ554/CF554-1</f>
        <v>-0.11974143238251589</v>
      </c>
      <c r="CK562" s="75">
        <f t="shared" si="842"/>
        <v>-1.1849617580523497E-2</v>
      </c>
      <c r="CL562" s="75">
        <f t="shared" si="842"/>
        <v>-6.7108098165957197E-2</v>
      </c>
      <c r="CM562" s="49"/>
      <c r="CN562" s="75">
        <f t="shared" ref="CN562:CN563" si="843">CN554/CJ554-1</f>
        <v>-1.8183937521855653E-2</v>
      </c>
      <c r="CO562" s="75">
        <f t="shared" ref="CO562:CO563" si="844">CO554/CK554-1</f>
        <v>-1.624332279515972E-2</v>
      </c>
      <c r="CP562" s="75">
        <f t="shared" ref="CP562:CP563" si="845">CP554/CL554-1</f>
        <v>-1.7181162685894535E-2</v>
      </c>
      <c r="CQ562" s="49"/>
      <c r="CR562" s="75">
        <f t="shared" ref="CR562:CR563" si="846">CR554/CN554-1</f>
        <v>6.2329336340971153E-2</v>
      </c>
      <c r="CS562" s="75">
        <f t="shared" ref="CS562:CS563" si="847">CS554/CO554-1</f>
        <v>6.3718971631205656E-2</v>
      </c>
      <c r="CT562" s="75">
        <f t="shared" ref="CT562:CT563" si="848">CT554/CP554-1</f>
        <v>6.3048088496589605E-2</v>
      </c>
      <c r="CU562" s="49"/>
      <c r="CV562" s="75">
        <f t="shared" ref="CV562:CV563" si="849">CV554/CR554-1</f>
        <v>0.17791685292802861</v>
      </c>
      <c r="CW562" s="75">
        <f t="shared" ref="CW562:CW563" si="850">CW554/CS554-1</f>
        <v>7.9799979164496326E-2</v>
      </c>
      <c r="CX562" s="75">
        <f t="shared" ref="CX562:CX563" si="851">CX554/CT554-1</f>
        <v>0.12713646411818624</v>
      </c>
      <c r="CY562" s="49"/>
      <c r="CZ562" s="75">
        <f t="shared" ref="CZ562:CZ563" si="852">CZ554/CV554-1</f>
        <v>-1.8311195445920303E-2</v>
      </c>
      <c r="DA562" s="75">
        <f t="shared" ref="DA562:DA563" si="853">DA554/CW554-1</f>
        <v>9.3584177520502632E-3</v>
      </c>
      <c r="DB562" s="75">
        <f t="shared" ref="DB562:DB563" si="854">DB554/CX554-1</f>
        <v>-4.5922028222913358E-3</v>
      </c>
      <c r="DC562" s="49"/>
      <c r="DD562" s="75">
        <f t="shared" ref="DD562:DD563" si="855">DD554/CZ554-1</f>
        <v>6.2626848361843956E-2</v>
      </c>
      <c r="DE562" s="75">
        <f t="shared" ref="DE562:DE563" si="856">DE554/DA554-1</f>
        <v>4.2248136111642243E-2</v>
      </c>
      <c r="DF562" s="75">
        <f t="shared" ref="DF562:DF563" si="857">DF554/DB554-1</f>
        <v>5.2381181219664619E-2</v>
      </c>
      <c r="DG562" s="49"/>
      <c r="DH562" s="75">
        <f t="shared" ref="DH562:DH563" ca="1" si="858">DH554/DD554-1</f>
        <v>2.6737985226012118E-2</v>
      </c>
      <c r="DI562" s="75">
        <f t="shared" ref="DI562:DI563" ca="1" si="859">DI554/DE554-1</f>
        <v>4.3150747553764468E-2</v>
      </c>
      <c r="DJ562" s="75">
        <f t="shared" ref="DJ562:DJ563" ca="1" si="860">DJ554/DF554-1</f>
        <v>3.4910265258059736E-2</v>
      </c>
      <c r="DK562" s="49"/>
      <c r="DL562" s="75">
        <f t="shared" ref="DL562:DL563" ca="1" si="861">DL554/DH554-1</f>
        <v>2.9890903612143083E-2</v>
      </c>
      <c r="DM562" s="75">
        <f t="shared" ref="DM562:DM563" ca="1" si="862">DM554/DI554-1</f>
        <v>3.7266888073223647E-2</v>
      </c>
      <c r="DN562" s="75">
        <f t="shared" ref="DN562:DN563" ca="1" si="863">DN554/DJ554-1</f>
        <v>3.3592814252971337E-2</v>
      </c>
      <c r="DO562" s="49"/>
      <c r="DP562" s="75">
        <f t="shared" ref="DP562:DP563" ca="1" si="864">DP554/DL554-1</f>
        <v>3.8981210775734576E-2</v>
      </c>
      <c r="DQ562" s="75">
        <f t="shared" ref="DQ562:DQ563" ca="1" si="865">DQ554/DM554-1</f>
        <v>3.7843642093719376E-2</v>
      </c>
      <c r="DR562" s="75">
        <f t="shared" ref="DR562:DR563" ca="1" si="866">DR554/DN554-1</f>
        <v>3.8408250386937848E-2</v>
      </c>
      <c r="DS562" s="49"/>
      <c r="DT562" s="49"/>
      <c r="DU562" s="49"/>
    </row>
    <row r="563" spans="1:125" s="20" customFormat="1" ht="13.8">
      <c r="A563" s="47" t="str">
        <f>A555</f>
        <v>Revenue ex Notable Items</v>
      </c>
      <c r="B563" s="49"/>
      <c r="BH563" s="49"/>
      <c r="BI563" s="49"/>
      <c r="BJ563" s="49"/>
      <c r="BK563" s="49"/>
      <c r="BL563" s="49"/>
      <c r="BM563" s="49"/>
      <c r="BN563" s="49"/>
      <c r="BO563" s="49"/>
      <c r="BP563" s="49"/>
      <c r="CB563" s="910"/>
      <c r="CC563" s="910"/>
      <c r="CD563" s="910"/>
      <c r="CF563" s="75">
        <f t="shared" si="841"/>
        <v>4.6491969568893676E-3</v>
      </c>
      <c r="CG563" s="75">
        <f t="shared" si="841"/>
        <v>-1.4501891551071844E-2</v>
      </c>
      <c r="CH563" s="75">
        <f t="shared" si="841"/>
        <v>-4.952581664910416E-3</v>
      </c>
      <c r="CJ563" s="75">
        <f t="shared" si="842"/>
        <v>-1.3883045856121212E-2</v>
      </c>
      <c r="CK563" s="96">
        <f t="shared" si="842"/>
        <v>-4.5851994028577314E-3</v>
      </c>
      <c r="CL563" s="75">
        <f t="shared" si="842"/>
        <v>-9.2661230541141171E-3</v>
      </c>
      <c r="CM563" s="49"/>
      <c r="CN563" s="75">
        <f t="shared" si="843"/>
        <v>-3.1356655290102342E-2</v>
      </c>
      <c r="CO563" s="96">
        <f t="shared" si="844"/>
        <v>-2.6031065881092608E-2</v>
      </c>
      <c r="CP563" s="75">
        <f t="shared" si="845"/>
        <v>-2.8699695366362077E-2</v>
      </c>
      <c r="CQ563" s="49"/>
      <c r="CR563" s="75">
        <f t="shared" si="846"/>
        <v>-4.4373486016295982E-2</v>
      </c>
      <c r="CS563" s="96">
        <f t="shared" si="847"/>
        <v>5.3783545974483093E-2</v>
      </c>
      <c r="CT563" s="75">
        <f t="shared" si="848"/>
        <v>4.7320347749533198E-3</v>
      </c>
      <c r="CU563" s="49"/>
      <c r="CV563" s="75">
        <f t="shared" si="849"/>
        <v>0.22133886392441515</v>
      </c>
      <c r="CW563" s="96">
        <f t="shared" si="850"/>
        <v>7.8175555787496132E-2</v>
      </c>
      <c r="CX563" s="75">
        <f t="shared" si="851"/>
        <v>0.14622124863088715</v>
      </c>
      <c r="CY563" s="49"/>
      <c r="CZ563" s="75">
        <f t="shared" si="852"/>
        <v>-2.1886792452830206E-2</v>
      </c>
      <c r="DA563" s="96">
        <f t="shared" si="853"/>
        <v>1.2778315585672884E-2</v>
      </c>
      <c r="DB563" s="75">
        <f t="shared" si="854"/>
        <v>-4.7778308647873358E-3</v>
      </c>
      <c r="DC563" s="49"/>
      <c r="DD563" s="75">
        <f t="shared" si="855"/>
        <v>6.0474537037036979E-2</v>
      </c>
      <c r="DE563" s="96">
        <f t="shared" si="856"/>
        <v>6.9489581341999562E-2</v>
      </c>
      <c r="DF563" s="75">
        <f t="shared" si="857"/>
        <v>6.5002400384061465E-2</v>
      </c>
      <c r="DG563" s="49"/>
      <c r="DH563" s="75">
        <f t="shared" ca="1" si="858"/>
        <v>2.6737985226012118E-2</v>
      </c>
      <c r="DI563" s="75">
        <f t="shared" ca="1" si="859"/>
        <v>1.6580190484069002E-2</v>
      </c>
      <c r="DJ563" s="75">
        <f t="shared" ca="1" si="860"/>
        <v>2.1614672686902647E-2</v>
      </c>
      <c r="DK563" s="49"/>
      <c r="DL563" s="75">
        <f t="shared" ca="1" si="861"/>
        <v>2.9890903612143083E-2</v>
      </c>
      <c r="DM563" s="75">
        <f t="shared" ca="1" si="862"/>
        <v>3.7266888073223647E-2</v>
      </c>
      <c r="DN563" s="75">
        <f t="shared" ca="1" si="863"/>
        <v>3.3592814252971337E-2</v>
      </c>
      <c r="DO563" s="49"/>
      <c r="DP563" s="75">
        <f t="shared" ca="1" si="864"/>
        <v>3.8981210775734576E-2</v>
      </c>
      <c r="DQ563" s="75">
        <f t="shared" ca="1" si="865"/>
        <v>3.7843642093719376E-2</v>
      </c>
      <c r="DR563" s="75">
        <f t="shared" ca="1" si="866"/>
        <v>3.8408250386937848E-2</v>
      </c>
      <c r="DS563" s="49"/>
      <c r="DT563" s="49"/>
      <c r="DU563" s="49"/>
    </row>
    <row r="564" spans="1:125" s="20" customFormat="1" ht="13.8">
      <c r="A564" s="47"/>
      <c r="B564" s="49"/>
      <c r="BH564" s="49"/>
      <c r="BI564" s="49"/>
      <c r="BJ564" s="49"/>
      <c r="BK564" s="49"/>
      <c r="BL564" s="49"/>
      <c r="BM564" s="49"/>
      <c r="BN564" s="49"/>
      <c r="BO564" s="49"/>
      <c r="BP564" s="49"/>
      <c r="CB564" s="910"/>
      <c r="CC564" s="910"/>
      <c r="CD564" s="910"/>
      <c r="CF564" s="75">
        <f t="shared" ref="CF564:CH564" si="867">CF559/CB559-1</f>
        <v>-1.9841269841269771E-3</v>
      </c>
      <c r="CG564" s="75">
        <f t="shared" si="867"/>
        <v>-1.0589318600368269E-2</v>
      </c>
      <c r="CH564" s="75">
        <f t="shared" si="867"/>
        <v>-6.3166434863235477E-3</v>
      </c>
      <c r="CJ564" s="75">
        <f t="shared" ref="CJ564:CL564" si="868">CJ559/CF559-1</f>
        <v>-3.6837796748918294E-2</v>
      </c>
      <c r="CK564" s="75">
        <f t="shared" si="868"/>
        <v>-7.2126570497906051E-2</v>
      </c>
      <c r="CL564" s="75">
        <f t="shared" si="868"/>
        <v>-5.452848894850415E-2</v>
      </c>
      <c r="CM564" s="49"/>
      <c r="CN564" s="75">
        <f>CN559/CJ559-1</f>
        <v>-2.1005342399222915E-2</v>
      </c>
      <c r="CO564" s="75">
        <f t="shared" ref="CO564" si="869">CO559/CK559-1</f>
        <v>2.4072216649949851E-2</v>
      </c>
      <c r="CP564" s="75">
        <f t="shared" ref="CP564" si="870">CP559/CL559-1</f>
        <v>1.1719713792253117E-3</v>
      </c>
      <c r="CQ564" s="49"/>
      <c r="CR564" s="75">
        <f>CR559/CN559-1</f>
        <v>-2.4432593327545549E-2</v>
      </c>
      <c r="CS564" s="75">
        <f t="shared" ref="CS564" si="871">CS559/CO559-1</f>
        <v>7.7375122428991139E-2</v>
      </c>
      <c r="CT564" s="75">
        <f t="shared" ref="CT564" si="872">CT559/CP559-1</f>
        <v>2.6800566816585603E-2</v>
      </c>
      <c r="CU564" s="49"/>
      <c r="CV564" s="75">
        <f>CV559/CR559-1</f>
        <v>0.20607678616831926</v>
      </c>
      <c r="CW564" s="75">
        <f t="shared" ref="CW564" si="873">CW559/CS559-1</f>
        <v>6.704545454545463E-2</v>
      </c>
      <c r="CX564" s="75">
        <f t="shared" ref="CX564" si="874">CX559/CT559-1</f>
        <v>0.1326653066122645</v>
      </c>
      <c r="CY564" s="49"/>
      <c r="CZ564" s="75">
        <f>CZ559/CV559-1</f>
        <v>-2.8670812691050873E-2</v>
      </c>
      <c r="DA564" s="75">
        <f t="shared" ref="DA564" si="875">DA559/CW559-1</f>
        <v>1.5335463258785875E-2</v>
      </c>
      <c r="DB564" s="75">
        <f t="shared" ref="DB564" si="876">DB559/CX559-1</f>
        <v>-6.7807384647984303E-3</v>
      </c>
      <c r="DC564" s="49"/>
      <c r="DD564" s="75">
        <f>DD559/CZ559-1</f>
        <v>7.9110146500271261E-2</v>
      </c>
      <c r="DE564" s="75">
        <f t="shared" ref="DE564" si="877">DE559/DA559-1</f>
        <v>6.0834906649884557E-2</v>
      </c>
      <c r="DF564" s="75">
        <f t="shared" ref="DF564" si="878">DF559/DB559-1</f>
        <v>6.9817056909701858E-2</v>
      </c>
      <c r="DG564" s="49"/>
      <c r="DH564" s="75">
        <f t="shared" ref="DH564" ca="1" si="879">DH559/DD559-1</f>
        <v>2.3986740502816017E-2</v>
      </c>
      <c r="DI564" s="75">
        <f t="shared" ref="DI564" ca="1" si="880">DI559/DE559-1</f>
        <v>2.4281763034036619E-2</v>
      </c>
      <c r="DJ564" s="75">
        <f t="shared" ref="DJ564" ca="1" si="881">DJ559/DF559-1</f>
        <v>2.4135501988545638E-2</v>
      </c>
      <c r="DK564" s="49"/>
      <c r="DL564" s="75">
        <f t="shared" ref="DL564" ca="1" si="882">DL559/DH559-1</f>
        <v>3.0162829233979727E-2</v>
      </c>
      <c r="DM564" s="75">
        <f t="shared" ref="DM564" ca="1" si="883">DM559/DI559-1</f>
        <v>3.8262505365241006E-2</v>
      </c>
      <c r="DN564" s="75">
        <f t="shared" ref="DN564" ca="1" si="884">DN559/DJ559-1</f>
        <v>3.4247574659488356E-2</v>
      </c>
      <c r="DO564" s="49"/>
      <c r="DP564" s="75">
        <f t="shared" ref="DP564" ca="1" si="885">DP559/DL559-1</f>
        <v>4.0235485321888476E-2</v>
      </c>
      <c r="DQ564" s="75">
        <f t="shared" ref="DQ564" ca="1" si="886">DQ559/DM559-1</f>
        <v>3.8882515925581895E-2</v>
      </c>
      <c r="DR564" s="75">
        <f t="shared" ref="DR564" ca="1" si="887">DR559/DN559-1</f>
        <v>3.9550520963399061E-2</v>
      </c>
      <c r="DS564" s="49"/>
      <c r="DT564" s="49"/>
      <c r="DU564" s="49"/>
    </row>
    <row r="565" spans="1:125" s="20" customFormat="1" ht="13.8">
      <c r="A565" s="21"/>
      <c r="B565" s="49"/>
      <c r="BH565" s="49"/>
      <c r="BI565" s="49"/>
      <c r="BJ565" s="49"/>
      <c r="BK565" s="49"/>
      <c r="BL565" s="49"/>
      <c r="BM565" s="49"/>
      <c r="BN565" s="49"/>
      <c r="BO565" s="49"/>
      <c r="BP565" s="49"/>
      <c r="CB565" s="910"/>
      <c r="CC565" s="910"/>
      <c r="CD565" s="910"/>
      <c r="CF565" s="910"/>
      <c r="CG565" s="910"/>
      <c r="CH565" s="910"/>
      <c r="CJ565" s="908"/>
      <c r="CK565" s="908"/>
      <c r="CL565" s="908"/>
      <c r="CM565" s="49"/>
      <c r="CN565" s="908"/>
      <c r="CO565" s="908"/>
      <c r="CP565" s="908"/>
      <c r="CQ565" s="49"/>
      <c r="CR565" s="908"/>
      <c r="CS565" s="908"/>
      <c r="CT565" s="908"/>
      <c r="CV565" s="908"/>
      <c r="CW565" s="908"/>
      <c r="CX565" s="908"/>
      <c r="CZ565" s="908"/>
      <c r="DA565" s="908"/>
      <c r="DB565" s="908"/>
      <c r="DD565" s="908"/>
      <c r="DE565" s="908"/>
      <c r="DF565" s="908"/>
      <c r="DH565" s="910"/>
      <c r="DI565" s="910"/>
      <c r="DJ565" s="910"/>
      <c r="DL565" s="910"/>
      <c r="DM565" s="910"/>
      <c r="DN565" s="910"/>
      <c r="DP565" s="910"/>
      <c r="DQ565" s="910"/>
      <c r="DR565" s="910"/>
    </row>
    <row r="566" spans="1:125" s="20" customFormat="1" ht="13.8">
      <c r="A566" s="20" t="s">
        <v>282</v>
      </c>
      <c r="B566" s="49"/>
      <c r="BH566" s="49"/>
      <c r="BI566" s="49"/>
      <c r="BJ566" s="49"/>
      <c r="BK566" s="49"/>
      <c r="BL566" s="49"/>
      <c r="BM566" s="49"/>
      <c r="BN566" s="49"/>
      <c r="BO566" s="49"/>
      <c r="BP566" s="49"/>
      <c r="CB566" s="910"/>
      <c r="CC566" s="910"/>
      <c r="CD566" s="910"/>
      <c r="CF566" s="910"/>
      <c r="CG566" s="910"/>
      <c r="CH566" s="910"/>
      <c r="CJ566" s="65">
        <f t="shared" ref="CJ566:CK566" si="888">CJ598</f>
        <v>7222</v>
      </c>
      <c r="CK566" s="65">
        <f t="shared" si="888"/>
        <v>6827</v>
      </c>
      <c r="CL566" s="65">
        <f>+CJ566+CK566</f>
        <v>14049</v>
      </c>
      <c r="CM566" s="49"/>
      <c r="CN566" s="65">
        <f>CN598</f>
        <v>6986</v>
      </c>
      <c r="CO566" s="65">
        <f t="shared" ref="CO566" si="889">CO598</f>
        <v>7175</v>
      </c>
      <c r="CP566" s="65">
        <f>+CN566+CO566</f>
        <v>14161</v>
      </c>
      <c r="CQ566" s="49"/>
      <c r="CR566" s="65">
        <f>CR598</f>
        <v>7100</v>
      </c>
      <c r="CS566" s="65">
        <f t="shared" ref="CS566" si="890">CS598</f>
        <v>7774</v>
      </c>
      <c r="CT566" s="65">
        <f>+CR566+CS566</f>
        <v>14874</v>
      </c>
      <c r="CV566" s="65">
        <f>CV598</f>
        <v>8500</v>
      </c>
      <c r="CW566" s="65">
        <f t="shared" ref="CW566" si="891">CW598</f>
        <v>8074</v>
      </c>
      <c r="CX566" s="65">
        <f>+CV566+CW566</f>
        <v>16574</v>
      </c>
      <c r="CZ566" s="65">
        <f>CZ598</f>
        <v>7899</v>
      </c>
      <c r="DA566" s="65">
        <f t="shared" ref="DA566" si="892">DA598</f>
        <v>8170</v>
      </c>
      <c r="DB566" s="65">
        <f>+CZ566+DA566</f>
        <v>16069</v>
      </c>
      <c r="DD566" s="65">
        <f t="shared" ref="DD566:DE566" si="893">DD598</f>
        <v>8869</v>
      </c>
      <c r="DE566" s="65">
        <f t="shared" si="893"/>
        <v>9092</v>
      </c>
      <c r="DF566" s="65">
        <f>+DD566+DE566</f>
        <v>17961</v>
      </c>
      <c r="DH566" s="65">
        <f t="shared" ref="DH566:DJ566" ca="1" si="894">DH598</f>
        <v>9185.0219475600024</v>
      </c>
      <c r="DI566" s="65">
        <f t="shared" ca="1" si="894"/>
        <v>9305.8296073262482</v>
      </c>
      <c r="DJ566" s="65">
        <f t="shared" ca="1" si="894"/>
        <v>18490.851554886249</v>
      </c>
      <c r="DL566" s="65">
        <f t="shared" ref="DL566:DN566" ca="1" si="895">DL598</f>
        <v>9458.0356987137293</v>
      </c>
      <c r="DM566" s="65">
        <f t="shared" ca="1" si="895"/>
        <v>9666.9824461304397</v>
      </c>
      <c r="DN566" s="65">
        <f t="shared" ca="1" si="895"/>
        <v>19125.018144844169</v>
      </c>
      <c r="DP566" s="65">
        <f t="shared" ref="DP566:DR566" ca="1" si="896">DP598</f>
        <v>9855.2969016896805</v>
      </c>
      <c r="DQ566" s="65">
        <f t="shared" ca="1" si="896"/>
        <v>10059.270877518977</v>
      </c>
      <c r="DR566" s="65">
        <f t="shared" ca="1" si="896"/>
        <v>19914.567779208657</v>
      </c>
    </row>
    <row r="567" spans="1:125" s="20" customFormat="1" ht="13.8">
      <c r="A567" s="20" t="s">
        <v>967</v>
      </c>
      <c r="B567" s="49"/>
      <c r="BH567" s="49"/>
      <c r="BI567" s="49"/>
      <c r="BJ567" s="49"/>
      <c r="BK567" s="49"/>
      <c r="BL567" s="49"/>
      <c r="BM567" s="49"/>
      <c r="BN567" s="49"/>
      <c r="BO567" s="49"/>
      <c r="BP567" s="49"/>
      <c r="CB567" s="910"/>
      <c r="CC567" s="910"/>
      <c r="CD567" s="910"/>
      <c r="CF567" s="910"/>
      <c r="CG567" s="910"/>
      <c r="CH567" s="910"/>
      <c r="CJ567" s="65">
        <f t="shared" ref="CJ567:CK567" si="897">CJ566-CJ568</f>
        <v>53</v>
      </c>
      <c r="CK567" s="65">
        <f t="shared" si="897"/>
        <v>-25</v>
      </c>
      <c r="CL567" s="65">
        <f t="shared" ref="CL567:CL568" si="898">+CJ567+CK567</f>
        <v>28</v>
      </c>
      <c r="CM567" s="49"/>
      <c r="CN567" s="65">
        <f>CN566-CN568</f>
        <v>-56</v>
      </c>
      <c r="CO567" s="65">
        <f t="shared" ref="CO567" si="899">CO566-CO568</f>
        <v>-30</v>
      </c>
      <c r="CP567" s="65">
        <f t="shared" ref="CP567:CP568" si="900">+CN567+CO567</f>
        <v>-86</v>
      </c>
      <c r="CQ567" s="49"/>
      <c r="CR567" s="65">
        <f>CR566-CR568</f>
        <v>-3</v>
      </c>
      <c r="CS567" s="65">
        <f t="shared" ref="CS567" si="901">CS566-CS568</f>
        <v>3</v>
      </c>
      <c r="CT567" s="65">
        <f t="shared" ref="CT567:CT568" si="902">+CR567+CS567</f>
        <v>0</v>
      </c>
      <c r="CV567" s="573">
        <v>-10</v>
      </c>
      <c r="CW567" s="573">
        <v>-8</v>
      </c>
      <c r="CX567" s="65">
        <f>+CV567+CW567</f>
        <v>-18</v>
      </c>
      <c r="CZ567" s="65">
        <f>CZ566-CZ568</f>
        <v>0</v>
      </c>
      <c r="DA567" s="573">
        <v>0</v>
      </c>
      <c r="DB567" s="65">
        <f>+CZ567+DA567</f>
        <v>0</v>
      </c>
      <c r="DD567" s="573">
        <v>0</v>
      </c>
      <c r="DE567" s="573">
        <v>0</v>
      </c>
      <c r="DF567" s="65">
        <f>+DD567+DE567</f>
        <v>0</v>
      </c>
      <c r="DH567" s="65">
        <f t="shared" ref="DH567:DJ567" ca="1" si="903">DH566-DH568</f>
        <v>0</v>
      </c>
      <c r="DI567" s="65">
        <f t="shared" ca="1" si="903"/>
        <v>0</v>
      </c>
      <c r="DJ567" s="65">
        <f t="shared" ca="1" si="903"/>
        <v>0</v>
      </c>
      <c r="DL567" s="65">
        <f t="shared" ref="DL567:DN567" ca="1" si="904">DL566-DL568</f>
        <v>0</v>
      </c>
      <c r="DM567" s="65">
        <f t="shared" ca="1" si="904"/>
        <v>0</v>
      </c>
      <c r="DN567" s="65">
        <f t="shared" ca="1" si="904"/>
        <v>0</v>
      </c>
      <c r="DP567" s="65">
        <f t="shared" ref="DP567:DR567" ca="1" si="905">DP566-DP568</f>
        <v>0</v>
      </c>
      <c r="DQ567" s="65">
        <f t="shared" ca="1" si="905"/>
        <v>0</v>
      </c>
      <c r="DR567" s="65">
        <f t="shared" ca="1" si="905"/>
        <v>0</v>
      </c>
    </row>
    <row r="568" spans="1:125" s="20" customFormat="1" ht="13.8">
      <c r="A568" s="21" t="s">
        <v>979</v>
      </c>
      <c r="B568" s="49"/>
      <c r="BH568" s="49"/>
      <c r="BI568" s="49"/>
      <c r="BJ568" s="49"/>
      <c r="BK568" s="49"/>
      <c r="BL568" s="49"/>
      <c r="BM568" s="49"/>
      <c r="BN568" s="49"/>
      <c r="BO568" s="49"/>
      <c r="BP568" s="49"/>
      <c r="CB568" s="910"/>
      <c r="CC568" s="910"/>
      <c r="CD568" s="910"/>
      <c r="CF568" s="910"/>
      <c r="CG568" s="910"/>
      <c r="CH568" s="910"/>
      <c r="CJ568" s="607">
        <v>7169</v>
      </c>
      <c r="CK568" s="607">
        <v>6852</v>
      </c>
      <c r="CL568" s="72">
        <f t="shared" si="898"/>
        <v>14021</v>
      </c>
      <c r="CM568" s="49"/>
      <c r="CN568" s="607">
        <v>7042</v>
      </c>
      <c r="CO568" s="607">
        <v>7205</v>
      </c>
      <c r="CP568" s="72">
        <f t="shared" si="900"/>
        <v>14247</v>
      </c>
      <c r="CQ568" s="49"/>
      <c r="CR568" s="607">
        <v>7103</v>
      </c>
      <c r="CS568" s="607">
        <v>7771</v>
      </c>
      <c r="CT568" s="72">
        <f t="shared" si="902"/>
        <v>14874</v>
      </c>
      <c r="CV568" s="72">
        <f>CV566-CV567</f>
        <v>8510</v>
      </c>
      <c r="CW568" s="72">
        <f>CW566-CW567</f>
        <v>8082</v>
      </c>
      <c r="CX568" s="72">
        <f t="shared" ref="CX568" si="906">+CV568+CW568</f>
        <v>16592</v>
      </c>
      <c r="CZ568" s="607">
        <v>7899</v>
      </c>
      <c r="DA568" s="72">
        <f>DA566-DA567</f>
        <v>8170</v>
      </c>
      <c r="DB568" s="72">
        <f t="shared" ref="DB568" si="907">+CZ568+DA568</f>
        <v>16069</v>
      </c>
      <c r="DD568" s="72">
        <f>DD566-DD567</f>
        <v>8869</v>
      </c>
      <c r="DE568" s="72">
        <f>DE566-DE567</f>
        <v>9092</v>
      </c>
      <c r="DF568" s="72">
        <f t="shared" ref="DF568" si="908">+DD568+DE568</f>
        <v>17961</v>
      </c>
      <c r="DH568" s="72">
        <f t="shared" ref="DH568:DI568" ca="1" si="909">DH602</f>
        <v>9185.0219475600024</v>
      </c>
      <c r="DI568" s="72">
        <f t="shared" ca="1" si="909"/>
        <v>9305.8296073262482</v>
      </c>
      <c r="DJ568" s="72">
        <f ca="1">+DI568+DH568</f>
        <v>18490.851554886249</v>
      </c>
      <c r="DL568" s="72">
        <f t="shared" ref="DL568:DM568" ca="1" si="910">DL602</f>
        <v>9458.0356987137293</v>
      </c>
      <c r="DM568" s="72">
        <f t="shared" ca="1" si="910"/>
        <v>9666.9824461304397</v>
      </c>
      <c r="DN568" s="72">
        <f ca="1">+DM568+DL568</f>
        <v>19125.018144844169</v>
      </c>
      <c r="DP568" s="72">
        <f t="shared" ref="DP568:DQ568" ca="1" si="911">DP602</f>
        <v>9855.2969016896805</v>
      </c>
      <c r="DQ568" s="72">
        <f t="shared" ca="1" si="911"/>
        <v>10059.270877518977</v>
      </c>
      <c r="DR568" s="72">
        <f ca="1">+DQ568+DP568</f>
        <v>19914.567779208657</v>
      </c>
    </row>
    <row r="569" spans="1:125" s="20" customFormat="1" ht="13.8">
      <c r="A569" s="21"/>
      <c r="B569" s="49"/>
      <c r="BH569" s="49"/>
      <c r="BI569" s="49"/>
      <c r="BJ569" s="49"/>
      <c r="BK569" s="49"/>
      <c r="BL569" s="49"/>
      <c r="BM569" s="49"/>
      <c r="BN569" s="49"/>
      <c r="BO569" s="49"/>
      <c r="BP569" s="49"/>
      <c r="CB569" s="910"/>
      <c r="CC569" s="910"/>
      <c r="CD569" s="910"/>
      <c r="CF569" s="910"/>
      <c r="CG569" s="910"/>
      <c r="CH569" s="910"/>
      <c r="CJ569" s="908"/>
      <c r="CK569" s="908"/>
      <c r="CL569" s="908"/>
      <c r="CM569" s="49"/>
      <c r="CN569" s="908"/>
      <c r="CO569" s="908"/>
      <c r="CP569" s="908"/>
      <c r="CQ569" s="49"/>
      <c r="CR569" s="908"/>
      <c r="CS569" s="908"/>
      <c r="CT569" s="908"/>
      <c r="CV569" s="908"/>
      <c r="CW569" s="908"/>
      <c r="CX569" s="908"/>
      <c r="CZ569" s="908"/>
      <c r="DA569" s="908"/>
      <c r="DB569" s="908"/>
      <c r="DD569" s="908"/>
      <c r="DE569" s="908"/>
      <c r="DF569" s="908"/>
      <c r="DH569" s="908"/>
      <c r="DI569" s="908"/>
      <c r="DJ569" s="910"/>
      <c r="DL569" s="908"/>
      <c r="DM569" s="908"/>
      <c r="DN569" s="910"/>
      <c r="DP569" s="908"/>
      <c r="DQ569" s="908"/>
      <c r="DR569" s="910"/>
    </row>
    <row r="570" spans="1:125" s="20" customFormat="1" ht="13.8">
      <c r="A570" s="21"/>
      <c r="B570" s="49"/>
      <c r="BH570" s="49"/>
      <c r="BI570" s="49"/>
      <c r="BJ570" s="49"/>
      <c r="BK570" s="49"/>
      <c r="BL570" s="49"/>
      <c r="BM570" s="49"/>
      <c r="BN570" s="49"/>
      <c r="BO570" s="49"/>
      <c r="BP570" s="49"/>
      <c r="CB570" s="910"/>
      <c r="CC570" s="910"/>
      <c r="CD570" s="910"/>
      <c r="CF570" s="910"/>
      <c r="CG570" s="910"/>
      <c r="CH570" s="910"/>
      <c r="CJ570" s="908"/>
      <c r="CK570" s="908"/>
      <c r="CL570" s="908"/>
      <c r="CM570" s="49"/>
      <c r="CN570" s="908"/>
      <c r="CO570" s="908"/>
      <c r="CP570" s="908"/>
      <c r="CQ570" s="49"/>
      <c r="CR570" s="908"/>
      <c r="CS570" s="908"/>
      <c r="CT570" s="908"/>
      <c r="CV570" s="908"/>
      <c r="CW570" s="908"/>
      <c r="CX570" s="908"/>
      <c r="CZ570" s="908"/>
      <c r="DA570" s="908"/>
      <c r="DB570" s="908"/>
      <c r="DD570" s="908"/>
      <c r="DE570" s="908"/>
      <c r="DF570" s="908"/>
      <c r="DH570" s="908"/>
      <c r="DI570" s="908"/>
      <c r="DJ570" s="910"/>
      <c r="DL570" s="908"/>
      <c r="DM570" s="908"/>
      <c r="DN570" s="910"/>
      <c r="DP570" s="908"/>
      <c r="DQ570" s="908"/>
      <c r="DR570" s="910"/>
    </row>
    <row r="571" spans="1:125" s="20" customFormat="1" ht="13.8">
      <c r="A571" s="20" t="s">
        <v>223</v>
      </c>
      <c r="B571" s="49"/>
      <c r="BH571" s="49"/>
      <c r="BI571" s="49"/>
      <c r="BJ571" s="49"/>
      <c r="BK571" s="49"/>
      <c r="BL571" s="49"/>
      <c r="BM571" s="49"/>
      <c r="BN571" s="49"/>
      <c r="BO571" s="49"/>
      <c r="BP571" s="49"/>
      <c r="CB571" s="910"/>
      <c r="CC571" s="910"/>
      <c r="CD571" s="910"/>
      <c r="CF571" s="910"/>
      <c r="CG571" s="910"/>
      <c r="CH571" s="910"/>
      <c r="CJ571" s="65">
        <f>CJ666+CJ793</f>
        <v>1357</v>
      </c>
      <c r="CK571" s="65">
        <f>CK666+CK793</f>
        <v>2346</v>
      </c>
      <c r="CL571" s="65">
        <f>+CJ571+CK571</f>
        <v>3703</v>
      </c>
      <c r="CM571" s="49"/>
      <c r="CN571" s="65">
        <f>CN666+CN793</f>
        <v>1437</v>
      </c>
      <c r="CO571" s="65">
        <f>CO666+CO793</f>
        <v>1849</v>
      </c>
      <c r="CP571" s="65">
        <f>+CN571+CO571</f>
        <v>3286</v>
      </c>
      <c r="CQ571" s="49"/>
      <c r="CR571" s="65">
        <f>CR666+CR793</f>
        <v>1848</v>
      </c>
      <c r="CS571" s="65">
        <f>CS666+CS793</f>
        <v>1825</v>
      </c>
      <c r="CT571" s="65">
        <f>+CR571+CS571</f>
        <v>3673</v>
      </c>
      <c r="CV571" s="65">
        <f>CV666+CV793</f>
        <v>2040</v>
      </c>
      <c r="CW571" s="65">
        <f>CW666+CW793</f>
        <v>2291</v>
      </c>
      <c r="CX571" s="65">
        <f>+CV571+CW571</f>
        <v>4331</v>
      </c>
      <c r="CZ571" s="65">
        <f>CZ666+CZ793</f>
        <v>2448</v>
      </c>
      <c r="DA571" s="65">
        <f>DA666+DA793</f>
        <v>2292</v>
      </c>
      <c r="DB571" s="65">
        <f>+CZ571+DA571</f>
        <v>4740</v>
      </c>
      <c r="DD571" s="65">
        <f>DD666+DD793</f>
        <v>2126</v>
      </c>
      <c r="DE571" s="65">
        <f>DE666+DE793</f>
        <v>1812</v>
      </c>
      <c r="DF571" s="65">
        <f>+DD571+DE571</f>
        <v>3938</v>
      </c>
      <c r="DH571" s="65">
        <f>DH666+DH793</f>
        <v>2103.9621999999999</v>
      </c>
      <c r="DI571" s="65">
        <f>DI666+DI793</f>
        <v>2068.6861439999998</v>
      </c>
      <c r="DJ571" s="65">
        <f>+DH571+DI571</f>
        <v>4172.6483439999993</v>
      </c>
      <c r="DL571" s="65">
        <f>DL666+DL793</f>
        <v>2168.38638588</v>
      </c>
      <c r="DM571" s="65">
        <f>DM666+DM793</f>
        <v>2131.4261105876003</v>
      </c>
      <c r="DN571" s="65">
        <f>+DL571+DM571</f>
        <v>4299.8124964676008</v>
      </c>
      <c r="DP571" s="65">
        <f>DP666+DP793</f>
        <v>2224.3371927512521</v>
      </c>
      <c r="DQ571" s="65">
        <f>DQ666+DQ793</f>
        <v>2185.6324298949762</v>
      </c>
      <c r="DR571" s="65">
        <f>+DP571+DQ571</f>
        <v>4409.9696226462283</v>
      </c>
    </row>
    <row r="572" spans="1:125" s="20" customFormat="1" ht="13.8">
      <c r="A572" s="20" t="s">
        <v>967</v>
      </c>
      <c r="B572" s="49"/>
      <c r="BH572" s="49"/>
      <c r="BI572" s="49"/>
      <c r="BJ572" s="49"/>
      <c r="BK572" s="49"/>
      <c r="BL572" s="49"/>
      <c r="BM572" s="49"/>
      <c r="BN572" s="49"/>
      <c r="BO572" s="49"/>
      <c r="BP572" s="49"/>
      <c r="CB572" s="910"/>
      <c r="CC572" s="910"/>
      <c r="CD572" s="910"/>
      <c r="CF572" s="910"/>
      <c r="CG572" s="910"/>
      <c r="CH572" s="910"/>
      <c r="CJ572" s="65">
        <f t="shared" ref="CJ572:CK572" si="912">CJ571-CJ573</f>
        <v>-850</v>
      </c>
      <c r="CK572" s="65">
        <f t="shared" si="912"/>
        <v>-137</v>
      </c>
      <c r="CL572" s="65">
        <f t="shared" ref="CL572:CL573" si="913">+CJ572+CK572</f>
        <v>-987</v>
      </c>
      <c r="CM572" s="49"/>
      <c r="CN572" s="65">
        <f>CN571-CN573</f>
        <v>-603</v>
      </c>
      <c r="CO572" s="65">
        <f t="shared" ref="CO572" si="914">CO571-CO573</f>
        <v>-38</v>
      </c>
      <c r="CP572" s="65">
        <f t="shared" ref="CP572:CP573" si="915">+CN572+CO572</f>
        <v>-641</v>
      </c>
      <c r="CQ572" s="49"/>
      <c r="CR572" s="65">
        <f>CR571-CR573</f>
        <v>272</v>
      </c>
      <c r="CS572" s="65">
        <f t="shared" ref="CS572" si="916">CS571-CS573</f>
        <v>15</v>
      </c>
      <c r="CT572" s="65">
        <f t="shared" ref="CT572:CT573" si="917">+CR572+CS572</f>
        <v>287</v>
      </c>
      <c r="CV572" s="573">
        <v>-50</v>
      </c>
      <c r="CW572" s="573">
        <v>43</v>
      </c>
      <c r="CX572" s="65">
        <f t="shared" ref="CX572:CX573" si="918">+CV572+CW572</f>
        <v>-7</v>
      </c>
      <c r="CZ572" s="573">
        <v>-21</v>
      </c>
      <c r="DA572" s="573">
        <v>0</v>
      </c>
      <c r="DB572" s="65">
        <f t="shared" ref="DB572:DB573" si="919">+CZ572+DA572</f>
        <v>-21</v>
      </c>
      <c r="DD572" s="573">
        <v>0</v>
      </c>
      <c r="DE572" s="573">
        <v>-285</v>
      </c>
      <c r="DF572" s="65">
        <f t="shared" ref="DF572:DF573" si="920">+DD572+DE572</f>
        <v>-285</v>
      </c>
      <c r="DH572" s="65">
        <f t="shared" ref="DH572:DI572" ca="1" si="921">DH581-DH567</f>
        <v>0</v>
      </c>
      <c r="DI572" s="65">
        <f t="shared" ca="1" si="921"/>
        <v>0</v>
      </c>
      <c r="DJ572" s="65">
        <f t="shared" ref="DJ572:DJ573" ca="1" si="922">+DH572+DI572</f>
        <v>0</v>
      </c>
      <c r="DL572" s="65">
        <f t="shared" ref="DL572:DM572" ca="1" si="923">DL581-DL567</f>
        <v>0</v>
      </c>
      <c r="DM572" s="65">
        <f t="shared" ca="1" si="923"/>
        <v>0</v>
      </c>
      <c r="DN572" s="65">
        <f t="shared" ref="DN572:DN573" ca="1" si="924">+DL572+DM572</f>
        <v>0</v>
      </c>
      <c r="DP572" s="65">
        <f t="shared" ref="DP572:DQ572" ca="1" si="925">DP581-DP567</f>
        <v>0</v>
      </c>
      <c r="DQ572" s="65">
        <f t="shared" ca="1" si="925"/>
        <v>0</v>
      </c>
      <c r="DR572" s="65">
        <f t="shared" ref="DR572:DR573" ca="1" si="926">+DP572+DQ572</f>
        <v>0</v>
      </c>
    </row>
    <row r="573" spans="1:125" s="20" customFormat="1" ht="13.8">
      <c r="A573" s="21" t="s">
        <v>1061</v>
      </c>
      <c r="B573" s="49"/>
      <c r="BH573" s="49"/>
      <c r="BI573" s="49"/>
      <c r="BJ573" s="49"/>
      <c r="BK573" s="49"/>
      <c r="BL573" s="49"/>
      <c r="BM573" s="49"/>
      <c r="BN573" s="49"/>
      <c r="BO573" s="49"/>
      <c r="BP573" s="49"/>
      <c r="CB573" s="910"/>
      <c r="CC573" s="910"/>
      <c r="CD573" s="910"/>
      <c r="CF573" s="910"/>
      <c r="CG573" s="910"/>
      <c r="CH573" s="910"/>
      <c r="CJ573" s="607">
        <v>2207</v>
      </c>
      <c r="CK573" s="607">
        <v>2483</v>
      </c>
      <c r="CL573" s="72">
        <f t="shared" si="913"/>
        <v>4690</v>
      </c>
      <c r="CM573" s="49"/>
      <c r="CN573" s="607">
        <v>2040</v>
      </c>
      <c r="CO573" s="607">
        <v>1887</v>
      </c>
      <c r="CP573" s="72">
        <f t="shared" si="915"/>
        <v>3927</v>
      </c>
      <c r="CQ573" s="49"/>
      <c r="CR573" s="607">
        <v>1576</v>
      </c>
      <c r="CS573" s="607">
        <v>1810</v>
      </c>
      <c r="CT573" s="72">
        <f t="shared" si="917"/>
        <v>3386</v>
      </c>
      <c r="CV573" s="72">
        <f>CV571-CV572</f>
        <v>2090</v>
      </c>
      <c r="CW573" s="72">
        <f>CW571-CW572</f>
        <v>2248</v>
      </c>
      <c r="CX573" s="72">
        <f t="shared" si="918"/>
        <v>4338</v>
      </c>
      <c r="CZ573" s="72">
        <f>CZ571-CZ572</f>
        <v>2469</v>
      </c>
      <c r="DA573" s="72">
        <f>DA571-DA572</f>
        <v>2292</v>
      </c>
      <c r="DB573" s="72">
        <f t="shared" si="919"/>
        <v>4761</v>
      </c>
      <c r="DD573" s="72">
        <f>DD571-DD572</f>
        <v>2126</v>
      </c>
      <c r="DE573" s="72">
        <f>DE571-DE572</f>
        <v>2097</v>
      </c>
      <c r="DF573" s="72">
        <f t="shared" si="920"/>
        <v>4223</v>
      </c>
      <c r="DH573" s="72">
        <f t="shared" ref="DH573:DI573" ca="1" si="927">+DH571-DH572</f>
        <v>2103.9621999999999</v>
      </c>
      <c r="DI573" s="72">
        <f t="shared" ca="1" si="927"/>
        <v>2068.6861439999998</v>
      </c>
      <c r="DJ573" s="72">
        <f t="shared" ca="1" si="922"/>
        <v>4172.6483439999993</v>
      </c>
      <c r="DL573" s="72">
        <f t="shared" ref="DL573:DM573" ca="1" si="928">+DL571-DL572</f>
        <v>2168.38638588</v>
      </c>
      <c r="DM573" s="72">
        <f t="shared" ca="1" si="928"/>
        <v>2131.4261105876003</v>
      </c>
      <c r="DN573" s="72">
        <f t="shared" ca="1" si="924"/>
        <v>4299.8124964676008</v>
      </c>
      <c r="DP573" s="72">
        <f t="shared" ref="DP573:DQ573" ca="1" si="929">+DP571-DP572</f>
        <v>2224.3371927512521</v>
      </c>
      <c r="DQ573" s="72">
        <f t="shared" ca="1" si="929"/>
        <v>2185.6324298949762</v>
      </c>
      <c r="DR573" s="72">
        <f t="shared" ca="1" si="926"/>
        <v>4409.9696226462283</v>
      </c>
    </row>
    <row r="574" spans="1:125" s="20" customFormat="1" ht="13.8">
      <c r="A574" s="21"/>
      <c r="B574" s="49"/>
      <c r="BH574" s="49"/>
      <c r="BI574" s="49"/>
      <c r="BJ574" s="49"/>
      <c r="BK574" s="49"/>
      <c r="BL574" s="49"/>
      <c r="BM574" s="49"/>
      <c r="BN574" s="49"/>
      <c r="BO574" s="49"/>
      <c r="BP574" s="49"/>
      <c r="CB574" s="910"/>
      <c r="CC574" s="910"/>
      <c r="CD574" s="910"/>
      <c r="CF574" s="910"/>
      <c r="CG574" s="910"/>
      <c r="CH574" s="910"/>
      <c r="CJ574" s="908"/>
      <c r="CK574" s="908"/>
      <c r="CL574" s="908"/>
      <c r="CM574" s="49"/>
      <c r="CN574" s="908"/>
      <c r="CO574" s="908"/>
      <c r="CP574" s="908"/>
      <c r="CQ574" s="49"/>
      <c r="CR574" s="910"/>
      <c r="CS574" s="908"/>
      <c r="CT574" s="908"/>
      <c r="CV574" s="910"/>
      <c r="CW574" s="908"/>
      <c r="CX574" s="908"/>
      <c r="CZ574" s="910"/>
      <c r="DA574" s="908"/>
      <c r="DB574" s="908"/>
      <c r="DD574" s="910"/>
      <c r="DE574" s="908"/>
      <c r="DF574" s="908"/>
      <c r="DH574" s="910"/>
      <c r="DI574" s="910"/>
      <c r="DJ574" s="910"/>
      <c r="DL574" s="910"/>
      <c r="DM574" s="910"/>
      <c r="DN574" s="910"/>
      <c r="DP574" s="910"/>
      <c r="DQ574" s="910"/>
      <c r="DR574" s="910"/>
    </row>
    <row r="575" spans="1:125" s="20" customFormat="1" ht="13.8">
      <c r="A575" s="21" t="s">
        <v>967</v>
      </c>
      <c r="B575" s="49"/>
      <c r="BH575" s="49"/>
      <c r="BI575" s="49"/>
      <c r="BJ575" s="49"/>
      <c r="BK575" s="49"/>
      <c r="BL575" s="49"/>
      <c r="BM575" s="49"/>
      <c r="BN575" s="49"/>
      <c r="BO575" s="49"/>
      <c r="BP575" s="49"/>
      <c r="CB575" s="28"/>
      <c r="CC575" s="28"/>
      <c r="CD575" s="28"/>
      <c r="CF575" s="28"/>
      <c r="CG575" s="28"/>
      <c r="CH575" s="28"/>
      <c r="CJ575" s="65"/>
      <c r="CK575" s="65"/>
      <c r="CL575" s="65"/>
      <c r="CM575" s="49"/>
      <c r="CN575" s="65"/>
      <c r="CO575" s="65"/>
      <c r="CP575" s="65"/>
      <c r="CQ575" s="49"/>
      <c r="CR575" s="65"/>
      <c r="CS575" s="65"/>
      <c r="CT575" s="65"/>
      <c r="CU575" s="49"/>
      <c r="CV575" s="65"/>
      <c r="CW575" s="65"/>
      <c r="CX575" s="65"/>
      <c r="CY575" s="49"/>
      <c r="CZ575" s="65"/>
      <c r="DA575" s="65"/>
      <c r="DB575" s="65"/>
      <c r="DC575" s="49"/>
      <c r="DD575" s="65"/>
      <c r="DE575" s="65"/>
      <c r="DF575" s="65"/>
      <c r="DG575" s="49"/>
      <c r="DH575" s="65"/>
      <c r="DI575" s="65"/>
      <c r="DJ575" s="65"/>
      <c r="DK575" s="49"/>
      <c r="DL575" s="65"/>
      <c r="DM575" s="65"/>
      <c r="DN575" s="65"/>
      <c r="DO575" s="49"/>
      <c r="DP575" s="65"/>
      <c r="DQ575" s="65"/>
      <c r="DR575" s="65"/>
      <c r="DS575" s="49"/>
      <c r="DT575" s="49"/>
      <c r="DU575" s="49"/>
    </row>
    <row r="576" spans="1:125" s="20" customFormat="1" ht="13.8">
      <c r="A576" s="20" t="s">
        <v>954</v>
      </c>
      <c r="B576" s="49"/>
      <c r="BH576" s="49"/>
      <c r="BI576" s="49"/>
      <c r="BJ576" s="49"/>
      <c r="BK576" s="49"/>
      <c r="BL576" s="49"/>
      <c r="BM576" s="49"/>
      <c r="BN576" s="49"/>
      <c r="BO576" s="49"/>
      <c r="BP576" s="49"/>
      <c r="CB576" s="28">
        <f>CB741+CB742</f>
        <v>238</v>
      </c>
      <c r="CC576" s="28">
        <f>CC741+CC742</f>
        <v>60</v>
      </c>
      <c r="CD576" s="28">
        <f>CD741+CD742</f>
        <v>298</v>
      </c>
      <c r="CF576" s="28">
        <f>CF741+CF742</f>
        <v>234</v>
      </c>
      <c r="CG576" s="28">
        <f>CG741+CG742</f>
        <v>18</v>
      </c>
      <c r="CH576" s="28">
        <f>CH741+CH742</f>
        <v>252</v>
      </c>
      <c r="CJ576" s="65">
        <f>CJ741+CJ742</f>
        <v>-815</v>
      </c>
      <c r="CK576" s="65">
        <f>CK741+CK742</f>
        <v>-38</v>
      </c>
      <c r="CL576" s="65">
        <f>CL741+CL742</f>
        <v>-853</v>
      </c>
      <c r="CM576" s="49"/>
      <c r="CN576" s="65">
        <f>CN741+CN742</f>
        <v>-238</v>
      </c>
      <c r="CO576" s="65">
        <f>CO741+CO742</f>
        <v>0</v>
      </c>
      <c r="CP576" s="65">
        <f>CP741+CP742</f>
        <v>-238</v>
      </c>
      <c r="CQ576" s="49"/>
      <c r="CR576" s="65">
        <f>CR741+CR742</f>
        <v>294</v>
      </c>
      <c r="CS576" s="65">
        <f>CS741+CS742</f>
        <v>27</v>
      </c>
      <c r="CT576" s="65">
        <f>CT741+CT742</f>
        <v>321</v>
      </c>
      <c r="CU576" s="49"/>
      <c r="CV576" s="65">
        <f>CV741+CV742</f>
        <v>-43</v>
      </c>
      <c r="CW576" s="65">
        <f>CW741+CW742</f>
        <v>66</v>
      </c>
      <c r="CX576" s="65">
        <f>CX741+CX742</f>
        <v>23</v>
      </c>
      <c r="CY576" s="49"/>
      <c r="CZ576" s="65">
        <f>CZ741+CZ742</f>
        <v>-21</v>
      </c>
      <c r="DA576" s="65">
        <f>DA741+DA742</f>
        <v>0</v>
      </c>
      <c r="DB576" s="65">
        <f>DB741+DB742</f>
        <v>-21</v>
      </c>
      <c r="DC576" s="49"/>
      <c r="DD576" s="65">
        <f>DD741+DD742</f>
        <v>0</v>
      </c>
      <c r="DE576" s="65">
        <f>DE741+DE742</f>
        <v>-285</v>
      </c>
      <c r="DF576" s="65">
        <f>DF741+DF742</f>
        <v>-285</v>
      </c>
      <c r="DG576" s="49"/>
      <c r="DH576" s="65">
        <f>DH741+DH742</f>
        <v>0</v>
      </c>
      <c r="DI576" s="65">
        <f>DI741+DI742</f>
        <v>0</v>
      </c>
      <c r="DJ576" s="65">
        <f>DJ741+DJ742</f>
        <v>0</v>
      </c>
      <c r="DK576" s="49"/>
      <c r="DL576" s="65">
        <f>DL741+DL742</f>
        <v>0</v>
      </c>
      <c r="DM576" s="65">
        <f>DM741+DM742</f>
        <v>0</v>
      </c>
      <c r="DN576" s="65">
        <f>DN741+DN742</f>
        <v>0</v>
      </c>
      <c r="DO576" s="49"/>
      <c r="DP576" s="65">
        <f>DP741+DP742</f>
        <v>0</v>
      </c>
      <c r="DQ576" s="65">
        <f>DQ741+DQ742</f>
        <v>0</v>
      </c>
      <c r="DR576" s="65">
        <f>DR741+DR742</f>
        <v>0</v>
      </c>
      <c r="DS576" s="49"/>
      <c r="DT576" s="49"/>
      <c r="DU576" s="49"/>
    </row>
    <row r="577" spans="1:128" s="20" customFormat="1" ht="13.8">
      <c r="A577" s="533" t="s">
        <v>933</v>
      </c>
      <c r="B577" s="547"/>
      <c r="C577" s="533"/>
      <c r="D577" s="533"/>
      <c r="E577" s="533"/>
      <c r="F577" s="533"/>
      <c r="G577" s="533"/>
      <c r="H577" s="533"/>
      <c r="I577" s="533"/>
      <c r="J577" s="533"/>
      <c r="K577" s="533"/>
      <c r="L577" s="533"/>
      <c r="M577" s="533"/>
      <c r="N577" s="533"/>
      <c r="O577" s="533"/>
      <c r="P577" s="533"/>
      <c r="Q577" s="533"/>
      <c r="R577" s="533"/>
      <c r="S577" s="533"/>
      <c r="T577" s="533"/>
      <c r="U577" s="533"/>
      <c r="V577" s="533"/>
      <c r="W577" s="533"/>
      <c r="X577" s="533"/>
      <c r="Y577" s="533"/>
      <c r="Z577" s="533"/>
      <c r="AA577" s="533"/>
      <c r="AB577" s="533"/>
      <c r="AC577" s="533"/>
      <c r="AD577" s="533"/>
      <c r="AE577" s="533"/>
      <c r="AF577" s="533"/>
      <c r="AG577" s="533"/>
      <c r="AH577" s="533"/>
      <c r="AI577" s="533"/>
      <c r="AJ577" s="533"/>
      <c r="AK577" s="533"/>
      <c r="AL577" s="533"/>
      <c r="AM577" s="533"/>
      <c r="AN577" s="533"/>
      <c r="AO577" s="533"/>
      <c r="AP577" s="533"/>
      <c r="AQ577" s="533"/>
      <c r="AR577" s="533"/>
      <c r="AS577" s="533"/>
      <c r="AT577" s="533"/>
      <c r="AU577" s="533"/>
      <c r="AV577" s="533"/>
      <c r="AW577" s="533"/>
      <c r="AX577" s="533"/>
      <c r="AY577" s="533"/>
      <c r="AZ577" s="533"/>
      <c r="BA577" s="533"/>
      <c r="BB577" s="533"/>
      <c r="BC577" s="533"/>
      <c r="BD577" s="533"/>
      <c r="BE577" s="533"/>
      <c r="BF577" s="533"/>
      <c r="BG577" s="533"/>
      <c r="BH577" s="547"/>
      <c r="BI577" s="547"/>
      <c r="BJ577" s="547"/>
      <c r="BK577" s="547"/>
      <c r="BL577" s="547"/>
      <c r="BM577" s="547"/>
      <c r="BN577" s="547"/>
      <c r="BO577" s="547"/>
      <c r="BP577" s="547"/>
      <c r="BQ577" s="533"/>
      <c r="BR577" s="533"/>
      <c r="BS577" s="533"/>
      <c r="BT577" s="533"/>
      <c r="BU577" s="533"/>
      <c r="BV577" s="533"/>
      <c r="BW577" s="533"/>
      <c r="BX577" s="533"/>
      <c r="BY577" s="533"/>
      <c r="BZ577" s="533"/>
      <c r="CA577" s="533"/>
      <c r="CB577" s="911">
        <v>200</v>
      </c>
      <c r="CC577" s="911">
        <f>CD577-CB577</f>
        <v>117</v>
      </c>
      <c r="CD577" s="911">
        <v>317</v>
      </c>
      <c r="CE577" s="533"/>
      <c r="CF577" s="911">
        <v>68</v>
      </c>
      <c r="CG577" s="911">
        <v>35</v>
      </c>
      <c r="CH577" s="533">
        <f>+CF577+CG577</f>
        <v>103</v>
      </c>
      <c r="CI577" s="533"/>
      <c r="CJ577" s="579">
        <f>CJ600+1</f>
        <v>76</v>
      </c>
      <c r="CK577" s="579">
        <f>CK600+1</f>
        <v>60</v>
      </c>
      <c r="CL577" s="547">
        <f>+CJ577+CK577</f>
        <v>136</v>
      </c>
      <c r="CM577" s="547"/>
      <c r="CN577" s="701">
        <v>0</v>
      </c>
      <c r="CO577" s="701">
        <v>0</v>
      </c>
      <c r="CP577" s="547">
        <f>+CN577+CO577</f>
        <v>0</v>
      </c>
      <c r="CQ577" s="547"/>
      <c r="CR577" s="701">
        <v>0</v>
      </c>
      <c r="CS577" s="701">
        <v>0</v>
      </c>
      <c r="CT577" s="547">
        <f>+CR577+CS577</f>
        <v>0</v>
      </c>
      <c r="CU577" s="547"/>
      <c r="CV577" s="701">
        <v>0</v>
      </c>
      <c r="CW577" s="701">
        <v>0</v>
      </c>
      <c r="CX577" s="547">
        <f>+CV577+CW577</f>
        <v>0</v>
      </c>
      <c r="CY577" s="547"/>
      <c r="CZ577" s="701">
        <v>0</v>
      </c>
      <c r="DA577" s="701">
        <v>0</v>
      </c>
      <c r="DB577" s="547">
        <f>+CZ577+DA577</f>
        <v>0</v>
      </c>
      <c r="DC577" s="547"/>
      <c r="DD577" s="701">
        <v>0</v>
      </c>
      <c r="DE577" s="701">
        <v>0</v>
      </c>
      <c r="DF577" s="547">
        <f>+DD577+DE577</f>
        <v>0</v>
      </c>
      <c r="DG577" s="547"/>
      <c r="DH577" s="701">
        <v>0</v>
      </c>
      <c r="DI577" s="701">
        <v>0</v>
      </c>
      <c r="DJ577" s="547">
        <f>+DH577+DI577</f>
        <v>0</v>
      </c>
      <c r="DK577" s="547"/>
      <c r="DL577" s="701">
        <v>0</v>
      </c>
      <c r="DM577" s="701">
        <v>0</v>
      </c>
      <c r="DN577" s="547">
        <f>+DL577+DM577</f>
        <v>0</v>
      </c>
      <c r="DO577" s="547"/>
      <c r="DP577" s="701">
        <v>0</v>
      </c>
      <c r="DQ577" s="701">
        <v>0</v>
      </c>
      <c r="DR577" s="547">
        <f>+DP577+DQ577</f>
        <v>0</v>
      </c>
      <c r="DS577" s="547"/>
      <c r="DT577" s="547"/>
      <c r="DU577" s="547"/>
      <c r="DV577" s="533"/>
    </row>
    <row r="578" spans="1:128" s="20" customFormat="1" ht="13.8">
      <c r="A578" s="533" t="s">
        <v>985</v>
      </c>
      <c r="B578" s="547"/>
      <c r="C578" s="533"/>
      <c r="D578" s="533"/>
      <c r="E578" s="533"/>
      <c r="F578" s="533"/>
      <c r="G578" s="533"/>
      <c r="H578" s="533"/>
      <c r="I578" s="533"/>
      <c r="J578" s="533"/>
      <c r="K578" s="533"/>
      <c r="L578" s="533"/>
      <c r="M578" s="533"/>
      <c r="N578" s="533"/>
      <c r="O578" s="533"/>
      <c r="P578" s="533"/>
      <c r="Q578" s="533"/>
      <c r="R578" s="533"/>
      <c r="S578" s="533"/>
      <c r="T578" s="533"/>
      <c r="U578" s="533"/>
      <c r="V578" s="533"/>
      <c r="W578" s="533"/>
      <c r="X578" s="533"/>
      <c r="Y578" s="533"/>
      <c r="Z578" s="533"/>
      <c r="AA578" s="533"/>
      <c r="AB578" s="533"/>
      <c r="AC578" s="533"/>
      <c r="AD578" s="533"/>
      <c r="AE578" s="533"/>
      <c r="AF578" s="533"/>
      <c r="AG578" s="533"/>
      <c r="AH578" s="533"/>
      <c r="AI578" s="533"/>
      <c r="AJ578" s="533"/>
      <c r="AK578" s="533"/>
      <c r="AL578" s="533"/>
      <c r="AM578" s="533"/>
      <c r="AN578" s="533"/>
      <c r="AO578" s="533"/>
      <c r="AP578" s="533"/>
      <c r="AQ578" s="533"/>
      <c r="AR578" s="533"/>
      <c r="AS578" s="533"/>
      <c r="AT578" s="533"/>
      <c r="AU578" s="533"/>
      <c r="AV578" s="533"/>
      <c r="AW578" s="533"/>
      <c r="AX578" s="533"/>
      <c r="AY578" s="533"/>
      <c r="AZ578" s="533"/>
      <c r="BA578" s="533"/>
      <c r="BB578" s="533"/>
      <c r="BC578" s="533"/>
      <c r="BD578" s="533"/>
      <c r="BE578" s="533"/>
      <c r="BF578" s="533"/>
      <c r="BG578" s="533"/>
      <c r="BH578" s="547"/>
      <c r="BI578" s="547"/>
      <c r="BJ578" s="547"/>
      <c r="BK578" s="547"/>
      <c r="BL578" s="547"/>
      <c r="BM578" s="547"/>
      <c r="BN578" s="547"/>
      <c r="BO578" s="547"/>
      <c r="BP578" s="547"/>
      <c r="BQ578" s="533"/>
      <c r="BR578" s="533"/>
      <c r="BS578" s="533"/>
      <c r="BT578" s="533"/>
      <c r="BU578" s="533"/>
      <c r="BV578" s="533"/>
      <c r="BW578" s="533"/>
      <c r="BX578" s="533"/>
      <c r="BY578" s="533"/>
      <c r="BZ578" s="533"/>
      <c r="CA578" s="533"/>
      <c r="CB578" s="911"/>
      <c r="CC578" s="911"/>
      <c r="CD578" s="911"/>
      <c r="CE578" s="533"/>
      <c r="CF578" s="911"/>
      <c r="CG578" s="911"/>
      <c r="CH578" s="533"/>
      <c r="CI578" s="533"/>
      <c r="CJ578" s="579">
        <v>0</v>
      </c>
      <c r="CK578" s="579">
        <v>-68</v>
      </c>
      <c r="CL578" s="547">
        <f>+CJ578+CK578</f>
        <v>-68</v>
      </c>
      <c r="CM578" s="547"/>
      <c r="CN578" s="701">
        <v>0</v>
      </c>
      <c r="CO578" s="701">
        <v>0</v>
      </c>
      <c r="CP578" s="547">
        <f>+CN578+CO578</f>
        <v>0</v>
      </c>
      <c r="CQ578" s="547"/>
      <c r="CR578" s="701">
        <v>0</v>
      </c>
      <c r="CS578" s="701">
        <v>0</v>
      </c>
      <c r="CT578" s="547">
        <f>+CR578+CS578</f>
        <v>0</v>
      </c>
      <c r="CU578" s="547"/>
      <c r="CV578" s="701">
        <v>0</v>
      </c>
      <c r="CW578" s="701">
        <v>0</v>
      </c>
      <c r="CX578" s="547">
        <f>+CV578+CW578</f>
        <v>0</v>
      </c>
      <c r="CY578" s="547"/>
      <c r="CZ578" s="701">
        <v>0</v>
      </c>
      <c r="DA578" s="701">
        <v>0</v>
      </c>
      <c r="DB578" s="547">
        <f>+CZ578+DA578</f>
        <v>0</v>
      </c>
      <c r="DC578" s="547"/>
      <c r="DD578" s="701">
        <v>0</v>
      </c>
      <c r="DE578" s="701">
        <v>0</v>
      </c>
      <c r="DF578" s="547">
        <f>+DD578+DE578</f>
        <v>0</v>
      </c>
      <c r="DG578" s="547"/>
      <c r="DH578" s="701">
        <v>0</v>
      </c>
      <c r="DI578" s="701">
        <v>0</v>
      </c>
      <c r="DJ578" s="547">
        <f>+DH578+DI578</f>
        <v>0</v>
      </c>
      <c r="DK578" s="547"/>
      <c r="DL578" s="701">
        <v>0</v>
      </c>
      <c r="DM578" s="701">
        <v>0</v>
      </c>
      <c r="DN578" s="547">
        <f>+DL578+DM578</f>
        <v>0</v>
      </c>
      <c r="DO578" s="547"/>
      <c r="DP578" s="701">
        <v>0</v>
      </c>
      <c r="DQ578" s="701">
        <v>0</v>
      </c>
      <c r="DR578" s="547">
        <f>+DP578+DQ578</f>
        <v>0</v>
      </c>
      <c r="DS578" s="547"/>
      <c r="DT578" s="547"/>
      <c r="DU578" s="547"/>
      <c r="DV578" s="533"/>
    </row>
    <row r="579" spans="1:128" s="20" customFormat="1" ht="13.8">
      <c r="A579" s="533" t="s">
        <v>166</v>
      </c>
      <c r="B579" s="547"/>
      <c r="C579" s="533"/>
      <c r="D579" s="533"/>
      <c r="E579" s="533"/>
      <c r="F579" s="533"/>
      <c r="G579" s="533"/>
      <c r="H579" s="533"/>
      <c r="I579" s="533"/>
      <c r="J579" s="533"/>
      <c r="K579" s="533"/>
      <c r="L579" s="533"/>
      <c r="M579" s="533"/>
      <c r="N579" s="533"/>
      <c r="O579" s="533"/>
      <c r="P579" s="533"/>
      <c r="Q579" s="533"/>
      <c r="R579" s="533"/>
      <c r="S579" s="533"/>
      <c r="T579" s="533"/>
      <c r="U579" s="533"/>
      <c r="V579" s="533"/>
      <c r="W579" s="533"/>
      <c r="X579" s="533"/>
      <c r="Y579" s="533"/>
      <c r="Z579" s="533"/>
      <c r="AA579" s="533"/>
      <c r="AB579" s="533"/>
      <c r="AC579" s="533"/>
      <c r="AD579" s="533"/>
      <c r="AE579" s="533"/>
      <c r="AF579" s="533"/>
      <c r="AG579" s="533"/>
      <c r="AH579" s="533"/>
      <c r="AI579" s="533"/>
      <c r="AJ579" s="533"/>
      <c r="AK579" s="533"/>
      <c r="AL579" s="533"/>
      <c r="AM579" s="533"/>
      <c r="AN579" s="533"/>
      <c r="AO579" s="533"/>
      <c r="AP579" s="533"/>
      <c r="AQ579" s="533"/>
      <c r="AR579" s="533"/>
      <c r="AS579" s="533"/>
      <c r="AT579" s="533"/>
      <c r="AU579" s="533"/>
      <c r="AV579" s="533"/>
      <c r="AW579" s="533"/>
      <c r="AX579" s="533"/>
      <c r="AY579" s="533"/>
      <c r="AZ579" s="533"/>
      <c r="BA579" s="533"/>
      <c r="BB579" s="533"/>
      <c r="BC579" s="533"/>
      <c r="BD579" s="533"/>
      <c r="BE579" s="533"/>
      <c r="BF579" s="533"/>
      <c r="BG579" s="533"/>
      <c r="BH579" s="547"/>
      <c r="BI579" s="547"/>
      <c r="BJ579" s="547"/>
      <c r="BK579" s="547"/>
      <c r="BL579" s="547"/>
      <c r="BM579" s="547"/>
      <c r="BN579" s="547"/>
      <c r="BO579" s="547"/>
      <c r="BP579" s="547"/>
      <c r="BQ579" s="533"/>
      <c r="BR579" s="533"/>
      <c r="BS579" s="533"/>
      <c r="BT579" s="533"/>
      <c r="BU579" s="533"/>
      <c r="BV579" s="533"/>
      <c r="BW579" s="533"/>
      <c r="BX579" s="533"/>
      <c r="BY579" s="533"/>
      <c r="BZ579" s="533"/>
      <c r="CA579" s="533"/>
      <c r="CB579" s="911"/>
      <c r="CC579" s="911"/>
      <c r="CD579" s="911"/>
      <c r="CE579" s="533"/>
      <c r="CF579" s="911"/>
      <c r="CG579" s="911"/>
      <c r="CH579" s="533"/>
      <c r="CI579" s="533"/>
      <c r="CJ579" s="579"/>
      <c r="CK579" s="579"/>
      <c r="CL579" s="547"/>
      <c r="CM579" s="547"/>
      <c r="CN579" s="701">
        <f>-212-135</f>
        <v>-347</v>
      </c>
      <c r="CO579" s="701">
        <v>0</v>
      </c>
      <c r="CP579" s="547">
        <f>+CN579+CO579</f>
        <v>-347</v>
      </c>
      <c r="CQ579" s="547"/>
      <c r="CR579" s="701">
        <v>0</v>
      </c>
      <c r="CS579" s="701">
        <v>0</v>
      </c>
      <c r="CT579" s="547">
        <f>+CR579+CS579</f>
        <v>0</v>
      </c>
      <c r="CU579" s="547"/>
      <c r="CV579" s="701">
        <v>0</v>
      </c>
      <c r="CW579" s="701">
        <v>0</v>
      </c>
      <c r="CX579" s="547">
        <f>+CV579+CW579</f>
        <v>0</v>
      </c>
      <c r="CY579" s="547"/>
      <c r="CZ579" s="701">
        <v>0</v>
      </c>
      <c r="DA579" s="701">
        <v>0</v>
      </c>
      <c r="DB579" s="547">
        <f>+CZ579+DA579</f>
        <v>0</v>
      </c>
      <c r="DC579" s="547"/>
      <c r="DD579" s="701">
        <v>0</v>
      </c>
      <c r="DE579" s="701">
        <v>0</v>
      </c>
      <c r="DF579" s="547">
        <f>+DD579+DE579</f>
        <v>0</v>
      </c>
      <c r="DG579" s="547"/>
      <c r="DH579" s="701">
        <v>0</v>
      </c>
      <c r="DI579" s="701">
        <v>0</v>
      </c>
      <c r="DJ579" s="547">
        <f>+DH579+DI579</f>
        <v>0</v>
      </c>
      <c r="DK579" s="547"/>
      <c r="DL579" s="701">
        <v>0</v>
      </c>
      <c r="DM579" s="701">
        <v>0</v>
      </c>
      <c r="DN579" s="547">
        <f>+DL579+DM579</f>
        <v>0</v>
      </c>
      <c r="DO579" s="547"/>
      <c r="DP579" s="701">
        <v>0</v>
      </c>
      <c r="DQ579" s="701">
        <v>0</v>
      </c>
      <c r="DR579" s="547">
        <f>+DP579+DQ579</f>
        <v>0</v>
      </c>
      <c r="DS579" s="547"/>
      <c r="DT579" s="547"/>
      <c r="DU579" s="547"/>
      <c r="DV579" s="533"/>
    </row>
    <row r="580" spans="1:128" s="20" customFormat="1" ht="13.8">
      <c r="A580" s="20" t="s">
        <v>926</v>
      </c>
      <c r="B580" s="49"/>
      <c r="BH580" s="49"/>
      <c r="BI580" s="49"/>
      <c r="BJ580" s="49"/>
      <c r="BK580" s="49"/>
      <c r="BL580" s="49"/>
      <c r="BM580" s="49"/>
      <c r="BN580" s="49"/>
      <c r="BO580" s="49"/>
      <c r="BP580" s="49"/>
      <c r="CB580" s="28">
        <f>CB599+CB743+CB791</f>
        <v>-32</v>
      </c>
      <c r="CC580" s="28">
        <f>CC599+CC743+CC791</f>
        <v>-196</v>
      </c>
      <c r="CD580" s="28">
        <f>CD599+CD743+CD791</f>
        <v>-228</v>
      </c>
      <c r="CF580" s="28">
        <f>CF599+CF743+CF791</f>
        <v>-64</v>
      </c>
      <c r="CG580" s="28">
        <f>CG599+CG743+CG791</f>
        <v>-148</v>
      </c>
      <c r="CH580" s="28">
        <f>CH599+CH743+CH791</f>
        <v>-212</v>
      </c>
      <c r="CJ580" s="65">
        <f>CJ599+CJ743+CJ791</f>
        <v>-58</v>
      </c>
      <c r="CK580" s="65">
        <f>CK599+CK743+CK791</f>
        <v>-116</v>
      </c>
      <c r="CL580" s="65">
        <f>CL599+CL743+CL791</f>
        <v>-174</v>
      </c>
      <c r="CM580" s="49"/>
      <c r="CN580" s="65">
        <f>CN599+CN743+CN791</f>
        <v>-74</v>
      </c>
      <c r="CO580" s="65">
        <f>CO599+CO743+CO791</f>
        <v>-68</v>
      </c>
      <c r="CP580" s="65">
        <f>CP599+CP743+CP791</f>
        <v>-142</v>
      </c>
      <c r="CQ580" s="49"/>
      <c r="CR580" s="65">
        <f>CR599+CR743+CR791</f>
        <v>-25</v>
      </c>
      <c r="CS580" s="65">
        <f>CS599+CS743+CS791</f>
        <v>-9</v>
      </c>
      <c r="CT580" s="65">
        <f>CT599+CT743+CT791</f>
        <v>-34</v>
      </c>
      <c r="CU580" s="49"/>
      <c r="CV580" s="65">
        <f>CV599+CV743+CV791</f>
        <v>-17</v>
      </c>
      <c r="CW580" s="65">
        <f>CW599+CW743+CW791</f>
        <v>-31</v>
      </c>
      <c r="CX580" s="65">
        <f>CX599+CX743+CX791</f>
        <v>-48</v>
      </c>
      <c r="CY580" s="49"/>
      <c r="CZ580" s="65">
        <f>CZ599+CZ743+CZ791</f>
        <v>0</v>
      </c>
      <c r="DA580" s="65">
        <f>DA599+DA743+DA791</f>
        <v>0</v>
      </c>
      <c r="DB580" s="65">
        <f>DB599+DB743+DB791</f>
        <v>0</v>
      </c>
      <c r="DC580" s="49"/>
      <c r="DD580" s="65">
        <f>DD599+DD743+DD791</f>
        <v>0</v>
      </c>
      <c r="DE580" s="65">
        <f>DE599+DE743+DE791</f>
        <v>0</v>
      </c>
      <c r="DF580" s="65">
        <f>DF599+DF743+DF791</f>
        <v>0</v>
      </c>
      <c r="DG580" s="49"/>
      <c r="DH580" s="65">
        <f>DH599+DH743+DH791</f>
        <v>0</v>
      </c>
      <c r="DI580" s="65">
        <f>DI599+DI743+DI791</f>
        <v>0</v>
      </c>
      <c r="DJ580" s="65">
        <f>DJ599+DJ743+DJ791</f>
        <v>0</v>
      </c>
      <c r="DK580" s="49"/>
      <c r="DL580" s="65">
        <f>DL599+DL743+DL791</f>
        <v>0</v>
      </c>
      <c r="DM580" s="65">
        <f>DM599+DM743+DM791</f>
        <v>0</v>
      </c>
      <c r="DN580" s="65">
        <f>DN599+DN743+DN791</f>
        <v>0</v>
      </c>
      <c r="DO580" s="49"/>
      <c r="DP580" s="65">
        <f>DP599+DP743+DP791</f>
        <v>0</v>
      </c>
      <c r="DQ580" s="65">
        <f>DQ599+DQ743+DQ791</f>
        <v>0</v>
      </c>
      <c r="DR580" s="65">
        <f>DR599+DR743+DR791</f>
        <v>0</v>
      </c>
      <c r="DS580" s="49"/>
      <c r="DT580" s="49"/>
      <c r="DU580" s="49"/>
    </row>
    <row r="581" spans="1:128" s="20" customFormat="1" ht="13.8">
      <c r="A581" s="21" t="s">
        <v>1121</v>
      </c>
      <c r="B581" s="49"/>
      <c r="BH581" s="49"/>
      <c r="BI581" s="49"/>
      <c r="BJ581" s="49"/>
      <c r="BK581" s="49"/>
      <c r="BL581" s="49"/>
      <c r="BM581" s="49"/>
      <c r="BN581" s="49"/>
      <c r="BO581" s="49"/>
      <c r="BP581" s="49"/>
      <c r="CB581" s="46">
        <f>SUM(CB576:CB580)</f>
        <v>406</v>
      </c>
      <c r="CC581" s="46">
        <f>SUM(CC576:CC580)</f>
        <v>-19</v>
      </c>
      <c r="CD581" s="46">
        <f>SUM(CD576:CD580)</f>
        <v>387</v>
      </c>
      <c r="CF581" s="46">
        <f>SUM(CF576:CF580)</f>
        <v>238</v>
      </c>
      <c r="CG581" s="46">
        <f>SUM(CG576:CG580)</f>
        <v>-95</v>
      </c>
      <c r="CH581" s="46">
        <f>SUM(CH576:CH580)</f>
        <v>143</v>
      </c>
      <c r="CJ581" s="72">
        <f>SUM(CJ576:CJ580)</f>
        <v>-797</v>
      </c>
      <c r="CK581" s="72">
        <f>SUM(CK576:CK580)</f>
        <v>-162</v>
      </c>
      <c r="CL581" s="72">
        <f>SUM(CL576:CL580)</f>
        <v>-959</v>
      </c>
      <c r="CM581" s="49"/>
      <c r="CN581" s="72">
        <f>SUM(CN576:CN580)</f>
        <v>-659</v>
      </c>
      <c r="CO581" s="72">
        <f>SUM(CO576:CO580)</f>
        <v>-68</v>
      </c>
      <c r="CP581" s="72">
        <f>SUM(CP576:CP580)</f>
        <v>-727</v>
      </c>
      <c r="CQ581" s="49"/>
      <c r="CR581" s="72">
        <f>SUM(CR576:CR580)</f>
        <v>269</v>
      </c>
      <c r="CS581" s="72">
        <f>SUM(CS576:CS580)</f>
        <v>18</v>
      </c>
      <c r="CT581" s="72">
        <f>SUM(CT576:CT580)</f>
        <v>287</v>
      </c>
      <c r="CU581" s="49"/>
      <c r="CV581" s="72">
        <f>SUM(CV576:CV580)</f>
        <v>-60</v>
      </c>
      <c r="CW581" s="72">
        <f>SUM(CW576:CW580)</f>
        <v>35</v>
      </c>
      <c r="CX581" s="72">
        <f>SUM(CX576:CX580)</f>
        <v>-25</v>
      </c>
      <c r="CY581" s="49"/>
      <c r="CZ581" s="72">
        <f>SUM(CZ576:CZ580)</f>
        <v>-21</v>
      </c>
      <c r="DA581" s="72">
        <f>SUM(DA576:DA580)</f>
        <v>0</v>
      </c>
      <c r="DB581" s="72">
        <f>SUM(DB576:DB580)</f>
        <v>-21</v>
      </c>
      <c r="DC581" s="49"/>
      <c r="DD581" s="72">
        <f>SUM(DD576:DD580)</f>
        <v>0</v>
      </c>
      <c r="DE581" s="72">
        <f>SUM(DE576:DE580)</f>
        <v>-285</v>
      </c>
      <c r="DF581" s="72">
        <f>SUM(DF576:DF580)</f>
        <v>-285</v>
      </c>
      <c r="DG581" s="49"/>
      <c r="DH581" s="72">
        <f>SUM(DH576:DH580)</f>
        <v>0</v>
      </c>
      <c r="DI581" s="72">
        <f>SUM(DI576:DI580)</f>
        <v>0</v>
      </c>
      <c r="DJ581" s="72">
        <f>SUM(DJ576:DJ580)</f>
        <v>0</v>
      </c>
      <c r="DK581" s="49"/>
      <c r="DL581" s="72">
        <f>SUM(DL576:DL580)</f>
        <v>0</v>
      </c>
      <c r="DM581" s="72">
        <f>SUM(DM576:DM580)</f>
        <v>0</v>
      </c>
      <c r="DN581" s="72">
        <f>SUM(DN576:DN580)</f>
        <v>0</v>
      </c>
      <c r="DO581" s="49"/>
      <c r="DP581" s="72">
        <f>SUM(DP576:DP580)</f>
        <v>0</v>
      </c>
      <c r="DQ581" s="72">
        <f>SUM(DQ576:DQ580)</f>
        <v>0</v>
      </c>
      <c r="DR581" s="72">
        <f>SUM(DR576:DR580)</f>
        <v>0</v>
      </c>
      <c r="DS581" s="49"/>
      <c r="DT581" s="49"/>
      <c r="DU581" s="49"/>
    </row>
    <row r="582" spans="1:128" s="20" customFormat="1" ht="13.8">
      <c r="A582" s="21"/>
      <c r="B582" s="49"/>
      <c r="BH582" s="49"/>
      <c r="BI582" s="49"/>
      <c r="BJ582" s="49"/>
      <c r="BK582" s="49"/>
      <c r="BL582" s="49"/>
      <c r="BM582" s="49"/>
      <c r="BN582" s="49"/>
      <c r="BO582" s="49"/>
      <c r="BP582" s="49"/>
      <c r="CB582" s="46"/>
      <c r="CC582" s="46"/>
      <c r="CD582" s="46"/>
      <c r="CF582" s="46"/>
      <c r="CG582" s="46"/>
      <c r="CH582" s="46"/>
      <c r="CJ582" s="908">
        <v>-797</v>
      </c>
      <c r="CK582" s="908">
        <v>-162</v>
      </c>
      <c r="CL582" s="72"/>
      <c r="CM582" s="49"/>
      <c r="CN582" s="908">
        <v>-659</v>
      </c>
      <c r="CO582" s="908">
        <v>-68</v>
      </c>
      <c r="CP582" s="72"/>
      <c r="CQ582" s="49"/>
      <c r="CR582" s="908">
        <v>269</v>
      </c>
      <c r="CS582" s="908">
        <v>18</v>
      </c>
      <c r="CT582" s="72"/>
      <c r="CU582" s="49"/>
      <c r="CV582" s="908">
        <v>-60</v>
      </c>
      <c r="CW582" s="908">
        <v>35</v>
      </c>
      <c r="CX582" s="72"/>
      <c r="CY582" s="49"/>
      <c r="CZ582" s="908"/>
      <c r="DA582" s="908"/>
      <c r="DB582" s="72"/>
      <c r="DC582" s="49"/>
      <c r="DD582" s="908"/>
      <c r="DE582" s="908"/>
      <c r="DF582" s="72"/>
      <c r="DG582" s="49"/>
      <c r="DH582" s="72"/>
      <c r="DI582" s="72"/>
      <c r="DJ582" s="72"/>
      <c r="DK582" s="49"/>
      <c r="DL582" s="72"/>
      <c r="DM582" s="72"/>
      <c r="DN582" s="72"/>
      <c r="DO582" s="49"/>
      <c r="DP582" s="72"/>
      <c r="DQ582" s="72"/>
      <c r="DR582" s="72"/>
      <c r="DS582" s="49"/>
      <c r="DT582" s="49"/>
      <c r="DU582" s="49"/>
    </row>
    <row r="583" spans="1:128" s="20" customFormat="1" ht="13.8">
      <c r="A583" s="21" t="s">
        <v>967</v>
      </c>
      <c r="B583" s="49"/>
      <c r="BH583" s="49"/>
      <c r="BI583" s="49"/>
      <c r="BJ583" s="49"/>
      <c r="BK583" s="49"/>
      <c r="BL583" s="49"/>
      <c r="BM583" s="49"/>
      <c r="BN583" s="49"/>
      <c r="BO583" s="49"/>
      <c r="BP583" s="49"/>
      <c r="CB583" s="46"/>
      <c r="CC583" s="46"/>
      <c r="CD583" s="46"/>
      <c r="CF583" s="46"/>
      <c r="CG583" s="46"/>
      <c r="CH583" s="46"/>
      <c r="CJ583" s="72"/>
      <c r="CK583" s="72"/>
      <c r="CL583" s="72"/>
      <c r="CM583" s="49"/>
      <c r="CN583" s="72"/>
      <c r="CO583" s="72"/>
      <c r="CP583" s="72"/>
      <c r="CQ583" s="49"/>
      <c r="CR583" s="72"/>
      <c r="CS583" s="72"/>
      <c r="CT583" s="72"/>
      <c r="CU583" s="49"/>
      <c r="CV583" s="72"/>
      <c r="CW583" s="72"/>
      <c r="CX583" s="72"/>
      <c r="CY583" s="49"/>
      <c r="CZ583" s="72"/>
      <c r="DA583" s="72"/>
      <c r="DB583" s="72"/>
      <c r="DC583" s="49"/>
      <c r="DD583" s="72"/>
      <c r="DE583" s="72"/>
      <c r="DF583" s="72"/>
      <c r="DG583" s="49"/>
      <c r="DH583" s="72"/>
      <c r="DI583" s="72"/>
      <c r="DJ583" s="72"/>
      <c r="DK583" s="49"/>
      <c r="DL583" s="72"/>
      <c r="DM583" s="72"/>
      <c r="DN583" s="72"/>
      <c r="DO583" s="49"/>
      <c r="DP583" s="72"/>
      <c r="DQ583" s="72"/>
      <c r="DR583" s="72"/>
      <c r="DS583" s="49"/>
      <c r="DT583" s="49"/>
      <c r="DU583" s="49"/>
    </row>
    <row r="584" spans="1:128" s="20" customFormat="1" ht="13.8">
      <c r="A584" s="20" t="s">
        <v>282</v>
      </c>
      <c r="B584" s="49"/>
      <c r="BH584" s="49"/>
      <c r="BI584" s="49"/>
      <c r="BJ584" s="49"/>
      <c r="BK584" s="49"/>
      <c r="BL584" s="49"/>
      <c r="BM584" s="49"/>
      <c r="BN584" s="49"/>
      <c r="BO584" s="49"/>
      <c r="BP584" s="49"/>
      <c r="CB584" s="46"/>
      <c r="CC584" s="46"/>
      <c r="CD584" s="46"/>
      <c r="CF584" s="46"/>
      <c r="CG584" s="46"/>
      <c r="CH584" s="46"/>
      <c r="CJ584" s="65">
        <f>CJ599+CJ600</f>
        <v>53</v>
      </c>
      <c r="CK584" s="65">
        <f>CK599+CK600</f>
        <v>-25</v>
      </c>
      <c r="CL584" s="65">
        <f t="shared" ref="CL584:CL588" si="930">+CJ584+CK584</f>
        <v>28</v>
      </c>
      <c r="CM584" s="49"/>
      <c r="CN584" s="65">
        <f>CN599+CN600</f>
        <v>-56</v>
      </c>
      <c r="CO584" s="65">
        <f>CO599+CO600</f>
        <v>-30</v>
      </c>
      <c r="CP584" s="65">
        <f t="shared" ref="CP584:CP588" si="931">+CN584+CO584</f>
        <v>-86</v>
      </c>
      <c r="CQ584" s="49"/>
      <c r="CR584" s="65">
        <f>CR599+CR600</f>
        <v>-3</v>
      </c>
      <c r="CS584" s="65">
        <f>CS599+CS600</f>
        <v>3</v>
      </c>
      <c r="CT584" s="65">
        <f t="shared" ref="CT584:CT588" si="932">+CR584+CS584</f>
        <v>0</v>
      </c>
      <c r="CV584" s="65">
        <f>CV599+CV600</f>
        <v>-10</v>
      </c>
      <c r="CW584" s="65">
        <f>CW599+CW600</f>
        <v>-8</v>
      </c>
      <c r="CX584" s="65">
        <f t="shared" ref="CX584:CX588" si="933">+CV584+CW584</f>
        <v>-18</v>
      </c>
      <c r="CZ584" s="65">
        <f>CZ599+CZ600</f>
        <v>0</v>
      </c>
      <c r="DA584" s="65">
        <f>DA599+DA600</f>
        <v>0</v>
      </c>
      <c r="DB584" s="65">
        <f t="shared" ref="DB584:DB588" si="934">+CZ584+DA584</f>
        <v>0</v>
      </c>
      <c r="DD584" s="65">
        <f>DD599+DD600</f>
        <v>0</v>
      </c>
      <c r="DE584" s="65">
        <f>DE599+DE600</f>
        <v>0</v>
      </c>
      <c r="DF584" s="65">
        <f t="shared" ref="DF584:DF588" si="935">+DD584+DE584</f>
        <v>0</v>
      </c>
      <c r="DH584" s="46"/>
      <c r="DI584" s="46"/>
      <c r="DJ584" s="46"/>
      <c r="DL584" s="46"/>
      <c r="DM584" s="46"/>
      <c r="DN584" s="46"/>
      <c r="DP584" s="46"/>
      <c r="DQ584" s="46"/>
      <c r="DR584" s="46"/>
    </row>
    <row r="585" spans="1:128" s="20" customFormat="1" ht="13.8">
      <c r="A585" s="20" t="s">
        <v>255</v>
      </c>
      <c r="B585" s="49"/>
      <c r="BH585" s="49"/>
      <c r="BI585" s="49"/>
      <c r="BJ585" s="49"/>
      <c r="BK585" s="49"/>
      <c r="BL585" s="49"/>
      <c r="BM585" s="49"/>
      <c r="BN585" s="49"/>
      <c r="BO585" s="49"/>
      <c r="BP585" s="49"/>
      <c r="CB585" s="46"/>
      <c r="CC585" s="46"/>
      <c r="CD585" s="46"/>
      <c r="CF585" s="46"/>
      <c r="CG585" s="46"/>
      <c r="CH585" s="46"/>
      <c r="CJ585" s="573">
        <f>+CJ662-1163</f>
        <v>-28</v>
      </c>
      <c r="CK585" s="573">
        <f>+CK662-1086</f>
        <v>-6</v>
      </c>
      <c r="CL585" s="65">
        <f t="shared" si="930"/>
        <v>-34</v>
      </c>
      <c r="CM585" s="49"/>
      <c r="CN585" s="573">
        <f>+CN662-1051</f>
        <v>-40</v>
      </c>
      <c r="CO585" s="573">
        <f>+CO662-1089</f>
        <v>-37</v>
      </c>
      <c r="CP585" s="65">
        <f t="shared" si="931"/>
        <v>-77</v>
      </c>
      <c r="CQ585" s="49"/>
      <c r="CR585" s="573">
        <f>+CR662-869</f>
        <v>84</v>
      </c>
      <c r="CS585" s="573">
        <f>+CS662-953</f>
        <v>1</v>
      </c>
      <c r="CT585" s="65">
        <f t="shared" si="932"/>
        <v>85</v>
      </c>
      <c r="CV585" s="573">
        <v>-7</v>
      </c>
      <c r="CW585" s="573">
        <v>-23</v>
      </c>
      <c r="CX585" s="65">
        <f t="shared" si="933"/>
        <v>-30</v>
      </c>
      <c r="CZ585" s="573">
        <v>0</v>
      </c>
      <c r="DA585" s="573">
        <v>0</v>
      </c>
      <c r="DB585" s="65">
        <f t="shared" si="934"/>
        <v>0</v>
      </c>
      <c r="DD585" s="573">
        <v>0</v>
      </c>
      <c r="DE585" s="573">
        <v>0</v>
      </c>
      <c r="DF585" s="65">
        <f t="shared" si="935"/>
        <v>0</v>
      </c>
      <c r="DH585" s="46"/>
      <c r="DI585" s="46"/>
      <c r="DJ585" s="46"/>
      <c r="DL585" s="46"/>
      <c r="DM585" s="46"/>
      <c r="DN585" s="46"/>
      <c r="DP585" s="46"/>
      <c r="DQ585" s="46"/>
      <c r="DR585" s="46"/>
    </row>
    <row r="586" spans="1:128" s="20" customFormat="1" ht="13.8">
      <c r="A586" s="20" t="s">
        <v>875</v>
      </c>
      <c r="B586" s="49"/>
      <c r="BH586" s="49"/>
      <c r="BI586" s="49"/>
      <c r="BJ586" s="49"/>
      <c r="BK586" s="49"/>
      <c r="BL586" s="49"/>
      <c r="BM586" s="49"/>
      <c r="BN586" s="49"/>
      <c r="BO586" s="49"/>
      <c r="BP586" s="49"/>
      <c r="CB586" s="46"/>
      <c r="CC586" s="46"/>
      <c r="CD586" s="46"/>
      <c r="CF586" s="46"/>
      <c r="CG586" s="46"/>
      <c r="CH586" s="46"/>
      <c r="CJ586" s="573">
        <f>+CJ663-764</f>
        <v>0</v>
      </c>
      <c r="CK586" s="573">
        <f>+CK663-1138</f>
        <v>-18</v>
      </c>
      <c r="CL586" s="65">
        <f t="shared" si="930"/>
        <v>-18</v>
      </c>
      <c r="CM586" s="49"/>
      <c r="CN586" s="573">
        <f>+CN663-610</f>
        <v>28</v>
      </c>
      <c r="CO586" s="573">
        <f>+CO663-491</f>
        <v>1</v>
      </c>
      <c r="CP586" s="65">
        <f t="shared" si="931"/>
        <v>29</v>
      </c>
      <c r="CQ586" s="49"/>
      <c r="CR586" s="573">
        <f>+CR663-396</f>
        <v>0</v>
      </c>
      <c r="CS586" s="573">
        <f>+CS663-450</f>
        <v>14</v>
      </c>
      <c r="CT586" s="65">
        <f t="shared" si="932"/>
        <v>14</v>
      </c>
      <c r="CV586" s="573">
        <v>0</v>
      </c>
      <c r="CW586" s="573">
        <v>0</v>
      </c>
      <c r="CX586" s="65">
        <f t="shared" si="933"/>
        <v>0</v>
      </c>
      <c r="CZ586" s="573">
        <v>0</v>
      </c>
      <c r="DA586" s="573">
        <v>0</v>
      </c>
      <c r="DB586" s="65">
        <f t="shared" si="934"/>
        <v>0</v>
      </c>
      <c r="DD586" s="573">
        <v>0</v>
      </c>
      <c r="DE586" s="573">
        <v>0</v>
      </c>
      <c r="DF586" s="65">
        <f t="shared" si="935"/>
        <v>0</v>
      </c>
      <c r="DH586" s="46"/>
      <c r="DI586" s="46"/>
      <c r="DJ586" s="46"/>
      <c r="DL586" s="46"/>
      <c r="DM586" s="46"/>
      <c r="DN586" s="46"/>
      <c r="DP586" s="46"/>
      <c r="DQ586" s="46"/>
      <c r="DR586" s="46"/>
    </row>
    <row r="587" spans="1:128" s="20" customFormat="1" ht="13.8">
      <c r="A587" s="20" t="s">
        <v>1060</v>
      </c>
      <c r="B587" s="49"/>
      <c r="BH587" s="49"/>
      <c r="BI587" s="49"/>
      <c r="BJ587" s="49"/>
      <c r="BK587" s="49"/>
      <c r="BL587" s="49"/>
      <c r="BM587" s="49"/>
      <c r="BN587" s="49"/>
      <c r="BO587" s="49"/>
      <c r="BP587" s="49"/>
      <c r="CB587" s="46"/>
      <c r="CC587" s="46"/>
      <c r="CD587" s="46"/>
      <c r="CF587" s="46"/>
      <c r="CG587" s="46"/>
      <c r="CH587" s="46"/>
      <c r="CJ587" s="573">
        <f>+CJ664-135</f>
        <v>0</v>
      </c>
      <c r="CK587" s="573">
        <f>+CK664-88</f>
        <v>-68</v>
      </c>
      <c r="CL587" s="65">
        <f t="shared" si="930"/>
        <v>-68</v>
      </c>
      <c r="CM587" s="49"/>
      <c r="CN587" s="573">
        <f>+CN664-105</f>
        <v>-347</v>
      </c>
      <c r="CO587" s="573">
        <f>+CO664-66</f>
        <v>0</v>
      </c>
      <c r="CP587" s="65">
        <f t="shared" si="931"/>
        <v>-347</v>
      </c>
      <c r="CQ587" s="49"/>
      <c r="CR587" s="573">
        <f>+CR664-74</f>
        <v>0</v>
      </c>
      <c r="CS587" s="573">
        <f>+CS664-103</f>
        <v>0</v>
      </c>
      <c r="CT587" s="65">
        <f t="shared" si="932"/>
        <v>0</v>
      </c>
      <c r="CV587" s="573">
        <v>0</v>
      </c>
      <c r="CW587" s="573">
        <v>0</v>
      </c>
      <c r="CX587" s="65">
        <f t="shared" si="933"/>
        <v>0</v>
      </c>
      <c r="CZ587" s="573">
        <v>0</v>
      </c>
      <c r="DA587" s="573">
        <v>0</v>
      </c>
      <c r="DB587" s="65">
        <f t="shared" si="934"/>
        <v>0</v>
      </c>
      <c r="DD587" s="573">
        <v>0</v>
      </c>
      <c r="DE587" s="573">
        <v>-285</v>
      </c>
      <c r="DF587" s="65">
        <f t="shared" si="935"/>
        <v>-285</v>
      </c>
      <c r="DH587" s="46"/>
      <c r="DI587" s="46"/>
      <c r="DJ587" s="46"/>
      <c r="DL587" s="46"/>
      <c r="DM587" s="46"/>
      <c r="DN587" s="46"/>
      <c r="DP587" s="46"/>
      <c r="DQ587" s="46"/>
      <c r="DR587" s="46"/>
    </row>
    <row r="588" spans="1:128" s="20" customFormat="1" ht="13.8">
      <c r="A588" s="20" t="s">
        <v>166</v>
      </c>
      <c r="B588" s="49"/>
      <c r="BH588" s="49"/>
      <c r="BI588" s="49"/>
      <c r="BJ588" s="49"/>
      <c r="BK588" s="49"/>
      <c r="BL588" s="49"/>
      <c r="BM588" s="49"/>
      <c r="BN588" s="49"/>
      <c r="BO588" s="49"/>
      <c r="BP588" s="49"/>
      <c r="CB588" s="46"/>
      <c r="CC588" s="46"/>
      <c r="CD588" s="46"/>
      <c r="CF588" s="46"/>
      <c r="CG588" s="46"/>
      <c r="CH588" s="46"/>
      <c r="CJ588" s="573">
        <f>+CJ665+CJ793-145</f>
        <v>-822</v>
      </c>
      <c r="CK588" s="573">
        <f>+CK665+CK793-171</f>
        <v>-45</v>
      </c>
      <c r="CL588" s="65">
        <f t="shared" si="930"/>
        <v>-867</v>
      </c>
      <c r="CM588" s="49"/>
      <c r="CN588" s="573">
        <f>+CN665+CN793-274</f>
        <v>-244</v>
      </c>
      <c r="CO588" s="573">
        <f>+CO665+CO793-241</f>
        <v>-2</v>
      </c>
      <c r="CP588" s="65">
        <f t="shared" si="931"/>
        <v>-246</v>
      </c>
      <c r="CQ588" s="49"/>
      <c r="CR588" s="573">
        <f>+CR665+CR793-237</f>
        <v>188</v>
      </c>
      <c r="CS588" s="573">
        <f>+CS665+CS793-304</f>
        <v>0</v>
      </c>
      <c r="CT588" s="65">
        <f t="shared" si="932"/>
        <v>188</v>
      </c>
      <c r="CV588" s="573">
        <v>-43</v>
      </c>
      <c r="CW588" s="573">
        <v>66</v>
      </c>
      <c r="CX588" s="65">
        <f t="shared" si="933"/>
        <v>23</v>
      </c>
      <c r="CZ588" s="573">
        <v>-21</v>
      </c>
      <c r="DA588" s="573">
        <v>0</v>
      </c>
      <c r="DB588" s="65">
        <f t="shared" si="934"/>
        <v>-21</v>
      </c>
      <c r="DD588" s="573">
        <v>0</v>
      </c>
      <c r="DE588" s="573">
        <v>0</v>
      </c>
      <c r="DF588" s="65">
        <f t="shared" si="935"/>
        <v>0</v>
      </c>
      <c r="DH588" s="46"/>
      <c r="DI588" s="46"/>
      <c r="DJ588" s="46"/>
      <c r="DL588" s="46"/>
      <c r="DM588" s="46"/>
      <c r="DN588" s="46"/>
      <c r="DP588" s="46"/>
      <c r="DQ588" s="46"/>
      <c r="DR588" s="46"/>
    </row>
    <row r="589" spans="1:128" s="20" customFormat="1" ht="13.8">
      <c r="A589" s="21" t="s">
        <v>529</v>
      </c>
      <c r="B589" s="49"/>
      <c r="BH589" s="49"/>
      <c r="BI589" s="49"/>
      <c r="BJ589" s="49"/>
      <c r="BK589" s="49"/>
      <c r="BL589" s="49"/>
      <c r="BM589" s="49"/>
      <c r="BN589" s="49"/>
      <c r="BO589" s="49"/>
      <c r="BP589" s="49"/>
      <c r="CB589" s="46"/>
      <c r="CC589" s="46"/>
      <c r="CD589" s="46"/>
      <c r="CF589" s="46"/>
      <c r="CG589" s="46"/>
      <c r="CH589" s="46"/>
      <c r="CJ589" s="72">
        <f t="shared" ref="CJ589:CL589" si="936">SUM(CJ584:CJ588)</f>
        <v>-797</v>
      </c>
      <c r="CK589" s="72">
        <f t="shared" si="936"/>
        <v>-162</v>
      </c>
      <c r="CL589" s="72">
        <f t="shared" si="936"/>
        <v>-959</v>
      </c>
      <c r="CM589" s="49"/>
      <c r="CN589" s="72">
        <f>SUM(CN584:CN588)</f>
        <v>-659</v>
      </c>
      <c r="CO589" s="72">
        <f t="shared" ref="CO589:CP589" si="937">SUM(CO584:CO588)</f>
        <v>-68</v>
      </c>
      <c r="CP589" s="72">
        <f t="shared" si="937"/>
        <v>-727</v>
      </c>
      <c r="CQ589" s="49"/>
      <c r="CR589" s="72">
        <f>SUM(CR584:CR588)</f>
        <v>269</v>
      </c>
      <c r="CS589" s="72">
        <f t="shared" ref="CS589:CT589" si="938">SUM(CS584:CS588)</f>
        <v>18</v>
      </c>
      <c r="CT589" s="72">
        <f t="shared" si="938"/>
        <v>287</v>
      </c>
      <c r="CV589" s="72">
        <f>SUM(CV584:CV588)</f>
        <v>-60</v>
      </c>
      <c r="CW589" s="72">
        <f t="shared" ref="CW589:CX589" si="939">SUM(CW584:CW588)</f>
        <v>35</v>
      </c>
      <c r="CX589" s="72">
        <f t="shared" si="939"/>
        <v>-25</v>
      </c>
      <c r="CZ589" s="72">
        <f>SUM(CZ584:CZ588)</f>
        <v>-21</v>
      </c>
      <c r="DA589" s="72">
        <f t="shared" ref="DA589:DB589" si="940">SUM(DA584:DA588)</f>
        <v>0</v>
      </c>
      <c r="DB589" s="72">
        <f t="shared" si="940"/>
        <v>-21</v>
      </c>
      <c r="DD589" s="72">
        <f>SUM(DD584:DD588)</f>
        <v>0</v>
      </c>
      <c r="DE589" s="72">
        <f t="shared" ref="DE589:DF589" si="941">SUM(DE584:DE588)</f>
        <v>-285</v>
      </c>
      <c r="DF589" s="72">
        <f t="shared" si="941"/>
        <v>-285</v>
      </c>
      <c r="DH589" s="46"/>
      <c r="DI589" s="46"/>
      <c r="DJ589" s="46"/>
      <c r="DL589" s="46"/>
      <c r="DM589" s="46"/>
      <c r="DN589" s="46"/>
      <c r="DP589" s="46"/>
      <c r="DQ589" s="46"/>
      <c r="DR589" s="46"/>
    </row>
    <row r="590" spans="1:128" s="960" customFormat="1" ht="13.8">
      <c r="A590" s="960" t="s">
        <v>293</v>
      </c>
      <c r="B590" s="993"/>
      <c r="BH590" s="993"/>
      <c r="BI590" s="993"/>
      <c r="BJ590" s="993"/>
      <c r="BK590" s="993"/>
      <c r="BL590" s="993"/>
      <c r="BM590" s="993"/>
      <c r="BN590" s="993"/>
      <c r="BO590" s="993"/>
      <c r="BP590" s="993"/>
      <c r="CB590" s="910"/>
      <c r="CC590" s="910"/>
      <c r="CD590" s="910"/>
      <c r="CF590" s="910"/>
      <c r="CG590" s="910"/>
      <c r="CH590" s="910"/>
      <c r="CJ590" s="908">
        <f t="shared" ref="CJ590:CK590" si="942">+CJ567+CJ572</f>
        <v>-797</v>
      </c>
      <c r="CK590" s="908">
        <f t="shared" si="942"/>
        <v>-162</v>
      </c>
      <c r="CL590" s="908">
        <f t="shared" ref="CL590" si="943">+CL567+CL572</f>
        <v>-959</v>
      </c>
      <c r="CM590" s="993"/>
      <c r="CN590" s="908">
        <f>+CN567+CN572</f>
        <v>-659</v>
      </c>
      <c r="CO590" s="908">
        <f t="shared" ref="CO590:CP590" si="944">+CO567+CO572</f>
        <v>-68</v>
      </c>
      <c r="CP590" s="908">
        <f t="shared" si="944"/>
        <v>-727</v>
      </c>
      <c r="CQ590" s="993"/>
      <c r="CR590" s="908">
        <f>+CR567+CR572</f>
        <v>269</v>
      </c>
      <c r="CS590" s="908">
        <f t="shared" ref="CS590:CT590" si="945">+CS567+CS572</f>
        <v>18</v>
      </c>
      <c r="CT590" s="908">
        <f t="shared" si="945"/>
        <v>287</v>
      </c>
      <c r="CV590" s="908">
        <f>+CV567+CV572</f>
        <v>-60</v>
      </c>
      <c r="CW590" s="908">
        <v>35</v>
      </c>
      <c r="CX590" s="908">
        <v>-25</v>
      </c>
      <c r="CZ590" s="908">
        <f>+CZ567+CZ572</f>
        <v>-21</v>
      </c>
      <c r="DA590" s="908"/>
      <c r="DB590" s="908"/>
      <c r="DD590" s="908">
        <f>+DD567+DD572</f>
        <v>0</v>
      </c>
      <c r="DE590" s="908"/>
      <c r="DF590" s="908"/>
      <c r="DH590" s="910"/>
      <c r="DI590" s="910"/>
      <c r="DJ590" s="910"/>
      <c r="DL590" s="910"/>
      <c r="DM590" s="910"/>
      <c r="DN590" s="910"/>
      <c r="DP590" s="910"/>
      <c r="DQ590" s="910"/>
      <c r="DR590" s="910"/>
    </row>
    <row r="591" spans="1:128" s="20" customFormat="1" ht="13.8">
      <c r="A591" s="21"/>
      <c r="B591" s="49"/>
      <c r="BH591" s="49"/>
      <c r="BI591" s="49"/>
      <c r="BJ591" s="49"/>
      <c r="BK591" s="49"/>
      <c r="BL591" s="49"/>
      <c r="BM591" s="49"/>
      <c r="BN591" s="49"/>
      <c r="BO591" s="49"/>
      <c r="BP591" s="49"/>
      <c r="CB591" s="46"/>
      <c r="CC591" s="46"/>
      <c r="CD591" s="46"/>
      <c r="CF591" s="46"/>
      <c r="CG591" s="46"/>
      <c r="CH591" s="46"/>
      <c r="CJ591" s="72"/>
      <c r="CK591" s="72"/>
      <c r="CL591" s="72"/>
      <c r="CM591" s="49"/>
      <c r="CN591" s="72"/>
      <c r="CO591" s="72"/>
      <c r="CP591" s="46"/>
      <c r="CR591" s="46"/>
      <c r="CS591" s="46"/>
      <c r="CT591" s="46"/>
      <c r="CV591" s="46"/>
      <c r="CW591" s="46"/>
      <c r="CX591" s="46"/>
      <c r="CZ591" s="46"/>
      <c r="DA591" s="46"/>
      <c r="DB591" s="46"/>
      <c r="DD591" s="46"/>
      <c r="DE591" s="46"/>
      <c r="DF591" s="46"/>
      <c r="DH591" s="46"/>
      <c r="DI591" s="46"/>
      <c r="DJ591" s="46"/>
      <c r="DL591" s="46"/>
      <c r="DM591" s="46"/>
      <c r="DN591" s="46"/>
      <c r="DP591" s="46"/>
      <c r="DQ591" s="46"/>
      <c r="DR591" s="46"/>
    </row>
    <row r="592" spans="1:128" s="359" customFormat="1" ht="13.8">
      <c r="A592" s="359" t="s">
        <v>313</v>
      </c>
      <c r="B592" s="360"/>
      <c r="BH592" s="360"/>
      <c r="BI592" s="360"/>
      <c r="BJ592" s="360"/>
      <c r="BK592" s="360"/>
      <c r="BL592" s="360"/>
      <c r="BM592" s="360"/>
      <c r="BN592" s="360"/>
      <c r="BO592" s="360"/>
      <c r="BP592" s="360"/>
      <c r="BT592" s="360"/>
      <c r="BX592" s="360"/>
      <c r="CB592" s="360"/>
      <c r="CF592" s="360"/>
      <c r="CJ592" s="360"/>
      <c r="CN592" s="360"/>
      <c r="CR592" s="360"/>
      <c r="CV592" s="360"/>
      <c r="CZ592" s="360"/>
      <c r="DD592" s="360"/>
      <c r="DH592" s="360"/>
      <c r="DL592" s="360"/>
      <c r="DP592" s="360"/>
      <c r="DT592" s="744"/>
      <c r="DU592" s="744"/>
      <c r="DV592" s="744"/>
      <c r="DW592" s="20"/>
      <c r="DX592" s="20"/>
    </row>
    <row r="593" spans="1:128" s="20" customFormat="1" ht="13.8">
      <c r="B593" s="49"/>
      <c r="BH593" s="49"/>
      <c r="BI593" s="49"/>
      <c r="BJ593" s="49"/>
      <c r="BK593" s="49"/>
      <c r="BL593" s="49"/>
      <c r="BM593" s="49"/>
      <c r="BN593" s="49"/>
      <c r="BO593" s="49"/>
      <c r="BP593" s="49"/>
      <c r="BQ593" s="49"/>
      <c r="BR593" s="49"/>
      <c r="BS593" s="49"/>
      <c r="BT593" s="66"/>
      <c r="BU593" s="49"/>
      <c r="BV593" s="49"/>
      <c r="BW593" s="49"/>
      <c r="BX593" s="49"/>
      <c r="BY593" s="49"/>
      <c r="BZ593" s="49"/>
      <c r="CA593" s="49"/>
      <c r="CB593" s="49"/>
      <c r="CC593" s="49"/>
      <c r="CD593" s="49"/>
      <c r="CE593" s="49"/>
      <c r="CF593" s="49"/>
      <c r="CG593" s="49"/>
      <c r="CH593" s="49"/>
      <c r="CI593" s="49"/>
      <c r="CJ593" s="49"/>
      <c r="CK593" s="49"/>
      <c r="CL593" s="49"/>
      <c r="CM593" s="49"/>
      <c r="CN593" s="49"/>
      <c r="CO593" s="49"/>
      <c r="CP593" s="49"/>
      <c r="CQ593" s="49"/>
      <c r="CR593" s="49"/>
      <c r="CS593" s="49"/>
      <c r="CT593" s="49"/>
      <c r="CU593" s="49"/>
      <c r="CV593" s="49"/>
      <c r="CW593" s="49"/>
      <c r="CX593" s="49"/>
      <c r="CY593" s="49"/>
      <c r="CZ593" s="49"/>
      <c r="DA593" s="49"/>
      <c r="DB593" s="49"/>
      <c r="DC593" s="49"/>
      <c r="DD593" s="49"/>
      <c r="DE593" s="49"/>
      <c r="DF593" s="49"/>
      <c r="DG593" s="49"/>
      <c r="DH593" s="49"/>
      <c r="DI593" s="49"/>
      <c r="DJ593" s="49"/>
      <c r="DK593" s="49"/>
      <c r="DL593" s="49"/>
      <c r="DM593" s="49"/>
      <c r="DN593" s="49"/>
      <c r="DO593" s="49"/>
      <c r="DP593" s="49"/>
      <c r="DQ593" s="49"/>
      <c r="DR593" s="49"/>
      <c r="DS593" s="49"/>
      <c r="DT593" s="49"/>
      <c r="DU593" s="49"/>
      <c r="DV593" s="49"/>
    </row>
    <row r="594" spans="1:128" s="20" customFormat="1" ht="13.8">
      <c r="A594" s="57" t="s">
        <v>325</v>
      </c>
      <c r="B594" s="49"/>
      <c r="BH594" s="67">
        <v>14326</v>
      </c>
      <c r="BI594" s="67">
        <v>14301</v>
      </c>
      <c r="BJ594" s="65">
        <f>+BI594+BH594</f>
        <v>28627</v>
      </c>
      <c r="BK594" s="49"/>
      <c r="BL594" s="67">
        <v>14430</v>
      </c>
      <c r="BM594" s="67">
        <v>15094</v>
      </c>
      <c r="BN594" s="65">
        <f>+BM594+BL594</f>
        <v>29524</v>
      </c>
      <c r="BO594" s="49"/>
      <c r="BP594" s="67">
        <v>15394</v>
      </c>
      <c r="BQ594" s="67">
        <v>15132</v>
      </c>
      <c r="BR594" s="65">
        <f>+BQ594+BP594</f>
        <v>30526</v>
      </c>
      <c r="BS594" s="75">
        <f>BR594/BN594-1</f>
        <v>3.3938490719414682E-2</v>
      </c>
      <c r="BT594" s="67">
        <v>15090</v>
      </c>
      <c r="BU594" s="67">
        <v>14861</v>
      </c>
      <c r="BV594" s="65">
        <f>+BU594+BT594</f>
        <v>29951</v>
      </c>
      <c r="BW594" s="75">
        <f>BV594/BR594-1</f>
        <v>-1.8836401755880194E-2</v>
      </c>
      <c r="BX594" s="67">
        <v>14426</v>
      </c>
      <c r="BY594" s="67">
        <v>14694</v>
      </c>
      <c r="BZ594" s="65">
        <f>+BY594+BX594</f>
        <v>29120</v>
      </c>
      <c r="CA594" s="75">
        <f>BZ594/BV594-1</f>
        <v>-2.7745317351674403E-2</v>
      </c>
      <c r="CB594" s="67">
        <v>14849</v>
      </c>
      <c r="CC594" s="67">
        <v>15478</v>
      </c>
      <c r="CD594" s="65">
        <f>+CC594+CB594</f>
        <v>30327</v>
      </c>
      <c r="CE594" s="75">
        <f>CD594/BZ594-1</f>
        <v>4.1449175824175732E-2</v>
      </c>
      <c r="CF594" s="67">
        <v>15971</v>
      </c>
      <c r="CG594" s="67">
        <v>15107</v>
      </c>
      <c r="CH594" s="65">
        <f>+CG594+CF594</f>
        <v>31078</v>
      </c>
      <c r="CI594" s="75">
        <f>CH594/CD594-1</f>
        <v>2.4763412140996532E-2</v>
      </c>
      <c r="CJ594" s="67">
        <v>13800</v>
      </c>
      <c r="CK594" s="67">
        <v>10626</v>
      </c>
      <c r="CL594" s="65">
        <f>+CK594+CJ594</f>
        <v>24426</v>
      </c>
      <c r="CM594" s="75">
        <f>CL594/CH594-1</f>
        <v>-0.21404208765042798</v>
      </c>
      <c r="CN594" s="67">
        <v>9879</v>
      </c>
      <c r="CO594" s="67">
        <v>9650</v>
      </c>
      <c r="CP594" s="65">
        <f>+CO594+CN594</f>
        <v>19529</v>
      </c>
      <c r="CQ594" s="75">
        <f>CP594/CL594-1</f>
        <v>-0.20048309178743962</v>
      </c>
      <c r="CR594" s="67">
        <v>9707</v>
      </c>
      <c r="CS594" s="67">
        <v>13902</v>
      </c>
      <c r="CT594" s="65">
        <f>+CS594+CR594</f>
        <v>23609</v>
      </c>
      <c r="CU594" s="75">
        <f>CT594/CP594-1</f>
        <v>0.20892006759178661</v>
      </c>
      <c r="CV594" s="67">
        <v>22832</v>
      </c>
      <c r="CW594" s="67">
        <v>27072</v>
      </c>
      <c r="CX594" s="65">
        <f>+CW594+CV594</f>
        <v>49904</v>
      </c>
      <c r="CY594" s="75">
        <f>CX594/CT594-1</f>
        <v>1.1137701723918845</v>
      </c>
      <c r="CZ594" s="67">
        <v>29811</v>
      </c>
      <c r="DA594" s="67">
        <v>30828</v>
      </c>
      <c r="DB594" s="65">
        <f>+DA594+CZ594</f>
        <v>60639</v>
      </c>
      <c r="DC594" s="75">
        <f>DB594/CX594-1</f>
        <v>0.21511301699262586</v>
      </c>
      <c r="DD594" s="67">
        <v>32734</v>
      </c>
      <c r="DE594" s="67">
        <v>31189</v>
      </c>
      <c r="DF594" s="65">
        <f>+DE594+DD594</f>
        <v>63923</v>
      </c>
      <c r="DG594" s="75">
        <f>DF594/DB594-1</f>
        <v>5.415656590642981E-2</v>
      </c>
      <c r="DH594" s="65">
        <f>+DH642+DH647</f>
        <v>31294.619015709941</v>
      </c>
      <c r="DI594" s="65">
        <f>+DI642+DI647</f>
        <v>33349.971599362667</v>
      </c>
      <c r="DJ594" s="65">
        <f>+DI594+DH594</f>
        <v>64644.590615072608</v>
      </c>
      <c r="DK594" s="75">
        <f>DJ594/DF594-1</f>
        <v>1.1288434758578436E-2</v>
      </c>
      <c r="DL594" s="65">
        <f>+DL642+DL647</f>
        <v>34624.446662577102</v>
      </c>
      <c r="DM594" s="65">
        <f>+DM642+DM647</f>
        <v>35541.619234447957</v>
      </c>
      <c r="DN594" s="65">
        <f>+DM594+DL594</f>
        <v>70166.065897025052</v>
      </c>
      <c r="DO594" s="75">
        <f>DN594/DJ594-1</f>
        <v>8.5412796792699419E-2</v>
      </c>
      <c r="DP594" s="65">
        <f>+DP642+DP647</f>
        <v>36187.795638744283</v>
      </c>
      <c r="DQ594" s="65">
        <f>+DQ642+DQ647</f>
        <v>36857.62064244318</v>
      </c>
      <c r="DR594" s="65">
        <f>+DQ594+DP594</f>
        <v>73045.41628118747</v>
      </c>
      <c r="DS594" s="75">
        <f>DR594/DN594-1</f>
        <v>4.1036223812064954E-2</v>
      </c>
      <c r="DT594" s="75"/>
      <c r="DU594" s="75"/>
      <c r="DV594" s="75"/>
    </row>
    <row r="595" spans="1:128" s="20" customFormat="1" ht="13.8">
      <c r="A595" s="57" t="s">
        <v>422</v>
      </c>
      <c r="B595" s="49"/>
      <c r="BH595" s="716">
        <f>BH598-BH594-BH597</f>
        <v>-8090</v>
      </c>
      <c r="BI595" s="716">
        <f>BI598-BI594-BI597</f>
        <v>-7765</v>
      </c>
      <c r="BJ595" s="716">
        <f>+BI595+BH595</f>
        <v>-15855</v>
      </c>
      <c r="BK595" s="715"/>
      <c r="BL595" s="716">
        <f>BL598-BL594-BL597</f>
        <v>-7666</v>
      </c>
      <c r="BM595" s="716">
        <f>BM598-BM594-BM597</f>
        <v>-8061</v>
      </c>
      <c r="BN595" s="716">
        <f>+BM595+BL595</f>
        <v>-15727</v>
      </c>
      <c r="BO595" s="715"/>
      <c r="BP595" s="716">
        <f>BP598-BP594-BP597</f>
        <v>-8256</v>
      </c>
      <c r="BQ595" s="716">
        <f>BQ598-BQ594-BQ597</f>
        <v>-7654</v>
      </c>
      <c r="BR595" s="716">
        <f>+BQ595+BP595</f>
        <v>-15910</v>
      </c>
      <c r="BS595" s="540"/>
      <c r="BT595" s="65">
        <f>BT596-BT594</f>
        <v>-7522</v>
      </c>
      <c r="BU595" s="65">
        <f>BU596-BU594</f>
        <v>-7334</v>
      </c>
      <c r="BV595" s="716">
        <f>+BU595+BT595</f>
        <v>-14856</v>
      </c>
      <c r="BW595" s="540"/>
      <c r="BX595" s="65">
        <f>BX596-BX594</f>
        <v>-7007</v>
      </c>
      <c r="BY595" s="65">
        <f>BY596-BY594</f>
        <v>-7152</v>
      </c>
      <c r="BZ595" s="716">
        <f>+BY595+BX595</f>
        <v>-14159</v>
      </c>
      <c r="CB595" s="65">
        <f>CB596-CB594</f>
        <v>-7322</v>
      </c>
      <c r="CC595" s="65">
        <f>CC596-CC594</f>
        <v>-8136</v>
      </c>
      <c r="CD595" s="716">
        <f>+CC595+CB595</f>
        <v>-15458</v>
      </c>
      <c r="CF595" s="65">
        <f>CF596-CF594</f>
        <v>-8494</v>
      </c>
      <c r="CG595" s="65">
        <f>CG596-CG594</f>
        <v>-7882</v>
      </c>
      <c r="CH595" s="716">
        <f>+CG595+CF595</f>
        <v>-16376</v>
      </c>
      <c r="CJ595" s="65">
        <f>CJ596-CJ594</f>
        <v>-6382</v>
      </c>
      <c r="CK595" s="65">
        <f>CK596-CK594</f>
        <v>-3589</v>
      </c>
      <c r="CL595" s="716">
        <f>+CK595+CJ595</f>
        <v>-9971</v>
      </c>
      <c r="CN595" s="65">
        <f>CN596-CN594</f>
        <v>-2704</v>
      </c>
      <c r="CO595" s="65">
        <f>CO596-CO594</f>
        <v>-2318</v>
      </c>
      <c r="CP595" s="716">
        <f>+CO595+CN595</f>
        <v>-5022</v>
      </c>
      <c r="CR595" s="65">
        <f>CR596-CR594</f>
        <v>-2442</v>
      </c>
      <c r="CS595" s="65">
        <f>CS596-CS594</f>
        <v>-5953</v>
      </c>
      <c r="CT595" s="716">
        <f>+CS595+CR595</f>
        <v>-8395</v>
      </c>
      <c r="CU595" s="49"/>
      <c r="CV595" s="65">
        <f>CV596-CV594</f>
        <v>-14157</v>
      </c>
      <c r="CW595" s="65">
        <f>CW596-CW594</f>
        <v>-18820</v>
      </c>
      <c r="CX595" s="716">
        <f>+CW595+CV595</f>
        <v>-32977</v>
      </c>
      <c r="CY595" s="49"/>
      <c r="CZ595" s="65">
        <f>CZ596-CZ594</f>
        <v>-21720</v>
      </c>
      <c r="DA595" s="65">
        <f>DA596-DA594</f>
        <v>-22461</v>
      </c>
      <c r="DB595" s="716">
        <f>+DA595+CZ595</f>
        <v>-44181</v>
      </c>
      <c r="DC595" s="49"/>
      <c r="DD595" s="65">
        <f>DD596-DD594</f>
        <v>-23645</v>
      </c>
      <c r="DE595" s="65">
        <f>DE596-DE594</f>
        <v>-21866</v>
      </c>
      <c r="DF595" s="716">
        <f>+DE595+DD595</f>
        <v>-45511</v>
      </c>
      <c r="DG595" s="49"/>
      <c r="DH595" s="65">
        <f>DH596-DH594</f>
        <v>-21877.973492099998</v>
      </c>
      <c r="DI595" s="65">
        <f>DI596-DI594</f>
        <v>-23805.784401655568</v>
      </c>
      <c r="DJ595" s="65">
        <f>+DI595+DH595</f>
        <v>-45683.757893755566</v>
      </c>
      <c r="DK595" s="49"/>
      <c r="DL595" s="65">
        <f>DL596-DL594</f>
        <v>-24923.607208974478</v>
      </c>
      <c r="DM595" s="65">
        <f>DM596-DM594</f>
        <v>-25623.622194843876</v>
      </c>
      <c r="DN595" s="65">
        <f>+DM595+DL595</f>
        <v>-50547.229403818354</v>
      </c>
      <c r="DO595" s="49"/>
      <c r="DP595" s="65">
        <f>DP596-DP594</f>
        <v>-26077.614264586693</v>
      </c>
      <c r="DQ595" s="65">
        <f>DQ596-DQ594</f>
        <v>-26536.044503318379</v>
      </c>
      <c r="DR595" s="65">
        <f>+DQ595+DP595</f>
        <v>-52613.658767905072</v>
      </c>
      <c r="DS595" s="49"/>
      <c r="DT595" s="49"/>
      <c r="DU595" s="49"/>
      <c r="DV595" s="49"/>
    </row>
    <row r="596" spans="1:128" s="20" customFormat="1" ht="13.8">
      <c r="A596" s="542" t="s">
        <v>873</v>
      </c>
      <c r="B596" s="49"/>
      <c r="BH596" s="729">
        <f>+BH598-BH597</f>
        <v>6236</v>
      </c>
      <c r="BI596" s="729">
        <f>+BI598-BI597</f>
        <v>6536</v>
      </c>
      <c r="BJ596" s="729">
        <f>+BJ598-BJ597</f>
        <v>12772</v>
      </c>
      <c r="BK596" s="49"/>
      <c r="BL596" s="729">
        <f>+BL598-BL597</f>
        <v>6764</v>
      </c>
      <c r="BM596" s="729">
        <f>+BM598-BM597</f>
        <v>7033</v>
      </c>
      <c r="BN596" s="729">
        <f>+BN598-BN597</f>
        <v>13797</v>
      </c>
      <c r="BO596" s="551"/>
      <c r="BP596" s="729">
        <f>+BP598-BP597</f>
        <v>7138</v>
      </c>
      <c r="BQ596" s="729">
        <f>+BQ598-BQ597</f>
        <v>7478</v>
      </c>
      <c r="BR596" s="729">
        <f>+BR598-BR597</f>
        <v>14616</v>
      </c>
      <c r="BS596" s="722">
        <f>BR596/BN596-1</f>
        <v>5.9360730593607247E-2</v>
      </c>
      <c r="BT596" s="729">
        <f>+BT598-BT597</f>
        <v>7568</v>
      </c>
      <c r="BU596" s="729">
        <f>+BU598-BU597</f>
        <v>7527</v>
      </c>
      <c r="BV596" s="729">
        <f>+BV598-BV597</f>
        <v>15095</v>
      </c>
      <c r="BW596" s="722">
        <f>BV596/BR596-1</f>
        <v>3.2772304324028445E-2</v>
      </c>
      <c r="BX596" s="729">
        <f>+BX598-BX597</f>
        <v>7419</v>
      </c>
      <c r="BY596" s="729">
        <f>+BY598-BY597</f>
        <v>7542</v>
      </c>
      <c r="BZ596" s="729">
        <f>+BZ598-BZ597</f>
        <v>14961</v>
      </c>
      <c r="CA596" s="722">
        <f>BZ596/BV596-1</f>
        <v>-8.8771116263663963E-3</v>
      </c>
      <c r="CB596" s="729">
        <f>+CB598-CB597</f>
        <v>7527</v>
      </c>
      <c r="CC596" s="729">
        <f>+CC598-CC597</f>
        <v>7342</v>
      </c>
      <c r="CD596" s="729">
        <f>+CD598-CD597</f>
        <v>14869</v>
      </c>
      <c r="CE596" s="542"/>
      <c r="CF596" s="729">
        <f>+CF598-CF597</f>
        <v>7477</v>
      </c>
      <c r="CG596" s="729">
        <f>+CG598-CG597</f>
        <v>7225</v>
      </c>
      <c r="CH596" s="729">
        <f>+CH598-CH597</f>
        <v>14702</v>
      </c>
      <c r="CI596" s="542"/>
      <c r="CJ596" s="729">
        <f>+CJ598-CJ597</f>
        <v>7418</v>
      </c>
      <c r="CK596" s="729">
        <f>+CK598-CK597</f>
        <v>7037</v>
      </c>
      <c r="CL596" s="729">
        <f>+CL598-CL597</f>
        <v>14455</v>
      </c>
      <c r="CM596" s="542"/>
      <c r="CN596" s="729">
        <f>+CN598-CN597</f>
        <v>7175</v>
      </c>
      <c r="CO596" s="729">
        <f>+CO598-CO597</f>
        <v>7332</v>
      </c>
      <c r="CP596" s="729">
        <f>+CP598-CP597</f>
        <v>14507</v>
      </c>
      <c r="CQ596" s="542"/>
      <c r="CR596" s="729">
        <f>+CR598-CR597</f>
        <v>7265</v>
      </c>
      <c r="CS596" s="729">
        <f>+CS598-CS597</f>
        <v>7949</v>
      </c>
      <c r="CT596" s="729">
        <f>+CT598-CT597</f>
        <v>15214</v>
      </c>
      <c r="CU596" s="551"/>
      <c r="CV596" s="729">
        <f>+CV598-CV597</f>
        <v>8675</v>
      </c>
      <c r="CW596" s="729">
        <f>+CW598-CW597</f>
        <v>8252</v>
      </c>
      <c r="CX596" s="729">
        <f>+CX598-CX597</f>
        <v>16927</v>
      </c>
      <c r="CY596" s="551"/>
      <c r="CZ596" s="729">
        <f>+CZ598-CZ597</f>
        <v>8091</v>
      </c>
      <c r="DA596" s="729">
        <f>+DA598-DA597</f>
        <v>8367</v>
      </c>
      <c r="DB596" s="729">
        <f>+DB598-DB597</f>
        <v>16458</v>
      </c>
      <c r="DC596" s="551"/>
      <c r="DD596" s="729">
        <f>+DD598-DD597</f>
        <v>9089</v>
      </c>
      <c r="DE596" s="729">
        <f>+DE598-DE597</f>
        <v>9323</v>
      </c>
      <c r="DF596" s="729">
        <f>+DF598-DF597</f>
        <v>18412</v>
      </c>
      <c r="DG596" s="551"/>
      <c r="DH596" s="729">
        <f>+DH605*DH609*(DH$3/DH$4)</f>
        <v>9416.6455236099446</v>
      </c>
      <c r="DI596" s="729">
        <f>+DI605*DI609*(DI$3/DI$4)</f>
        <v>9544.1871977070987</v>
      </c>
      <c r="DJ596" s="729">
        <f>+DI596+DH596</f>
        <v>18960.832721317041</v>
      </c>
      <c r="DK596" s="551"/>
      <c r="DL596" s="729">
        <f>+DL605*DL609*(DL$3/DL$4)</f>
        <v>9700.8394536026262</v>
      </c>
      <c r="DM596" s="729">
        <f>+DM605*DM609*(DM$3/DM$4)</f>
        <v>9917.9970396040808</v>
      </c>
      <c r="DN596" s="729">
        <f>+DM596+DL596</f>
        <v>19618.836493206705</v>
      </c>
      <c r="DO596" s="551"/>
      <c r="DP596" s="729">
        <f>+DP605*DP609*(DP$3/DP$4)</f>
        <v>10110.18137415759</v>
      </c>
      <c r="DQ596" s="729">
        <f>+DQ605*DQ609*(DQ$3/DQ$4)</f>
        <v>10321.576139124803</v>
      </c>
      <c r="DR596" s="729">
        <f>+DQ596+DP596</f>
        <v>20431.757513282391</v>
      </c>
      <c r="DS596" s="551"/>
      <c r="DT596" s="551"/>
      <c r="DU596" s="551"/>
      <c r="DV596" s="551"/>
    </row>
    <row r="597" spans="1:128" s="20" customFormat="1" ht="13.8">
      <c r="A597" s="57" t="s">
        <v>865</v>
      </c>
      <c r="B597" s="49"/>
      <c r="BH597" s="716">
        <f>+BH1003</f>
        <v>0</v>
      </c>
      <c r="BI597" s="716">
        <f>+BI1003</f>
        <v>0</v>
      </c>
      <c r="BJ597" s="716">
        <f>+BJ1003</f>
        <v>0</v>
      </c>
      <c r="BK597" s="49"/>
      <c r="BL597" s="716">
        <f>+BL1003</f>
        <v>0</v>
      </c>
      <c r="BM597" s="716">
        <f>+BM1003</f>
        <v>0</v>
      </c>
      <c r="BN597" s="716">
        <f>+BN1003</f>
        <v>0</v>
      </c>
      <c r="BO597" s="715"/>
      <c r="BP597" s="716">
        <f>+BP1003</f>
        <v>0</v>
      </c>
      <c r="BQ597" s="716">
        <f>+BQ1003</f>
        <v>0</v>
      </c>
      <c r="BR597" s="716">
        <f>+BR1003</f>
        <v>0</v>
      </c>
      <c r="BS597" s="540"/>
      <c r="BT597" s="716">
        <f>+BT1003</f>
        <v>0</v>
      </c>
      <c r="BU597" s="716">
        <f>+BU1003</f>
        <v>0</v>
      </c>
      <c r="BV597" s="716">
        <f>+BV1003</f>
        <v>0</v>
      </c>
      <c r="BW597" s="540"/>
      <c r="BX597" s="716">
        <f>+BX1003</f>
        <v>0</v>
      </c>
      <c r="BY597" s="716">
        <f>+BY1003</f>
        <v>-86</v>
      </c>
      <c r="BZ597" s="716">
        <f>+BZ1003</f>
        <v>-86</v>
      </c>
      <c r="CA597" s="540"/>
      <c r="CB597" s="716">
        <f>+CB1003</f>
        <v>-177</v>
      </c>
      <c r="CC597" s="716">
        <f>+CC1003</f>
        <v>-178</v>
      </c>
      <c r="CD597" s="716">
        <f>+CD1003</f>
        <v>-355</v>
      </c>
      <c r="CE597" s="540"/>
      <c r="CF597" s="716">
        <f>+CF1003</f>
        <v>-178</v>
      </c>
      <c r="CG597" s="716">
        <f>+CG1003</f>
        <v>-185</v>
      </c>
      <c r="CH597" s="716">
        <f>+CH1003</f>
        <v>-363</v>
      </c>
      <c r="CI597" s="540"/>
      <c r="CJ597" s="716">
        <f>+CJ1003</f>
        <v>-196</v>
      </c>
      <c r="CK597" s="716">
        <f>+CK1003</f>
        <v>-210</v>
      </c>
      <c r="CL597" s="716">
        <f>+CL1003</f>
        <v>-406</v>
      </c>
      <c r="CM597" s="540"/>
      <c r="CN597" s="716">
        <f>+CN1003</f>
        <v>-189</v>
      </c>
      <c r="CO597" s="716">
        <f>+CO1003</f>
        <v>-157</v>
      </c>
      <c r="CP597" s="716">
        <f>+CP1003</f>
        <v>-346</v>
      </c>
      <c r="CQ597" s="540"/>
      <c r="CR597" s="716">
        <f>+CR1003</f>
        <v>-165</v>
      </c>
      <c r="CS597" s="716">
        <f>+CS1003</f>
        <v>-175</v>
      </c>
      <c r="CT597" s="716">
        <f>+CT1003</f>
        <v>-340</v>
      </c>
      <c r="CU597" s="715"/>
      <c r="CV597" s="716">
        <f>+CV1003</f>
        <v>-175</v>
      </c>
      <c r="CW597" s="716">
        <f>+CW1003</f>
        <v>-178</v>
      </c>
      <c r="CX597" s="716">
        <f>+CX1003</f>
        <v>-353</v>
      </c>
      <c r="CY597" s="715"/>
      <c r="CZ597" s="716">
        <f>+CZ1003</f>
        <v>-192</v>
      </c>
      <c r="DA597" s="716">
        <f>+DA1003</f>
        <v>-197</v>
      </c>
      <c r="DB597" s="716">
        <f>+DB1003</f>
        <v>-389</v>
      </c>
      <c r="DC597" s="715"/>
      <c r="DD597" s="716">
        <f>+DD1003</f>
        <v>-220</v>
      </c>
      <c r="DE597" s="716">
        <f>+DE1003</f>
        <v>-231</v>
      </c>
      <c r="DF597" s="716">
        <f>+DF1003</f>
        <v>-451</v>
      </c>
      <c r="DG597" s="715"/>
      <c r="DH597" s="716">
        <f ca="1">+DH1003</f>
        <v>-231.6235760499427</v>
      </c>
      <c r="DI597" s="716">
        <f ca="1">+DI1003</f>
        <v>-238.35759038085035</v>
      </c>
      <c r="DJ597" s="716">
        <f ca="1">+DJ1003</f>
        <v>-469.98116643079305</v>
      </c>
      <c r="DK597" s="715"/>
      <c r="DL597" s="716">
        <f ca="1">+DL1003</f>
        <v>-242.80375488889686</v>
      </c>
      <c r="DM597" s="716">
        <f ca="1">+DM1003</f>
        <v>-251.01459347364079</v>
      </c>
      <c r="DN597" s="716">
        <f ca="1">+DN1003</f>
        <v>-493.81834836253768</v>
      </c>
      <c r="DO597" s="715"/>
      <c r="DP597" s="716">
        <f ca="1">+DP1003</f>
        <v>-254.88447246790994</v>
      </c>
      <c r="DQ597" s="716">
        <f ca="1">+DQ1003</f>
        <v>-262.30526160582644</v>
      </c>
      <c r="DR597" s="716">
        <f ca="1">+DR1003</f>
        <v>-517.18973407373642</v>
      </c>
      <c r="DS597" s="715"/>
      <c r="DT597" s="715"/>
      <c r="DU597" s="715"/>
      <c r="DV597" s="715"/>
    </row>
    <row r="598" spans="1:128" s="21" customFormat="1" ht="13.8">
      <c r="A598" s="21" t="s">
        <v>282</v>
      </c>
      <c r="B598" s="27"/>
      <c r="BH598" s="72">
        <f>BH14</f>
        <v>6236</v>
      </c>
      <c r="BI598" s="72">
        <f>BI14</f>
        <v>6536</v>
      </c>
      <c r="BJ598" s="72">
        <f>BJ14</f>
        <v>12772</v>
      </c>
      <c r="BK598" s="27"/>
      <c r="BL598" s="72">
        <f>BL14</f>
        <v>6764</v>
      </c>
      <c r="BM598" s="72">
        <f>BM14</f>
        <v>7033</v>
      </c>
      <c r="BN598" s="72">
        <f>BN14</f>
        <v>13797</v>
      </c>
      <c r="BO598" s="27"/>
      <c r="BP598" s="72">
        <f>BP14</f>
        <v>7138</v>
      </c>
      <c r="BQ598" s="72">
        <f>BQ14</f>
        <v>7478</v>
      </c>
      <c r="BR598" s="72">
        <f>BR14</f>
        <v>14616</v>
      </c>
      <c r="BS598" s="75">
        <f>BR598/BN598-1</f>
        <v>5.9360730593607247E-2</v>
      </c>
      <c r="BT598" s="72">
        <f>BT14</f>
        <v>7568</v>
      </c>
      <c r="BU598" s="72">
        <f>BU14</f>
        <v>7527</v>
      </c>
      <c r="BV598" s="72">
        <f>BV14</f>
        <v>15095</v>
      </c>
      <c r="BW598" s="75">
        <f>BV598/BR598-1</f>
        <v>3.2772304324028445E-2</v>
      </c>
      <c r="BX598" s="72">
        <f>BX14</f>
        <v>7419</v>
      </c>
      <c r="BY598" s="72">
        <f>BY14</f>
        <v>7456</v>
      </c>
      <c r="BZ598" s="72">
        <f>BZ14</f>
        <v>14875</v>
      </c>
      <c r="CA598" s="722">
        <f>BZ598/BV598-1</f>
        <v>-1.4574362371646221E-2</v>
      </c>
      <c r="CB598" s="72">
        <f>CB14</f>
        <v>7350</v>
      </c>
      <c r="CC598" s="72">
        <f>CC14</f>
        <v>7164</v>
      </c>
      <c r="CD598" s="72">
        <f>CD14</f>
        <v>14514</v>
      </c>
      <c r="CE598" s="542"/>
      <c r="CF598" s="72">
        <f>CF14</f>
        <v>7299</v>
      </c>
      <c r="CG598" s="72">
        <f>CG14</f>
        <v>7040</v>
      </c>
      <c r="CH598" s="72">
        <f>CH14</f>
        <v>14339</v>
      </c>
      <c r="CI598" s="542"/>
      <c r="CJ598" s="72">
        <f>CJ14</f>
        <v>7222</v>
      </c>
      <c r="CK598" s="72">
        <f>CK14</f>
        <v>6827</v>
      </c>
      <c r="CL598" s="72">
        <f>CL14</f>
        <v>14049</v>
      </c>
      <c r="CM598" s="542">
        <v>6981</v>
      </c>
      <c r="CN598" s="72">
        <f>CN14</f>
        <v>6986</v>
      </c>
      <c r="CO598" s="72">
        <f>CO14</f>
        <v>7175</v>
      </c>
      <c r="CP598" s="72">
        <f>CP14</f>
        <v>14161</v>
      </c>
      <c r="CQ598" s="542">
        <v>6981</v>
      </c>
      <c r="CR598" s="72">
        <f>CR14</f>
        <v>7100</v>
      </c>
      <c r="CS598" s="72">
        <f>CS14</f>
        <v>7774</v>
      </c>
      <c r="CT598" s="72">
        <f>CT14</f>
        <v>14874</v>
      </c>
      <c r="CU598" s="551"/>
      <c r="CV598" s="72">
        <f>CV14</f>
        <v>8500</v>
      </c>
      <c r="CW598" s="72">
        <f>CW14</f>
        <v>8074</v>
      </c>
      <c r="CX598" s="72">
        <f>CX14</f>
        <v>16574</v>
      </c>
      <c r="CY598" s="551"/>
      <c r="CZ598" s="72">
        <f>CZ14</f>
        <v>7899</v>
      </c>
      <c r="DA598" s="72">
        <f>DA14</f>
        <v>8170</v>
      </c>
      <c r="DB598" s="72">
        <f>DB14</f>
        <v>16069</v>
      </c>
      <c r="DC598" s="551"/>
      <c r="DD598" s="72">
        <f>DD14</f>
        <v>8869</v>
      </c>
      <c r="DE598" s="72">
        <f>DE14</f>
        <v>9092</v>
      </c>
      <c r="DF598" s="72">
        <f>DF14</f>
        <v>17961</v>
      </c>
      <c r="DG598" s="551"/>
      <c r="DH598" s="729">
        <f ca="1">+DH596+DH597</f>
        <v>9185.0219475600024</v>
      </c>
      <c r="DI598" s="729">
        <f ca="1">+DI596+DI597</f>
        <v>9305.8296073262482</v>
      </c>
      <c r="DJ598" s="729">
        <f ca="1">+DI598+DH598</f>
        <v>18490.851554886249</v>
      </c>
      <c r="DK598" s="551"/>
      <c r="DL598" s="729">
        <f ca="1">+DL596+DL597</f>
        <v>9458.0356987137293</v>
      </c>
      <c r="DM598" s="729">
        <f ca="1">+DM596+DM597</f>
        <v>9666.9824461304397</v>
      </c>
      <c r="DN598" s="729">
        <f ca="1">+DM598+DL598</f>
        <v>19125.018144844169</v>
      </c>
      <c r="DO598" s="551"/>
      <c r="DP598" s="729">
        <f ca="1">+DP596+DP597</f>
        <v>9855.2969016896805</v>
      </c>
      <c r="DQ598" s="729">
        <f ca="1">+DQ596+DQ597</f>
        <v>10059.270877518977</v>
      </c>
      <c r="DR598" s="729">
        <f ca="1">+DQ598+DP598</f>
        <v>19914.567779208657</v>
      </c>
      <c r="DS598" s="551"/>
      <c r="DT598" s="551"/>
      <c r="DU598" s="551"/>
      <c r="DV598" s="551"/>
      <c r="DW598" s="20"/>
      <c r="DX598" s="20"/>
    </row>
    <row r="599" spans="1:128" s="21" customFormat="1" ht="13.8">
      <c r="A599" s="533" t="s">
        <v>926</v>
      </c>
      <c r="B599" s="610"/>
      <c r="C599" s="609"/>
      <c r="D599" s="609"/>
      <c r="E599" s="609"/>
      <c r="F599" s="609"/>
      <c r="G599" s="609"/>
      <c r="H599" s="609"/>
      <c r="I599" s="609"/>
      <c r="J599" s="609"/>
      <c r="K599" s="609"/>
      <c r="L599" s="609"/>
      <c r="M599" s="609"/>
      <c r="N599" s="609"/>
      <c r="O599" s="609"/>
      <c r="P599" s="609"/>
      <c r="Q599" s="609"/>
      <c r="R599" s="609"/>
      <c r="S599" s="609"/>
      <c r="T599" s="609"/>
      <c r="U599" s="609"/>
      <c r="V599" s="609"/>
      <c r="W599" s="609"/>
      <c r="X599" s="609"/>
      <c r="Y599" s="609"/>
      <c r="Z599" s="609"/>
      <c r="AA599" s="609"/>
      <c r="AB599" s="609"/>
      <c r="AC599" s="609"/>
      <c r="AD599" s="609"/>
      <c r="AE599" s="609"/>
      <c r="AF599" s="609"/>
      <c r="AG599" s="609"/>
      <c r="AH599" s="609"/>
      <c r="AI599" s="609"/>
      <c r="AJ599" s="609"/>
      <c r="AK599" s="609"/>
      <c r="AL599" s="609"/>
      <c r="AM599" s="609"/>
      <c r="AN599" s="609"/>
      <c r="AO599" s="609"/>
      <c r="AP599" s="609"/>
      <c r="AQ599" s="609"/>
      <c r="AR599" s="609"/>
      <c r="AS599" s="609"/>
      <c r="AT599" s="609"/>
      <c r="AU599" s="609"/>
      <c r="AV599" s="609"/>
      <c r="AW599" s="609"/>
      <c r="AX599" s="609"/>
      <c r="AY599" s="609"/>
      <c r="AZ599" s="609"/>
      <c r="BA599" s="609"/>
      <c r="BB599" s="609"/>
      <c r="BC599" s="609"/>
      <c r="BD599" s="609"/>
      <c r="BE599" s="609"/>
      <c r="BF599" s="609"/>
      <c r="BG599" s="609"/>
      <c r="BH599" s="580"/>
      <c r="BI599" s="580"/>
      <c r="BJ599" s="580"/>
      <c r="BK599" s="610"/>
      <c r="BL599" s="580"/>
      <c r="BM599" s="580"/>
      <c r="BN599" s="580"/>
      <c r="BO599" s="610"/>
      <c r="BP599" s="580"/>
      <c r="BQ599" s="580"/>
      <c r="BR599" s="580"/>
      <c r="BS599" s="577"/>
      <c r="BT599" s="580"/>
      <c r="BU599" s="580"/>
      <c r="BV599" s="580"/>
      <c r="BW599" s="577"/>
      <c r="BX599" s="599">
        <v>0</v>
      </c>
      <c r="BY599" s="599">
        <v>-36</v>
      </c>
      <c r="BZ599" s="583">
        <f>SUM(BX599:BY599)</f>
        <v>-36</v>
      </c>
      <c r="CA599" s="577"/>
      <c r="CB599" s="599">
        <v>-19</v>
      </c>
      <c r="CC599" s="599">
        <v>-86</v>
      </c>
      <c r="CD599" s="583">
        <f>SUM(CB599:CC599)</f>
        <v>-105</v>
      </c>
      <c r="CE599" s="834"/>
      <c r="CF599" s="599">
        <v>-22</v>
      </c>
      <c r="CG599" s="599">
        <v>-119</v>
      </c>
      <c r="CH599" s="583">
        <f>SUM(CF599:CG599)</f>
        <v>-141</v>
      </c>
      <c r="CI599" s="834"/>
      <c r="CJ599" s="599">
        <v>-22</v>
      </c>
      <c r="CK599" s="599">
        <v>-84</v>
      </c>
      <c r="CL599" s="583">
        <f>SUM(CJ599:CK599)</f>
        <v>-106</v>
      </c>
      <c r="CM599" s="834"/>
      <c r="CN599" s="599">
        <v>-56</v>
      </c>
      <c r="CO599" s="599">
        <v>-30</v>
      </c>
      <c r="CP599" s="583">
        <f>SUM(CN599:CO599)</f>
        <v>-86</v>
      </c>
      <c r="CQ599" s="834"/>
      <c r="CR599" s="599">
        <v>-3</v>
      </c>
      <c r="CS599" s="599">
        <v>3</v>
      </c>
      <c r="CT599" s="583">
        <f>SUM(CR599:CS599)</f>
        <v>0</v>
      </c>
      <c r="CU599" s="917"/>
      <c r="CV599" s="599">
        <v>-10</v>
      </c>
      <c r="CW599" s="599">
        <v>-8</v>
      </c>
      <c r="CX599" s="583">
        <f>SUM(CV599:CW599)</f>
        <v>-18</v>
      </c>
      <c r="CY599" s="917"/>
      <c r="CZ599" s="599">
        <v>0</v>
      </c>
      <c r="DA599" s="599">
        <v>0</v>
      </c>
      <c r="DB599" s="583">
        <f>SUM(CZ599:DA599)</f>
        <v>0</v>
      </c>
      <c r="DC599" s="917"/>
      <c r="DD599" s="599">
        <v>0</v>
      </c>
      <c r="DE599" s="599">
        <v>0</v>
      </c>
      <c r="DF599" s="583">
        <f>SUM(DD599:DE599)</f>
        <v>0</v>
      </c>
      <c r="DG599" s="917"/>
      <c r="DH599" s="599">
        <v>0</v>
      </c>
      <c r="DI599" s="599">
        <v>0</v>
      </c>
      <c r="DJ599" s="583">
        <f>SUM(DH599:DI599)</f>
        <v>0</v>
      </c>
      <c r="DK599" s="917"/>
      <c r="DL599" s="599">
        <v>0</v>
      </c>
      <c r="DM599" s="599">
        <v>0</v>
      </c>
      <c r="DN599" s="583">
        <f>SUM(DL599:DM599)</f>
        <v>0</v>
      </c>
      <c r="DO599" s="917"/>
      <c r="DP599" s="599">
        <v>0</v>
      </c>
      <c r="DQ599" s="599">
        <v>0</v>
      </c>
      <c r="DR599" s="583">
        <f>SUM(DP599:DQ599)</f>
        <v>0</v>
      </c>
      <c r="DS599" s="917"/>
      <c r="DT599" s="917"/>
      <c r="DU599" s="917"/>
      <c r="DV599" s="917"/>
      <c r="DW599" s="20"/>
      <c r="DX599" s="20"/>
    </row>
    <row r="600" spans="1:128" s="21" customFormat="1" ht="13.8">
      <c r="A600" s="533" t="s">
        <v>933</v>
      </c>
      <c r="B600" s="610"/>
      <c r="C600" s="609"/>
      <c r="D600" s="609"/>
      <c r="E600" s="609"/>
      <c r="F600" s="609"/>
      <c r="G600" s="609"/>
      <c r="H600" s="609"/>
      <c r="I600" s="609"/>
      <c r="J600" s="609"/>
      <c r="K600" s="609"/>
      <c r="L600" s="609"/>
      <c r="M600" s="609"/>
      <c r="N600" s="609"/>
      <c r="O600" s="609"/>
      <c r="P600" s="609"/>
      <c r="Q600" s="609"/>
      <c r="R600" s="609"/>
      <c r="S600" s="609"/>
      <c r="T600" s="609"/>
      <c r="U600" s="609"/>
      <c r="V600" s="609"/>
      <c r="W600" s="609"/>
      <c r="X600" s="609"/>
      <c r="Y600" s="609"/>
      <c r="Z600" s="609"/>
      <c r="AA600" s="609"/>
      <c r="AB600" s="609"/>
      <c r="AC600" s="609"/>
      <c r="AD600" s="609"/>
      <c r="AE600" s="609"/>
      <c r="AF600" s="609"/>
      <c r="AG600" s="609"/>
      <c r="AH600" s="609"/>
      <c r="AI600" s="609"/>
      <c r="AJ600" s="609"/>
      <c r="AK600" s="609"/>
      <c r="AL600" s="609"/>
      <c r="AM600" s="609"/>
      <c r="AN600" s="609"/>
      <c r="AO600" s="609"/>
      <c r="AP600" s="609"/>
      <c r="AQ600" s="609"/>
      <c r="AR600" s="609"/>
      <c r="AS600" s="609"/>
      <c r="AT600" s="609"/>
      <c r="AU600" s="609"/>
      <c r="AV600" s="609"/>
      <c r="AW600" s="609"/>
      <c r="AX600" s="609"/>
      <c r="AY600" s="609"/>
      <c r="AZ600" s="609"/>
      <c r="BA600" s="609"/>
      <c r="BB600" s="609"/>
      <c r="BC600" s="609"/>
      <c r="BD600" s="609"/>
      <c r="BE600" s="609"/>
      <c r="BF600" s="609"/>
      <c r="BG600" s="609"/>
      <c r="BH600" s="580"/>
      <c r="BI600" s="580"/>
      <c r="BJ600" s="580"/>
      <c r="BK600" s="610"/>
      <c r="BL600" s="580"/>
      <c r="BM600" s="580"/>
      <c r="BN600" s="580"/>
      <c r="BO600" s="610"/>
      <c r="BP600" s="580"/>
      <c r="BQ600" s="580"/>
      <c r="BR600" s="580"/>
      <c r="BS600" s="577"/>
      <c r="BT600" s="580"/>
      <c r="BU600" s="580"/>
      <c r="BV600" s="580"/>
      <c r="BW600" s="577"/>
      <c r="BX600" s="599"/>
      <c r="BY600" s="599"/>
      <c r="BZ600" s="583"/>
      <c r="CA600" s="577"/>
      <c r="CB600" s="599"/>
      <c r="CC600" s="599"/>
      <c r="CD600" s="583"/>
      <c r="CE600" s="834"/>
      <c r="CF600" s="599"/>
      <c r="CG600" s="599"/>
      <c r="CH600" s="583"/>
      <c r="CI600" s="834"/>
      <c r="CJ600" s="599">
        <v>75</v>
      </c>
      <c r="CK600" s="599">
        <v>59</v>
      </c>
      <c r="CL600" s="583">
        <f>SUM(CJ600:CK600)</f>
        <v>134</v>
      </c>
      <c r="CM600" s="834"/>
      <c r="CN600" s="599">
        <v>0</v>
      </c>
      <c r="CO600" s="599">
        <v>0</v>
      </c>
      <c r="CP600" s="583">
        <f>SUM(CN600:CO600)</f>
        <v>0</v>
      </c>
      <c r="CQ600" s="834"/>
      <c r="CR600" s="599">
        <v>0</v>
      </c>
      <c r="CS600" s="599">
        <v>0</v>
      </c>
      <c r="CT600" s="583">
        <f>SUM(CR600:CS600)</f>
        <v>0</v>
      </c>
      <c r="CU600" s="917"/>
      <c r="CV600" s="599">
        <v>0</v>
      </c>
      <c r="CW600" s="599">
        <v>0</v>
      </c>
      <c r="CX600" s="583">
        <f>SUM(CV600:CW600)</f>
        <v>0</v>
      </c>
      <c r="CY600" s="917"/>
      <c r="CZ600" s="599">
        <v>0</v>
      </c>
      <c r="DA600" s="599">
        <v>0</v>
      </c>
      <c r="DB600" s="583">
        <f>SUM(CZ600:DA600)</f>
        <v>0</v>
      </c>
      <c r="DC600" s="917"/>
      <c r="DD600" s="599">
        <v>0</v>
      </c>
      <c r="DE600" s="599">
        <v>0</v>
      </c>
      <c r="DF600" s="583">
        <f>SUM(DD600:DE600)</f>
        <v>0</v>
      </c>
      <c r="DG600" s="917"/>
      <c r="DH600" s="599">
        <v>0</v>
      </c>
      <c r="DI600" s="599">
        <v>0</v>
      </c>
      <c r="DJ600" s="583">
        <f>SUM(DH600:DI600)</f>
        <v>0</v>
      </c>
      <c r="DK600" s="917"/>
      <c r="DL600" s="599">
        <v>0</v>
      </c>
      <c r="DM600" s="599">
        <v>0</v>
      </c>
      <c r="DN600" s="583">
        <f>SUM(DL600:DM600)</f>
        <v>0</v>
      </c>
      <c r="DO600" s="917"/>
      <c r="DP600" s="599">
        <v>0</v>
      </c>
      <c r="DQ600" s="599">
        <v>0</v>
      </c>
      <c r="DR600" s="583">
        <f>SUM(DP600:DQ600)</f>
        <v>0</v>
      </c>
      <c r="DS600" s="917"/>
      <c r="DT600" s="917"/>
      <c r="DU600" s="917"/>
      <c r="DV600" s="917"/>
      <c r="DW600" s="20"/>
      <c r="DX600" s="20"/>
    </row>
    <row r="601" spans="1:128" s="21" customFormat="1" ht="13.8">
      <c r="A601" s="533" t="s">
        <v>976</v>
      </c>
      <c r="B601" s="610"/>
      <c r="C601" s="609"/>
      <c r="D601" s="609"/>
      <c r="E601" s="609"/>
      <c r="F601" s="609"/>
      <c r="G601" s="609"/>
      <c r="H601" s="609"/>
      <c r="I601" s="609"/>
      <c r="J601" s="609"/>
      <c r="K601" s="609"/>
      <c r="L601" s="609"/>
      <c r="M601" s="609"/>
      <c r="N601" s="609"/>
      <c r="O601" s="609"/>
      <c r="P601" s="609"/>
      <c r="Q601" s="609"/>
      <c r="R601" s="609"/>
      <c r="S601" s="609"/>
      <c r="T601" s="609"/>
      <c r="U601" s="609"/>
      <c r="V601" s="609"/>
      <c r="W601" s="609"/>
      <c r="X601" s="609"/>
      <c r="Y601" s="609"/>
      <c r="Z601" s="609"/>
      <c r="AA601" s="609"/>
      <c r="AB601" s="609"/>
      <c r="AC601" s="609"/>
      <c r="AD601" s="609"/>
      <c r="AE601" s="609"/>
      <c r="AF601" s="609"/>
      <c r="AG601" s="609"/>
      <c r="AH601" s="609"/>
      <c r="AI601" s="609"/>
      <c r="AJ601" s="609"/>
      <c r="AK601" s="609"/>
      <c r="AL601" s="609"/>
      <c r="AM601" s="609"/>
      <c r="AN601" s="609"/>
      <c r="AO601" s="609"/>
      <c r="AP601" s="609"/>
      <c r="AQ601" s="609"/>
      <c r="AR601" s="609"/>
      <c r="AS601" s="609"/>
      <c r="AT601" s="609"/>
      <c r="AU601" s="609"/>
      <c r="AV601" s="609"/>
      <c r="AW601" s="609"/>
      <c r="AX601" s="609"/>
      <c r="AY601" s="609"/>
      <c r="AZ601" s="609"/>
      <c r="BA601" s="609"/>
      <c r="BB601" s="609"/>
      <c r="BC601" s="609"/>
      <c r="BD601" s="609"/>
      <c r="BE601" s="609"/>
      <c r="BF601" s="609"/>
      <c r="BG601" s="609"/>
      <c r="BH601" s="580"/>
      <c r="BI601" s="580"/>
      <c r="BJ601" s="580"/>
      <c r="BK601" s="610"/>
      <c r="BL601" s="580"/>
      <c r="BM601" s="580"/>
      <c r="BN601" s="580"/>
      <c r="BO601" s="610"/>
      <c r="BP601" s="580"/>
      <c r="BQ601" s="580"/>
      <c r="BR601" s="580"/>
      <c r="BS601" s="577"/>
      <c r="BT601" s="580"/>
      <c r="BU601" s="580"/>
      <c r="BV601" s="580"/>
      <c r="BW601" s="577"/>
      <c r="BX601" s="599"/>
      <c r="BY601" s="599"/>
      <c r="BZ601" s="583"/>
      <c r="CA601" s="577"/>
      <c r="CB601" s="599"/>
      <c r="CC601" s="599"/>
      <c r="CD601" s="583"/>
      <c r="CE601" s="834"/>
      <c r="CF601" s="599"/>
      <c r="CG601" s="599"/>
      <c r="CH601" s="583"/>
      <c r="CI601" s="834"/>
      <c r="CJ601" s="599">
        <v>0</v>
      </c>
      <c r="CK601" s="599">
        <v>0</v>
      </c>
      <c r="CL601" s="583">
        <f>SUM(CJ601:CK601)</f>
        <v>0</v>
      </c>
      <c r="CM601" s="834"/>
      <c r="CN601" s="701">
        <v>0</v>
      </c>
      <c r="CO601" s="701">
        <v>0</v>
      </c>
      <c r="CP601" s="583">
        <f>SUM(CN601:CO601)</f>
        <v>0</v>
      </c>
      <c r="CQ601" s="834"/>
      <c r="CR601" s="701">
        <v>0</v>
      </c>
      <c r="CS601" s="701">
        <v>0</v>
      </c>
      <c r="CT601" s="583">
        <f>SUM(CR601:CS601)</f>
        <v>0</v>
      </c>
      <c r="CU601" s="547"/>
      <c r="CV601" s="701">
        <v>0</v>
      </c>
      <c r="CW601" s="701">
        <v>0</v>
      </c>
      <c r="CX601" s="583">
        <f>SUM(CV601:CW601)</f>
        <v>0</v>
      </c>
      <c r="CY601" s="547"/>
      <c r="CZ601" s="701">
        <v>0</v>
      </c>
      <c r="DA601" s="701">
        <v>0</v>
      </c>
      <c r="DB601" s="583">
        <f>SUM(CZ601:DA601)</f>
        <v>0</v>
      </c>
      <c r="DC601" s="547"/>
      <c r="DD601" s="701">
        <v>0</v>
      </c>
      <c r="DE601" s="701">
        <v>0</v>
      </c>
      <c r="DF601" s="583">
        <f>SUM(DD601:DE601)</f>
        <v>0</v>
      </c>
      <c r="DG601" s="547"/>
      <c r="DH601" s="701">
        <v>0</v>
      </c>
      <c r="DI601" s="701">
        <v>0</v>
      </c>
      <c r="DJ601" s="583">
        <f>SUM(DH601:DI601)</f>
        <v>0</v>
      </c>
      <c r="DK601" s="547"/>
      <c r="DL601" s="701">
        <v>0</v>
      </c>
      <c r="DM601" s="701">
        <v>0</v>
      </c>
      <c r="DN601" s="583">
        <f>SUM(DL601:DM601)</f>
        <v>0</v>
      </c>
      <c r="DO601" s="547"/>
      <c r="DP601" s="701">
        <v>0</v>
      </c>
      <c r="DQ601" s="701">
        <v>0</v>
      </c>
      <c r="DR601" s="583">
        <f>SUM(DP601:DQ601)</f>
        <v>0</v>
      </c>
      <c r="DS601" s="547"/>
      <c r="DT601" s="547"/>
      <c r="DU601" s="547"/>
      <c r="DV601" s="547"/>
      <c r="DW601" s="20"/>
      <c r="DX601" s="20"/>
    </row>
    <row r="602" spans="1:128" s="21" customFormat="1" ht="13.8">
      <c r="A602" s="21" t="s">
        <v>979</v>
      </c>
      <c r="B602" s="27"/>
      <c r="BH602" s="72"/>
      <c r="BI602" s="72"/>
      <c r="BJ602" s="72"/>
      <c r="BK602" s="27"/>
      <c r="BL602" s="72"/>
      <c r="BM602" s="72"/>
      <c r="BN602" s="72"/>
      <c r="BO602" s="27"/>
      <c r="BP602" s="72"/>
      <c r="BQ602" s="72"/>
      <c r="BR602" s="72"/>
      <c r="BS602" s="75"/>
      <c r="BT602" s="72"/>
      <c r="BU602" s="72"/>
      <c r="BV602" s="72"/>
      <c r="BW602" s="75"/>
      <c r="BX602" s="72">
        <f>BX598-SUM(BX599:BX601)</f>
        <v>7419</v>
      </c>
      <c r="BY602" s="72">
        <f>BY598-SUM(BY599:BY601)</f>
        <v>7492</v>
      </c>
      <c r="BZ602" s="72">
        <f>BZ598-SUM(BZ599:BZ601)</f>
        <v>14911</v>
      </c>
      <c r="CA602" s="722"/>
      <c r="CB602" s="72">
        <f>CB598-SUM(CB599:CB601)</f>
        <v>7369</v>
      </c>
      <c r="CC602" s="72">
        <f>CC598-SUM(CC599:CC601)</f>
        <v>7250</v>
      </c>
      <c r="CD602" s="72">
        <f>CD598-SUM(CD599:CD601)</f>
        <v>14619</v>
      </c>
      <c r="CE602" s="542"/>
      <c r="CF602" s="72">
        <f>CF598-SUM(CF599:CF601)</f>
        <v>7321</v>
      </c>
      <c r="CG602" s="72">
        <f>CG598-SUM(CG599:CG601)</f>
        <v>7159</v>
      </c>
      <c r="CH602" s="72">
        <f>CH598-SUM(CH599:CH601)</f>
        <v>14480</v>
      </c>
      <c r="CI602" s="542"/>
      <c r="CJ602" s="72">
        <f>CJ598-SUM(CJ599:CJ601)</f>
        <v>7169</v>
      </c>
      <c r="CK602" s="72">
        <f>CK598-SUM(CK599:CK601)</f>
        <v>6852</v>
      </c>
      <c r="CL602" s="72">
        <f>CL598-SUM(CL599:CL601)</f>
        <v>14021</v>
      </c>
      <c r="CM602" s="542">
        <v>7006</v>
      </c>
      <c r="CN602" s="72">
        <f>CN598-SUM(CN599:CN601)</f>
        <v>7042</v>
      </c>
      <c r="CO602" s="72">
        <f>CO598-SUM(CO599:CO601)</f>
        <v>7205</v>
      </c>
      <c r="CP602" s="72">
        <f>CP598-SUM(CP599:CP601)</f>
        <v>14247</v>
      </c>
      <c r="CQ602" s="542">
        <v>7006</v>
      </c>
      <c r="CR602" s="72">
        <f>CR598-SUM(CR599:CR601)</f>
        <v>7103</v>
      </c>
      <c r="CS602" s="72">
        <f>CS598-SUM(CS599:CS601)</f>
        <v>7771</v>
      </c>
      <c r="CT602" s="72">
        <f>CT598-SUM(CT599:CT601)</f>
        <v>14874</v>
      </c>
      <c r="CU602" s="551"/>
      <c r="CV602" s="72">
        <f>CV598-SUM(CV599:CV601)</f>
        <v>8510</v>
      </c>
      <c r="CW602" s="72">
        <f>CW598-SUM(CW599:CW601)</f>
        <v>8082</v>
      </c>
      <c r="CX602" s="72">
        <f>CX598-SUM(CX599:CX601)</f>
        <v>16592</v>
      </c>
      <c r="CY602" s="551"/>
      <c r="CZ602" s="72">
        <f>CZ598-SUM(CZ599:CZ601)</f>
        <v>7899</v>
      </c>
      <c r="DA602" s="72">
        <f>DA598-SUM(DA599:DA601)</f>
        <v>8170</v>
      </c>
      <c r="DB602" s="72">
        <f>DB598-SUM(DB599:DB601)</f>
        <v>16069</v>
      </c>
      <c r="DC602" s="551"/>
      <c r="DD602" s="72">
        <f>DD598-SUM(DD599:DD601)</f>
        <v>8869</v>
      </c>
      <c r="DE602" s="72">
        <f>DE598-SUM(DE599:DE601)</f>
        <v>9092</v>
      </c>
      <c r="DF602" s="72">
        <f>DF598-SUM(DF599:DF601)</f>
        <v>17961</v>
      </c>
      <c r="DG602" s="551"/>
      <c r="DH602" s="72">
        <f ca="1">DH598-SUM(DH599:DH601)</f>
        <v>9185.0219475600024</v>
      </c>
      <c r="DI602" s="72">
        <f ca="1">DI598-SUM(DI599:DI601)</f>
        <v>9305.8296073262482</v>
      </c>
      <c r="DJ602" s="72">
        <f ca="1">DJ598-SUM(DJ599:DJ601)</f>
        <v>18490.851554886249</v>
      </c>
      <c r="DK602" s="551"/>
      <c r="DL602" s="72">
        <f ca="1">DL598-SUM(DL599:DL601)</f>
        <v>9458.0356987137293</v>
      </c>
      <c r="DM602" s="72">
        <f ca="1">DM598-SUM(DM599:DM601)</f>
        <v>9666.9824461304397</v>
      </c>
      <c r="DN602" s="72">
        <f ca="1">DN598-SUM(DN599:DN601)</f>
        <v>19125.018144844169</v>
      </c>
      <c r="DO602" s="551"/>
      <c r="DP602" s="72">
        <f ca="1">DP598-SUM(DP599:DP601)</f>
        <v>9855.2969016896805</v>
      </c>
      <c r="DQ602" s="72">
        <f ca="1">DQ598-SUM(DQ599:DQ601)</f>
        <v>10059.270877518977</v>
      </c>
      <c r="DR602" s="72">
        <f ca="1">DR598-SUM(DR599:DR601)</f>
        <v>19914.567779208657</v>
      </c>
      <c r="DS602" s="551"/>
      <c r="DT602" s="551"/>
      <c r="DU602" s="551"/>
      <c r="DV602" s="551"/>
      <c r="DW602" s="20"/>
      <c r="DX602" s="20"/>
    </row>
    <row r="603" spans="1:128" s="21" customFormat="1" ht="13.8">
      <c r="B603" s="27"/>
      <c r="BH603" s="72"/>
      <c r="BI603" s="72"/>
      <c r="BJ603" s="72"/>
      <c r="BK603" s="27"/>
      <c r="BL603" s="72"/>
      <c r="BM603" s="72"/>
      <c r="BN603" s="72"/>
      <c r="BO603" s="27"/>
      <c r="BP603" s="72"/>
      <c r="BQ603" s="72"/>
      <c r="BR603" s="72"/>
      <c r="BS603" s="75"/>
      <c r="BT603" s="72"/>
      <c r="BU603" s="72"/>
      <c r="BV603" s="72"/>
      <c r="BW603" s="75"/>
      <c r="BX603" s="72"/>
      <c r="BY603" s="72"/>
      <c r="BZ603" s="72"/>
      <c r="CA603" s="722"/>
      <c r="CB603" s="72"/>
      <c r="CC603" s="72"/>
      <c r="CD603" s="72"/>
      <c r="CE603" s="542"/>
      <c r="CF603" s="729"/>
      <c r="CG603" s="74"/>
      <c r="CH603" s="72"/>
      <c r="CI603" s="542"/>
      <c r="CJ603" s="729"/>
      <c r="CK603" s="74"/>
      <c r="CL603" s="72"/>
      <c r="CM603" s="542"/>
      <c r="CN603" s="729"/>
      <c r="CO603" s="74"/>
      <c r="CP603" s="72"/>
      <c r="CQ603" s="542"/>
      <c r="CR603" s="729"/>
      <c r="CS603" s="74"/>
      <c r="CT603" s="72"/>
      <c r="CU603" s="542"/>
      <c r="CV603" s="729"/>
      <c r="CW603" s="74"/>
      <c r="CX603" s="72"/>
      <c r="CY603" s="542"/>
      <c r="CZ603" s="729"/>
      <c r="DA603" s="74"/>
      <c r="DB603" s="72"/>
      <c r="DC603" s="542"/>
      <c r="DD603" s="729"/>
      <c r="DE603" s="74"/>
      <c r="DF603" s="72"/>
      <c r="DG603" s="542"/>
      <c r="DH603" s="729"/>
      <c r="DI603" s="729"/>
      <c r="DJ603" s="729"/>
      <c r="DK603" s="542"/>
      <c r="DL603" s="729"/>
      <c r="DM603" s="729"/>
      <c r="DN603" s="729"/>
      <c r="DO603" s="542"/>
      <c r="DP603" s="729"/>
      <c r="DQ603" s="729"/>
      <c r="DR603" s="729"/>
      <c r="DS603" s="542"/>
      <c r="DT603" s="542"/>
      <c r="DU603" s="542"/>
      <c r="DV603" s="542"/>
      <c r="DW603" s="20"/>
      <c r="DX603" s="20"/>
    </row>
    <row r="604" spans="1:128" s="21" customFormat="1" ht="13.8">
      <c r="B604" s="27"/>
      <c r="BH604" s="72"/>
      <c r="BI604" s="72"/>
      <c r="BJ604" s="72"/>
      <c r="BK604" s="27"/>
      <c r="BL604" s="72"/>
      <c r="BM604" s="72"/>
      <c r="BN604" s="72"/>
      <c r="BO604" s="27"/>
      <c r="BP604" s="72"/>
      <c r="BQ604" s="72"/>
      <c r="BR604" s="72"/>
      <c r="BS604" s="75"/>
      <c r="BT604" s="72"/>
      <c r="BU604" s="72"/>
      <c r="BV604" s="72"/>
      <c r="BW604" s="75"/>
      <c r="BX604" s="72"/>
      <c r="BY604" s="72"/>
      <c r="BZ604" s="72"/>
      <c r="CA604" s="722"/>
      <c r="CB604" s="72"/>
      <c r="CC604" s="72"/>
      <c r="CD604" s="72"/>
      <c r="CE604" s="542"/>
      <c r="CF604" s="708"/>
      <c r="CG604" s="72"/>
      <c r="CH604" s="72"/>
      <c r="CI604" s="542"/>
      <c r="CJ604" s="708"/>
      <c r="CK604" s="72"/>
      <c r="CL604" s="72"/>
      <c r="CM604" s="542"/>
      <c r="CN604" s="708"/>
      <c r="CO604" s="72"/>
      <c r="CP604" s="72"/>
      <c r="CQ604" s="542"/>
      <c r="CR604" s="729"/>
      <c r="CS604" s="72"/>
      <c r="CT604" s="72"/>
      <c r="CU604" s="542"/>
      <c r="CV604" s="729"/>
      <c r="CW604" s="72"/>
      <c r="CX604" s="72"/>
      <c r="CY604" s="542"/>
      <c r="CZ604" s="729"/>
      <c r="DA604" s="72"/>
      <c r="DB604" s="72"/>
      <c r="DC604" s="542"/>
      <c r="DD604" s="729"/>
      <c r="DE604" s="72"/>
      <c r="DF604" s="72"/>
      <c r="DG604" s="1261"/>
      <c r="DH604" s="1260"/>
      <c r="DI604" s="1260"/>
      <c r="DJ604" s="999"/>
      <c r="DK604" s="542"/>
      <c r="DL604" s="1260"/>
      <c r="DM604" s="1260"/>
      <c r="DN604" s="999"/>
      <c r="DO604" s="542"/>
      <c r="DP604" s="1260"/>
      <c r="DQ604" s="1260"/>
      <c r="DR604" s="999"/>
      <c r="DS604" s="542"/>
      <c r="DT604" s="542"/>
      <c r="DU604" s="542"/>
      <c r="DV604" s="542"/>
      <c r="DW604" s="20"/>
      <c r="DX604" s="20"/>
    </row>
    <row r="605" spans="1:128" s="20" customFormat="1" ht="13.8">
      <c r="A605" s="20" t="s">
        <v>598</v>
      </c>
      <c r="B605" s="49"/>
      <c r="BH605" s="65">
        <f>BH463</f>
        <v>556264</v>
      </c>
      <c r="BI605" s="65">
        <f>BI463</f>
        <v>595998</v>
      </c>
      <c r="BJ605" s="65">
        <f>BJ463</f>
        <v>575339</v>
      </c>
      <c r="BK605" s="49"/>
      <c r="BL605" s="65">
        <f>BL463</f>
        <v>632400</v>
      </c>
      <c r="BM605" s="65">
        <f>BM463</f>
        <v>661515</v>
      </c>
      <c r="BN605" s="65">
        <f>BN463</f>
        <v>646997</v>
      </c>
      <c r="BO605" s="49"/>
      <c r="BP605" s="65">
        <f>BP463</f>
        <v>702203</v>
      </c>
      <c r="BQ605" s="65">
        <f>BQ463</f>
        <v>731739</v>
      </c>
      <c r="BR605" s="65">
        <f>BR463</f>
        <v>716971</v>
      </c>
      <c r="BT605" s="65">
        <f>BT463</f>
        <v>731395</v>
      </c>
      <c r="BU605" s="65">
        <f>BU463</f>
        <v>730275</v>
      </c>
      <c r="BV605" s="65">
        <f>BV463</f>
        <v>730835</v>
      </c>
      <c r="BX605" s="65">
        <f>BX463</f>
        <v>743906</v>
      </c>
      <c r="BY605" s="65">
        <f>BY463</f>
        <v>752073</v>
      </c>
      <c r="BZ605" s="65">
        <f>BZ463</f>
        <v>747989.5</v>
      </c>
      <c r="CB605" s="65">
        <f>CB463</f>
        <v>765186</v>
      </c>
      <c r="CC605" s="65">
        <f>CC463</f>
        <v>784501</v>
      </c>
      <c r="CD605" s="65">
        <f>CD463</f>
        <v>774884</v>
      </c>
      <c r="CE605" s="75">
        <f>CD605/BZ605-1</f>
        <v>3.5955718629740119E-2</v>
      </c>
      <c r="CF605" s="65">
        <f>CF463</f>
        <v>811528</v>
      </c>
      <c r="CG605" s="65">
        <f>CG463</f>
        <v>814831</v>
      </c>
      <c r="CH605" s="65">
        <f>CH463</f>
        <v>813219</v>
      </c>
      <c r="CI605" s="75">
        <f>CH605/CD605-1</f>
        <v>4.9471920958491955E-2</v>
      </c>
      <c r="CJ605" s="65">
        <f>CJ463</f>
        <v>856651</v>
      </c>
      <c r="CK605" s="65">
        <f>CK463</f>
        <v>869110</v>
      </c>
      <c r="CL605" s="65">
        <f>CL463</f>
        <v>862882</v>
      </c>
      <c r="CM605" s="75">
        <f>CL605/CH605-1</f>
        <v>6.1069650364784955E-2</v>
      </c>
      <c r="CN605" s="65">
        <f>CN463</f>
        <v>857524</v>
      </c>
      <c r="CO605" s="65">
        <f>CO463</f>
        <v>869825</v>
      </c>
      <c r="CP605" s="65">
        <f>CP463</f>
        <v>863691</v>
      </c>
      <c r="CQ605" s="75">
        <f>CP605/CL605-1</f>
        <v>9.3755577239984511E-4</v>
      </c>
      <c r="CR605" s="65">
        <f>CR463</f>
        <v>899678</v>
      </c>
      <c r="CS605" s="65">
        <f>CS463</f>
        <v>920340</v>
      </c>
      <c r="CT605" s="65">
        <f>CT463</f>
        <v>910037</v>
      </c>
      <c r="CU605" s="75">
        <f>CT605/CP605-1</f>
        <v>5.3660394747658602E-2</v>
      </c>
      <c r="CV605" s="65">
        <f>CV463</f>
        <v>972972</v>
      </c>
      <c r="CW605" s="65">
        <f>CW463</f>
        <v>977175</v>
      </c>
      <c r="CX605" s="65">
        <f>CX463</f>
        <v>975079</v>
      </c>
      <c r="CY605" s="75">
        <f>CX605/CT605-1</f>
        <v>7.1471819277677762E-2</v>
      </c>
      <c r="CZ605" s="65">
        <f>CZ463</f>
        <v>1015621</v>
      </c>
      <c r="DA605" s="65">
        <f>DA463</f>
        <v>1031611</v>
      </c>
      <c r="DB605" s="65">
        <f>DB463</f>
        <v>1023616</v>
      </c>
      <c r="DC605" s="75">
        <f>DB605/CX605-1</f>
        <v>4.9777505207270423E-2</v>
      </c>
      <c r="DD605" s="65">
        <f>DD463</f>
        <v>1142128</v>
      </c>
      <c r="DE605" s="65">
        <f>DE463</f>
        <v>1177153</v>
      </c>
      <c r="DF605" s="65">
        <f>DF463</f>
        <v>1159688</v>
      </c>
      <c r="DG605" s="75">
        <f>DF605/DB605-1</f>
        <v>0.1329326622483431</v>
      </c>
      <c r="DH605" s="65">
        <f>DH463</f>
        <v>1187989.313976804</v>
      </c>
      <c r="DI605" s="65">
        <f>DI463</f>
        <v>1205080.8315287463</v>
      </c>
      <c r="DJ605" s="65">
        <f>DJ463</f>
        <v>1196535.0727527752</v>
      </c>
      <c r="DK605" s="75">
        <f>DJ605/DF605-1</f>
        <v>3.1773263802656437E-2</v>
      </c>
      <c r="DL605" s="65">
        <f>DL463</f>
        <v>1231590.2680448708</v>
      </c>
      <c r="DM605" s="65">
        <f>DM463</f>
        <v>1260257.3178819334</v>
      </c>
      <c r="DN605" s="65">
        <f>DN463</f>
        <v>1245923.7929634021</v>
      </c>
      <c r="DO605" s="75">
        <f>DN605/DJ605-1</f>
        <v>4.1276450089341887E-2</v>
      </c>
      <c r="DP605" s="65">
        <f>DP463</f>
        <v>1288197.4090579669</v>
      </c>
      <c r="DQ605" s="65">
        <f>DQ463</f>
        <v>1315132.4538846847</v>
      </c>
      <c r="DR605" s="65">
        <f>DR463</f>
        <v>1301664.9314713259</v>
      </c>
      <c r="DS605" s="75">
        <f>DR605/DN605-1</f>
        <v>4.4738802503598407E-2</v>
      </c>
      <c r="DT605" s="75"/>
      <c r="DU605" s="75"/>
    </row>
    <row r="606" spans="1:128" s="21" customFormat="1" ht="13.8">
      <c r="A606" s="21" t="s">
        <v>340</v>
      </c>
      <c r="B606" s="27"/>
      <c r="BH606" s="74">
        <f>+BH598*(BH$4/BH$3)/BH605</f>
        <v>2.2482604907496685E-2</v>
      </c>
      <c r="BI606" s="74">
        <f>+BI598*(BI$4/BI$3)/BI605</f>
        <v>2.1873033387705101E-2</v>
      </c>
      <c r="BJ606" s="74">
        <f>+BJ598*(BJ$4/BJ$3)/BJ605</f>
        <v>2.2199086104018675E-2</v>
      </c>
      <c r="BK606" s="27"/>
      <c r="BL606" s="74">
        <f>+BL598*(BL$4/BL$3)/BL605</f>
        <v>2.1450292275719221E-2</v>
      </c>
      <c r="BM606" s="74">
        <f>+BM598*(BM$4/BM$3)/BM605</f>
        <v>2.12052157638314E-2</v>
      </c>
      <c r="BN606" s="74">
        <f>+BN598*(BN$4/BN$3)/BN605</f>
        <v>2.1324673839291371E-2</v>
      </c>
      <c r="BO606" s="27"/>
      <c r="BP606" s="74">
        <f>+BP598*(BP$4/BP$3)/BP605</f>
        <v>2.0386155827046851E-2</v>
      </c>
      <c r="BQ606" s="74">
        <f>+BQ598*(BQ$4/BQ$3)/BQ605</f>
        <v>2.0383137446578433E-2</v>
      </c>
      <c r="BR606" s="74">
        <f>+BR598*(BR$4/BR$3)/BR605</f>
        <v>2.0385761767212341E-2</v>
      </c>
      <c r="BT606" s="74">
        <f>+BT598*(BT$4/BT$3)/BT605</f>
        <v>2.0694699854387849E-2</v>
      </c>
      <c r="BU606" s="74">
        <f>+BU598*(BU$4/BU$3)/BU605</f>
        <v>2.0614152202937251E-2</v>
      </c>
      <c r="BV606" s="74">
        <f>+BV598*(BV$4/BV$3)/BV605</f>
        <v>2.0654456888353732E-2</v>
      </c>
      <c r="BX606" s="74">
        <f>+BX598*(BX$4/BX$3)/BX605</f>
        <v>2.0000865346245005E-2</v>
      </c>
      <c r="BY606" s="74">
        <f>+BY598*(BY$4/BY$3)/BY605</f>
        <v>1.9773687967259951E-2</v>
      </c>
      <c r="BZ606" s="74">
        <f>+BZ598*(BZ$4/BZ$3)/BZ605</f>
        <v>1.9886642793782532E-2</v>
      </c>
      <c r="CB606" s="74">
        <f>+CB598*(CB$4/CB$3)/CB605</f>
        <v>1.9263792875699001E-2</v>
      </c>
      <c r="CC606" s="74">
        <f>+CC598*(CC$4/CC$3)/CC605</f>
        <v>1.8213937852235237E-2</v>
      </c>
      <c r="CD606" s="74">
        <f>+CD598*(CD$4/CD$3)/CD605</f>
        <v>1.8730545475193705E-2</v>
      </c>
      <c r="CF606" s="74">
        <f>+CF598*(CF$4/CF$3)/CF605</f>
        <v>1.8037707134694547E-2</v>
      </c>
      <c r="CG606" s="74">
        <f>+CG598*(CG$4/CG$3)/CG605</f>
        <v>1.7232444586232985E-2</v>
      </c>
      <c r="CH606" s="74">
        <f>+CH598*(CH$4/CH$3)/CH605</f>
        <v>1.763239668527174E-2</v>
      </c>
      <c r="CJ606" s="74">
        <f>+CJ598*(CJ$4/CJ$3)/CJ605</f>
        <v>1.6861008742183221E-2</v>
      </c>
      <c r="CK606" s="74">
        <f>+CK598*(CK$4/CK$3)/CK605</f>
        <v>1.5710324354799736E-2</v>
      </c>
      <c r="CL606" s="74">
        <f>+CL598*(CL$4/CL$3)/CL605</f>
        <v>1.6281484606238166E-2</v>
      </c>
      <c r="CN606" s="74">
        <f>+CN598*(CN$4/CN$3)/CN605</f>
        <v>1.6338183672275779E-2</v>
      </c>
      <c r="CO606" s="74">
        <f>+CO598*(CO$4/CO$3)/CO605</f>
        <v>1.6452496019000118E-2</v>
      </c>
      <c r="CP606" s="74">
        <f>+CP598*(CP$4/CP$3)/CP605</f>
        <v>1.639591011137085E-2</v>
      </c>
      <c r="CR606" s="74">
        <f>+CR598*(CR$4/CR$3)/CR605</f>
        <v>1.5826785793373838E-2</v>
      </c>
      <c r="CS606" s="74">
        <f>+CS598*(CS$4/CS$3)/CS605</f>
        <v>1.684759885008047E-2</v>
      </c>
      <c r="CT606" s="74">
        <f>+CT598*(CT$4/CT$3)/CT605</f>
        <v>1.6344390392918091E-2</v>
      </c>
      <c r="CV606" s="74">
        <f>+CV598*(CV$4/CV$3)/CV605</f>
        <v>1.7520240352963186E-2</v>
      </c>
      <c r="CW606" s="74">
        <f>+CW598*(CW$4/CW$3)/CW605</f>
        <v>1.6480036617208548E-2</v>
      </c>
      <c r="CX606" s="74">
        <f>+CX598*(CX$4/CX$3)/CX605</f>
        <v>1.6997597117771997E-2</v>
      </c>
      <c r="CZ606" s="74">
        <f>+CZ598*(CZ$4/CZ$3)/CZ605</f>
        <v>1.5555015108982584E-2</v>
      </c>
      <c r="DA606" s="74">
        <f>+DA598*(DA$4/DA$3)/DA605</f>
        <v>1.5839303768571681E-2</v>
      </c>
      <c r="DB606" s="74">
        <f>+DB598*(DB$4/DB$3)/DB605</f>
        <v>1.5698269663623858E-2</v>
      </c>
      <c r="DD606" s="74">
        <f>+DD598*(DD$4/DD$3)/DD605</f>
        <v>1.5573325204557431E-2</v>
      </c>
      <c r="DE606" s="74">
        <f>+DE598*(DE$4/DE$3)/DE605</f>
        <v>1.5405233593161392E-2</v>
      </c>
      <c r="DF606" s="74">
        <f>+DF598*(DF$4/DF$3)/DF605</f>
        <v>1.5487786370127137E-2</v>
      </c>
      <c r="DH606" s="74">
        <f ca="1">+DH598*(DH$4/DH$3)/DH605</f>
        <v>1.5505620153278325E-2</v>
      </c>
      <c r="DI606" s="74">
        <f ca="1">+DI598*(DI$4/DI$3)/DI605</f>
        <v>1.5402126729704651E-2</v>
      </c>
      <c r="DJ606" s="74">
        <f ca="1">+DJ598*(DJ$4/DJ$3)/DJ605</f>
        <v>1.5453664481681915E-2</v>
      </c>
      <c r="DL606" s="74">
        <f ca="1">+DL598*(DL$4/DL$3)/DL605</f>
        <v>1.5401257316406632E-2</v>
      </c>
      <c r="DM606" s="74">
        <f ca="1">+DM598*(DM$4/DM$3)/DM605</f>
        <v>1.5299367500580533E-2</v>
      </c>
      <c r="DN606" s="74">
        <f ca="1">+DN598*(DN$4/DN$3)/DN605</f>
        <v>1.5350070568405903E-2</v>
      </c>
      <c r="DP606" s="74">
        <f ca="1">+DP598*(DP$4/DP$3)/DP605</f>
        <v>1.5300910920006683E-2</v>
      </c>
      <c r="DQ606" s="74">
        <f ca="1">+DQ598*(DQ$4/DQ$3)/DQ605</f>
        <v>1.5297730426780278E-2</v>
      </c>
      <c r="DR606" s="74">
        <f ca="1">+DR598*(DR$4/DR$3)/DR605</f>
        <v>1.5299304220094795E-2</v>
      </c>
      <c r="DW606" s="20"/>
      <c r="DX606" s="20"/>
    </row>
    <row r="607" spans="1:128" s="362" customFormat="1" ht="13.8">
      <c r="A607" s="1065" t="s">
        <v>78</v>
      </c>
      <c r="B607" s="1066" t="s">
        <v>556</v>
      </c>
      <c r="C607" s="1065"/>
      <c r="D607" s="1065"/>
      <c r="E607" s="1065"/>
      <c r="F607" s="1065"/>
      <c r="G607" s="1065"/>
      <c r="H607" s="1065"/>
      <c r="I607" s="1065"/>
      <c r="J607" s="1065"/>
      <c r="K607" s="1065"/>
      <c r="L607" s="1065"/>
      <c r="M607" s="1065"/>
      <c r="N607" s="1065"/>
      <c r="O607" s="1065"/>
      <c r="P607" s="1065"/>
      <c r="Q607" s="1065"/>
      <c r="R607" s="1065"/>
      <c r="S607" s="1065"/>
      <c r="T607" s="1065"/>
      <c r="U607" s="1065"/>
      <c r="V607" s="1065"/>
      <c r="W607" s="1065"/>
      <c r="X607" s="1065"/>
      <c r="Y607" s="1065"/>
      <c r="Z607" s="1065"/>
      <c r="AA607" s="1065"/>
      <c r="AB607" s="1065"/>
      <c r="AC607" s="1065"/>
      <c r="AD607" s="1065"/>
      <c r="AE607" s="1065"/>
      <c r="AF607" s="1065"/>
      <c r="AG607" s="1065"/>
      <c r="AH607" s="1065"/>
      <c r="AI607" s="1065"/>
      <c r="AJ607" s="1065"/>
      <c r="AK607" s="1065"/>
      <c r="AL607" s="1065"/>
      <c r="AM607" s="1065"/>
      <c r="AN607" s="1065"/>
      <c r="AO607" s="1065"/>
      <c r="AP607" s="1065"/>
      <c r="AQ607" s="1065"/>
      <c r="AR607" s="1065"/>
      <c r="AS607" s="1065"/>
      <c r="AT607" s="1065"/>
      <c r="AU607" s="1065"/>
      <c r="AV607" s="1065"/>
      <c r="AW607" s="1065"/>
      <c r="AX607" s="1065"/>
      <c r="AY607" s="1065"/>
      <c r="AZ607" s="1065"/>
      <c r="BA607" s="1065"/>
      <c r="BB607" s="1065"/>
      <c r="BC607" s="1065"/>
      <c r="BD607" s="1065"/>
      <c r="BE607" s="1065"/>
      <c r="BF607" s="1065"/>
      <c r="BG607" s="1065"/>
      <c r="BH607" s="1067"/>
      <c r="BI607" s="1068">
        <f>+BI606-BH606</f>
        <v>-6.095715197915845E-4</v>
      </c>
      <c r="BJ607" s="1066"/>
      <c r="BK607" s="1066"/>
      <c r="BL607" s="1068">
        <f>+BL606-BI606</f>
        <v>-4.2274111198587969E-4</v>
      </c>
      <c r="BM607" s="1068">
        <f>+BM606-BL606</f>
        <v>-2.4507651188782065E-4</v>
      </c>
      <c r="BN607" s="1066"/>
      <c r="BO607" s="1066"/>
      <c r="BP607" s="1068">
        <f>+BP606-BM606</f>
        <v>-8.1905993678454969E-4</v>
      </c>
      <c r="BQ607" s="1068">
        <f>+BQ606-BP606</f>
        <v>-3.018380468417653E-6</v>
      </c>
      <c r="BR607" s="1066"/>
      <c r="BS607" s="1065"/>
      <c r="BT607" s="1068">
        <f>+BT606-BQ606</f>
        <v>3.1156240780941605E-4</v>
      </c>
      <c r="BU607" s="1068">
        <f>+BU606-BT606</f>
        <v>-8.0547651450598584E-5</v>
      </c>
      <c r="BV607" s="1066"/>
      <c r="BW607" s="1065"/>
      <c r="BX607" s="1068">
        <f>+BX606-BU606</f>
        <v>-6.13286856692246E-4</v>
      </c>
      <c r="BY607" s="1068">
        <f>+BY606-BX606</f>
        <v>-2.2717737898505369E-4</v>
      </c>
      <c r="BZ607" s="1066"/>
      <c r="CA607" s="1065"/>
      <c r="CB607" s="1068">
        <f>+CB606-BY606</f>
        <v>-5.0989509156094959E-4</v>
      </c>
      <c r="CC607" s="1068">
        <f>+CC606-CB606</f>
        <v>-1.0498550234637645E-3</v>
      </c>
      <c r="CD607" s="1066"/>
      <c r="CE607" s="1065"/>
      <c r="CF607" s="1068">
        <f>+CF606-CC606</f>
        <v>-1.762307175406895E-4</v>
      </c>
      <c r="CG607" s="1068">
        <f>+CG606-CF606</f>
        <v>-8.0526254846156192E-4</v>
      </c>
      <c r="CH607" s="1066"/>
      <c r="CI607" s="1065"/>
      <c r="CJ607" s="1068">
        <f>+CJ606-CG606</f>
        <v>-3.7143584404976393E-4</v>
      </c>
      <c r="CK607" s="1068">
        <f>+CK606-CJ606</f>
        <v>-1.1506843873834854E-3</v>
      </c>
      <c r="CL607" s="1066"/>
      <c r="CM607" s="1065"/>
      <c r="CN607" s="1068">
        <f>+CN606-CK606</f>
        <v>6.2785931747604343E-4</v>
      </c>
      <c r="CO607" s="1068">
        <f>+CO606-CN606</f>
        <v>1.1431234672433857E-4</v>
      </c>
      <c r="CP607" s="1066"/>
      <c r="CQ607" s="1065"/>
      <c r="CR607" s="1068">
        <f>+CR606-CO606</f>
        <v>-6.2571022562627962E-4</v>
      </c>
      <c r="CS607" s="1068">
        <f>+CS606-CR606</f>
        <v>1.0208130567066313E-3</v>
      </c>
      <c r="CT607" s="1066"/>
      <c r="CU607" s="1065"/>
      <c r="CV607" s="1068">
        <f>+CV606-CS606</f>
        <v>6.7264150288271624E-4</v>
      </c>
      <c r="CW607" s="1068">
        <f>+CW606-CV606</f>
        <v>-1.0402037357546377E-3</v>
      </c>
      <c r="CX607" s="1066"/>
      <c r="CY607" s="1065"/>
      <c r="CZ607" s="1068">
        <f>+CZ606-CW606</f>
        <v>-9.2502150822596461E-4</v>
      </c>
      <c r="DA607" s="1068">
        <f>+DA606-CZ606</f>
        <v>2.8428865958909748E-4</v>
      </c>
      <c r="DB607" s="1066"/>
      <c r="DC607" s="1065"/>
      <c r="DD607" s="1068">
        <f>+DD606-DA606</f>
        <v>-2.6597856401425028E-4</v>
      </c>
      <c r="DE607" s="1068">
        <f>+DE606-DD606</f>
        <v>-1.6809161139603838E-4</v>
      </c>
      <c r="DF607" s="1066"/>
      <c r="DG607" s="1065"/>
      <c r="DH607" s="1068">
        <f ca="1">+DH606-DE606</f>
        <v>1.0038656011693292E-4</v>
      </c>
      <c r="DI607" s="1068">
        <f ca="1">+DI606-DH606</f>
        <v>-1.0349342357367404E-4</v>
      </c>
      <c r="DJ607" s="1066"/>
      <c r="DK607" s="1065"/>
      <c r="DL607" s="1068">
        <f ca="1">+DL606-DI606</f>
        <v>-8.6941329801963618E-7</v>
      </c>
      <c r="DM607" s="1068">
        <f ca="1">+DM606-DL606</f>
        <v>-1.0188981582609849E-4</v>
      </c>
      <c r="DN607" s="1066"/>
      <c r="DO607" s="1065"/>
      <c r="DP607" s="1068">
        <f ca="1">+DP606-DM606</f>
        <v>1.5434194261497447E-6</v>
      </c>
      <c r="DQ607" s="1068">
        <f ca="1">+DQ606-DP606</f>
        <v>-3.1804932264043601E-6</v>
      </c>
      <c r="DR607" s="1066"/>
      <c r="DS607" s="1065"/>
      <c r="DT607" s="1065"/>
      <c r="DU607" s="1065"/>
      <c r="DV607" s="1065"/>
      <c r="DW607" s="20"/>
      <c r="DX607" s="347"/>
    </row>
    <row r="608" spans="1:128" s="47" customFormat="1" ht="13.8">
      <c r="A608" s="47" t="s">
        <v>79</v>
      </c>
      <c r="B608" s="92"/>
      <c r="BH608" s="92"/>
      <c r="BI608" s="92"/>
      <c r="BJ608" s="92"/>
      <c r="BK608" s="92"/>
      <c r="BL608" s="76">
        <f>+BL606-BH606</f>
        <v>-1.0323126317774642E-3</v>
      </c>
      <c r="BM608" s="92"/>
      <c r="BN608" s="92"/>
      <c r="BO608" s="92"/>
      <c r="BP608" s="76">
        <f>+BP606-BL606</f>
        <v>-1.0641364486723703E-3</v>
      </c>
      <c r="BQ608" s="76">
        <f>+BQ606-BM606</f>
        <v>-8.2207831725296734E-4</v>
      </c>
      <c r="BR608" s="76">
        <f>+BR606-BN606</f>
        <v>-9.3891207207903032E-4</v>
      </c>
      <c r="BT608" s="76">
        <f>+BT606-BP606</f>
        <v>3.0854402734099839E-4</v>
      </c>
      <c r="BU608" s="76">
        <f>+BU606-BQ606</f>
        <v>2.3101475635881746E-4</v>
      </c>
      <c r="BV608" s="76">
        <f>+BV606-BR606</f>
        <v>2.6869512114139141E-4</v>
      </c>
      <c r="BX608" s="76">
        <f>+BX606-BT606</f>
        <v>-6.9383450814284459E-4</v>
      </c>
      <c r="BY608" s="76">
        <f>+BY606-BU606</f>
        <v>-8.4046423567729969E-4</v>
      </c>
      <c r="BZ608" s="76">
        <f>+BZ606-BV606</f>
        <v>-7.6781409457120017E-4</v>
      </c>
      <c r="CB608" s="76">
        <f>+CB606-BX606</f>
        <v>-7.3707247054600328E-4</v>
      </c>
      <c r="CC608" s="76">
        <f>+CC606-BY606</f>
        <v>-1.5597501150247141E-3</v>
      </c>
      <c r="CD608" s="76">
        <f>+CD606-BZ606</f>
        <v>-1.1560973185888272E-3</v>
      </c>
      <c r="CF608" s="76">
        <f>+CF606-CB606</f>
        <v>-1.226085741004454E-3</v>
      </c>
      <c r="CG608" s="76">
        <f>+CG606-CC606</f>
        <v>-9.8149326600225142E-4</v>
      </c>
      <c r="CH608" s="76">
        <f>+CH606-CD606</f>
        <v>-1.0981487899219648E-3</v>
      </c>
      <c r="CJ608" s="76">
        <f>+CJ606-CF606</f>
        <v>-1.1766983925113259E-3</v>
      </c>
      <c r="CK608" s="76">
        <f>+CK606-CG606</f>
        <v>-1.5221202314332494E-3</v>
      </c>
      <c r="CL608" s="76">
        <f>+CL606-CH606</f>
        <v>-1.3509120790335741E-3</v>
      </c>
      <c r="CN608" s="76">
        <f>+CN606-CJ606</f>
        <v>-5.2282506990744201E-4</v>
      </c>
      <c r="CO608" s="76">
        <f>+CO606-CK606</f>
        <v>7.42171664200382E-4</v>
      </c>
      <c r="CP608" s="76">
        <f>+CP606-CL606</f>
        <v>1.1442550513268354E-4</v>
      </c>
      <c r="CR608" s="76">
        <f>+CR606-CN606</f>
        <v>-5.1139787890194105E-4</v>
      </c>
      <c r="CS608" s="76">
        <f>+CS606-CO606</f>
        <v>3.9510283108035171E-4</v>
      </c>
      <c r="CT608" s="76">
        <f>+CT606-CP606</f>
        <v>-5.1519718452758961E-5</v>
      </c>
      <c r="CV608" s="76">
        <f>+CV606-CR606</f>
        <v>1.6934545595893476E-3</v>
      </c>
      <c r="CW608" s="76">
        <f>+CW606-CS606</f>
        <v>-3.675622328719215E-4</v>
      </c>
      <c r="CX608" s="76">
        <f>+CX606-CT606</f>
        <v>6.5320672485390599E-4</v>
      </c>
      <c r="CZ608" s="76">
        <f>+CZ606-CV606</f>
        <v>-1.9652252439806023E-3</v>
      </c>
      <c r="DA608" s="76">
        <f>+DA606-CW606</f>
        <v>-6.4073284863686714E-4</v>
      </c>
      <c r="DB608" s="76">
        <f>+DB606-CX606</f>
        <v>-1.2993274541481387E-3</v>
      </c>
      <c r="DD608" s="76">
        <f>+DD606-CZ606</f>
        <v>1.8310095574847196E-5</v>
      </c>
      <c r="DE608" s="76">
        <f>+DE606-DA606</f>
        <v>-4.3407017541028867E-4</v>
      </c>
      <c r="DF608" s="76">
        <f>+DF606-DB606</f>
        <v>-2.1048329349672087E-4</v>
      </c>
      <c r="DH608" s="76">
        <f ca="1">+DH606-DD606</f>
        <v>-6.7705051279105463E-5</v>
      </c>
      <c r="DI608" s="76">
        <f ca="1">+DI606-DE606</f>
        <v>-3.1068634567411185E-6</v>
      </c>
      <c r="DJ608" s="76">
        <f ca="1">+DJ606-DF606</f>
        <v>-3.412188844522171E-5</v>
      </c>
      <c r="DL608" s="76">
        <f ca="1">+DL606-DH606</f>
        <v>-1.0436283687169368E-4</v>
      </c>
      <c r="DM608" s="76">
        <f ca="1">+DM606-DI606</f>
        <v>-1.0275922912411813E-4</v>
      </c>
      <c r="DN608" s="76">
        <f ca="1">+DN606-DJ606</f>
        <v>-1.0359391327601289E-4</v>
      </c>
      <c r="DP608" s="76">
        <f ca="1">+DP606-DL606</f>
        <v>-1.0034639639994875E-4</v>
      </c>
      <c r="DQ608" s="76">
        <f ca="1">+DQ606-DM606</f>
        <v>-1.6370738002546154E-6</v>
      </c>
      <c r="DR608" s="76">
        <f ca="1">+DR606-DN606</f>
        <v>-5.0766348311108087E-5</v>
      </c>
      <c r="DW608" s="20"/>
      <c r="DX608" s="20"/>
    </row>
    <row r="609" spans="1:128" s="540" customFormat="1" ht="13.8">
      <c r="A609" s="540" t="s">
        <v>871</v>
      </c>
      <c r="B609" s="715"/>
      <c r="BH609" s="715"/>
      <c r="BI609" s="715"/>
      <c r="BJ609" s="715"/>
      <c r="BK609" s="715"/>
      <c r="BL609" s="543">
        <f>((BL598-BL597)*(BL$4/BL$3))/BL605</f>
        <v>2.1450292275719221E-2</v>
      </c>
      <c r="BM609" s="543">
        <f>((BM598-BM597)*(BM$4/BM$3))/BM605</f>
        <v>2.12052157638314E-2</v>
      </c>
      <c r="BN609" s="543">
        <f>((BN598-BN597)*(BN$4/BN$3))/BN605</f>
        <v>2.1324673839291371E-2</v>
      </c>
      <c r="BO609" s="715"/>
      <c r="BP609" s="543">
        <f>((BP598-BP597)*(BP$4/BP$3))/BP605</f>
        <v>2.0386155827046851E-2</v>
      </c>
      <c r="BQ609" s="543">
        <f>((BQ598-BQ597)*(BQ$4/BQ$3))/BQ605</f>
        <v>2.0383137446578433E-2</v>
      </c>
      <c r="BR609" s="543">
        <f>((BR598-BR597)*(BR$4/BR$3))/BR605</f>
        <v>2.0385761767212341E-2</v>
      </c>
      <c r="BT609" s="543">
        <f>((BT598-BT597)*(BT$4/BT$3))/BT605</f>
        <v>2.0694699854387849E-2</v>
      </c>
      <c r="BU609" s="543">
        <f>((BU598-BU597)*(BU$4/BU$3))/BU605</f>
        <v>2.0614152202937251E-2</v>
      </c>
      <c r="BV609" s="543">
        <f>((BV598-BV597)*(BV$4/BV$3))/BV605</f>
        <v>2.0654456888353732E-2</v>
      </c>
      <c r="BX609" s="543">
        <f>((BX598-BX597)*(BX$4/BX$3))/BX605</f>
        <v>2.0000865346245005E-2</v>
      </c>
      <c r="BY609" s="543">
        <f>((BY598-BY597)*(BY$4/BY$3))/BY605</f>
        <v>2.0001764303792188E-2</v>
      </c>
      <c r="BZ609" s="543">
        <f>((BZ598-BZ597)*(BZ$4/BZ$3))/BZ605</f>
        <v>2.0001617669766755E-2</v>
      </c>
      <c r="CB609" s="543">
        <f>((CB598-CB597)*(CB$4/CB$3))/CB605</f>
        <v>1.9727696459236242E-2</v>
      </c>
      <c r="CC609" s="543">
        <f>((CC598-CC597)*(CC$4/CC$3))/CC605</f>
        <v>1.8666489630250013E-2</v>
      </c>
      <c r="CD609" s="543">
        <f>((CD598-CD597)*(CD$4/CD$3))/CD605</f>
        <v>1.9188678563501118E-2</v>
      </c>
      <c r="CF609" s="543">
        <f>((CF598-CF597)*(CF$4/CF$3))/CF605</f>
        <v>1.8477590936581877E-2</v>
      </c>
      <c r="CG609" s="543">
        <f>((CG598-CG597)*(CG$4/CG$3))/CG605</f>
        <v>1.7685285814706436E-2</v>
      </c>
      <c r="CH609" s="543">
        <f>((CH598-CH597)*(CH$4/CH$3))/CH605</f>
        <v>1.8078770909189284E-2</v>
      </c>
      <c r="CJ609" s="543">
        <f>((CJ598-CJ597)*(CJ$4/CJ$3))/CJ605</f>
        <v>1.7318604659306999E-2</v>
      </c>
      <c r="CK609" s="543">
        <f>((CK598-CK597)*(CK$4/CK$3))/CK605</f>
        <v>1.6193577337736305E-2</v>
      </c>
      <c r="CL609" s="543">
        <f>((CL598-CL597)*(CL$4/CL$3))/CL605</f>
        <v>1.675200085295556E-2</v>
      </c>
      <c r="CN609" s="543">
        <f>((CN598-CN597)*(CN$4/CN$3))/CN605</f>
        <v>1.6780198661405486E-2</v>
      </c>
      <c r="CO609" s="543">
        <f>((CO598-CO597)*(CO$4/CO$3))/CO605</f>
        <v>1.6812501855234686E-2</v>
      </c>
      <c r="CP609" s="543">
        <f>((CP598-CP597)*(CP$4/CP$3))/CP605</f>
        <v>1.6796516346702699E-2</v>
      </c>
      <c r="CR609" s="543">
        <f>((CR598-CR597)*(CR$4/CR$3))/CR605</f>
        <v>1.6194591378712809E-2</v>
      </c>
      <c r="CS609" s="543">
        <f>((CS598-CS597)*(CS$4/CS$3))/CS605</f>
        <v>1.7226854033867978E-2</v>
      </c>
      <c r="CT609" s="543">
        <f>((CT598-CT597)*(CT$4/CT$3))/CT605</f>
        <v>1.6718001575760106E-2</v>
      </c>
      <c r="CV609" s="543">
        <f>((CV598-CV597)*(CV$4/CV$3))/CV605</f>
        <v>1.7880951183759489E-2</v>
      </c>
      <c r="CW609" s="543">
        <f>((CW598-CW597)*(CW$4/CW$3))/CW605</f>
        <v>1.6843356720981539E-2</v>
      </c>
      <c r="CX609" s="543">
        <f>((CX598-CX597)*(CX$4/CX$3))/CX605</f>
        <v>1.7359619066762796E-2</v>
      </c>
      <c r="CZ609" s="543">
        <f>((CZ598-CZ597)*(CZ$4/CZ$3))/CZ605</f>
        <v>1.5933108905782766E-2</v>
      </c>
      <c r="DA609" s="543">
        <f>((DA598-DA597)*(DA$4/DA$3))/DA605</f>
        <v>1.6221230677067228E-2</v>
      </c>
      <c r="DB609" s="543">
        <f>((DB598-DB597)*(DB$4/DB$3))/DB605</f>
        <v>1.6078294985619607E-2</v>
      </c>
      <c r="DD609" s="543">
        <f>((DD598-DD597)*(DD$4/DD$3))/DD605</f>
        <v>1.5959629358915605E-2</v>
      </c>
      <c r="DE609" s="543">
        <f>((DE598-DE597)*(DE$4/DE$3))/DE605</f>
        <v>1.5796633610761512E-2</v>
      </c>
      <c r="DF609" s="543">
        <f>((DF598-DF597)*(DF$4/DF$3))/DF605</f>
        <v>1.5876684073647396E-2</v>
      </c>
      <c r="DH609" s="553">
        <f>+DE609+DH610</f>
        <v>1.5896633610761511E-2</v>
      </c>
      <c r="DI609" s="553">
        <f>+DH609+DI610</f>
        <v>1.5796633610761512E-2</v>
      </c>
      <c r="DJ609" s="543">
        <f ca="1">((DJ598-DJ597)*(DJ$4/DJ$3))/DJ605</f>
        <v>1.5846449596914305E-2</v>
      </c>
      <c r="DL609" s="553">
        <f>+DI609+DL610</f>
        <v>1.5796633610761512E-2</v>
      </c>
      <c r="DM609" s="553">
        <f>+DL609+DM610</f>
        <v>1.5696633610761512E-2</v>
      </c>
      <c r="DN609" s="543">
        <f ca="1">((DN598-DN597)*(DN$4/DN$3))/DN605</f>
        <v>1.5746417721539563E-2</v>
      </c>
      <c r="DP609" s="553">
        <f>+DM609+DP610</f>
        <v>1.5696633610761512E-2</v>
      </c>
      <c r="DQ609" s="553">
        <f>+DP609+DQ610</f>
        <v>1.5696633610761512E-2</v>
      </c>
      <c r="DR609" s="543">
        <f ca="1">((DR598-DR597)*(DR$4/DR$3))/DR605</f>
        <v>1.5696633610761512E-2</v>
      </c>
    </row>
    <row r="610" spans="1:128" s="724" customFormat="1" ht="13.8">
      <c r="A610" s="724" t="s">
        <v>872</v>
      </c>
      <c r="B610" s="725" t="s">
        <v>556</v>
      </c>
      <c r="BH610" s="726"/>
      <c r="BI610" s="727"/>
      <c r="BJ610" s="725"/>
      <c r="BK610" s="725"/>
      <c r="BL610" s="727"/>
      <c r="BM610" s="727">
        <f>+BM609-BL609</f>
        <v>-2.4507651188782065E-4</v>
      </c>
      <c r="BN610" s="725"/>
      <c r="BO610" s="725"/>
      <c r="BP610" s="727">
        <f>+BP609-BM609</f>
        <v>-8.1905993678454969E-4</v>
      </c>
      <c r="BQ610" s="727">
        <f>+BQ609-BP609</f>
        <v>-3.018380468417653E-6</v>
      </c>
      <c r="BR610" s="725"/>
      <c r="BT610" s="727">
        <f>+BT609-BQ609</f>
        <v>3.1156240780941605E-4</v>
      </c>
      <c r="BU610" s="727">
        <f>+BU609-BT609</f>
        <v>-8.0547651450598584E-5</v>
      </c>
      <c r="BV610" s="725"/>
      <c r="BX610" s="727">
        <f>+BX609-BU609</f>
        <v>-6.13286856692246E-4</v>
      </c>
      <c r="BY610" s="727">
        <f>+BY609-BX609</f>
        <v>8.9895754718308241E-7</v>
      </c>
      <c r="BZ610" s="725"/>
      <c r="CA610" s="362"/>
      <c r="CB610" s="727">
        <f>+CB609-BY609</f>
        <v>-2.7406784455594538E-4</v>
      </c>
      <c r="CC610" s="727">
        <f>+CC609-CB609</f>
        <v>-1.0612068289862289E-3</v>
      </c>
      <c r="CD610" s="725"/>
      <c r="CE610" s="362"/>
      <c r="CF610" s="727">
        <f>+CF609-CC609</f>
        <v>-1.8889869366813666E-4</v>
      </c>
      <c r="CG610" s="727">
        <f>+CG609-CF609</f>
        <v>-7.9230512187544039E-4</v>
      </c>
      <c r="CH610" s="725"/>
      <c r="CI610" s="362"/>
      <c r="CJ610" s="727">
        <f>+CJ609-CG609</f>
        <v>-3.6668115539943702E-4</v>
      </c>
      <c r="CK610" s="727">
        <f>+CK609-CJ609</f>
        <v>-1.1250273215706943E-3</v>
      </c>
      <c r="CL610" s="725"/>
      <c r="CM610" s="362"/>
      <c r="CN610" s="727">
        <f>+CN609-CK609</f>
        <v>5.8662132366918071E-4</v>
      </c>
      <c r="CO610" s="727">
        <f>+CO609-CN609</f>
        <v>3.2303193829200105E-5</v>
      </c>
      <c r="CP610" s="725"/>
      <c r="CQ610" s="362"/>
      <c r="CR610" s="727">
        <f>+CR609-CO609</f>
        <v>-6.1791047652187681E-4</v>
      </c>
      <c r="CS610" s="727">
        <f>+CS609-CR609</f>
        <v>1.0322626551551688E-3</v>
      </c>
      <c r="CT610" s="725"/>
      <c r="CU610" s="362"/>
      <c r="CV610" s="727">
        <f>+CV609-CS609</f>
        <v>6.5409714989151171E-4</v>
      </c>
      <c r="CW610" s="727">
        <f>+CW609-CV609</f>
        <v>-1.0375944627779507E-3</v>
      </c>
      <c r="CX610" s="725"/>
      <c r="CY610" s="362"/>
      <c r="CZ610" s="727">
        <f>+CZ609-CW609</f>
        <v>-9.1024781519877251E-4</v>
      </c>
      <c r="DA610" s="727">
        <f>+DA609-CZ609</f>
        <v>2.881217712844622E-4</v>
      </c>
      <c r="DB610" s="725"/>
      <c r="DC610" s="362"/>
      <c r="DD610" s="727">
        <f>+DD609-DA609</f>
        <v>-2.616013181516233E-4</v>
      </c>
      <c r="DE610" s="727">
        <f>+DE609-DD609</f>
        <v>-1.6299574815409335E-4</v>
      </c>
      <c r="DF610" s="725"/>
      <c r="DG610" s="362"/>
      <c r="DH610" s="1715">
        <v>1E-4</v>
      </c>
      <c r="DI610" s="1715">
        <v>-1E-4</v>
      </c>
      <c r="DJ610" s="363"/>
      <c r="DK610" s="362"/>
      <c r="DL610" s="1715">
        <v>0</v>
      </c>
      <c r="DM610" s="1715">
        <v>-1E-4</v>
      </c>
      <c r="DN610" s="363"/>
      <c r="DO610" s="362"/>
      <c r="DP610" s="364">
        <v>0</v>
      </c>
      <c r="DQ610" s="364">
        <v>0</v>
      </c>
      <c r="DR610" s="363"/>
      <c r="DS610" s="362"/>
      <c r="DT610" s="362"/>
      <c r="DU610" s="362"/>
      <c r="DV610" s="362"/>
      <c r="DW610" s="364"/>
      <c r="DX610" s="728"/>
    </row>
    <row r="611" spans="1:128" s="829" customFormat="1" ht="13.8">
      <c r="A611" s="542" t="s">
        <v>1059</v>
      </c>
      <c r="B611" s="830"/>
      <c r="BH611" s="831"/>
      <c r="BI611" s="832"/>
      <c r="BJ611" s="830"/>
      <c r="BK611" s="830"/>
      <c r="BL611" s="832"/>
      <c r="BM611" s="832"/>
      <c r="BN611" s="830"/>
      <c r="BO611" s="830"/>
      <c r="BP611" s="832"/>
      <c r="BQ611" s="832"/>
      <c r="BR611" s="830"/>
      <c r="BT611" s="832"/>
      <c r="BU611" s="832"/>
      <c r="BV611" s="830"/>
      <c r="BX611" s="833">
        <f>+BX602*(BX$4/BX$3)/BX605</f>
        <v>2.0000865346245005E-2</v>
      </c>
      <c r="BY611" s="833">
        <f>+BY602*(BY$4/BY$3)/BY605</f>
        <v>1.9869161782552516E-2</v>
      </c>
      <c r="BZ611" s="833">
        <f>+BZ602*(BZ$4/BZ$3)/BZ605</f>
        <v>1.9934771811636394E-2</v>
      </c>
      <c r="CA611" s="78"/>
      <c r="CB611" s="833">
        <f>+CB602*(CB$4/CB$3)/CB605</f>
        <v>1.9313590435513731E-2</v>
      </c>
      <c r="CC611" s="833">
        <f>+CC602*(CC$4/CC$3)/CC605</f>
        <v>1.843258646408507E-2</v>
      </c>
      <c r="CD611" s="833">
        <f>+CD602*(CD$4/CD$3)/CD605</f>
        <v>1.8866049628073363E-2</v>
      </c>
      <c r="CE611" s="78"/>
      <c r="CF611" s="833">
        <f>+CF602*(CF$4/CF$3)/CF605</f>
        <v>1.8092074795601969E-2</v>
      </c>
      <c r="CG611" s="833">
        <f>+CG602*(CG$4/CG$3)/CG605</f>
        <v>1.7523731646710502E-2</v>
      </c>
      <c r="CH611" s="833">
        <f>+CH602*(CH$4/CH$3)/CH605</f>
        <v>1.7805781714396736E-2</v>
      </c>
      <c r="CI611" s="78"/>
      <c r="CJ611" s="833">
        <f>+CJ602*(CJ$4/CJ$3)/CJ605</f>
        <v>1.673727107071608E-2</v>
      </c>
      <c r="CK611" s="833">
        <f>+CK602*(CK$4/CK$3)/CK605</f>
        <v>1.5767854471815997E-2</v>
      </c>
      <c r="CL611" s="833">
        <f>+CL602*(CL$4/CL$3)/CL605</f>
        <v>1.6249035209912829E-2</v>
      </c>
      <c r="CM611" s="78"/>
      <c r="CN611" s="833">
        <f>+CN602*(CN$4/CN$3)/CN605</f>
        <v>1.6469151076462359E-2</v>
      </c>
      <c r="CO611" s="833">
        <f>+CO602*(CO$4/CO$3)/CO605</f>
        <v>1.6521286943121372E-2</v>
      </c>
      <c r="CP611" s="833">
        <f>+CP602*(CP$4/CP$3)/CP605</f>
        <v>1.6495482759459112E-2</v>
      </c>
      <c r="CQ611" s="78"/>
      <c r="CR611" s="833">
        <f>+CR602*(CR$4/CR$3)/CR605</f>
        <v>1.5833473167652729E-2</v>
      </c>
      <c r="CS611" s="833">
        <f>+CS602*(CS$4/CS$3)/CS605</f>
        <v>1.6841097332644113E-2</v>
      </c>
      <c r="CT611" s="833">
        <f>+CT602*(CT$4/CT$3)/CT605</f>
        <v>1.6344390392918091E-2</v>
      </c>
      <c r="CU611" s="78"/>
      <c r="CV611" s="833">
        <f>+CV602*(CV$4/CV$3)/CV605</f>
        <v>1.7540852400437259E-2</v>
      </c>
      <c r="CW611" s="833">
        <f>+CW602*(CW$4/CW$3)/CW605</f>
        <v>1.6496365610636551E-2</v>
      </c>
      <c r="CX611" s="833">
        <f>+CX602*(CX$4/CX$3)/CX605</f>
        <v>1.7016057160496739E-2</v>
      </c>
      <c r="CY611" s="78"/>
      <c r="CZ611" s="833">
        <f>+CZ602*(CZ$4/CZ$3)/CZ605</f>
        <v>1.5555015108982584E-2</v>
      </c>
      <c r="DA611" s="833">
        <f>+DA602*(DA$4/DA$3)/DA605</f>
        <v>1.5839303768571681E-2</v>
      </c>
      <c r="DB611" s="833">
        <f>+DB602*(DB$4/DB$3)/DB605</f>
        <v>1.5698269663623858E-2</v>
      </c>
      <c r="DC611" s="78"/>
      <c r="DD611" s="833">
        <f>+DD602*(DD$4/DD$3)/DD605</f>
        <v>1.5573325204557431E-2</v>
      </c>
      <c r="DE611" s="833">
        <f>+DE602*(DE$4/DE$3)/DE605</f>
        <v>1.5405233593161392E-2</v>
      </c>
      <c r="DF611" s="833">
        <f>+DF602*(DF$4/DF$3)/DF605</f>
        <v>1.5487786370127137E-2</v>
      </c>
      <c r="DG611" s="78"/>
      <c r="DH611" s="833">
        <f ca="1">+DH602*(DH$4/DH$3)/DH605</f>
        <v>1.5505620153278325E-2</v>
      </c>
      <c r="DI611" s="833">
        <f ca="1">+DI602*(DI$4/DI$3)/DI605</f>
        <v>1.5402126729704651E-2</v>
      </c>
      <c r="DJ611" s="833">
        <f ca="1">+DJ602*(DJ$4/DJ$3)/DJ605</f>
        <v>1.5453664481681915E-2</v>
      </c>
      <c r="DK611" s="78"/>
      <c r="DL611" s="833">
        <f ca="1">+DL602*(DL$4/DL$3)/DL605</f>
        <v>1.5401257316406632E-2</v>
      </c>
      <c r="DM611" s="833">
        <f ca="1">+DM602*(DM$4/DM$3)/DM605</f>
        <v>1.5299367500580533E-2</v>
      </c>
      <c r="DN611" s="833">
        <f ca="1">+DN602*(DN$4/DN$3)/DN605</f>
        <v>1.5350070568405903E-2</v>
      </c>
      <c r="DO611" s="78"/>
      <c r="DP611" s="833">
        <f ca="1">+DP602*(DP$4/DP$3)/DP605</f>
        <v>1.5300910920006683E-2</v>
      </c>
      <c r="DQ611" s="833">
        <f ca="1">+DQ602*(DQ$4/DQ$3)/DQ605</f>
        <v>1.5297730426780278E-2</v>
      </c>
      <c r="DR611" s="833">
        <f ca="1">+DR602*(DR$4/DR$3)/DR605</f>
        <v>1.5299304220094795E-2</v>
      </c>
      <c r="DS611" s="78"/>
      <c r="DT611" s="78"/>
      <c r="DU611" s="78"/>
      <c r="DV611" s="78"/>
      <c r="DW611" s="540"/>
      <c r="DX611" s="728"/>
    </row>
    <row r="612" spans="1:128" s="78" customFormat="1" ht="13.8">
      <c r="A612" s="974" t="s">
        <v>78</v>
      </c>
      <c r="B612" s="973" t="s">
        <v>556</v>
      </c>
      <c r="C612" s="974"/>
      <c r="D612" s="974"/>
      <c r="E612" s="974"/>
      <c r="F612" s="974"/>
      <c r="G612" s="974"/>
      <c r="H612" s="974"/>
      <c r="I612" s="974"/>
      <c r="J612" s="974"/>
      <c r="K612" s="974"/>
      <c r="L612" s="974"/>
      <c r="M612" s="974"/>
      <c r="N612" s="974"/>
      <c r="O612" s="974"/>
      <c r="P612" s="974"/>
      <c r="Q612" s="974"/>
      <c r="R612" s="974"/>
      <c r="S612" s="974"/>
      <c r="T612" s="974"/>
      <c r="U612" s="974"/>
      <c r="V612" s="974"/>
      <c r="W612" s="974"/>
      <c r="X612" s="974"/>
      <c r="Y612" s="974"/>
      <c r="Z612" s="974"/>
      <c r="AA612" s="974"/>
      <c r="AB612" s="974"/>
      <c r="AC612" s="974"/>
      <c r="AD612" s="974"/>
      <c r="AE612" s="974"/>
      <c r="AF612" s="974"/>
      <c r="AG612" s="974"/>
      <c r="AH612" s="974"/>
      <c r="AI612" s="974"/>
      <c r="AJ612" s="974"/>
      <c r="AK612" s="974"/>
      <c r="AL612" s="974"/>
      <c r="AM612" s="974"/>
      <c r="AN612" s="974"/>
      <c r="AO612" s="974"/>
      <c r="AP612" s="974"/>
      <c r="AQ612" s="974"/>
      <c r="AR612" s="974"/>
      <c r="AS612" s="974"/>
      <c r="AT612" s="974"/>
      <c r="AU612" s="974"/>
      <c r="AV612" s="974"/>
      <c r="AW612" s="974"/>
      <c r="AX612" s="974"/>
      <c r="AY612" s="974"/>
      <c r="AZ612" s="974"/>
      <c r="BA612" s="974"/>
      <c r="BB612" s="974"/>
      <c r="BC612" s="974"/>
      <c r="BD612" s="974"/>
      <c r="BE612" s="974"/>
      <c r="BF612" s="974"/>
      <c r="BG612" s="974"/>
      <c r="BH612" s="975"/>
      <c r="BI612" s="972">
        <f>+BI611-BH611</f>
        <v>0</v>
      </c>
      <c r="BJ612" s="973"/>
      <c r="BK612" s="973"/>
      <c r="BL612" s="972">
        <f>+BL611-BI611</f>
        <v>0</v>
      </c>
      <c r="BM612" s="972">
        <f>+BM611-BL611</f>
        <v>0</v>
      </c>
      <c r="BN612" s="973"/>
      <c r="BO612" s="973"/>
      <c r="BP612" s="972">
        <f>+BP611-BM611</f>
        <v>0</v>
      </c>
      <c r="BQ612" s="972">
        <f>+BQ611-BP611</f>
        <v>0</v>
      </c>
      <c r="BR612" s="973"/>
      <c r="BS612" s="974"/>
      <c r="BT612" s="972">
        <f>+BT611-BQ611</f>
        <v>0</v>
      </c>
      <c r="BU612" s="972">
        <f>+BU611-BT611</f>
        <v>0</v>
      </c>
      <c r="BV612" s="973"/>
      <c r="BW612" s="974"/>
      <c r="BX612" s="972">
        <f>+BX611-BU611</f>
        <v>2.0000865346245005E-2</v>
      </c>
      <c r="BY612" s="972">
        <f>+BY611-BX611</f>
        <v>-1.317035636924889E-4</v>
      </c>
      <c r="BZ612" s="973"/>
      <c r="CA612" s="974"/>
      <c r="CB612" s="972">
        <f>+CB611-BY611</f>
        <v>-5.5557134703878436E-4</v>
      </c>
      <c r="CC612" s="972">
        <f>+CC611-CB611</f>
        <v>-8.8100397142866146E-4</v>
      </c>
      <c r="CD612" s="973"/>
      <c r="CE612" s="974"/>
      <c r="CF612" s="972">
        <f>+CF611-CC611</f>
        <v>-3.4051166848310041E-4</v>
      </c>
      <c r="CG612" s="972">
        <f>+CG611-CF611</f>
        <v>-5.6834314889146753E-4</v>
      </c>
      <c r="CH612" s="973"/>
      <c r="CI612" s="974"/>
      <c r="CJ612" s="972">
        <f>+CJ611-CG611</f>
        <v>-7.8646057599442154E-4</v>
      </c>
      <c r="CK612" s="972">
        <f>+CK611-CJ611</f>
        <v>-9.6941659890008303E-4</v>
      </c>
      <c r="CL612" s="973"/>
      <c r="CM612" s="974"/>
      <c r="CN612" s="972">
        <f>+CN611-CK611</f>
        <v>7.0129660464636132E-4</v>
      </c>
      <c r="CO612" s="972">
        <f>+CO611-CN611</f>
        <v>5.213586665901368E-5</v>
      </c>
      <c r="CP612" s="973"/>
      <c r="CQ612" s="974"/>
      <c r="CR612" s="972">
        <f>+CR611-CO611</f>
        <v>-6.8781377546864308E-4</v>
      </c>
      <c r="CS612" s="972">
        <f>+CS611-CR611</f>
        <v>1.0076241649913838E-3</v>
      </c>
      <c r="CT612" s="973"/>
      <c r="CU612" s="974"/>
      <c r="CV612" s="972">
        <f>+CV611-CS611</f>
        <v>6.9975506779314592E-4</v>
      </c>
      <c r="CW612" s="972">
        <f>+CW611-CV611</f>
        <v>-1.0444867898007082E-3</v>
      </c>
      <c r="CX612" s="973"/>
      <c r="CY612" s="974"/>
      <c r="CZ612" s="972">
        <f>+CZ611-CW611</f>
        <v>-9.4135050165396715E-4</v>
      </c>
      <c r="DA612" s="972">
        <f>+DA611-CZ611</f>
        <v>2.8428865958909748E-4</v>
      </c>
      <c r="DB612" s="973"/>
      <c r="DC612" s="974"/>
      <c r="DD612" s="972">
        <f>+DD611-DA611</f>
        <v>-2.6597856401425028E-4</v>
      </c>
      <c r="DE612" s="972">
        <f>+DE611-DD611</f>
        <v>-1.6809161139603838E-4</v>
      </c>
      <c r="DF612" s="973"/>
      <c r="DG612" s="974"/>
      <c r="DH612" s="972">
        <f ca="1">+DH611-DE611</f>
        <v>1.0038656011693292E-4</v>
      </c>
      <c r="DI612" s="972">
        <f ca="1">+DI611-DH611</f>
        <v>-1.0349342357367404E-4</v>
      </c>
      <c r="DJ612" s="973"/>
      <c r="DK612" s="974"/>
      <c r="DL612" s="972">
        <f ca="1">+DL611-DI611</f>
        <v>-8.6941329801963618E-7</v>
      </c>
      <c r="DM612" s="972">
        <f ca="1">+DM611-DL611</f>
        <v>-1.0188981582609849E-4</v>
      </c>
      <c r="DN612" s="973"/>
      <c r="DO612" s="974"/>
      <c r="DP612" s="972">
        <f ca="1">+DP611-DM611</f>
        <v>1.5434194261497447E-6</v>
      </c>
      <c r="DQ612" s="972">
        <f ca="1">+DQ611-DP611</f>
        <v>-3.1804932264043601E-6</v>
      </c>
      <c r="DR612" s="973"/>
      <c r="DS612" s="974"/>
      <c r="DT612" s="974"/>
      <c r="DU612" s="974"/>
      <c r="DV612" s="974"/>
      <c r="DW612" s="20"/>
      <c r="DX612" s="347"/>
    </row>
    <row r="613" spans="1:128" s="20" customFormat="1" ht="13.8">
      <c r="B613" s="49"/>
      <c r="BH613" s="49"/>
      <c r="BI613" s="49"/>
      <c r="BJ613" s="49"/>
      <c r="BK613" s="49"/>
      <c r="BL613" s="49"/>
      <c r="BM613" s="49"/>
      <c r="BN613" s="49"/>
      <c r="BO613" s="49"/>
      <c r="BP613" s="49"/>
      <c r="BQ613" s="49"/>
      <c r="BR613" s="49"/>
      <c r="BT613" s="49"/>
      <c r="BU613" s="49"/>
      <c r="BV613" s="49"/>
      <c r="BW613" s="49"/>
      <c r="BX613" s="49"/>
      <c r="BY613" s="49"/>
      <c r="BZ613" s="49"/>
      <c r="CA613" s="49"/>
      <c r="CB613" s="49"/>
      <c r="CC613" s="49"/>
      <c r="CD613" s="49"/>
      <c r="CE613" s="49"/>
      <c r="CF613" s="49"/>
      <c r="CG613" s="49"/>
      <c r="CH613" s="49"/>
      <c r="CI613" s="49"/>
      <c r="CJ613" s="49"/>
      <c r="CK613" s="49"/>
      <c r="CL613" s="49"/>
      <c r="CM613" s="49"/>
      <c r="CN613" s="49"/>
      <c r="CO613" s="49"/>
      <c r="CP613" s="49"/>
      <c r="CQ613" s="49"/>
      <c r="CR613" s="49"/>
      <c r="CS613" s="49"/>
      <c r="CT613" s="49"/>
      <c r="CU613" s="49"/>
      <c r="CV613" s="49"/>
      <c r="CW613" s="49"/>
      <c r="CX613" s="49"/>
      <c r="CY613" s="49"/>
      <c r="CZ613" s="49"/>
      <c r="DA613" s="49"/>
      <c r="DB613" s="49"/>
      <c r="DC613" s="49"/>
      <c r="DD613" s="49"/>
      <c r="DE613" s="49"/>
      <c r="DF613" s="49"/>
      <c r="DG613" s="49"/>
      <c r="DH613" s="49"/>
      <c r="DI613" s="49"/>
      <c r="DJ613" s="49"/>
      <c r="DK613" s="49"/>
      <c r="DL613" s="49"/>
      <c r="DM613" s="49"/>
      <c r="DN613" s="49"/>
      <c r="DO613" s="49"/>
      <c r="DP613" s="49"/>
      <c r="DQ613" s="49"/>
      <c r="DR613" s="49"/>
      <c r="DS613" s="49"/>
      <c r="DT613" s="49"/>
      <c r="DU613" s="49"/>
      <c r="DV613" s="49"/>
    </row>
    <row r="614" spans="1:128" s="21" customFormat="1" ht="13.8">
      <c r="A614" s="21" t="s">
        <v>979</v>
      </c>
      <c r="B614" s="27"/>
      <c r="BH614" s="27"/>
      <c r="BI614" s="27"/>
      <c r="BJ614" s="27"/>
      <c r="BK614" s="27"/>
      <c r="BL614" s="27"/>
      <c r="BM614" s="27"/>
      <c r="BN614" s="27"/>
      <c r="BO614" s="27"/>
      <c r="BP614" s="27"/>
      <c r="BQ614" s="27"/>
      <c r="BR614" s="27"/>
      <c r="BT614" s="72"/>
      <c r="BU614" s="72"/>
      <c r="BV614" s="72"/>
      <c r="BW614" s="27"/>
      <c r="BX614" s="72">
        <f t="shared" ref="BX614:BZ614" si="946">BX602</f>
        <v>7419</v>
      </c>
      <c r="BY614" s="72">
        <f t="shared" si="946"/>
        <v>7492</v>
      </c>
      <c r="BZ614" s="72">
        <f t="shared" si="946"/>
        <v>14911</v>
      </c>
      <c r="CA614" s="27"/>
      <c r="CB614" s="72">
        <f t="shared" ref="CB614:CD614" si="947">CB602</f>
        <v>7369</v>
      </c>
      <c r="CC614" s="72">
        <f t="shared" si="947"/>
        <v>7250</v>
      </c>
      <c r="CD614" s="72">
        <f t="shared" si="947"/>
        <v>14619</v>
      </c>
      <c r="CE614" s="27"/>
      <c r="CF614" s="72">
        <f t="shared" ref="CF614:CH614" si="948">CF602</f>
        <v>7321</v>
      </c>
      <c r="CG614" s="72">
        <f t="shared" si="948"/>
        <v>7159</v>
      </c>
      <c r="CH614" s="72">
        <f t="shared" si="948"/>
        <v>14480</v>
      </c>
      <c r="CI614" s="27"/>
      <c r="CJ614" s="72">
        <f t="shared" ref="CJ614:CL614" si="949">CJ602</f>
        <v>7169</v>
      </c>
      <c r="CK614" s="72">
        <f t="shared" si="949"/>
        <v>6852</v>
      </c>
      <c r="CL614" s="72">
        <f t="shared" si="949"/>
        <v>14021</v>
      </c>
      <c r="CM614" s="27"/>
      <c r="CN614" s="72">
        <f>CN602</f>
        <v>7042</v>
      </c>
      <c r="CO614" s="72">
        <f t="shared" ref="CO614:CP614" si="950">CO602</f>
        <v>7205</v>
      </c>
      <c r="CP614" s="72">
        <f t="shared" si="950"/>
        <v>14247</v>
      </c>
      <c r="CQ614" s="27"/>
      <c r="CR614" s="72">
        <f>CR602</f>
        <v>7103</v>
      </c>
      <c r="CS614" s="72">
        <f t="shared" ref="CS614:CT614" si="951">CS602</f>
        <v>7771</v>
      </c>
      <c r="CT614" s="72">
        <f t="shared" si="951"/>
        <v>14874</v>
      </c>
      <c r="CU614" s="27"/>
      <c r="CV614" s="72">
        <f>CV602</f>
        <v>8510</v>
      </c>
      <c r="CW614" s="72">
        <f t="shared" ref="CW614:CX614" si="952">CW602</f>
        <v>8082</v>
      </c>
      <c r="CX614" s="72">
        <f t="shared" si="952"/>
        <v>16592</v>
      </c>
      <c r="CY614" s="27"/>
      <c r="CZ614" s="72">
        <f>CZ602</f>
        <v>7899</v>
      </c>
      <c r="DA614" s="72">
        <f t="shared" ref="DA614:DB614" si="953">DA602</f>
        <v>8170</v>
      </c>
      <c r="DB614" s="72">
        <f t="shared" si="953"/>
        <v>16069</v>
      </c>
      <c r="DC614" s="27"/>
      <c r="DD614" s="72">
        <f>DD602</f>
        <v>8869</v>
      </c>
      <c r="DE614" s="72">
        <f t="shared" ref="DE614:DF614" si="954">DE602</f>
        <v>9092</v>
      </c>
      <c r="DF614" s="72">
        <f t="shared" si="954"/>
        <v>17961</v>
      </c>
      <c r="DG614" s="27"/>
      <c r="DH614" s="72">
        <f ca="1">DH602</f>
        <v>9185.0219475600024</v>
      </c>
      <c r="DI614" s="72">
        <f t="shared" ref="DI614:DJ614" ca="1" si="955">DI602</f>
        <v>9305.8296073262482</v>
      </c>
      <c r="DJ614" s="72">
        <f t="shared" ca="1" si="955"/>
        <v>18490.851554886249</v>
      </c>
      <c r="DK614" s="27"/>
      <c r="DL614" s="72">
        <f ca="1">DL602</f>
        <v>9458.0356987137293</v>
      </c>
      <c r="DM614" s="72">
        <f t="shared" ref="DM614:DN614" ca="1" si="956">DM602</f>
        <v>9666.9824461304397</v>
      </c>
      <c r="DN614" s="72">
        <f t="shared" ca="1" si="956"/>
        <v>19125.018144844169</v>
      </c>
      <c r="DO614" s="27"/>
      <c r="DP614" s="72">
        <f ca="1">DP602</f>
        <v>9855.2969016896805</v>
      </c>
      <c r="DQ614" s="72">
        <f t="shared" ref="DQ614:DR614" ca="1" si="957">DQ602</f>
        <v>10059.270877518977</v>
      </c>
      <c r="DR614" s="72">
        <f t="shared" ca="1" si="957"/>
        <v>19914.567779208657</v>
      </c>
      <c r="DS614" s="27"/>
      <c r="DT614" s="27"/>
      <c r="DU614" s="27"/>
      <c r="DV614" s="27"/>
    </row>
    <row r="615" spans="1:128" s="20" customFormat="1" ht="13.8">
      <c r="A615" s="20" t="s">
        <v>841</v>
      </c>
      <c r="B615" s="49"/>
      <c r="BH615" s="49"/>
      <c r="BI615" s="49"/>
      <c r="BJ615" s="49"/>
      <c r="BK615" s="49"/>
      <c r="BL615" s="49"/>
      <c r="BM615" s="49"/>
      <c r="BN615" s="49"/>
      <c r="BO615" s="49"/>
      <c r="BP615" s="49"/>
      <c r="BQ615" s="49"/>
      <c r="BR615" s="49"/>
      <c r="BT615" s="65"/>
      <c r="BU615" s="65"/>
      <c r="BV615" s="65"/>
      <c r="BW615" s="49"/>
      <c r="BX615" s="65">
        <f t="shared" ref="BX615:BZ615" si="958">BX754</f>
        <v>478</v>
      </c>
      <c r="BY615" s="65">
        <f t="shared" si="958"/>
        <v>442</v>
      </c>
      <c r="BZ615" s="65">
        <f t="shared" si="958"/>
        <v>920</v>
      </c>
      <c r="CA615" s="49"/>
      <c r="CB615" s="65">
        <f t="shared" ref="CB615:CD615" si="959">CB754</f>
        <v>355</v>
      </c>
      <c r="CC615" s="65">
        <f t="shared" si="959"/>
        <v>303</v>
      </c>
      <c r="CD615" s="65">
        <f t="shared" si="959"/>
        <v>658</v>
      </c>
      <c r="CE615" s="49"/>
      <c r="CF615" s="65">
        <f t="shared" ref="CF615:CH615" si="960">CF754</f>
        <v>280</v>
      </c>
      <c r="CG615" s="65">
        <f t="shared" si="960"/>
        <v>211</v>
      </c>
      <c r="CH615" s="65">
        <f t="shared" si="960"/>
        <v>491</v>
      </c>
      <c r="CI615" s="49"/>
      <c r="CJ615" s="65">
        <f t="shared" ref="CJ615:CL615" si="961">CJ754</f>
        <v>400</v>
      </c>
      <c r="CK615" s="65">
        <f t="shared" si="961"/>
        <v>370</v>
      </c>
      <c r="CL615" s="65">
        <f t="shared" si="961"/>
        <v>770</v>
      </c>
      <c r="CM615" s="49"/>
      <c r="CN615" s="65">
        <f>CN754</f>
        <v>402</v>
      </c>
      <c r="CO615" s="65">
        <f t="shared" ref="CO615:CP615" si="962">CO754</f>
        <v>439</v>
      </c>
      <c r="CP615" s="65">
        <f t="shared" si="962"/>
        <v>841</v>
      </c>
      <c r="CQ615" s="49"/>
      <c r="CR615" s="65">
        <f>CR754</f>
        <v>416</v>
      </c>
      <c r="CS615" s="65">
        <f t="shared" ref="CS615:CT615" si="963">CS754</f>
        <v>291</v>
      </c>
      <c r="CT615" s="65">
        <f t="shared" si="963"/>
        <v>707</v>
      </c>
      <c r="CU615" s="49"/>
      <c r="CV615" s="65">
        <f>CV754</f>
        <v>164</v>
      </c>
      <c r="CW615" s="65">
        <f t="shared" ref="CW615:CX615" si="964">CW754</f>
        <v>20</v>
      </c>
      <c r="CX615" s="65">
        <f t="shared" si="964"/>
        <v>184</v>
      </c>
      <c r="CY615" s="49"/>
      <c r="CZ615" s="65">
        <f>CZ754</f>
        <v>-64</v>
      </c>
      <c r="DA615" s="65">
        <f t="shared" ref="DA615:DB615" si="965">DA754</f>
        <v>-67</v>
      </c>
      <c r="DB615" s="65">
        <f t="shared" si="965"/>
        <v>-131</v>
      </c>
      <c r="DC615" s="49"/>
      <c r="DD615" s="65">
        <f>DD754</f>
        <v>82</v>
      </c>
      <c r="DE615" s="65">
        <f t="shared" ref="DE615:DF615" si="966">DE754</f>
        <v>196</v>
      </c>
      <c r="DF615" s="65">
        <f t="shared" si="966"/>
        <v>278</v>
      </c>
      <c r="DG615" s="49"/>
      <c r="DH615" s="65">
        <f>DH754</f>
        <v>192.70000000000002</v>
      </c>
      <c r="DI615" s="65">
        <f t="shared" ref="DI615:DJ615" si="967">DI754</f>
        <v>196</v>
      </c>
      <c r="DJ615" s="65">
        <f t="shared" si="967"/>
        <v>388.70000000000005</v>
      </c>
      <c r="DK615" s="49"/>
      <c r="DL615" s="65">
        <f>DL754</f>
        <v>196.55400000000003</v>
      </c>
      <c r="DM615" s="65">
        <f t="shared" ref="DM615:DN615" si="968">DM754</f>
        <v>199.92000000000002</v>
      </c>
      <c r="DN615" s="65">
        <f t="shared" si="968"/>
        <v>396.47400000000005</v>
      </c>
      <c r="DO615" s="49"/>
      <c r="DP615" s="65">
        <f>DP754</f>
        <v>200.48508000000004</v>
      </c>
      <c r="DQ615" s="65">
        <f t="shared" ref="DQ615:DR615" si="969">DQ754</f>
        <v>203.91840000000002</v>
      </c>
      <c r="DR615" s="65">
        <f t="shared" si="969"/>
        <v>404.40348000000006</v>
      </c>
      <c r="DS615" s="49"/>
      <c r="DT615" s="49"/>
      <c r="DU615" s="49"/>
      <c r="DV615" s="49"/>
    </row>
    <row r="616" spans="1:128" s="20" customFormat="1" ht="13.8">
      <c r="A616" s="20" t="s">
        <v>1082</v>
      </c>
      <c r="B616" s="49"/>
      <c r="BH616" s="49"/>
      <c r="BI616" s="49"/>
      <c r="BJ616" s="49"/>
      <c r="BK616" s="49"/>
      <c r="BL616" s="49"/>
      <c r="BM616" s="49"/>
      <c r="BN616" s="49"/>
      <c r="BO616" s="49"/>
      <c r="BP616" s="49"/>
      <c r="BQ616" s="49"/>
      <c r="BR616" s="49"/>
      <c r="BT616" s="65"/>
      <c r="BU616" s="65"/>
      <c r="BV616" s="65"/>
      <c r="BW616" s="49"/>
      <c r="BX616" s="65">
        <f t="shared" ref="BX616:BZ616" si="970">+BX614-BX615</f>
        <v>6941</v>
      </c>
      <c r="BY616" s="65">
        <f t="shared" si="970"/>
        <v>7050</v>
      </c>
      <c r="BZ616" s="65">
        <f t="shared" si="970"/>
        <v>13991</v>
      </c>
      <c r="CA616" s="49"/>
      <c r="CB616" s="65">
        <f t="shared" ref="CB616:CD616" si="971">+CB614-CB615</f>
        <v>7014</v>
      </c>
      <c r="CC616" s="65">
        <f t="shared" si="971"/>
        <v>6947</v>
      </c>
      <c r="CD616" s="65">
        <f t="shared" si="971"/>
        <v>13961</v>
      </c>
      <c r="CE616" s="49"/>
      <c r="CF616" s="65">
        <f t="shared" ref="CF616:CH616" si="972">+CF614-CF615</f>
        <v>7041</v>
      </c>
      <c r="CG616" s="65">
        <f t="shared" si="972"/>
        <v>6948</v>
      </c>
      <c r="CH616" s="65">
        <f t="shared" si="972"/>
        <v>13989</v>
      </c>
      <c r="CI616" s="49"/>
      <c r="CJ616" s="65">
        <f t="shared" ref="CJ616:CL616" si="973">+CJ614-CJ615</f>
        <v>6769</v>
      </c>
      <c r="CK616" s="65">
        <f t="shared" si="973"/>
        <v>6482</v>
      </c>
      <c r="CL616" s="65">
        <f t="shared" si="973"/>
        <v>13251</v>
      </c>
      <c r="CM616" s="49"/>
      <c r="CN616" s="65">
        <f>+CN614-CN615</f>
        <v>6640</v>
      </c>
      <c r="CO616" s="65">
        <f t="shared" ref="CO616" si="974">+CO614-CO615</f>
        <v>6766</v>
      </c>
      <c r="CP616" s="65">
        <f t="shared" ref="CP616" si="975">+CP614-CP615</f>
        <v>13406</v>
      </c>
      <c r="CQ616" s="49"/>
      <c r="CR616" s="65">
        <f>+CR614-CR615</f>
        <v>6687</v>
      </c>
      <c r="CS616" s="65">
        <f t="shared" ref="CS616:CT616" si="976">+CS614-CS615</f>
        <v>7480</v>
      </c>
      <c r="CT616" s="65">
        <f t="shared" si="976"/>
        <v>14167</v>
      </c>
      <c r="CU616" s="49"/>
      <c r="CV616" s="65">
        <f>+CV614-CV615</f>
        <v>8346</v>
      </c>
      <c r="CW616" s="65">
        <f t="shared" ref="CW616:CX616" si="977">+CW614-CW615</f>
        <v>8062</v>
      </c>
      <c r="CX616" s="65">
        <f t="shared" si="977"/>
        <v>16408</v>
      </c>
      <c r="CY616" s="49"/>
      <c r="CZ616" s="65">
        <f>+CZ614-CZ615</f>
        <v>7963</v>
      </c>
      <c r="DA616" s="65">
        <f t="shared" ref="DA616:DB616" si="978">+DA614-DA615</f>
        <v>8237</v>
      </c>
      <c r="DB616" s="65">
        <f t="shared" si="978"/>
        <v>16200</v>
      </c>
      <c r="DC616" s="49"/>
      <c r="DD616" s="65">
        <f>+DD614-DD615</f>
        <v>8787</v>
      </c>
      <c r="DE616" s="65">
        <f t="shared" ref="DE616:DF616" si="979">+DE614-DE615</f>
        <v>8896</v>
      </c>
      <c r="DF616" s="65">
        <f t="shared" si="979"/>
        <v>17683</v>
      </c>
      <c r="DG616" s="49"/>
      <c r="DH616" s="65">
        <f ca="1">+DH614-DH615</f>
        <v>8992.3219475600017</v>
      </c>
      <c r="DI616" s="65">
        <f t="shared" ref="DI616:DJ616" ca="1" si="980">+DI614-DI615</f>
        <v>9109.8296073262482</v>
      </c>
      <c r="DJ616" s="65">
        <f t="shared" ca="1" si="980"/>
        <v>18102.151554886248</v>
      </c>
      <c r="DK616" s="49"/>
      <c r="DL616" s="65">
        <f ca="1">+DL614-DL615</f>
        <v>9261.4816987137292</v>
      </c>
      <c r="DM616" s="65">
        <f t="shared" ref="DM616:DN616" ca="1" si="981">+DM614-DM615</f>
        <v>9467.0624461304396</v>
      </c>
      <c r="DN616" s="65">
        <f t="shared" ca="1" si="981"/>
        <v>18728.544144844171</v>
      </c>
      <c r="DO616" s="49"/>
      <c r="DP616" s="65">
        <f ca="1">+DP614-DP615</f>
        <v>9654.8118216896801</v>
      </c>
      <c r="DQ616" s="65">
        <f t="shared" ref="DQ616:DR616" ca="1" si="982">+DQ614-DQ615</f>
        <v>9855.3524775189762</v>
      </c>
      <c r="DR616" s="65">
        <f t="shared" ca="1" si="982"/>
        <v>19510.164299208656</v>
      </c>
      <c r="DS616" s="49"/>
      <c r="DT616" s="49"/>
      <c r="DU616" s="49"/>
      <c r="DV616" s="49"/>
    </row>
    <row r="617" spans="1:128" s="20" customFormat="1" ht="13.8">
      <c r="A617" s="20" t="s">
        <v>1083</v>
      </c>
      <c r="B617" s="49"/>
      <c r="BH617" s="49"/>
      <c r="BI617" s="49"/>
      <c r="BJ617" s="49"/>
      <c r="BK617" s="49"/>
      <c r="BL617" s="49"/>
      <c r="BM617" s="49"/>
      <c r="BN617" s="49"/>
      <c r="BO617" s="49"/>
      <c r="BP617" s="49"/>
      <c r="BQ617" s="49"/>
      <c r="BR617" s="49"/>
      <c r="BT617" s="65"/>
      <c r="BU617" s="65"/>
      <c r="BV617" s="65"/>
      <c r="BW617" s="49"/>
      <c r="BX617" s="65">
        <f t="shared" ref="BX617:BZ617" si="983">BX605</f>
        <v>743906</v>
      </c>
      <c r="BY617" s="65">
        <f t="shared" si="983"/>
        <v>752073</v>
      </c>
      <c r="BZ617" s="65">
        <f t="shared" si="983"/>
        <v>747989.5</v>
      </c>
      <c r="CA617" s="49"/>
      <c r="CB617" s="65">
        <f t="shared" ref="CB617:CD617" si="984">CB605</f>
        <v>765186</v>
      </c>
      <c r="CC617" s="65">
        <f t="shared" si="984"/>
        <v>784501</v>
      </c>
      <c r="CD617" s="65">
        <f t="shared" si="984"/>
        <v>774884</v>
      </c>
      <c r="CE617" s="49"/>
      <c r="CF617" s="65">
        <f t="shared" ref="CF617:CH617" si="985">CF605</f>
        <v>811528</v>
      </c>
      <c r="CG617" s="65">
        <f t="shared" si="985"/>
        <v>814831</v>
      </c>
      <c r="CH617" s="65">
        <f t="shared" si="985"/>
        <v>813219</v>
      </c>
      <c r="CI617" s="49"/>
      <c r="CJ617" s="65">
        <f t="shared" ref="CJ617:CL617" si="986">CJ605</f>
        <v>856651</v>
      </c>
      <c r="CK617" s="65">
        <f t="shared" si="986"/>
        <v>869110</v>
      </c>
      <c r="CL617" s="65">
        <f t="shared" si="986"/>
        <v>862882</v>
      </c>
      <c r="CM617" s="49"/>
      <c r="CN617" s="65">
        <f>CN605</f>
        <v>857524</v>
      </c>
      <c r="CO617" s="65">
        <f t="shared" ref="CO617:CP617" si="987">CO605</f>
        <v>869825</v>
      </c>
      <c r="CP617" s="65">
        <f t="shared" si="987"/>
        <v>863691</v>
      </c>
      <c r="CQ617" s="49"/>
      <c r="CR617" s="65">
        <f>CR605</f>
        <v>899678</v>
      </c>
      <c r="CS617" s="65">
        <f t="shared" ref="CS617:CT617" si="988">CS605</f>
        <v>920340</v>
      </c>
      <c r="CT617" s="65">
        <f t="shared" si="988"/>
        <v>910037</v>
      </c>
      <c r="CU617" s="49"/>
      <c r="CV617" s="65">
        <f>CV605</f>
        <v>972972</v>
      </c>
      <c r="CW617" s="65">
        <f t="shared" ref="CW617:CX617" si="989">CW605</f>
        <v>977175</v>
      </c>
      <c r="CX617" s="65">
        <f t="shared" si="989"/>
        <v>975079</v>
      </c>
      <c r="CY617" s="49"/>
      <c r="CZ617" s="65">
        <f>CZ605</f>
        <v>1015621</v>
      </c>
      <c r="DA617" s="65">
        <f t="shared" ref="DA617:DB617" si="990">DA605</f>
        <v>1031611</v>
      </c>
      <c r="DB617" s="65">
        <f t="shared" si="990"/>
        <v>1023616</v>
      </c>
      <c r="DC617" s="49"/>
      <c r="DD617" s="65">
        <f>DD605</f>
        <v>1142128</v>
      </c>
      <c r="DE617" s="65">
        <f t="shared" ref="DE617:DF617" si="991">DE605</f>
        <v>1177153</v>
      </c>
      <c r="DF617" s="65">
        <f t="shared" si="991"/>
        <v>1159688</v>
      </c>
      <c r="DG617" s="49"/>
      <c r="DH617" s="65">
        <f>DH605</f>
        <v>1187989.313976804</v>
      </c>
      <c r="DI617" s="65">
        <f t="shared" ref="DI617:DJ617" si="992">DI605</f>
        <v>1205080.8315287463</v>
      </c>
      <c r="DJ617" s="65">
        <f t="shared" si="992"/>
        <v>1196535.0727527752</v>
      </c>
      <c r="DK617" s="49"/>
      <c r="DL617" s="65">
        <f>DL605</f>
        <v>1231590.2680448708</v>
      </c>
      <c r="DM617" s="65">
        <f t="shared" ref="DM617:DN617" si="993">DM605</f>
        <v>1260257.3178819334</v>
      </c>
      <c r="DN617" s="65">
        <f t="shared" si="993"/>
        <v>1245923.7929634021</v>
      </c>
      <c r="DO617" s="49"/>
      <c r="DP617" s="65">
        <f>DP605</f>
        <v>1288197.4090579669</v>
      </c>
      <c r="DQ617" s="65">
        <f t="shared" ref="DQ617:DR617" si="994">DQ605</f>
        <v>1315132.4538846847</v>
      </c>
      <c r="DR617" s="65">
        <f t="shared" si="994"/>
        <v>1301664.9314713259</v>
      </c>
      <c r="DS617" s="49"/>
      <c r="DT617" s="49"/>
      <c r="DU617" s="49"/>
      <c r="DV617" s="49"/>
    </row>
    <row r="618" spans="1:128" s="20" customFormat="1" ht="13.8">
      <c r="A618" s="21" t="s">
        <v>833</v>
      </c>
      <c r="B618" s="49"/>
      <c r="BH618" s="49"/>
      <c r="BI618" s="49"/>
      <c r="BJ618" s="49"/>
      <c r="BK618" s="49"/>
      <c r="BL618" s="49"/>
      <c r="BM618" s="49"/>
      <c r="BN618" s="49"/>
      <c r="BO618" s="49"/>
      <c r="BP618" s="49"/>
      <c r="BQ618" s="49"/>
      <c r="BR618" s="49"/>
      <c r="BT618" s="74"/>
      <c r="BU618" s="74"/>
      <c r="BV618" s="74"/>
      <c r="BW618" s="49"/>
      <c r="BX618" s="74">
        <f t="shared" ref="BX618:BZ618" si="995">+BX616*(BX$4/BX$3)/BX617</f>
        <v>1.8712226225675505E-2</v>
      </c>
      <c r="BY618" s="74">
        <f t="shared" si="995"/>
        <v>1.8696955494793811E-2</v>
      </c>
      <c r="BZ618" s="74">
        <f t="shared" si="995"/>
        <v>1.8704808022037743E-2</v>
      </c>
      <c r="CA618" s="49"/>
      <c r="CB618" s="74">
        <f t="shared" ref="CB618:CD618" si="996">+CB616*(CB$4/CB$3)/CB617</f>
        <v>1.8383162344238473E-2</v>
      </c>
      <c r="CC618" s="74">
        <f t="shared" si="996"/>
        <v>1.7662231471172275E-2</v>
      </c>
      <c r="CD618" s="74">
        <f t="shared" si="996"/>
        <v>1.8016890270027515E-2</v>
      </c>
      <c r="CE618" s="49"/>
      <c r="CF618" s="74">
        <f t="shared" ref="CF618:CH618" si="997">+CF616*(CF$4/CF$3)/CF617</f>
        <v>1.7400122747689314E-2</v>
      </c>
      <c r="CG618" s="74">
        <f t="shared" si="997"/>
        <v>1.7007247867208346E-2</v>
      </c>
      <c r="CH618" s="74">
        <f t="shared" si="997"/>
        <v>1.7202008315103313E-2</v>
      </c>
      <c r="CI618" s="49"/>
      <c r="CJ618" s="74">
        <f t="shared" ref="CJ618:CL618" si="998">+CJ616*(CJ$4/CJ$3)/CJ617</f>
        <v>1.5803401852096128E-2</v>
      </c>
      <c r="CK618" s="74">
        <f t="shared" si="998"/>
        <v>1.4916408739975377E-2</v>
      </c>
      <c r="CL618" s="74">
        <f t="shared" si="998"/>
        <v>1.5356676810966042E-2</v>
      </c>
      <c r="CM618" s="49"/>
      <c r="CN618" s="74">
        <f>+CN616*(CN$4/CN$3)/CN617</f>
        <v>1.5528992210694413E-2</v>
      </c>
      <c r="CO618" s="74">
        <f t="shared" ref="CO618" si="999">+CO616*(CO$4/CO$3)/CO617</f>
        <v>1.5514646420147009E-2</v>
      </c>
      <c r="CP618" s="74">
        <f t="shared" ref="CP618" si="1000">+CP616*(CP$4/CP$3)/CP617</f>
        <v>1.5521754886875051E-2</v>
      </c>
      <c r="CQ618" s="49"/>
      <c r="CR618" s="74">
        <f>+CR616*(CR$4/CR$3)/CR617</f>
        <v>1.4906157267646601E-2</v>
      </c>
      <c r="CS618" s="74">
        <f t="shared" ref="CS618:CT618" si="1001">+CS616*(CS$4/CS$3)/CS617</f>
        <v>1.6210450141317459E-2</v>
      </c>
      <c r="CT618" s="74">
        <f t="shared" si="1001"/>
        <v>1.5567498903890722E-2</v>
      </c>
      <c r="CU618" s="49"/>
      <c r="CV618" s="74">
        <f>+CV616*(CV$4/CV$3)/CV617</f>
        <v>1.720281482186244E-2</v>
      </c>
      <c r="CW618" s="74">
        <f t="shared" ref="CW618:CX618" si="1002">+CW616*(CW$4/CW$3)/CW617</f>
        <v>1.6455543127066551E-2</v>
      </c>
      <c r="CX618" s="74">
        <f t="shared" si="1002"/>
        <v>1.6827354501532697E-2</v>
      </c>
      <c r="CY618" s="49"/>
      <c r="CZ618" s="74">
        <f>+CZ616*(CZ$4/CZ$3)/CZ617</f>
        <v>1.5681046374582643E-2</v>
      </c>
      <c r="DA618" s="74">
        <f t="shared" ref="DA618:DB618" si="1003">+DA616*(DA$4/DA$3)/DA617</f>
        <v>1.5969197691765597E-2</v>
      </c>
      <c r="DB618" s="74">
        <f t="shared" si="1003"/>
        <v>1.5826247342753532E-2</v>
      </c>
      <c r="DC618" s="49"/>
      <c r="DD618" s="74">
        <f>+DD616*(DD$4/DD$3)/DD617</f>
        <v>1.5429339110660294E-2</v>
      </c>
      <c r="DE618" s="74">
        <f t="shared" ref="DE618:DF618" si="1004">+DE616*(DE$4/DE$3)/DE617</f>
        <v>1.5073136608530987E-2</v>
      </c>
      <c r="DF618" s="74">
        <f t="shared" si="1004"/>
        <v>1.5248066721394031E-2</v>
      </c>
      <c r="DG618" s="49"/>
      <c r="DH618" s="74">
        <f ca="1">+DH616*(DH$4/DH$3)/DH617</f>
        <v>1.5180315214368465E-2</v>
      </c>
      <c r="DI618" s="74">
        <f t="shared" ref="DI618:DJ618" ca="1" si="1005">+DI616*(DI$4/DI$3)/DI617</f>
        <v>1.5077726115637369E-2</v>
      </c>
      <c r="DJ618" s="74">
        <f t="shared" ca="1" si="1005"/>
        <v>1.5128809816865657E-2</v>
      </c>
      <c r="DK618" s="49"/>
      <c r="DL618" s="74">
        <f ca="1">+DL616*(DL$4/DL$3)/DL617</f>
        <v>1.5081193105718498E-2</v>
      </c>
      <c r="DM618" s="74">
        <f t="shared" ref="DM618:DN618" ca="1" si="1006">+DM616*(DM$4/DM$3)/DM617</f>
        <v>1.4982965813936279E-2</v>
      </c>
      <c r="DN618" s="74">
        <f t="shared" ca="1" si="1006"/>
        <v>1.5031853674050757E-2</v>
      </c>
      <c r="DO618" s="49"/>
      <c r="DP618" s="74">
        <f ca="1">+DP616*(DP$4/DP$3)/DP617</f>
        <v>1.4989646390843235E-2</v>
      </c>
      <c r="DQ618" s="74">
        <f t="shared" ref="DQ618:DR618" ca="1" si="1007">+DQ616*(DQ$4/DQ$3)/DQ617</f>
        <v>1.4987619609580598E-2</v>
      </c>
      <c r="DR618" s="74">
        <f t="shared" ca="1" si="1007"/>
        <v>1.4988622515285486E-2</v>
      </c>
      <c r="DS618" s="49"/>
      <c r="DT618" s="49"/>
      <c r="DU618" s="49"/>
      <c r="DV618" s="49"/>
    </row>
    <row r="619" spans="1:128" s="20" customFormat="1" ht="13.8">
      <c r="A619" s="1065" t="s">
        <v>78</v>
      </c>
      <c r="B619" s="1069"/>
      <c r="C619" s="1070"/>
      <c r="D619" s="1070"/>
      <c r="E619" s="1070"/>
      <c r="F619" s="1070"/>
      <c r="G619" s="1070"/>
      <c r="H619" s="1070"/>
      <c r="I619" s="1070"/>
      <c r="J619" s="1070"/>
      <c r="K619" s="1070"/>
      <c r="L619" s="1070"/>
      <c r="M619" s="1070"/>
      <c r="N619" s="1070"/>
      <c r="O619" s="1070"/>
      <c r="P619" s="1070"/>
      <c r="Q619" s="1070"/>
      <c r="R619" s="1070"/>
      <c r="S619" s="1070"/>
      <c r="T619" s="1070"/>
      <c r="U619" s="1070"/>
      <c r="V619" s="1070"/>
      <c r="W619" s="1070"/>
      <c r="X619" s="1070"/>
      <c r="Y619" s="1070"/>
      <c r="Z619" s="1070"/>
      <c r="AA619" s="1070"/>
      <c r="AB619" s="1070"/>
      <c r="AC619" s="1070"/>
      <c r="AD619" s="1070"/>
      <c r="AE619" s="1070"/>
      <c r="AF619" s="1070"/>
      <c r="AG619" s="1070"/>
      <c r="AH619" s="1070"/>
      <c r="AI619" s="1070"/>
      <c r="AJ619" s="1070"/>
      <c r="AK619" s="1070"/>
      <c r="AL619" s="1070"/>
      <c r="AM619" s="1070"/>
      <c r="AN619" s="1070"/>
      <c r="AO619" s="1070"/>
      <c r="AP619" s="1070"/>
      <c r="AQ619" s="1070"/>
      <c r="AR619" s="1070"/>
      <c r="AS619" s="1070"/>
      <c r="AT619" s="1070"/>
      <c r="AU619" s="1070"/>
      <c r="AV619" s="1070"/>
      <c r="AW619" s="1070"/>
      <c r="AX619" s="1070"/>
      <c r="AY619" s="1070"/>
      <c r="AZ619" s="1070"/>
      <c r="BA619" s="1070"/>
      <c r="BB619" s="1070"/>
      <c r="BC619" s="1070"/>
      <c r="BD619" s="1070"/>
      <c r="BE619" s="1070"/>
      <c r="BF619" s="1070"/>
      <c r="BG619" s="1070"/>
      <c r="BH619" s="1069"/>
      <c r="BI619" s="1069"/>
      <c r="BJ619" s="1069"/>
      <c r="BK619" s="1069"/>
      <c r="BL619" s="1069"/>
      <c r="BM619" s="1069"/>
      <c r="BN619" s="1069"/>
      <c r="BO619" s="1069"/>
      <c r="BP619" s="1069"/>
      <c r="BQ619" s="1069"/>
      <c r="BR619" s="1069"/>
      <c r="BS619" s="1070"/>
      <c r="BT619" s="1069"/>
      <c r="BU619" s="1069"/>
      <c r="BV619" s="1069"/>
      <c r="BW619" s="1069"/>
      <c r="BX619" s="1068"/>
      <c r="BY619" s="1068"/>
      <c r="BZ619" s="1066"/>
      <c r="CA619" s="1069"/>
      <c r="CB619" s="1068">
        <f>+CB618-BY618</f>
        <v>-3.1379315055533874E-4</v>
      </c>
      <c r="CC619" s="1068">
        <f>+CC618-CB618</f>
        <v>-7.209308730661973E-4</v>
      </c>
      <c r="CD619" s="1066"/>
      <c r="CE619" s="1069"/>
      <c r="CF619" s="1068">
        <f>+CF618-CC618</f>
        <v>-2.6210872348296152E-4</v>
      </c>
      <c r="CG619" s="1068">
        <f>+CG618-CF618</f>
        <v>-3.928748804809673E-4</v>
      </c>
      <c r="CH619" s="1066"/>
      <c r="CI619" s="1069"/>
      <c r="CJ619" s="1068">
        <f>+CJ618-CG618</f>
        <v>-1.2038460151122185E-3</v>
      </c>
      <c r="CK619" s="1068">
        <f>+CK618-CJ618</f>
        <v>-8.8699311212075103E-4</v>
      </c>
      <c r="CL619" s="1066"/>
      <c r="CM619" s="1069"/>
      <c r="CN619" s="1068">
        <f>+CN618-CK618</f>
        <v>6.1258347071903654E-4</v>
      </c>
      <c r="CO619" s="1068">
        <f>+CO618-CN618</f>
        <v>-1.4345790547404258E-5</v>
      </c>
      <c r="CP619" s="1066"/>
      <c r="CQ619" s="1069"/>
      <c r="CR619" s="1068">
        <f>+CR618-CO618</f>
        <v>-6.0848915250040839E-4</v>
      </c>
      <c r="CS619" s="1068">
        <f>+CS618-CR618</f>
        <v>1.3042928736708582E-3</v>
      </c>
      <c r="CT619" s="1066"/>
      <c r="CU619" s="1069"/>
      <c r="CV619" s="1068">
        <f>+CV618-CS618</f>
        <v>9.9236468054498053E-4</v>
      </c>
      <c r="CW619" s="1068">
        <f>+CW618-CV618</f>
        <v>-7.4727169479588823E-4</v>
      </c>
      <c r="CX619" s="1066"/>
      <c r="CY619" s="1069"/>
      <c r="CZ619" s="1068">
        <f>+CZ618-CW618</f>
        <v>-7.7449675248390804E-4</v>
      </c>
      <c r="DA619" s="1068">
        <f>+DA618-CZ618</f>
        <v>2.8815131718295389E-4</v>
      </c>
      <c r="DB619" s="1066"/>
      <c r="DC619" s="1069"/>
      <c r="DD619" s="1068">
        <f>+DD618-DA618</f>
        <v>-5.3985858110530346E-4</v>
      </c>
      <c r="DE619" s="1068">
        <f>+DE618-DD618</f>
        <v>-3.5620250212930679E-4</v>
      </c>
      <c r="DF619" s="1066"/>
      <c r="DG619" s="1069"/>
      <c r="DH619" s="1068">
        <f ca="1">+DH618-DE618</f>
        <v>1.0717860583747858E-4</v>
      </c>
      <c r="DI619" s="1068">
        <f ca="1">+DI618-DH618</f>
        <v>-1.0258909873109637E-4</v>
      </c>
      <c r="DJ619" s="1066"/>
      <c r="DK619" s="1069"/>
      <c r="DL619" s="1068">
        <f ca="1">+DL618-DI618</f>
        <v>3.4669900811287735E-6</v>
      </c>
      <c r="DM619" s="1068">
        <f ca="1">+DM618-DL618</f>
        <v>-9.8227291782219256E-5</v>
      </c>
      <c r="DN619" s="1066"/>
      <c r="DO619" s="1069"/>
      <c r="DP619" s="1068">
        <f ca="1">+DP618-DM618</f>
        <v>6.6805769069564619E-6</v>
      </c>
      <c r="DQ619" s="1068">
        <f ca="1">+DQ618-DP618</f>
        <v>-2.0267812626366399E-6</v>
      </c>
      <c r="DR619" s="1066"/>
      <c r="DS619" s="1069"/>
      <c r="DT619" s="49"/>
      <c r="DU619" s="49"/>
      <c r="DV619" s="49"/>
    </row>
    <row r="620" spans="1:128" s="20" customFormat="1" ht="13.8">
      <c r="B620" s="49"/>
      <c r="BH620" s="49"/>
      <c r="BI620" s="49"/>
      <c r="BJ620" s="49"/>
      <c r="BK620" s="49"/>
      <c r="BL620" s="49"/>
      <c r="BM620" s="49"/>
      <c r="BN620" s="49"/>
      <c r="BO620" s="49"/>
      <c r="BP620" s="49"/>
      <c r="BQ620" s="49"/>
      <c r="BR620" s="49"/>
      <c r="BT620" s="49"/>
      <c r="BU620" s="49"/>
      <c r="BV620" s="49"/>
      <c r="BW620" s="49"/>
      <c r="BX620" s="49"/>
      <c r="BY620" s="49"/>
      <c r="BZ620" s="49"/>
      <c r="CA620" s="49"/>
      <c r="CB620" s="49"/>
      <c r="CC620" s="49"/>
      <c r="CD620" s="49"/>
      <c r="CE620" s="49"/>
      <c r="CF620" s="49"/>
      <c r="CG620" s="49"/>
      <c r="CH620" s="49"/>
      <c r="CI620" s="49"/>
      <c r="CJ620" s="49"/>
      <c r="CK620" s="49"/>
      <c r="CL620" s="49"/>
      <c r="CM620" s="49"/>
      <c r="CN620" s="49"/>
      <c r="CO620" s="49"/>
      <c r="CP620" s="49"/>
      <c r="CQ620" s="49"/>
      <c r="CR620" s="49"/>
      <c r="CS620" s="49"/>
      <c r="CT620" s="49"/>
      <c r="CU620" s="49"/>
      <c r="CV620" s="49"/>
      <c r="CW620" s="49"/>
      <c r="CX620" s="49"/>
      <c r="CY620" s="49"/>
      <c r="CZ620" s="49"/>
      <c r="DA620" s="49"/>
      <c r="DB620" s="49"/>
      <c r="DC620" s="49"/>
      <c r="DD620" s="49"/>
      <c r="DE620" s="49"/>
      <c r="DF620" s="49"/>
      <c r="DG620" s="49"/>
      <c r="DH620" s="49"/>
      <c r="DI620" s="49"/>
      <c r="DJ620" s="49"/>
      <c r="DK620" s="49"/>
      <c r="DL620" s="49"/>
      <c r="DM620" s="49"/>
      <c r="DN620" s="49"/>
      <c r="DO620" s="49"/>
      <c r="DP620" s="49"/>
      <c r="DQ620" s="49"/>
      <c r="DR620" s="49"/>
      <c r="DS620" s="49"/>
      <c r="DT620" s="49"/>
      <c r="DU620" s="49"/>
      <c r="DV620" s="49"/>
    </row>
    <row r="621" spans="1:128" s="20" customFormat="1" ht="13.8">
      <c r="A621" s="21" t="s">
        <v>1148</v>
      </c>
      <c r="B621" s="49"/>
      <c r="BH621" s="49"/>
      <c r="BI621" s="49"/>
      <c r="BJ621" s="49"/>
      <c r="BK621" s="49"/>
      <c r="BL621" s="49"/>
      <c r="BM621" s="49"/>
      <c r="BN621" s="49"/>
      <c r="BO621" s="49"/>
      <c r="BP621" s="49"/>
      <c r="BQ621" s="49"/>
      <c r="BR621" s="49"/>
      <c r="BT621" s="49"/>
      <c r="BU621" s="49"/>
      <c r="BV621" s="49"/>
      <c r="BW621" s="49"/>
      <c r="BX621" s="49"/>
      <c r="BY621" s="49"/>
      <c r="BZ621" s="49"/>
      <c r="CA621" s="49"/>
      <c r="CB621" s="49"/>
      <c r="CC621" s="49"/>
      <c r="CD621" s="49"/>
      <c r="CE621" s="49"/>
      <c r="CF621" s="49"/>
      <c r="CG621" s="49"/>
      <c r="CH621" s="49"/>
      <c r="CI621" s="49"/>
      <c r="CJ621" s="49"/>
      <c r="CK621" s="49"/>
      <c r="CL621" s="49"/>
      <c r="CM621" s="49"/>
      <c r="CN621" s="77">
        <f>CN774</f>
        <v>2.272777096305293E-2</v>
      </c>
      <c r="CO621" s="77">
        <f>CO774</f>
        <v>2.170803752574002E-2</v>
      </c>
      <c r="CP621" s="77">
        <f>CP774</f>
        <v>2.2202312740910512E-2</v>
      </c>
      <c r="CQ621" s="49"/>
      <c r="CR621" s="77">
        <f>CR774</f>
        <v>2.0767483503765918E-2</v>
      </c>
      <c r="CS621" s="77">
        <f>CS774</f>
        <v>2.2634378661840291E-2</v>
      </c>
      <c r="CT621" s="77">
        <f>CT774</f>
        <v>2.1714090401550503E-2</v>
      </c>
      <c r="CU621" s="49"/>
      <c r="CV621" s="77">
        <f>CV774</f>
        <v>2.4314575097557894E-2</v>
      </c>
      <c r="CW621" s="77">
        <f>CW774</f>
        <v>2.3489210325430849E-2</v>
      </c>
      <c r="CX621" s="77">
        <f>CX774</f>
        <v>2.3901692441071536E-2</v>
      </c>
      <c r="CY621" s="49"/>
      <c r="CZ621" s="77">
        <f>CZ774</f>
        <v>2.3262335932319252E-2</v>
      </c>
      <c r="DA621" s="77">
        <f>DA774</f>
        <v>2.382715549410179E-2</v>
      </c>
      <c r="DB621" s="77">
        <f>DB774</f>
        <v>2.3546135163536628E-2</v>
      </c>
      <c r="DC621" s="49"/>
      <c r="DD621" s="77">
        <f>DD774</f>
        <v>2.2637361225728E-2</v>
      </c>
      <c r="DE621" s="77">
        <f>DE774</f>
        <v>2.2620302597959559E-2</v>
      </c>
      <c r="DF621" s="77">
        <f>DF774</f>
        <v>2.2629011793115317E-2</v>
      </c>
      <c r="DG621" s="49"/>
      <c r="DH621" s="77">
        <f ca="1">DH774</f>
        <v>2.2873521363053491E-2</v>
      </c>
      <c r="DI621" s="77">
        <f ca="1">DI774</f>
        <v>2.2712971954911718E-2</v>
      </c>
      <c r="DJ621" s="77">
        <f ca="1">DJ774</f>
        <v>2.2792897060799788E-2</v>
      </c>
      <c r="DK621" s="49"/>
      <c r="DL621" s="77">
        <f ca="1">DL774</f>
        <v>2.2702072323945745E-2</v>
      </c>
      <c r="DM621" s="77">
        <f ca="1">DM774</f>
        <v>2.2536740487372007E-2</v>
      </c>
      <c r="DN621" s="77">
        <f ca="1">DN774</f>
        <v>2.2618933826127504E-2</v>
      </c>
      <c r="DO621" s="49"/>
      <c r="DP621" s="77">
        <f ca="1">DP774</f>
        <v>2.2530983643672443E-2</v>
      </c>
      <c r="DQ621" s="77">
        <f ca="1">DQ774</f>
        <v>2.2513941249111918E-2</v>
      </c>
      <c r="DR621" s="77">
        <f ca="1">DR774</f>
        <v>2.2522371635318335E-2</v>
      </c>
      <c r="DS621" s="49"/>
      <c r="DT621" s="49"/>
      <c r="DU621" s="49"/>
      <c r="DV621" s="49"/>
    </row>
    <row r="622" spans="1:128" s="21" customFormat="1" ht="13.8">
      <c r="A622" s="974" t="s">
        <v>78</v>
      </c>
      <c r="B622" s="1234"/>
      <c r="C622" s="1235"/>
      <c r="D622" s="1235"/>
      <c r="E622" s="1235"/>
      <c r="F622" s="1235"/>
      <c r="G622" s="1235"/>
      <c r="H622" s="1235"/>
      <c r="I622" s="1235"/>
      <c r="J622" s="1235"/>
      <c r="K622" s="1235"/>
      <c r="L622" s="1235"/>
      <c r="M622" s="1235"/>
      <c r="N622" s="1235"/>
      <c r="O622" s="1235"/>
      <c r="P622" s="1235"/>
      <c r="Q622" s="1235"/>
      <c r="R622" s="1235"/>
      <c r="S622" s="1235"/>
      <c r="T622" s="1235"/>
      <c r="U622" s="1235"/>
      <c r="V622" s="1235"/>
      <c r="W622" s="1235"/>
      <c r="X622" s="1235"/>
      <c r="Y622" s="1235"/>
      <c r="Z622" s="1235"/>
      <c r="AA622" s="1235"/>
      <c r="AB622" s="1235"/>
      <c r="AC622" s="1235"/>
      <c r="AD622" s="1235"/>
      <c r="AE622" s="1235"/>
      <c r="AF622" s="1235"/>
      <c r="AG622" s="1235"/>
      <c r="AH622" s="1235"/>
      <c r="AI622" s="1235"/>
      <c r="AJ622" s="1235"/>
      <c r="AK622" s="1235"/>
      <c r="AL622" s="1235"/>
      <c r="AM622" s="1235"/>
      <c r="AN622" s="1235"/>
      <c r="AO622" s="1235"/>
      <c r="AP622" s="1235"/>
      <c r="AQ622" s="1235"/>
      <c r="AR622" s="1235"/>
      <c r="AS622" s="1235"/>
      <c r="AT622" s="1235"/>
      <c r="AU622" s="1235"/>
      <c r="AV622" s="1235"/>
      <c r="AW622" s="1235"/>
      <c r="AX622" s="1235"/>
      <c r="AY622" s="1235"/>
      <c r="AZ622" s="1235"/>
      <c r="BA622" s="1235"/>
      <c r="BB622" s="1235"/>
      <c r="BC622" s="1235"/>
      <c r="BD622" s="1235"/>
      <c r="BE622" s="1235"/>
      <c r="BF622" s="1235"/>
      <c r="BG622" s="1235"/>
      <c r="BH622" s="1234"/>
      <c r="BI622" s="1234"/>
      <c r="BJ622" s="1234"/>
      <c r="BK622" s="1234"/>
      <c r="BL622" s="1234"/>
      <c r="BM622" s="1234"/>
      <c r="BN622" s="1234"/>
      <c r="BO622" s="1234"/>
      <c r="BP622" s="1234"/>
      <c r="BQ622" s="1234"/>
      <c r="BR622" s="1234"/>
      <c r="BS622" s="1235"/>
      <c r="BT622" s="1234"/>
      <c r="BU622" s="1234"/>
      <c r="BV622" s="1234"/>
      <c r="BW622" s="1234"/>
      <c r="BX622" s="1234"/>
      <c r="BY622" s="1234"/>
      <c r="BZ622" s="1234"/>
      <c r="CA622" s="1234"/>
      <c r="CB622" s="1234"/>
      <c r="CC622" s="1234"/>
      <c r="CD622" s="1234"/>
      <c r="CE622" s="1234"/>
      <c r="CF622" s="1234"/>
      <c r="CG622" s="1234"/>
      <c r="CH622" s="1234"/>
      <c r="CI622" s="1234"/>
      <c r="CJ622" s="1234"/>
      <c r="CK622" s="1234"/>
      <c r="CL622" s="1234"/>
      <c r="CM622" s="1234"/>
      <c r="CN622" s="972">
        <f>CN775</f>
        <v>4.8265785989927076E-4</v>
      </c>
      <c r="CO622" s="972">
        <f>CO775</f>
        <v>-1.0197334373129099E-3</v>
      </c>
      <c r="CP622" s="972"/>
      <c r="CQ622" s="1234"/>
      <c r="CR622" s="972">
        <f>CR775</f>
        <v>-9.4055402197410279E-4</v>
      </c>
      <c r="CS622" s="972">
        <f>CS775</f>
        <v>1.8668951580743734E-3</v>
      </c>
      <c r="CT622" s="972"/>
      <c r="CU622" s="1234"/>
      <c r="CV622" s="972">
        <f>CV775</f>
        <v>1.6801964357176027E-3</v>
      </c>
      <c r="CW622" s="972">
        <f>CW775</f>
        <v>-8.253647721270449E-4</v>
      </c>
      <c r="CX622" s="972"/>
      <c r="CY622" s="1234"/>
      <c r="CZ622" s="972">
        <f>CZ775</f>
        <v>-2.2687439311159727E-4</v>
      </c>
      <c r="DA622" s="972">
        <f>DA775</f>
        <v>5.6481956178253828E-4</v>
      </c>
      <c r="DB622" s="972"/>
      <c r="DC622" s="1234"/>
      <c r="DD622" s="972">
        <f>DD775</f>
        <v>-1.1897942683737894E-3</v>
      </c>
      <c r="DE622" s="972">
        <f>DE775</f>
        <v>-1.7058627768441748E-5</v>
      </c>
      <c r="DF622" s="972"/>
      <c r="DG622" s="1234"/>
      <c r="DH622" s="972">
        <f ca="1">DH775</f>
        <v>2.5321876509393215E-4</v>
      </c>
      <c r="DI622" s="972">
        <f ca="1">DI775</f>
        <v>-1.6054940814177326E-4</v>
      </c>
      <c r="DJ622" s="972"/>
      <c r="DK622" s="1234"/>
      <c r="DL622" s="972">
        <f ca="1">DL775</f>
        <v>-1.0899630965972157E-5</v>
      </c>
      <c r="DM622" s="972">
        <f ca="1">DM775</f>
        <v>-1.6533183657373857E-4</v>
      </c>
      <c r="DN622" s="972"/>
      <c r="DO622" s="1234"/>
      <c r="DP622" s="972">
        <f ca="1">DP775</f>
        <v>-5.7568436995641958E-6</v>
      </c>
      <c r="DQ622" s="972">
        <f ca="1">DQ775</f>
        <v>-1.7042394560524976E-5</v>
      </c>
      <c r="DR622" s="972"/>
      <c r="DS622" s="1234"/>
      <c r="DT622" s="1234"/>
      <c r="DU622" s="1234"/>
      <c r="DV622" s="1234"/>
    </row>
    <row r="623" spans="1:128" s="21" customFormat="1" ht="13.8">
      <c r="A623" s="78"/>
      <c r="B623" s="27"/>
      <c r="BH623" s="27"/>
      <c r="BI623" s="27"/>
      <c r="BJ623" s="27"/>
      <c r="BK623" s="27"/>
      <c r="BL623" s="27"/>
      <c r="BM623" s="27"/>
      <c r="BN623" s="27"/>
      <c r="BO623" s="27"/>
      <c r="BP623" s="27"/>
      <c r="BQ623" s="27"/>
      <c r="BR623" s="27"/>
      <c r="BT623" s="27"/>
      <c r="BU623" s="27"/>
      <c r="BV623" s="27"/>
      <c r="BW623" s="27"/>
      <c r="BX623" s="27"/>
      <c r="BY623" s="27"/>
      <c r="BZ623" s="27"/>
      <c r="CA623" s="27"/>
      <c r="CB623" s="27"/>
      <c r="CC623" s="27"/>
      <c r="CD623" s="27"/>
      <c r="CE623" s="27"/>
      <c r="CF623" s="27"/>
      <c r="CG623" s="27"/>
      <c r="CH623" s="27"/>
      <c r="CI623" s="27"/>
      <c r="CJ623" s="27"/>
      <c r="CK623" s="27"/>
      <c r="CL623" s="27"/>
      <c r="CM623" s="27"/>
      <c r="CN623" s="1247"/>
      <c r="CO623" s="1247"/>
      <c r="CP623" s="1247"/>
      <c r="CQ623" s="27"/>
      <c r="CR623" s="1247"/>
      <c r="CS623" s="1247"/>
      <c r="CT623" s="1247"/>
      <c r="CU623" s="27"/>
      <c r="CV623" s="1247"/>
      <c r="CW623" s="1247"/>
      <c r="CX623" s="1247"/>
      <c r="CY623" s="27"/>
      <c r="CZ623" s="1247"/>
      <c r="DA623" s="1247"/>
      <c r="DB623" s="1247"/>
      <c r="DC623" s="27"/>
      <c r="DD623" s="1247"/>
      <c r="DE623" s="1247"/>
      <c r="DF623" s="1247"/>
      <c r="DG623" s="27"/>
      <c r="DH623" s="1247"/>
      <c r="DI623" s="1247"/>
      <c r="DJ623" s="1247"/>
      <c r="DK623" s="27"/>
      <c r="DL623" s="1247"/>
      <c r="DM623" s="1247"/>
      <c r="DN623" s="1247"/>
      <c r="DO623" s="27"/>
      <c r="DP623" s="1247"/>
      <c r="DQ623" s="1247"/>
      <c r="DR623" s="1247"/>
      <c r="DS623" s="27"/>
      <c r="DT623" s="27"/>
      <c r="DU623" s="27"/>
      <c r="DV623" s="27"/>
    </row>
    <row r="624" spans="1:128" s="21" customFormat="1" ht="13.8">
      <c r="A624" s="21" t="s">
        <v>1166</v>
      </c>
      <c r="B624" s="27"/>
      <c r="BH624" s="27"/>
      <c r="BI624" s="27"/>
      <c r="BJ624" s="27"/>
      <c r="BK624" s="27"/>
      <c r="BL624" s="27"/>
      <c r="BM624" s="27"/>
      <c r="BN624" s="27"/>
      <c r="BO624" s="27"/>
      <c r="BP624" s="27"/>
      <c r="BQ624" s="27"/>
      <c r="BR624" s="27"/>
      <c r="BT624" s="27"/>
      <c r="BU624" s="27"/>
      <c r="BV624" s="27"/>
      <c r="BW624" s="27"/>
      <c r="BX624" s="27"/>
      <c r="BY624" s="27"/>
      <c r="BZ624" s="27"/>
      <c r="CA624" s="27"/>
      <c r="CB624" s="27"/>
      <c r="CC624" s="27"/>
      <c r="CD624" s="27"/>
      <c r="CE624" s="27"/>
      <c r="CF624" s="27"/>
      <c r="CG624" s="27"/>
      <c r="CH624" s="27"/>
      <c r="CI624" s="27"/>
      <c r="CJ624" s="1247">
        <f>CJ782</f>
        <v>1.5927139523563272E-2</v>
      </c>
      <c r="CK624" s="1247">
        <f t="shared" ref="CK624:CL624" si="1008">CK782</f>
        <v>1.4858878622959119E-2</v>
      </c>
      <c r="CL624" s="1247">
        <f t="shared" si="1008"/>
        <v>1.538912620729138E-2</v>
      </c>
      <c r="CM624" s="27"/>
      <c r="CN624" s="1247">
        <f>CN782</f>
        <v>1.5398024806507834E-2</v>
      </c>
      <c r="CO624" s="1247">
        <f t="shared" ref="CO624:CP624" si="1009">CO782</f>
        <v>1.5445855496025755E-2</v>
      </c>
      <c r="CP624" s="1247">
        <f t="shared" si="1009"/>
        <v>1.5422182238786789E-2</v>
      </c>
      <c r="CQ624" s="27"/>
      <c r="CR624" s="1247">
        <f>CR782</f>
        <v>1.489946989336771E-2</v>
      </c>
      <c r="CS624" s="1247">
        <f t="shared" ref="CS624:CT624" si="1010">CS782</f>
        <v>1.6216951658753816E-2</v>
      </c>
      <c r="CT624" s="1247">
        <f t="shared" si="1010"/>
        <v>1.5567498903890722E-2</v>
      </c>
      <c r="CU624" s="27"/>
      <c r="CV624" s="1247">
        <f>CV782</f>
        <v>1.7182202774388367E-2</v>
      </c>
      <c r="CW624" s="1247">
        <f t="shared" ref="CW624:CX625" si="1011">CW782</f>
        <v>1.6439214133638552E-2</v>
      </c>
      <c r="CX624" s="1247">
        <f t="shared" si="1011"/>
        <v>1.6808894458807951E-2</v>
      </c>
      <c r="CY624" s="27"/>
      <c r="CZ624" s="1247">
        <f>CZ782</f>
        <v>1.5681046374582643E-2</v>
      </c>
      <c r="DA624" s="1247">
        <f t="shared" ref="DA624:DB624" si="1012">DA782</f>
        <v>1.5969197691765597E-2</v>
      </c>
      <c r="DB624" s="1247">
        <f t="shared" si="1012"/>
        <v>1.5826247342753532E-2</v>
      </c>
      <c r="DC624" s="27"/>
      <c r="DD624" s="1247">
        <f>DD782</f>
        <v>1.5429339110660294E-2</v>
      </c>
      <c r="DE624" s="1247">
        <f t="shared" ref="DE624:DF625" si="1013">DE782</f>
        <v>1.5073136608530987E-2</v>
      </c>
      <c r="DF624" s="1247">
        <f t="shared" si="1013"/>
        <v>1.5248066721394031E-2</v>
      </c>
      <c r="DG624" s="27"/>
      <c r="DH624" s="1247">
        <f ca="1">DH782</f>
        <v>1.5180315214368465E-2</v>
      </c>
      <c r="DI624" s="1247">
        <f t="shared" ref="DI624:DJ625" ca="1" si="1014">DI782</f>
        <v>1.5077726115637369E-2</v>
      </c>
      <c r="DJ624" s="1247">
        <f t="shared" ca="1" si="1014"/>
        <v>1.5128809816865657E-2</v>
      </c>
      <c r="DK624" s="27"/>
      <c r="DL624" s="1247">
        <f ca="1">DL782</f>
        <v>1.5081193105718498E-2</v>
      </c>
      <c r="DM624" s="1247">
        <f t="shared" ref="DM624:DN624" ca="1" si="1015">DM782</f>
        <v>1.4982965813936279E-2</v>
      </c>
      <c r="DN624" s="1247">
        <f t="shared" ca="1" si="1015"/>
        <v>1.5031853674050757E-2</v>
      </c>
      <c r="DO624" s="27"/>
      <c r="DP624" s="1247">
        <f ca="1">DP782</f>
        <v>1.4989646390843235E-2</v>
      </c>
      <c r="DQ624" s="1247">
        <f t="shared" ref="DQ624:DR625" ca="1" si="1016">DQ782</f>
        <v>1.4987619609580598E-2</v>
      </c>
      <c r="DR624" s="1247">
        <f t="shared" ca="1" si="1016"/>
        <v>1.4988622515285486E-2</v>
      </c>
      <c r="DS624" s="27"/>
      <c r="DT624" s="27"/>
      <c r="DU624" s="27"/>
      <c r="DV624" s="27"/>
    </row>
    <row r="625" spans="1:128" s="20" customFormat="1" ht="13.8">
      <c r="A625" s="47" t="s">
        <v>78</v>
      </c>
      <c r="B625" s="49"/>
      <c r="BH625" s="49"/>
      <c r="BI625" s="49"/>
      <c r="BJ625" s="49"/>
      <c r="BK625" s="49"/>
      <c r="BL625" s="49"/>
      <c r="BM625" s="49"/>
      <c r="BN625" s="49"/>
      <c r="BO625" s="49"/>
      <c r="BP625" s="49"/>
      <c r="BQ625" s="49"/>
      <c r="BR625" s="49"/>
      <c r="BT625" s="49"/>
      <c r="BU625" s="49"/>
      <c r="BV625" s="49"/>
      <c r="BW625" s="49"/>
      <c r="BX625" s="49"/>
      <c r="BY625" s="49"/>
      <c r="BZ625" s="49"/>
      <c r="CA625" s="49"/>
      <c r="CB625" s="49"/>
      <c r="CC625" s="49"/>
      <c r="CD625" s="49"/>
      <c r="CE625" s="49"/>
      <c r="CF625" s="49"/>
      <c r="CG625" s="49"/>
      <c r="CH625" s="49"/>
      <c r="CI625" s="49"/>
      <c r="CJ625" s="1248">
        <f>CJ783</f>
        <v>-7.8882128316755742E-4</v>
      </c>
      <c r="CK625" s="1248">
        <f t="shared" ref="CK625" si="1017">CK783</f>
        <v>-1.0682609006041534E-3</v>
      </c>
      <c r="CL625" s="1248"/>
      <c r="CM625" s="49"/>
      <c r="CN625" s="1248">
        <f>CN783</f>
        <v>5.3914618354871519E-4</v>
      </c>
      <c r="CO625" s="1248">
        <f t="shared" ref="CO625" si="1018">CO783</f>
        <v>4.7830689517920633E-5</v>
      </c>
      <c r="CP625" s="1248"/>
      <c r="CQ625" s="49"/>
      <c r="CR625" s="1248">
        <f>CR783</f>
        <v>-5.4638560265804492E-4</v>
      </c>
      <c r="CS625" s="1248">
        <f t="shared" ref="CS625" si="1019">CS783</f>
        <v>1.3174817653861057E-3</v>
      </c>
      <c r="CT625" s="1248"/>
      <c r="CU625" s="49"/>
      <c r="CV625" s="1248">
        <f>CV783</f>
        <v>9.6525111563455085E-4</v>
      </c>
      <c r="CW625" s="1248">
        <f t="shared" si="1011"/>
        <v>-7.429886407498143E-4</v>
      </c>
      <c r="CX625" s="1248"/>
      <c r="CY625" s="49"/>
      <c r="CZ625" s="1248">
        <f>CZ783</f>
        <v>-7.5816775905590897E-4</v>
      </c>
      <c r="DA625" s="1248">
        <f t="shared" ref="DA625" si="1020">DA783</f>
        <v>2.8815131718295389E-4</v>
      </c>
      <c r="DB625" s="1248"/>
      <c r="DC625" s="49"/>
      <c r="DD625" s="1248">
        <f>DD783</f>
        <v>-5.3985858110530346E-4</v>
      </c>
      <c r="DE625" s="1248">
        <f t="shared" si="1013"/>
        <v>-3.5620250212930679E-4</v>
      </c>
      <c r="DF625" s="1248"/>
      <c r="DG625" s="49"/>
      <c r="DH625" s="1248">
        <f ca="1">DH783</f>
        <v>1.0717860583747858E-4</v>
      </c>
      <c r="DI625" s="1248">
        <f t="shared" ca="1" si="1014"/>
        <v>-1.0258909873109637E-4</v>
      </c>
      <c r="DJ625" s="1248"/>
      <c r="DK625" s="49"/>
      <c r="DL625" s="1248">
        <f ca="1">DL783</f>
        <v>3.4669900811287735E-6</v>
      </c>
      <c r="DM625" s="1248">
        <f t="shared" ref="DM625" ca="1" si="1021">DM783</f>
        <v>-9.8227291782219256E-5</v>
      </c>
      <c r="DN625" s="1248"/>
      <c r="DO625" s="49"/>
      <c r="DP625" s="1248">
        <f ca="1">DP783</f>
        <v>6.6805769069564619E-6</v>
      </c>
      <c r="DQ625" s="1248">
        <f t="shared" ca="1" si="1016"/>
        <v>-2.0267812626366399E-6</v>
      </c>
      <c r="DR625" s="1248"/>
      <c r="DS625" s="49"/>
      <c r="DT625" s="49"/>
      <c r="DU625" s="49"/>
      <c r="DV625" s="49"/>
    </row>
    <row r="626" spans="1:128" s="20" customFormat="1" ht="13.8">
      <c r="A626" s="47" t="s">
        <v>1167</v>
      </c>
      <c r="B626" s="49"/>
      <c r="BH626" s="49"/>
      <c r="BI626" s="49"/>
      <c r="BJ626" s="49"/>
      <c r="BK626" s="49"/>
      <c r="BL626" s="49"/>
      <c r="BM626" s="49"/>
      <c r="BN626" s="49"/>
      <c r="BO626" s="49"/>
      <c r="BP626" s="49"/>
      <c r="BQ626" s="49"/>
      <c r="BR626" s="49"/>
      <c r="BT626" s="49"/>
      <c r="BU626" s="49"/>
      <c r="BV626" s="49"/>
      <c r="BW626" s="49"/>
      <c r="BX626" s="49"/>
      <c r="BY626" s="49"/>
      <c r="BZ626" s="49"/>
      <c r="CA626" s="49"/>
      <c r="CB626" s="49"/>
      <c r="CC626" s="49"/>
      <c r="CD626" s="49"/>
      <c r="CE626" s="49"/>
      <c r="CF626" s="49"/>
      <c r="CG626" s="49"/>
      <c r="CH626" s="49"/>
      <c r="CI626" s="49"/>
      <c r="CJ626" s="1248"/>
      <c r="CK626" s="1248"/>
      <c r="CL626" s="1248"/>
      <c r="CM626" s="49"/>
      <c r="CN626" s="1248">
        <f t="shared" ref="CN626:CO626" si="1022">+CN612-CN625</f>
        <v>1.6215042109764613E-4</v>
      </c>
      <c r="CO626" s="1248">
        <f t="shared" si="1022"/>
        <v>4.3051771410930473E-6</v>
      </c>
      <c r="CP626" s="1248"/>
      <c r="CQ626" s="49"/>
      <c r="CR626" s="1248">
        <f t="shared" ref="CR626:CS626" si="1023">+CR612-CR625</f>
        <v>-1.4142817281059816E-4</v>
      </c>
      <c r="CS626" s="1248">
        <f t="shared" si="1023"/>
        <v>-3.0985760039472197E-4</v>
      </c>
      <c r="CT626" s="1248"/>
      <c r="CU626" s="49"/>
      <c r="CV626" s="1248">
        <f>+CV612-CV625</f>
        <v>-2.6549604784140493E-4</v>
      </c>
      <c r="CW626" s="1248">
        <f t="shared" ref="CW626" si="1024">+CW612-CW625</f>
        <v>-3.0149814905089389E-4</v>
      </c>
      <c r="CX626" s="1248"/>
      <c r="CY626" s="49"/>
      <c r="CZ626" s="1248">
        <f>+CZ612-CZ625</f>
        <v>-1.8318274259805818E-4</v>
      </c>
      <c r="DA626" s="1248">
        <f t="shared" ref="DA626" si="1025">+DA612-DA625</f>
        <v>-3.8626575938564139E-6</v>
      </c>
      <c r="DB626" s="1248"/>
      <c r="DC626" s="49"/>
      <c r="DD626" s="1248">
        <f>+DD612-DD625</f>
        <v>2.7388001709105318E-4</v>
      </c>
      <c r="DE626" s="1248">
        <f t="shared" ref="DE626" si="1026">+DE612-DE625</f>
        <v>1.8811089073326841E-4</v>
      </c>
      <c r="DF626" s="1248"/>
      <c r="DG626" s="49"/>
      <c r="DH626" s="1248">
        <f t="shared" ref="DH626:DI626" ca="1" si="1027">+DH612-DH625</f>
        <v>-6.7920457205456614E-6</v>
      </c>
      <c r="DI626" s="1248">
        <f t="shared" ca="1" si="1027"/>
        <v>-9.0432484257767232E-7</v>
      </c>
      <c r="DJ626" s="1248"/>
      <c r="DK626" s="49"/>
      <c r="DL626" s="1248">
        <f t="shared" ref="DL626:DM626" ca="1" si="1028">+DL612-DL625</f>
        <v>-4.3364033791484097E-6</v>
      </c>
      <c r="DM626" s="1248">
        <f t="shared" ca="1" si="1028"/>
        <v>-3.6625240438792339E-6</v>
      </c>
      <c r="DN626" s="1248"/>
      <c r="DO626" s="49"/>
      <c r="DP626" s="1248">
        <f t="shared" ref="DP626:DQ626" ca="1" si="1029">+DP612-DP625</f>
        <v>-5.1371574808067172E-6</v>
      </c>
      <c r="DQ626" s="1248">
        <f t="shared" ca="1" si="1029"/>
        <v>-1.1537119637677201E-6</v>
      </c>
      <c r="DR626" s="1248"/>
      <c r="DS626" s="49"/>
      <c r="DT626" s="49"/>
      <c r="DU626" s="49"/>
      <c r="DV626" s="49"/>
    </row>
    <row r="627" spans="1:128" s="20" customFormat="1" ht="13.8">
      <c r="B627" s="49"/>
      <c r="BH627" s="49"/>
      <c r="BI627" s="49"/>
      <c r="BJ627" s="49"/>
      <c r="BK627" s="49"/>
      <c r="BL627" s="49"/>
      <c r="BM627" s="49"/>
      <c r="BN627" s="49"/>
      <c r="BO627" s="49"/>
      <c r="BP627" s="49"/>
      <c r="BQ627" s="49"/>
      <c r="BR627" s="49"/>
      <c r="BT627" s="49"/>
      <c r="BU627" s="49"/>
      <c r="BV627" s="49"/>
      <c r="BW627" s="49"/>
      <c r="BX627" s="49"/>
      <c r="BY627" s="49"/>
      <c r="BZ627" s="49"/>
      <c r="CA627" s="49"/>
      <c r="CB627" s="49"/>
      <c r="CC627" s="49"/>
      <c r="CD627" s="49"/>
      <c r="CE627" s="49"/>
      <c r="CF627" s="49"/>
      <c r="CG627" s="49"/>
      <c r="CH627" s="49"/>
      <c r="CI627" s="49"/>
      <c r="CJ627" s="49"/>
      <c r="CK627" s="49"/>
      <c r="CL627" s="49"/>
      <c r="CM627" s="49"/>
      <c r="CN627" s="49"/>
      <c r="CO627" s="49"/>
      <c r="CP627" s="49"/>
      <c r="CQ627" s="49"/>
      <c r="CR627" s="49"/>
      <c r="CS627" s="49"/>
      <c r="CT627" s="49"/>
      <c r="CU627" s="49"/>
      <c r="CV627" s="49"/>
      <c r="CW627" s="49"/>
      <c r="CX627" s="49"/>
      <c r="CY627" s="49"/>
      <c r="CZ627" s="49"/>
      <c r="DA627" s="49"/>
      <c r="DB627" s="49"/>
      <c r="DC627" s="49"/>
      <c r="DD627" s="49"/>
      <c r="DE627" s="49"/>
      <c r="DF627" s="49"/>
      <c r="DG627" s="49"/>
      <c r="DH627" s="49"/>
      <c r="DI627" s="49"/>
      <c r="DJ627" s="49"/>
      <c r="DK627" s="49"/>
      <c r="DL627" s="49"/>
      <c r="DM627" s="49"/>
      <c r="DN627" s="49"/>
      <c r="DO627" s="49"/>
      <c r="DP627" s="49"/>
      <c r="DQ627" s="49"/>
      <c r="DR627" s="49"/>
      <c r="DS627" s="49"/>
      <c r="DT627" s="49"/>
      <c r="DU627" s="49"/>
      <c r="DV627" s="49"/>
    </row>
    <row r="628" spans="1:128" s="20" customFormat="1" ht="13.8">
      <c r="A628" s="20" t="s">
        <v>279</v>
      </c>
      <c r="B628" s="49"/>
      <c r="BH628" s="77">
        <f>BH643</f>
        <v>5.8710088493048297E-2</v>
      </c>
      <c r="BI628" s="77">
        <f>BI643</f>
        <v>5.471721245967285E-2</v>
      </c>
      <c r="BJ628" s="77">
        <f>BJ643</f>
        <v>5.6755884499836463E-2</v>
      </c>
      <c r="BK628" s="49"/>
      <c r="BL628" s="77">
        <f>BL643</f>
        <v>5.2068224292281404E-2</v>
      </c>
      <c r="BM628" s="77">
        <f>BM643</f>
        <v>5.1813435266301201E-2</v>
      </c>
      <c r="BN628" s="77">
        <f>BN643</f>
        <v>5.1937511892234028E-2</v>
      </c>
      <c r="BO628" s="49"/>
      <c r="BP628" s="77">
        <f>BP643</f>
        <v>5.1078071001882275E-2</v>
      </c>
      <c r="BQ628" s="77">
        <f>BQ643</f>
        <v>4.803390629814687E-2</v>
      </c>
      <c r="BR628" s="77">
        <f>BR643</f>
        <v>4.9524615170018133E-2</v>
      </c>
      <c r="BT628" s="77">
        <f>BT643</f>
        <v>4.9269238308902008E-2</v>
      </c>
      <c r="BU628" s="77">
        <f>BU643</f>
        <v>4.8159539816906648E-2</v>
      </c>
      <c r="BV628" s="77">
        <f>BV643</f>
        <v>4.8714312029669235E-2</v>
      </c>
      <c r="BX628" s="77">
        <f>BX643</f>
        <v>4.6328578983527602E-2</v>
      </c>
      <c r="BY628" s="77">
        <f>BY643</f>
        <v>4.6791689826969393E-2</v>
      </c>
      <c r="BZ628" s="77">
        <f>BZ643</f>
        <v>4.6561598797993424E-2</v>
      </c>
      <c r="CB628" s="77">
        <f>CB643</f>
        <v>4.6361287725090052E-2</v>
      </c>
      <c r="CC628" s="77">
        <f>CC643</f>
        <v>4.6610755732059132E-2</v>
      </c>
      <c r="CD628" s="77">
        <f>CD643</f>
        <v>4.6478329333472047E-2</v>
      </c>
      <c r="CF628" s="77">
        <f>CF643</f>
        <v>4.7416954767217856E-2</v>
      </c>
      <c r="CG628" s="77">
        <f>CG643</f>
        <v>4.4706639560691042E-2</v>
      </c>
      <c r="CH628" s="77">
        <f>CH643</f>
        <v>4.6053571550064294E-2</v>
      </c>
      <c r="CJ628" s="77">
        <f>CJ643</f>
        <v>4.0357965662155437E-2</v>
      </c>
      <c r="CK628" s="77">
        <f>CK643</f>
        <v>3.2394129675301371E-2</v>
      </c>
      <c r="CL628" s="77">
        <f>CL643</f>
        <v>3.6366966603247106E-2</v>
      </c>
      <c r="CN628" s="77">
        <f>CN643</f>
        <v>3.1245764027022234E-2</v>
      </c>
      <c r="CO628" s="77">
        <f>CO643</f>
        <v>3.0122625523601069E-2</v>
      </c>
      <c r="CP628" s="77">
        <f>CP643</f>
        <v>3.0682331291479591E-2</v>
      </c>
      <c r="CR628" s="77">
        <f>CR643</f>
        <v>2.950990948180807E-2</v>
      </c>
      <c r="CS628" s="77">
        <f>CS643</f>
        <v>3.7792148256626044E-2</v>
      </c>
      <c r="CT628" s="77">
        <f>CT643</f>
        <v>3.3704274382240482E-2</v>
      </c>
      <c r="CV628" s="77">
        <f>CV643</f>
        <v>5.4745036404728394E-2</v>
      </c>
      <c r="CW628" s="77">
        <f>CW643</f>
        <v>6.2811537852617338E-2</v>
      </c>
      <c r="CX628" s="77">
        <f>CX643</f>
        <v>5.8792112825201283E-2</v>
      </c>
      <c r="CZ628" s="77">
        <f>CZ643</f>
        <v>6.6296977930124609E-2</v>
      </c>
      <c r="DA628" s="77">
        <f>DA643</f>
        <v>6.7122500278819178E-2</v>
      </c>
      <c r="DB628" s="77">
        <f>DB643</f>
        <v>6.6720455345616714E-2</v>
      </c>
      <c r="DD628" s="77">
        <f>DD643</f>
        <v>6.5722703604199684E-2</v>
      </c>
      <c r="DE628" s="77">
        <f>DE643</f>
        <v>6.133534258170599E-2</v>
      </c>
      <c r="DF628" s="77">
        <f>DF643</f>
        <v>6.3502165879762831E-2</v>
      </c>
      <c r="DH628" s="77">
        <f>DH643</f>
        <v>6.1285342581705995E-2</v>
      </c>
      <c r="DI628" s="77">
        <f>DI643</f>
        <v>6.3585342581705992E-2</v>
      </c>
      <c r="DJ628" s="77">
        <f>DJ643</f>
        <v>6.2447928362926591E-2</v>
      </c>
      <c r="DL628" s="77">
        <f>DL643</f>
        <v>6.473534258170599E-2</v>
      </c>
      <c r="DM628" s="77">
        <f>DM643</f>
        <v>6.4535342581705998E-2</v>
      </c>
      <c r="DN628" s="77">
        <f>DN643</f>
        <v>6.4635955399271375E-2</v>
      </c>
      <c r="DP628" s="77">
        <f>DP643</f>
        <v>6.4435342581705995E-2</v>
      </c>
      <c r="DQ628" s="77">
        <f>DQ643</f>
        <v>6.4235342581706004E-2</v>
      </c>
      <c r="DR628" s="77">
        <f>DR643</f>
        <v>6.4334307943521643E-2</v>
      </c>
    </row>
    <row r="629" spans="1:128" s="20" customFormat="1" ht="13.8">
      <c r="A629" s="20" t="s">
        <v>298</v>
      </c>
      <c r="B629" s="49"/>
      <c r="BH629" s="77">
        <f>BH595*(BH$4/BH$3)/BH467</f>
        <v>-3.1727543666108457E-2</v>
      </c>
      <c r="BI629" s="77">
        <f>BI595*(BI$4/BI$3)/BI467</f>
        <v>-2.8402339124745879E-2</v>
      </c>
      <c r="BJ629" s="77">
        <f>BJ595*(BJ$4/BJ$3)/BJ467</f>
        <v>-3.0019312329597092E-2</v>
      </c>
      <c r="BK629" s="49"/>
      <c r="BL629" s="77">
        <f>BL595*(BL$4/BL$3)/BL467</f>
        <v>-2.6615724654098501E-2</v>
      </c>
      <c r="BM629" s="77">
        <f>BM595*(BM$4/BM$3)/BM467</f>
        <v>-2.6587825952681745E-2</v>
      </c>
      <c r="BN629" s="77">
        <f>BN595*(BN$4/BN$3)/BN467</f>
        <v>-2.6601376837333605E-2</v>
      </c>
      <c r="BO629" s="49"/>
      <c r="BP629" s="77">
        <f>BP595*(BP$4/BP$3)/BP467</f>
        <v>-2.5642580025588797E-2</v>
      </c>
      <c r="BQ629" s="77">
        <f>BQ595*(BQ$4/BQ$3)/BQ467</f>
        <v>-2.298717675257218E-2</v>
      </c>
      <c r="BR629" s="77">
        <f>BR595*(BR$4/BR$3)/BR467</f>
        <v>-2.4292561223819842E-2</v>
      </c>
      <c r="BT629" s="77">
        <f>BT595*(BT$4/BT$3)/BT467</f>
        <v>-2.2731702747175536E-2</v>
      </c>
      <c r="BU629" s="77">
        <f>BU595*(BU$4/BU$3)/BU467</f>
        <v>-2.2051671389805537E-2</v>
      </c>
      <c r="BV629" s="77">
        <f>BV595*(BV$4/BV$3)/BV467</f>
        <v>-2.2390826633870195E-2</v>
      </c>
      <c r="BX629" s="77">
        <f>BX595*(BX$4/BX$3)/BX467</f>
        <v>-2.0781542766130191E-2</v>
      </c>
      <c r="BY629" s="77">
        <f>BY595*(BY$4/BY$3)/BY467</f>
        <v>-2.0891856790422474E-2</v>
      </c>
      <c r="BZ629" s="77">
        <f>BZ595*(BZ$4/BZ$3)/BZ467</f>
        <v>-2.0837395759673111E-2</v>
      </c>
      <c r="CB629" s="77">
        <f>CB595*(CB$4/CB$3)/CB467</f>
        <v>-2.1414074923629733E-2</v>
      </c>
      <c r="CC629" s="77">
        <f>CC595*(CC$4/CC$3)/CC467</f>
        <v>-2.3169822100201545E-2</v>
      </c>
      <c r="CD629" s="77">
        <f>CD595*(CD$4/CD$3)/CD467</f>
        <v>-2.2303663410622305E-2</v>
      </c>
      <c r="CF629" s="77">
        <f>CF595*(CF$4/CF$3)/CF467</f>
        <v>-2.3796989423050252E-2</v>
      </c>
      <c r="CG629" s="77">
        <f>CG595*(CG$4/CG$3)/CG467</f>
        <v>-2.1520926168897302E-2</v>
      </c>
      <c r="CH629" s="77">
        <f>CH595*(CH$4/CH$3)/CH467</f>
        <v>-2.2631819708312659E-2</v>
      </c>
      <c r="CJ629" s="77">
        <f>CJ595*(CJ$4/CJ$3)/CJ467</f>
        <v>-1.6852345253907434E-2</v>
      </c>
      <c r="CK629" s="77">
        <f>CK595*(CK$4/CK$3)/CK467</f>
        <v>-9.3018795550441121E-3</v>
      </c>
      <c r="CL629" s="77">
        <f>CL595*(CL$4/CL$3)/CL467</f>
        <v>-1.3041402627637939E-2</v>
      </c>
      <c r="CN629" s="77">
        <f>CN595*(CN$4/CN$3)/CN467</f>
        <v>-7.2162649593495781E-3</v>
      </c>
      <c r="CO629" s="77">
        <f>CO595*(CO$4/CO$3)/CO467</f>
        <v>-6.0204905028607095E-3</v>
      </c>
      <c r="CP629" s="77">
        <f>CP595*(CP$4/CP$3)/CP467</f>
        <v>-6.6102605142893244E-3</v>
      </c>
      <c r="CR629" s="77">
        <f>CR595*(CR$4/CR$3)/CR467</f>
        <v>-6.1765892072361992E-3</v>
      </c>
      <c r="CS629" s="77">
        <f>CS595*(CS$4/CS$3)/CS467</f>
        <v>-1.4559046158865722E-2</v>
      </c>
      <c r="CT629" s="77">
        <f>CT595*(CT$4/CT$3)/CT467</f>
        <v>-1.0438283570676318E-2</v>
      </c>
      <c r="CV629" s="77">
        <f>CV595*(CV$4/CV$3)/CV467</f>
        <v>-3.2978961366613442E-2</v>
      </c>
      <c r="CW629" s="77">
        <f>CW595*(CW$4/CW$3)/CW467</f>
        <v>-4.3078125431726622E-2</v>
      </c>
      <c r="CX629" s="77">
        <f>CX595*(CX$4/CX$3)/CX467</f>
        <v>-3.8072818291393237E-2</v>
      </c>
      <c r="CZ629" s="77">
        <f>CZ595*(CZ$4/CZ$3)/CZ467</f>
        <v>-4.7073918188477726E-2</v>
      </c>
      <c r="DA629" s="77">
        <f>DA595*(DA$4/DA$3)/DA467</f>
        <v>-4.824983969350042E-2</v>
      </c>
      <c r="DB629" s="77">
        <f>DB595*(DB$4/DB$3)/DB467</f>
        <v>-4.7664461866596466E-2</v>
      </c>
      <c r="DD629" s="77">
        <f>DD595*(DD$4/DD$3)/DD467</f>
        <v>-4.5799707142542986E-2</v>
      </c>
      <c r="DE629" s="77">
        <f>DE595*(DE$4/DE$3)/DE467</f>
        <v>-4.109116007876893E-2</v>
      </c>
      <c r="DF629" s="77">
        <f>DF595*(DF$4/DF$3)/DF467</f>
        <v>-4.3409833813905528E-2</v>
      </c>
      <c r="DH629" s="77">
        <f ca="1">DH595*(DH$4/DH$3)/DH467</f>
        <v>-4.1313149180155551E-2</v>
      </c>
      <c r="DI629" s="77">
        <f ca="1">DI595*(DI$4/DI$3)/DI467</f>
        <v>-4.410502968074418E-2</v>
      </c>
      <c r="DJ629" s="77">
        <f ca="1">DJ595*(DJ$4/DJ$3)/DJ467</f>
        <v>-4.2723183512421277E-2</v>
      </c>
      <c r="DL629" s="77">
        <f ca="1">DL595*(DL$4/DL$3)/DL467</f>
        <v>-4.5422445239788681E-2</v>
      </c>
      <c r="DM629" s="77">
        <f ca="1">DM595*(DM$4/DM$3)/DM467</f>
        <v>-4.5367077853791016E-2</v>
      </c>
      <c r="DN629" s="77">
        <f ca="1">DN595*(DN$4/DN$3)/DN467</f>
        <v>-4.5395818777043295E-2</v>
      </c>
      <c r="DP629" s="77">
        <f ca="1">DP595*(DP$4/DP$3)/DP467</f>
        <v>-4.527021901228629E-2</v>
      </c>
      <c r="DQ629" s="77">
        <f ca="1">DQ595*(DQ$4/DQ$3)/DQ467</f>
        <v>-4.5105711812110968E-2</v>
      </c>
      <c r="DR629" s="77">
        <f ca="1">DR595*(DR$4/DR$3)/DR467</f>
        <v>-4.5187099016216085E-2</v>
      </c>
    </row>
    <row r="630" spans="1:128" s="21" customFormat="1" ht="13.8">
      <c r="A630" s="21" t="s">
        <v>80</v>
      </c>
      <c r="B630" s="27"/>
      <c r="BH630" s="361">
        <f>+BH628+BH629</f>
        <v>2.698254482693984E-2</v>
      </c>
      <c r="BI630" s="361">
        <f>+BI628+BI629</f>
        <v>2.6314873334926971E-2</v>
      </c>
      <c r="BJ630" s="361">
        <f>+BJ628+BJ629</f>
        <v>2.6736572170239371E-2</v>
      </c>
      <c r="BK630" s="27"/>
      <c r="BL630" s="361">
        <f>+BL628+BL629</f>
        <v>2.5452499638182902E-2</v>
      </c>
      <c r="BM630" s="361">
        <f>+BM628+BM629</f>
        <v>2.5225609313619456E-2</v>
      </c>
      <c r="BN630" s="361">
        <f>+BN628+BN629</f>
        <v>2.5336135054900424E-2</v>
      </c>
      <c r="BO630" s="27"/>
      <c r="BP630" s="361">
        <f>+BP628+BP629</f>
        <v>2.5435490976293478E-2</v>
      </c>
      <c r="BQ630" s="361">
        <f>+BQ628+BQ629</f>
        <v>2.504672954557469E-2</v>
      </c>
      <c r="BR630" s="361">
        <f>+BR628+BR629</f>
        <v>2.5232053946198291E-2</v>
      </c>
      <c r="BT630" s="361">
        <f>+BT628+BT629</f>
        <v>2.6537535561726472E-2</v>
      </c>
      <c r="BU630" s="361">
        <f>+BU628+BU629</f>
        <v>2.6107868427101111E-2</v>
      </c>
      <c r="BV630" s="361">
        <f>+BV628+BV629</f>
        <v>2.632348539579904E-2</v>
      </c>
      <c r="BX630" s="361">
        <f>+BX628+BX629</f>
        <v>2.5547036217397411E-2</v>
      </c>
      <c r="BY630" s="361">
        <f>+BY628+BY629</f>
        <v>2.5899833036546919E-2</v>
      </c>
      <c r="BZ630" s="361">
        <f>+BZ628+BZ629</f>
        <v>2.5724203038320313E-2</v>
      </c>
      <c r="CB630" s="361">
        <f>+CB628+CB629</f>
        <v>2.4947212801460318E-2</v>
      </c>
      <c r="CC630" s="361">
        <f>+CC628+CC629</f>
        <v>2.3440933631857588E-2</v>
      </c>
      <c r="CD630" s="361">
        <f>+CD628+CD629</f>
        <v>2.4174665922849742E-2</v>
      </c>
      <c r="CF630" s="361">
        <f>+CF628+CF629</f>
        <v>2.3619965344167604E-2</v>
      </c>
      <c r="CG630" s="361">
        <f>+CG628+CG629</f>
        <v>2.318571339179374E-2</v>
      </c>
      <c r="CH630" s="361">
        <f>+CH628+CH629</f>
        <v>2.3421751841751635E-2</v>
      </c>
      <c r="CJ630" s="361">
        <f>+CJ628+CJ629</f>
        <v>2.3505620408248003E-2</v>
      </c>
      <c r="CK630" s="361">
        <f>+CK628+CK629</f>
        <v>2.3092250120257257E-2</v>
      </c>
      <c r="CL630" s="361">
        <f>+CL628+CL629</f>
        <v>2.3325563975609167E-2</v>
      </c>
      <c r="CN630" s="361">
        <f>+CN628+CN629</f>
        <v>2.4029499067672655E-2</v>
      </c>
      <c r="CO630" s="361">
        <f>+CO628+CO629</f>
        <v>2.4102135020740358E-2</v>
      </c>
      <c r="CP630" s="361">
        <f>+CP628+CP629</f>
        <v>2.4072070777190265E-2</v>
      </c>
      <c r="CR630" s="361">
        <f>+CR628+CR629</f>
        <v>2.333332027457187E-2</v>
      </c>
      <c r="CS630" s="361">
        <f>+CS628+CS629</f>
        <v>2.3233102097760323E-2</v>
      </c>
      <c r="CT630" s="361">
        <f>+CT628+CT629</f>
        <v>2.3265990811564163E-2</v>
      </c>
      <c r="CV630" s="361">
        <f>+CV628+CV629</f>
        <v>2.1766075038114951E-2</v>
      </c>
      <c r="CW630" s="361">
        <f>+CW628+CW629</f>
        <v>1.9733412420890717E-2</v>
      </c>
      <c r="CX630" s="361">
        <f>+CX628+CX629</f>
        <v>2.0719294533808046E-2</v>
      </c>
      <c r="CZ630" s="361">
        <f>+CZ628+CZ629</f>
        <v>1.9223059741646883E-2</v>
      </c>
      <c r="DA630" s="361">
        <f>+DA628+DA629</f>
        <v>1.8872660585318758E-2</v>
      </c>
      <c r="DB630" s="361">
        <f>+DB628+DB629</f>
        <v>1.9055993479020247E-2</v>
      </c>
      <c r="DD630" s="361">
        <f>+DD628+DD629</f>
        <v>1.9922996461656697E-2</v>
      </c>
      <c r="DE630" s="361">
        <f>+DE628+DE629</f>
        <v>2.024418250293706E-2</v>
      </c>
      <c r="DF630" s="361">
        <f>+DF628+DF629</f>
        <v>2.0092332065857303E-2</v>
      </c>
      <c r="DH630" s="361">
        <f ca="1">+DH628+DH629</f>
        <v>1.9972193401550445E-2</v>
      </c>
      <c r="DI630" s="361">
        <f ca="1">+DI628+DI629</f>
        <v>1.9480312900961812E-2</v>
      </c>
      <c r="DJ630" s="361">
        <f ca="1">+DJ628+DJ629</f>
        <v>1.9724744850505314E-2</v>
      </c>
      <c r="DL630" s="361">
        <f ca="1">+DL628+DL629</f>
        <v>1.9312897341917309E-2</v>
      </c>
      <c r="DM630" s="361">
        <f ca="1">+DM628+DM629</f>
        <v>1.9168264727914983E-2</v>
      </c>
      <c r="DN630" s="361">
        <f ca="1">+DN628+DN629</f>
        <v>1.924013662222808E-2</v>
      </c>
      <c r="DP630" s="361">
        <f ca="1">+DP628+DP629</f>
        <v>1.9165123569419705E-2</v>
      </c>
      <c r="DQ630" s="361">
        <f ca="1">+DQ628+DQ629</f>
        <v>1.9129630769595035E-2</v>
      </c>
      <c r="DR630" s="361">
        <f ca="1">+DR628+DR629</f>
        <v>1.9147208927305558E-2</v>
      </c>
    </row>
    <row r="631" spans="1:128" s="20" customFormat="1" ht="13.8">
      <c r="A631" s="20" t="s">
        <v>81</v>
      </c>
      <c r="B631" s="49"/>
      <c r="BH631" s="77">
        <f>+BH632-BH630</f>
        <v>-7.0606661221699271E-3</v>
      </c>
      <c r="BI631" s="77">
        <f>+BI632-BI630</f>
        <v>-6.8582390083921502E-3</v>
      </c>
      <c r="BJ631" s="77">
        <f>+BJ632-BJ630</f>
        <v>-6.999132393686873E-3</v>
      </c>
      <c r="BK631" s="49"/>
      <c r="BL631" s="77">
        <f>+BL632-BL630</f>
        <v>-6.3071779382559215E-3</v>
      </c>
      <c r="BM631" s="77">
        <f>+BM632-BM630</f>
        <v>-6.3034783859839613E-3</v>
      </c>
      <c r="BN631" s="77">
        <f>+BN632-BN630</f>
        <v>-6.3051519276592291E-3</v>
      </c>
      <c r="BO631" s="49"/>
      <c r="BP631" s="77">
        <f>+BP632-BP630</f>
        <v>-7.11274698933545E-3</v>
      </c>
      <c r="BQ631" s="77">
        <f>+BQ632-BQ630</f>
        <v>-6.7878999004971144E-3</v>
      </c>
      <c r="BR631" s="77">
        <f>+BR632-BR630</f>
        <v>-6.948276657023883E-3</v>
      </c>
      <c r="BT631" s="77">
        <f>+BT632-BT630</f>
        <v>-8.0056256235541481E-3</v>
      </c>
      <c r="BU631" s="77">
        <f>+BU632-BU630</f>
        <v>-7.459803416235665E-3</v>
      </c>
      <c r="BV631" s="77">
        <f>+BV632-BV630</f>
        <v>-7.732421452452766E-3</v>
      </c>
      <c r="BX631" s="77">
        <f>+BX632-BX630</f>
        <v>-7.4375581606497959E-3</v>
      </c>
      <c r="BY631" s="77">
        <f>+BY632-BY630</f>
        <v>-7.8224608850544636E-3</v>
      </c>
      <c r="BZ631" s="77">
        <f>+BZ632-BZ630</f>
        <v>-7.6305710228709092E-3</v>
      </c>
      <c r="CB631" s="77">
        <f>+CB632-CB630</f>
        <v>-7.4431842677765217E-3</v>
      </c>
      <c r="CC631" s="77">
        <f>+CC632-CC630</f>
        <v>-7.2590904505268894E-3</v>
      </c>
      <c r="CD631" s="77">
        <f>+CD632-CD630</f>
        <v>-7.3408584346020198E-3</v>
      </c>
      <c r="CF631" s="77">
        <f>+CF632-CF630</f>
        <v>-7.948504205742779E-3</v>
      </c>
      <c r="CG631" s="77">
        <f>+CG632-CG630</f>
        <v>-7.7278696225913726E-3</v>
      </c>
      <c r="CH631" s="77">
        <f>+CH632-CH630</f>
        <v>-7.8375436412230076E-3</v>
      </c>
      <c r="CJ631" s="77">
        <f>+CJ632-CJ630</f>
        <v>-8.1394776197671118E-3</v>
      </c>
      <c r="CK631" s="77">
        <f>+CK632-CK630</f>
        <v>-7.9415287387110626E-3</v>
      </c>
      <c r="CL631" s="77">
        <f>+CL632-CL630</f>
        <v>-8.0595039374364852E-3</v>
      </c>
      <c r="CN631" s="77">
        <f>+CN632-CN630</f>
        <v>-8.1417107063219175E-3</v>
      </c>
      <c r="CO631" s="77">
        <f>+CO632-CO630</f>
        <v>-7.9948782645974242E-3</v>
      </c>
      <c r="CP631" s="77">
        <f>+CP632-CP630</f>
        <v>-8.0712354250180862E-3</v>
      </c>
      <c r="CR631" s="77">
        <f>+CR632-CR630</f>
        <v>-7.8717954400785127E-3</v>
      </c>
      <c r="CS631" s="77">
        <f>+CS632-CS630</f>
        <v>-7.6641164565464555E-3</v>
      </c>
      <c r="CT631" s="77">
        <f>+CT632-CT630</f>
        <v>-7.7613731595429433E-3</v>
      </c>
      <c r="CV631" s="77">
        <f>+CV632-CV630</f>
        <v>-7.6836096119218683E-3</v>
      </c>
      <c r="CW631" s="77">
        <f>+CW632-CW630</f>
        <v>-7.5542240922668452E-3</v>
      </c>
      <c r="CX631" s="77">
        <f>+CX632-CX630</f>
        <v>-7.6126699287795557E-3</v>
      </c>
      <c r="CZ631" s="77">
        <f>+CZ632-CZ630</f>
        <v>-7.5920082613209899E-3</v>
      </c>
      <c r="DA631" s="77">
        <f>+DA632-DA630</f>
        <v>-7.3557858874449128E-3</v>
      </c>
      <c r="DB631" s="77">
        <f>+DB632-DB630</f>
        <v>-7.4804669124542769E-3</v>
      </c>
      <c r="DD631" s="77">
        <f>+DD632-DD630</f>
        <v>-8.2441572916522737E-3</v>
      </c>
      <c r="DE631" s="77">
        <f>+DE632-DE630</f>
        <v>-8.4895627162076825E-3</v>
      </c>
      <c r="DF631" s="77">
        <f>+DF632-DF630</f>
        <v>-8.3813057863584006E-3</v>
      </c>
      <c r="DH631" s="77">
        <f ca="1">+DH632-DH630</f>
        <v>-8.4555858245037238E-3</v>
      </c>
      <c r="DI631" s="77">
        <f ca="1">+DI632-DI630</f>
        <v>-8.3876320410957786E-3</v>
      </c>
      <c r="DJ631" s="77">
        <f ca="1">+DJ632-DJ630</f>
        <v>-8.4214379681654683E-3</v>
      </c>
      <c r="DL631" s="77">
        <f ca="1">+DL632-DL630</f>
        <v>-8.353655149391806E-3</v>
      </c>
      <c r="DM631" s="77">
        <f ca="1">+DM632-DM630</f>
        <v>-8.2857013659838746E-3</v>
      </c>
      <c r="DN631" s="77">
        <f ca="1">+DN632-DN630</f>
        <v>-8.3194565144265667E-3</v>
      </c>
      <c r="DP631" s="77">
        <f ca="1">+DP632-DP630</f>
        <v>-8.251724474279902E-3</v>
      </c>
      <c r="DQ631" s="77">
        <f ca="1">+DQ632-DQ630</f>
        <v>-8.1837706908719846E-3</v>
      </c>
      <c r="DR631" s="77">
        <f ca="1">+DR632-DR630</f>
        <v>-8.217396044680518E-3</v>
      </c>
    </row>
    <row r="632" spans="1:128" s="21" customFormat="1" ht="13.8">
      <c r="A632" s="21" t="s">
        <v>82</v>
      </c>
      <c r="B632" s="27"/>
      <c r="BH632" s="361">
        <f>+BH651+BH629</f>
        <v>1.9921878704769913E-2</v>
      </c>
      <c r="BI632" s="361">
        <f>+BI651+BI629</f>
        <v>1.945663432653482E-2</v>
      </c>
      <c r="BJ632" s="361">
        <f>+BJ651+BJ629</f>
        <v>1.9737439776552498E-2</v>
      </c>
      <c r="BK632" s="27"/>
      <c r="BL632" s="361">
        <f>+BL651+BL629</f>
        <v>1.9145321699926981E-2</v>
      </c>
      <c r="BM632" s="361">
        <f>+BM651+BM629</f>
        <v>1.8922130927635495E-2</v>
      </c>
      <c r="BN632" s="361">
        <f>+BN651+BN629</f>
        <v>1.9030983127241195E-2</v>
      </c>
      <c r="BO632" s="27"/>
      <c r="BP632" s="361">
        <f>+BP651+BP629</f>
        <v>1.8322743986958028E-2</v>
      </c>
      <c r="BQ632" s="361">
        <f>+BQ651+BQ629</f>
        <v>1.8258829645077575E-2</v>
      </c>
      <c r="BR632" s="361">
        <f>+BR651+BR629</f>
        <v>1.8283777289174408E-2</v>
      </c>
      <c r="BT632" s="361">
        <f>+BT651+BT629</f>
        <v>1.8531909938172324E-2</v>
      </c>
      <c r="BU632" s="361">
        <f>+BU651+BU629</f>
        <v>1.8648065010865446E-2</v>
      </c>
      <c r="BV632" s="361">
        <f>+BV651+BV629</f>
        <v>1.8591063943346274E-2</v>
      </c>
      <c r="BX632" s="361">
        <f>+BX651+BX629</f>
        <v>1.8109478056747615E-2</v>
      </c>
      <c r="BY632" s="361">
        <f>+BY651+BY629</f>
        <v>1.8077372151492455E-2</v>
      </c>
      <c r="BZ632" s="361">
        <f>+BZ651+BZ629</f>
        <v>1.8093632015449404E-2</v>
      </c>
      <c r="CB632" s="361">
        <f>+CB651+CB629</f>
        <v>1.7504028533683796E-2</v>
      </c>
      <c r="CC632" s="361">
        <f>+CC651+CC629</f>
        <v>1.6181843181330698E-2</v>
      </c>
      <c r="CD632" s="361">
        <f>+CD651+CD629</f>
        <v>1.6833807488247723E-2</v>
      </c>
      <c r="CF632" s="361">
        <f>+CF651+CF629</f>
        <v>1.5671461138424825E-2</v>
      </c>
      <c r="CG632" s="361">
        <f>+CG651+CG629</f>
        <v>1.5457843769202367E-2</v>
      </c>
      <c r="CH632" s="361">
        <f>+CH651+CH629</f>
        <v>1.5584208200528627E-2</v>
      </c>
      <c r="CJ632" s="361">
        <f>+CJ651+CJ629</f>
        <v>1.5366142788480891E-2</v>
      </c>
      <c r="CK632" s="361">
        <f>+CK651+CK629</f>
        <v>1.5150721381546195E-2</v>
      </c>
      <c r="CL632" s="361">
        <f>+CL651+CL629</f>
        <v>1.5266060038172682E-2</v>
      </c>
      <c r="CN632" s="361">
        <f>+CN651+CN629</f>
        <v>1.5887788361350737E-2</v>
      </c>
      <c r="CO632" s="361">
        <f>+CO651+CO629</f>
        <v>1.6107256756142933E-2</v>
      </c>
      <c r="CP632" s="361">
        <f>+CP651+CP629</f>
        <v>1.6000835352172178E-2</v>
      </c>
      <c r="CR632" s="361">
        <f>+CR651+CR629</f>
        <v>1.5461524834493357E-2</v>
      </c>
      <c r="CS632" s="361">
        <f>+CS651+CS629</f>
        <v>1.5568985641213867E-2</v>
      </c>
      <c r="CT632" s="361">
        <f>+CT651+CT629</f>
        <v>1.550461765202122E-2</v>
      </c>
      <c r="CV632" s="361">
        <f>+CV651+CV629</f>
        <v>1.4082465426193083E-2</v>
      </c>
      <c r="CW632" s="361">
        <f>+CW651+CW629</f>
        <v>1.2179188328623872E-2</v>
      </c>
      <c r="CX632" s="361">
        <f>+CX651+CX629</f>
        <v>1.310662460502849E-2</v>
      </c>
      <c r="CZ632" s="361">
        <f>+CZ651+CZ629</f>
        <v>1.1631051480325894E-2</v>
      </c>
      <c r="DA632" s="361">
        <f>+DA651+DA629</f>
        <v>1.1516874697873845E-2</v>
      </c>
      <c r="DB632" s="361">
        <f>+DB651+DB629</f>
        <v>1.157552656656597E-2</v>
      </c>
      <c r="DD632" s="361">
        <f>+DD651+DD629</f>
        <v>1.1678839170004424E-2</v>
      </c>
      <c r="DE632" s="361">
        <f>+DE651+DE629</f>
        <v>1.1754619786729377E-2</v>
      </c>
      <c r="DF632" s="361">
        <f>+DF651+DF629</f>
        <v>1.1711026279498903E-2</v>
      </c>
      <c r="DH632" s="361">
        <f ca="1">+DH651+DH629</f>
        <v>1.1516607577046721E-2</v>
      </c>
      <c r="DI632" s="361">
        <f ca="1">+DI651+DI629</f>
        <v>1.1092680859866033E-2</v>
      </c>
      <c r="DJ632" s="361">
        <f ca="1">+DJ651+DJ629</f>
        <v>1.1303306882339846E-2</v>
      </c>
      <c r="DL632" s="361">
        <f ca="1">+DL651+DL629</f>
        <v>1.0959242192525503E-2</v>
      </c>
      <c r="DM632" s="361">
        <f ca="1">+DM651+DM629</f>
        <v>1.0882563361931108E-2</v>
      </c>
      <c r="DN632" s="361">
        <f ca="1">+DN651+DN629</f>
        <v>1.0920680107801513E-2</v>
      </c>
      <c r="DP632" s="361">
        <f ca="1">+DP651+DP629</f>
        <v>1.0913399095139803E-2</v>
      </c>
      <c r="DQ632" s="361">
        <f ca="1">+DQ651+DQ629</f>
        <v>1.0945860078723051E-2</v>
      </c>
      <c r="DR632" s="361">
        <f ca="1">+DR651+DR629</f>
        <v>1.092981288262504E-2</v>
      </c>
    </row>
    <row r="633" spans="1:128" s="20" customFormat="1" ht="13.8">
      <c r="A633" s="20" t="s">
        <v>83</v>
      </c>
      <c r="B633" s="49"/>
      <c r="BH633" s="77">
        <f>+BH634-BH632</f>
        <v>2.5607262027267721E-3</v>
      </c>
      <c r="BI633" s="77">
        <f>+BI634-BI632</f>
        <v>2.4163990611702803E-3</v>
      </c>
      <c r="BJ633" s="77">
        <f>+BJ634-BJ632</f>
        <v>2.4616463274661771E-3</v>
      </c>
      <c r="BK633" s="49"/>
      <c r="BL633" s="77">
        <f>+BL634-BL632</f>
        <v>2.3049705757922402E-3</v>
      </c>
      <c r="BM633" s="77">
        <f>+BM634-BM632</f>
        <v>2.2830848361959054E-3</v>
      </c>
      <c r="BN633" s="77">
        <f>+BN634-BN632</f>
        <v>2.2936907120501768E-3</v>
      </c>
      <c r="BO633" s="49"/>
      <c r="BP633" s="77">
        <f>+BP634-BP632</f>
        <v>2.0634118400888225E-3</v>
      </c>
      <c r="BQ633" s="77">
        <f>+BQ634-BQ632</f>
        <v>2.1243078015008576E-3</v>
      </c>
      <c r="BR633" s="77">
        <f>+BR634-BR632</f>
        <v>2.1019844780379333E-3</v>
      </c>
      <c r="BT633" s="77">
        <f>+BT634-BT632</f>
        <v>2.1627899162155254E-3</v>
      </c>
      <c r="BU633" s="77">
        <f>+BU634-BU632</f>
        <v>1.9660871920718047E-3</v>
      </c>
      <c r="BV633" s="77">
        <f>+BV634-BV632</f>
        <v>2.0633929450074584E-3</v>
      </c>
      <c r="BX633" s="77">
        <f>+BX634-BX632</f>
        <v>1.8913872894973892E-3</v>
      </c>
      <c r="BY633" s="77">
        <f>+BY634-BY632</f>
        <v>1.6963158157674955E-3</v>
      </c>
      <c r="BZ633" s="77">
        <f>+BZ634-BZ632</f>
        <v>1.7930107783331282E-3</v>
      </c>
      <c r="CB633" s="77">
        <f>+CB634-CB632</f>
        <v>1.7597643420152048E-3</v>
      </c>
      <c r="CC633" s="77">
        <f>+CC634-CC632</f>
        <v>2.0320946709045384E-3</v>
      </c>
      <c r="CD633" s="77">
        <f>+CD634-CD632</f>
        <v>1.8967379869459823E-3</v>
      </c>
      <c r="CF633" s="77">
        <f>+CF634-CF632</f>
        <v>2.3662459962697224E-3</v>
      </c>
      <c r="CG633" s="77">
        <f>+CG634-CG632</f>
        <v>1.7746008170306179E-3</v>
      </c>
      <c r="CH633" s="77">
        <f>+CH634-CH632</f>
        <v>2.0481884847431131E-3</v>
      </c>
      <c r="CJ633" s="77">
        <f>+CJ634-CJ632</f>
        <v>1.4948659537023304E-3</v>
      </c>
      <c r="CK633" s="77">
        <f>+CK634-CK632</f>
        <v>5.5960297325354132E-4</v>
      </c>
      <c r="CL633" s="77">
        <f>+CL634-CL632</f>
        <v>1.0154245680654844E-3</v>
      </c>
      <c r="CN633" s="77">
        <f>+CN634-CN632</f>
        <v>4.5039531092504193E-4</v>
      </c>
      <c r="CO633" s="77">
        <f>+CO634-CO632</f>
        <v>3.4523926285718459E-4</v>
      </c>
      <c r="CP633" s="77">
        <f>+CP634-CP632</f>
        <v>3.9507475919867141E-4</v>
      </c>
      <c r="CR633" s="77">
        <f>+CR634-CR632</f>
        <v>3.6526095888048116E-4</v>
      </c>
      <c r="CS633" s="77">
        <f>+CS634-CS632</f>
        <v>1.2786132088666025E-3</v>
      </c>
      <c r="CT633" s="77">
        <f>+CT634-CT632</f>
        <v>8.3977274089687068E-4</v>
      </c>
      <c r="CV633" s="77">
        <f>+CV634-CV632</f>
        <v>3.4377749267701027E-3</v>
      </c>
      <c r="CW633" s="77">
        <f>+CW634-CW632</f>
        <v>4.3008482885846765E-3</v>
      </c>
      <c r="CX633" s="77">
        <f>+CX634-CX632</f>
        <v>3.8909725127435069E-3</v>
      </c>
      <c r="CZ633" s="77">
        <f>+CZ634-CZ632</f>
        <v>3.92396362865669E-3</v>
      </c>
      <c r="DA633" s="77">
        <f>+DA634-DA632</f>
        <v>4.3224290706978356E-3</v>
      </c>
      <c r="DB633" s="77">
        <f>+DB634-DB632</f>
        <v>4.1227430970578877E-3</v>
      </c>
      <c r="DD633" s="77">
        <f>+DD634-DD632</f>
        <v>3.8944860345530071E-3</v>
      </c>
      <c r="DE633" s="77">
        <f>+DE634-DE632</f>
        <v>3.6506138064320154E-3</v>
      </c>
      <c r="DF633" s="77">
        <f>+DF634-DF632</f>
        <v>3.7767600906282346E-3</v>
      </c>
      <c r="DH633" s="77">
        <f ca="1">+DH634-DH632</f>
        <v>3.9890125762316042E-3</v>
      </c>
      <c r="DI633" s="77">
        <f ca="1">+DI634-DI632</f>
        <v>4.3094458698386181E-3</v>
      </c>
      <c r="DJ633" s="77">
        <f ca="1">+DJ634-DJ632</f>
        <v>4.1503575993420694E-3</v>
      </c>
      <c r="DL633" s="77">
        <f ca="1">+DL634-DL632</f>
        <v>4.4420151238811281E-3</v>
      </c>
      <c r="DM633" s="77">
        <f ca="1">+DM634-DM632</f>
        <v>4.4168041386494251E-3</v>
      </c>
      <c r="DN633" s="77">
        <f ca="1">+DN634-DN632</f>
        <v>4.4293904606043898E-3</v>
      </c>
      <c r="DP633" s="77">
        <f ca="1">+DP634-DP632</f>
        <v>4.3875118248668799E-3</v>
      </c>
      <c r="DQ633" s="77">
        <f ca="1">+DQ634-DQ632</f>
        <v>4.3518703480572279E-3</v>
      </c>
      <c r="DR633" s="77">
        <f ca="1">+DR634-DR632</f>
        <v>4.3694913374697549E-3</v>
      </c>
    </row>
    <row r="634" spans="1:128" s="21" customFormat="1" ht="13.8">
      <c r="A634" s="21" t="s">
        <v>340</v>
      </c>
      <c r="B634" s="27"/>
      <c r="BH634" s="361">
        <f>BH606</f>
        <v>2.2482604907496685E-2</v>
      </c>
      <c r="BI634" s="361">
        <f>BI606</f>
        <v>2.1873033387705101E-2</v>
      </c>
      <c r="BJ634" s="361">
        <f>BJ606</f>
        <v>2.2199086104018675E-2</v>
      </c>
      <c r="BK634" s="27"/>
      <c r="BL634" s="361">
        <f>BL606</f>
        <v>2.1450292275719221E-2</v>
      </c>
      <c r="BM634" s="361">
        <f>BM606</f>
        <v>2.12052157638314E-2</v>
      </c>
      <c r="BN634" s="361">
        <f>BN606</f>
        <v>2.1324673839291371E-2</v>
      </c>
      <c r="BO634" s="27"/>
      <c r="BP634" s="361">
        <f>BP606</f>
        <v>2.0386155827046851E-2</v>
      </c>
      <c r="BQ634" s="361">
        <f>BQ606</f>
        <v>2.0383137446578433E-2</v>
      </c>
      <c r="BR634" s="361">
        <f>BR606</f>
        <v>2.0385761767212341E-2</v>
      </c>
      <c r="BT634" s="361">
        <f>BT606</f>
        <v>2.0694699854387849E-2</v>
      </c>
      <c r="BU634" s="361">
        <f>BU606</f>
        <v>2.0614152202937251E-2</v>
      </c>
      <c r="BV634" s="361">
        <f>BV606</f>
        <v>2.0654456888353732E-2</v>
      </c>
      <c r="BX634" s="361">
        <f>BX606</f>
        <v>2.0000865346245005E-2</v>
      </c>
      <c r="BY634" s="361">
        <f>BY606</f>
        <v>1.9773687967259951E-2</v>
      </c>
      <c r="BZ634" s="361">
        <f>BZ606</f>
        <v>1.9886642793782532E-2</v>
      </c>
      <c r="CB634" s="361">
        <f>CB606</f>
        <v>1.9263792875699001E-2</v>
      </c>
      <c r="CC634" s="361">
        <f>CC606</f>
        <v>1.8213937852235237E-2</v>
      </c>
      <c r="CD634" s="361">
        <f>CD606</f>
        <v>1.8730545475193705E-2</v>
      </c>
      <c r="CF634" s="361">
        <f>CF606</f>
        <v>1.8037707134694547E-2</v>
      </c>
      <c r="CG634" s="361">
        <f>CG606</f>
        <v>1.7232444586232985E-2</v>
      </c>
      <c r="CH634" s="361">
        <f>CH606</f>
        <v>1.763239668527174E-2</v>
      </c>
      <c r="CJ634" s="361">
        <f>CJ606</f>
        <v>1.6861008742183221E-2</v>
      </c>
      <c r="CK634" s="361">
        <f>CK606</f>
        <v>1.5710324354799736E-2</v>
      </c>
      <c r="CL634" s="361">
        <f>CL606</f>
        <v>1.6281484606238166E-2</v>
      </c>
      <c r="CN634" s="361">
        <f>CN606</f>
        <v>1.6338183672275779E-2</v>
      </c>
      <c r="CO634" s="361">
        <f>CO606</f>
        <v>1.6452496019000118E-2</v>
      </c>
      <c r="CP634" s="361">
        <f>CP606</f>
        <v>1.639591011137085E-2</v>
      </c>
      <c r="CR634" s="361">
        <f>CR606</f>
        <v>1.5826785793373838E-2</v>
      </c>
      <c r="CS634" s="361">
        <f>CS606</f>
        <v>1.684759885008047E-2</v>
      </c>
      <c r="CT634" s="361">
        <f>CT606</f>
        <v>1.6344390392918091E-2</v>
      </c>
      <c r="CV634" s="361">
        <f>CV606</f>
        <v>1.7520240352963186E-2</v>
      </c>
      <c r="CW634" s="361">
        <f>CW606</f>
        <v>1.6480036617208548E-2</v>
      </c>
      <c r="CX634" s="361">
        <f>CX606</f>
        <v>1.6997597117771997E-2</v>
      </c>
      <c r="CZ634" s="361">
        <f>CZ606</f>
        <v>1.5555015108982584E-2</v>
      </c>
      <c r="DA634" s="361">
        <f>DA606</f>
        <v>1.5839303768571681E-2</v>
      </c>
      <c r="DB634" s="361">
        <f>DB606</f>
        <v>1.5698269663623858E-2</v>
      </c>
      <c r="DD634" s="361">
        <f>DD606</f>
        <v>1.5573325204557431E-2</v>
      </c>
      <c r="DE634" s="361">
        <f>DE606</f>
        <v>1.5405233593161392E-2</v>
      </c>
      <c r="DF634" s="361">
        <f>DF606</f>
        <v>1.5487786370127137E-2</v>
      </c>
      <c r="DH634" s="361">
        <f ca="1">DH606</f>
        <v>1.5505620153278325E-2</v>
      </c>
      <c r="DI634" s="361">
        <f ca="1">DI606</f>
        <v>1.5402126729704651E-2</v>
      </c>
      <c r="DJ634" s="361">
        <f ca="1">DJ606</f>
        <v>1.5453664481681915E-2</v>
      </c>
      <c r="DL634" s="361">
        <f ca="1">DL606</f>
        <v>1.5401257316406632E-2</v>
      </c>
      <c r="DM634" s="361">
        <f ca="1">DM606</f>
        <v>1.5299367500580533E-2</v>
      </c>
      <c r="DN634" s="361">
        <f ca="1">DN606</f>
        <v>1.5350070568405903E-2</v>
      </c>
      <c r="DP634" s="361">
        <f ca="1">DP606</f>
        <v>1.5300910920006683E-2</v>
      </c>
      <c r="DQ634" s="361">
        <f ca="1">DQ606</f>
        <v>1.5297730426780278E-2</v>
      </c>
      <c r="DR634" s="361">
        <f ca="1">DR606</f>
        <v>1.5299304220094795E-2</v>
      </c>
    </row>
    <row r="635" spans="1:128" s="20" customFormat="1" ht="14.4" thickBot="1">
      <c r="B635" s="49"/>
      <c r="BH635" s="49"/>
      <c r="BI635" s="49"/>
      <c r="BJ635" s="49"/>
      <c r="BK635" s="49"/>
      <c r="BL635" s="49"/>
      <c r="BM635" s="49"/>
      <c r="BN635" s="49"/>
      <c r="BO635" s="49"/>
      <c r="BP635" s="49"/>
      <c r="BR635" s="49"/>
      <c r="BT635" s="49"/>
      <c r="BV635" s="49"/>
      <c r="BX635" s="49"/>
      <c r="BZ635" s="49"/>
      <c r="CB635" s="49"/>
      <c r="CD635" s="49"/>
      <c r="CF635" s="49"/>
      <c r="CH635" s="49"/>
      <c r="CJ635" s="49"/>
      <c r="CL635" s="49"/>
      <c r="CN635" s="49"/>
      <c r="CP635" s="49"/>
      <c r="CR635" s="49"/>
      <c r="CT635" s="49"/>
      <c r="CV635" s="49"/>
      <c r="CX635" s="49"/>
      <c r="CZ635" s="49"/>
      <c r="DB635" s="49"/>
      <c r="DD635" s="49"/>
      <c r="DF635" s="49"/>
      <c r="DH635" s="49"/>
      <c r="DJ635" s="49"/>
      <c r="DL635" s="49"/>
      <c r="DN635" s="49"/>
      <c r="DP635" s="49"/>
      <c r="DR635" s="49"/>
    </row>
    <row r="636" spans="1:128" s="325" customFormat="1" ht="14.4" thickBot="1">
      <c r="A636" s="1216" t="s">
        <v>717</v>
      </c>
      <c r="B636" s="1217" t="s">
        <v>84</v>
      </c>
      <c r="C636" s="1216"/>
      <c r="D636" s="1216"/>
      <c r="E636" s="1216"/>
      <c r="F636" s="1216"/>
      <c r="G636" s="1216"/>
      <c r="H636" s="1216"/>
      <c r="I636" s="1216"/>
      <c r="J636" s="1216"/>
      <c r="K636" s="1216"/>
      <c r="L636" s="1216"/>
      <c r="M636" s="1216"/>
      <c r="N636" s="1216"/>
      <c r="O636" s="1216"/>
      <c r="P636" s="1216"/>
      <c r="Q636" s="1216"/>
      <c r="R636" s="1216"/>
      <c r="S636" s="1216"/>
      <c r="T636" s="1216"/>
      <c r="U636" s="1216"/>
      <c r="V636" s="1216"/>
      <c r="W636" s="1216"/>
      <c r="X636" s="1216"/>
      <c r="Y636" s="1216"/>
      <c r="Z636" s="1216"/>
      <c r="AA636" s="1216"/>
      <c r="AB636" s="1216"/>
      <c r="AC636" s="1216"/>
      <c r="AD636" s="1216"/>
      <c r="AE636" s="1216"/>
      <c r="AF636" s="1216"/>
      <c r="AG636" s="1216"/>
      <c r="AH636" s="1216"/>
      <c r="AI636" s="1216"/>
      <c r="AJ636" s="1216"/>
      <c r="AK636" s="1216"/>
      <c r="AL636" s="1216"/>
      <c r="AM636" s="1216"/>
      <c r="AN636" s="1216"/>
      <c r="AO636" s="1216"/>
      <c r="AP636" s="1216"/>
      <c r="AQ636" s="1216"/>
      <c r="AR636" s="1216"/>
      <c r="AS636" s="1216"/>
      <c r="AT636" s="1216"/>
      <c r="AU636" s="1216"/>
      <c r="AV636" s="1216"/>
      <c r="AW636" s="1216"/>
      <c r="AX636" s="1216"/>
      <c r="AY636" s="1216"/>
      <c r="AZ636" s="1216"/>
      <c r="BA636" s="1216"/>
      <c r="BB636" s="1216"/>
      <c r="BC636" s="1216"/>
      <c r="BD636" s="1218"/>
      <c r="BE636" s="1218"/>
      <c r="BF636" s="1219"/>
      <c r="BG636" s="1216"/>
      <c r="BH636" s="1218">
        <v>0.03</v>
      </c>
      <c r="BI636" s="1218">
        <v>2.5000000000000001E-2</v>
      </c>
      <c r="BJ636" s="1219">
        <f>BI636</f>
        <v>2.5000000000000001E-2</v>
      </c>
      <c r="BK636" s="1220"/>
      <c r="BL636" s="1218">
        <v>2.5000000000000001E-2</v>
      </c>
      <c r="BM636" s="1218">
        <v>2.5000000000000001E-2</v>
      </c>
      <c r="BN636" s="1219">
        <f>BM636</f>
        <v>2.5000000000000001E-2</v>
      </c>
      <c r="BO636" s="1220"/>
      <c r="BP636" s="1218">
        <v>2.2499999999999999E-2</v>
      </c>
      <c r="BQ636" s="1218">
        <v>0.02</v>
      </c>
      <c r="BR636" s="1219">
        <f>BQ636</f>
        <v>0.02</v>
      </c>
      <c r="BS636" s="1216"/>
      <c r="BT636" s="1218">
        <v>0.02</v>
      </c>
      <c r="BU636" s="1218">
        <v>1.4999999999999999E-2</v>
      </c>
      <c r="BV636" s="1219">
        <f>BU636</f>
        <v>1.4999999999999999E-2</v>
      </c>
      <c r="BW636" s="1216"/>
      <c r="BX636" s="1218">
        <v>1.4999999999999999E-2</v>
      </c>
      <c r="BY636" s="1218">
        <v>1.4999999999999999E-2</v>
      </c>
      <c r="BZ636" s="1219">
        <f>BY636</f>
        <v>1.4999999999999999E-2</v>
      </c>
      <c r="CA636" s="1216"/>
      <c r="CB636" s="1218">
        <v>1.4999999999999999E-2</v>
      </c>
      <c r="CC636" s="1218">
        <v>1.4999999999999999E-2</v>
      </c>
      <c r="CD636" s="1219">
        <f>CC636</f>
        <v>1.4999999999999999E-2</v>
      </c>
      <c r="CE636" s="1216"/>
      <c r="CF636" s="1218">
        <v>1.4999999999999999E-2</v>
      </c>
      <c r="CG636" s="1218">
        <v>0.01</v>
      </c>
      <c r="CH636" s="1219">
        <f>CG636</f>
        <v>0.01</v>
      </c>
      <c r="CI636" s="1216"/>
      <c r="CJ636" s="1218">
        <v>2.5000000000000001E-3</v>
      </c>
      <c r="CK636" s="1218">
        <v>2.5000000000000001E-3</v>
      </c>
      <c r="CL636" s="1219">
        <f>CK636</f>
        <v>2.5000000000000001E-3</v>
      </c>
      <c r="CM636" s="1216"/>
      <c r="CN636" s="1218">
        <v>1E-3</v>
      </c>
      <c r="CO636" s="1218">
        <v>1E-3</v>
      </c>
      <c r="CP636" s="1219">
        <f>CO636</f>
        <v>1E-3</v>
      </c>
      <c r="CQ636" s="1216"/>
      <c r="CR636" s="1218">
        <v>1E-3</v>
      </c>
      <c r="CS636" s="1218">
        <v>2.35E-2</v>
      </c>
      <c r="CT636" s="1219">
        <f>CS636</f>
        <v>2.35E-2</v>
      </c>
      <c r="CU636" s="1216"/>
      <c r="CV636" s="1218">
        <v>3.5999999999999997E-2</v>
      </c>
      <c r="CW636" s="1218">
        <v>4.1000000000000002E-2</v>
      </c>
      <c r="CX636" s="1219">
        <f>CW636</f>
        <v>4.1000000000000002E-2</v>
      </c>
      <c r="CY636" s="1216"/>
      <c r="CZ636" s="1218">
        <v>4.3499999999999997E-2</v>
      </c>
      <c r="DA636" s="1218">
        <v>4.3499999999999997E-2</v>
      </c>
      <c r="DB636" s="1219">
        <f>DA636</f>
        <v>4.3499999999999997E-2</v>
      </c>
      <c r="DC636" s="1216"/>
      <c r="DD636" s="1218">
        <v>4.1000000000000002E-2</v>
      </c>
      <c r="DE636" s="1218">
        <v>3.5999999999999997E-2</v>
      </c>
      <c r="DF636" s="1219">
        <f>DE636</f>
        <v>3.5999999999999997E-2</v>
      </c>
      <c r="DG636" s="1216"/>
      <c r="DH636" s="1221">
        <v>3.85E-2</v>
      </c>
      <c r="DI636" s="1221">
        <v>4.1000000000000002E-2</v>
      </c>
      <c r="DJ636" s="1219">
        <f>DI636</f>
        <v>4.1000000000000002E-2</v>
      </c>
      <c r="DK636" s="1216"/>
      <c r="DL636" s="1221">
        <v>4.1000000000000002E-2</v>
      </c>
      <c r="DM636" s="1219">
        <f>DL636</f>
        <v>4.1000000000000002E-2</v>
      </c>
      <c r="DN636" s="1219">
        <f>DM636</f>
        <v>4.1000000000000002E-2</v>
      </c>
      <c r="DO636" s="1216"/>
      <c r="DP636" s="1221">
        <v>4.1000000000000002E-2</v>
      </c>
      <c r="DQ636" s="1219">
        <f>DP636</f>
        <v>4.1000000000000002E-2</v>
      </c>
      <c r="DR636" s="1219">
        <f>DQ636</f>
        <v>4.1000000000000002E-2</v>
      </c>
      <c r="DS636" s="1216"/>
      <c r="DT636" s="1216"/>
      <c r="DU636" s="1216"/>
      <c r="DV636" s="1216"/>
      <c r="DW636" s="20"/>
      <c r="DX636" s="20"/>
    </row>
    <row r="637" spans="1:128" s="20" customFormat="1" ht="13.8">
      <c r="A637" s="20" t="s">
        <v>718</v>
      </c>
      <c r="B637" s="49"/>
      <c r="BH637" s="367">
        <v>3.0942299999999999E-2</v>
      </c>
      <c r="BI637" s="367">
        <v>2.7271E-2</v>
      </c>
      <c r="BJ637" s="77">
        <f>AVERAGE(BH637:BI637)</f>
        <v>2.9106649999999998E-2</v>
      </c>
      <c r="BK637" s="49"/>
      <c r="BL637" s="367">
        <v>2.5000000000000001E-2</v>
      </c>
      <c r="BM637" s="367">
        <v>2.5000000000000001E-2</v>
      </c>
      <c r="BN637" s="77">
        <f>AVERAGE(BL637:BM637)</f>
        <v>2.5000000000000001E-2</v>
      </c>
      <c r="BO637" s="49"/>
      <c r="BP637" s="77">
        <f>AVERAGE(BM636,BP636)</f>
        <v>2.375E-2</v>
      </c>
      <c r="BQ637" s="77">
        <f>AVERAGE(BP636,BQ636)</f>
        <v>2.1249999999999998E-2</v>
      </c>
      <c r="BR637" s="77">
        <f>AVERAGE(BP637:BQ637)</f>
        <v>2.2499999999999999E-2</v>
      </c>
      <c r="BT637" s="77">
        <f>AVERAGE(BS636,BT636)</f>
        <v>0.02</v>
      </c>
      <c r="BU637" s="77">
        <f>AVERAGE(BT636,BU636)</f>
        <v>1.7500000000000002E-2</v>
      </c>
      <c r="BV637" s="77">
        <f>AVERAGE(BT637:BU637)</f>
        <v>1.8750000000000003E-2</v>
      </c>
      <c r="BX637" s="77">
        <f>AVERAGE(BW636,BX636)</f>
        <v>1.4999999999999999E-2</v>
      </c>
      <c r="BY637" s="77">
        <f>AVERAGE(BX636,BY636)</f>
        <v>1.4999999999999999E-2</v>
      </c>
      <c r="BZ637" s="77">
        <f>AVERAGE(BX637:BY637)</f>
        <v>1.4999999999999999E-2</v>
      </c>
      <c r="CB637" s="77">
        <f>AVERAGE(CA636,CB636)</f>
        <v>1.4999999999999999E-2</v>
      </c>
      <c r="CC637" s="77">
        <f>AVERAGE(CB636,CC636)</f>
        <v>1.4999999999999999E-2</v>
      </c>
      <c r="CD637" s="77">
        <f>AVERAGE(CB637:CC637)</f>
        <v>1.4999999999999999E-2</v>
      </c>
      <c r="CF637" s="77">
        <f>AVERAGE(CE636,CF636)</f>
        <v>1.4999999999999999E-2</v>
      </c>
      <c r="CG637" s="77">
        <f>AVERAGE(CF636,CG636)</f>
        <v>1.2500000000000001E-2</v>
      </c>
      <c r="CH637" s="77">
        <f>AVERAGE(CF637:CG637)</f>
        <v>1.375E-2</v>
      </c>
      <c r="CJ637" s="913">
        <v>6.9274799999999997E-3</v>
      </c>
      <c r="CK637" s="77">
        <f>AVERAGE(CJ636,CK636)</f>
        <v>2.5000000000000001E-3</v>
      </c>
      <c r="CL637" s="77">
        <f>AVERAGE(CJ637:CK637)</f>
        <v>4.7137400000000001E-3</v>
      </c>
      <c r="CN637" s="976">
        <v>1.2769000000000001E-3</v>
      </c>
      <c r="CO637" s="77">
        <f>AVERAGE(CN636,CO636)</f>
        <v>1E-3</v>
      </c>
      <c r="CP637" s="77">
        <f>AVERAGE(CN637:CO637)</f>
        <v>1.1384500000000001E-3</v>
      </c>
      <c r="CR637" s="976">
        <v>1E-3</v>
      </c>
      <c r="CS637" s="77">
        <f>AVERAGE(CR636,CS636)</f>
        <v>1.225E-2</v>
      </c>
      <c r="CT637" s="77">
        <f>AVERAGE(CR637:CS637)</f>
        <v>6.6250000000000007E-3</v>
      </c>
      <c r="CV637" s="976">
        <v>3.1800000000000002E-2</v>
      </c>
      <c r="CW637" s="976">
        <v>3.9750000000000001E-2</v>
      </c>
      <c r="CX637" s="77">
        <f>AVERAGE(CV637:CW637)</f>
        <v>3.5775000000000001E-2</v>
      </c>
      <c r="CZ637" s="976">
        <v>4.2700000000000002E-2</v>
      </c>
      <c r="DA637" s="976">
        <v>4.3499999999999997E-2</v>
      </c>
      <c r="DB637" s="77">
        <f>AVERAGE(CZ637:DA637)</f>
        <v>4.3099999999999999E-2</v>
      </c>
      <c r="DD637" s="976">
        <v>4.2700000000000002E-2</v>
      </c>
      <c r="DE637" s="976">
        <v>3.7199999999999997E-2</v>
      </c>
      <c r="DF637" s="77">
        <f>AVERAGE(DD637:DE637)</f>
        <v>3.9949999999999999E-2</v>
      </c>
      <c r="DH637" s="77">
        <f>AVERAGE(DE636,DH636)</f>
        <v>3.7249999999999998E-2</v>
      </c>
      <c r="DI637" s="77">
        <f>AVERAGE(DH636,DI636)</f>
        <v>3.9750000000000001E-2</v>
      </c>
      <c r="DJ637" s="77">
        <f>AVERAGE(DH637:DI637)</f>
        <v>3.85E-2</v>
      </c>
      <c r="DL637" s="77">
        <f>AVERAGE(DI636,DL636)</f>
        <v>4.1000000000000002E-2</v>
      </c>
      <c r="DM637" s="77">
        <f>AVERAGE(DL636,DM636)</f>
        <v>4.1000000000000002E-2</v>
      </c>
      <c r="DN637" s="77">
        <f>AVERAGE(DL637:DM637)</f>
        <v>4.1000000000000002E-2</v>
      </c>
      <c r="DP637" s="77">
        <f>AVERAGE(DM636,DP636)</f>
        <v>4.1000000000000002E-2</v>
      </c>
      <c r="DQ637" s="77">
        <f>AVERAGE(DP636,DQ636)</f>
        <v>4.1000000000000002E-2</v>
      </c>
      <c r="DR637" s="77">
        <f>AVERAGE(DP637:DQ637)</f>
        <v>4.1000000000000002E-2</v>
      </c>
    </row>
    <row r="638" spans="1:128" s="20" customFormat="1" ht="13.8">
      <c r="A638" s="20" t="s">
        <v>719</v>
      </c>
      <c r="B638" s="49"/>
      <c r="BH638" s="367">
        <v>3.0873999999999999E-2</v>
      </c>
      <c r="BI638" s="367">
        <v>2.7632E-2</v>
      </c>
      <c r="BJ638" s="77">
        <f>AVERAGE(BH638:BI638)</f>
        <v>2.9253000000000001E-2</v>
      </c>
      <c r="BK638" s="49"/>
      <c r="BL638" s="367">
        <v>2.6131000000000001E-2</v>
      </c>
      <c r="BM638" s="367">
        <v>2.6679999999999999E-2</v>
      </c>
      <c r="BN638" s="77">
        <f>AVERAGE(BL638:BM638)</f>
        <v>2.6405499999999998E-2</v>
      </c>
      <c r="BO638" s="49"/>
      <c r="BP638" s="367">
        <v>2.6131000000000001E-2</v>
      </c>
      <c r="BQ638" s="1">
        <v>2.1600000000000001E-2</v>
      </c>
      <c r="BR638" s="77">
        <f>AVERAGE(BP638:BQ638)</f>
        <v>2.3865500000000001E-2</v>
      </c>
      <c r="BT638" s="1">
        <v>2.2700000000000001E-2</v>
      </c>
      <c r="BU638" s="1">
        <v>1.9425109375000013E-2</v>
      </c>
      <c r="BV638" s="77">
        <f>AVERAGE(BT638:BU638)</f>
        <v>2.1062554687500006E-2</v>
      </c>
      <c r="BX638" s="1">
        <v>1.77E-2</v>
      </c>
      <c r="BY638" s="1">
        <v>1.72E-2</v>
      </c>
      <c r="BZ638" s="77">
        <f>AVERAGE(BX638:BY638)</f>
        <v>1.745E-2</v>
      </c>
      <c r="CB638" s="1">
        <v>1.78E-2</v>
      </c>
      <c r="CC638" s="1">
        <v>0.02</v>
      </c>
      <c r="CD638" s="77">
        <f>AVERAGE(CB638:CC638)</f>
        <v>1.89E-2</v>
      </c>
      <c r="CF638" s="1">
        <v>1.9599999999999999E-2</v>
      </c>
      <c r="CG638" s="1">
        <v>1.26E-2</v>
      </c>
      <c r="CH638" s="77">
        <f>AVERAGE(CF638:CG638)</f>
        <v>1.61E-2</v>
      </c>
      <c r="CJ638" s="1">
        <v>8.2215463000000003E-3</v>
      </c>
      <c r="CK638" s="1">
        <v>7.3000000000000001E-3</v>
      </c>
      <c r="CL638" s="77">
        <f>AVERAGE(CJ638:CK638)</f>
        <v>7.7607731500000006E-3</v>
      </c>
      <c r="CN638" s="367">
        <v>2.8899999999999998E-4</v>
      </c>
      <c r="CO638" s="1">
        <v>2.6289999999999999E-4</v>
      </c>
      <c r="CP638" s="77">
        <f>AVERAGE(CN638:CO638)</f>
        <v>2.7594999999999996E-4</v>
      </c>
      <c r="CR638" s="367">
        <v>7.6400000000000003E-4</v>
      </c>
      <c r="CS638" s="1">
        <v>1.6899999999999998E-2</v>
      </c>
      <c r="CT638" s="77">
        <f>AVERAGE(CR638:CS638)</f>
        <v>8.8319999999999996E-3</v>
      </c>
      <c r="CV638" s="367">
        <v>3.27E-2</v>
      </c>
      <c r="CW638" s="367">
        <v>4.07E-2</v>
      </c>
      <c r="CX638" s="77">
        <f>AVERAGE(CV638:CW638)</f>
        <v>3.6699999999999997E-2</v>
      </c>
      <c r="CZ638" s="367">
        <v>4.3299999999999998E-2</v>
      </c>
      <c r="DA638" s="367">
        <v>4.3999999999999997E-2</v>
      </c>
      <c r="DB638" s="77">
        <f>AVERAGE(CZ638:DA638)</f>
        <v>4.3649999999999994E-2</v>
      </c>
      <c r="DD638" s="367">
        <v>4.3099999999999999E-2</v>
      </c>
      <c r="DE638" s="367">
        <v>3.6200000000000003E-2</v>
      </c>
      <c r="DF638" s="77">
        <f>AVERAGE(DD638:DE638)</f>
        <v>3.9650000000000005E-2</v>
      </c>
      <c r="DH638" s="77">
        <f>+DH637+DH639</f>
        <v>3.6250000000000004E-2</v>
      </c>
      <c r="DI638" s="77">
        <f>+DI637+DI639</f>
        <v>3.8750000000000007E-2</v>
      </c>
      <c r="DJ638" s="77">
        <f>AVERAGE(DH638:DI638)</f>
        <v>3.7500000000000006E-2</v>
      </c>
      <c r="DL638" s="77">
        <f>+DL637+DL639</f>
        <v>4.0000000000000008E-2</v>
      </c>
      <c r="DM638" s="77">
        <f>+DM637+DM639</f>
        <v>4.0000000000000008E-2</v>
      </c>
      <c r="DN638" s="77">
        <f>AVERAGE(DL638:DM638)</f>
        <v>4.0000000000000008E-2</v>
      </c>
      <c r="DP638" s="77">
        <f>+DP637+DP639</f>
        <v>4.0000000000000008E-2</v>
      </c>
      <c r="DQ638" s="77">
        <f>+DQ637+DQ639</f>
        <v>4.0000000000000008E-2</v>
      </c>
      <c r="DR638" s="77">
        <f>AVERAGE(DP638:DQ638)</f>
        <v>4.0000000000000008E-2</v>
      </c>
    </row>
    <row r="639" spans="1:128" s="325" customFormat="1" ht="13.8">
      <c r="A639" s="1216" t="s">
        <v>85</v>
      </c>
      <c r="B639" s="1217" t="s">
        <v>84</v>
      </c>
      <c r="C639" s="1216"/>
      <c r="D639" s="1216"/>
      <c r="E639" s="1216"/>
      <c r="F639" s="1216"/>
      <c r="G639" s="1216"/>
      <c r="H639" s="1216"/>
      <c r="I639" s="1216"/>
      <c r="J639" s="1216"/>
      <c r="K639" s="1216"/>
      <c r="L639" s="1216"/>
      <c r="M639" s="1216"/>
      <c r="N639" s="1216"/>
      <c r="O639" s="1216"/>
      <c r="P639" s="1216"/>
      <c r="Q639" s="1216"/>
      <c r="R639" s="1216"/>
      <c r="S639" s="1216"/>
      <c r="T639" s="1216"/>
      <c r="U639" s="1216"/>
      <c r="V639" s="1216"/>
      <c r="W639" s="1216"/>
      <c r="X639" s="1216"/>
      <c r="Y639" s="1216"/>
      <c r="Z639" s="1216"/>
      <c r="AA639" s="1216"/>
      <c r="AB639" s="1216"/>
      <c r="AC639" s="1216"/>
      <c r="AD639" s="1216"/>
      <c r="AE639" s="1216"/>
      <c r="AF639" s="1216"/>
      <c r="AG639" s="1216"/>
      <c r="AH639" s="1216"/>
      <c r="AI639" s="1216"/>
      <c r="AJ639" s="1216"/>
      <c r="AK639" s="1216"/>
      <c r="AL639" s="1216"/>
      <c r="AM639" s="1216"/>
      <c r="AN639" s="1216"/>
      <c r="AO639" s="1216"/>
      <c r="AP639" s="1216"/>
      <c r="AQ639" s="1216"/>
      <c r="AR639" s="1216"/>
      <c r="AS639" s="1216"/>
      <c r="AT639" s="1216"/>
      <c r="AU639" s="1216"/>
      <c r="AV639" s="1216"/>
      <c r="AW639" s="1216"/>
      <c r="AX639" s="1216"/>
      <c r="AY639" s="1216"/>
      <c r="AZ639" s="1216"/>
      <c r="BA639" s="1216"/>
      <c r="BB639" s="1216"/>
      <c r="BC639" s="1216"/>
      <c r="BD639" s="1216"/>
      <c r="BE639" s="1216"/>
      <c r="BF639" s="1216"/>
      <c r="BG639" s="1216"/>
      <c r="BH639" s="1222">
        <f>+BH638-BH637</f>
        <v>-6.8300000000000305E-5</v>
      </c>
      <c r="BI639" s="1222">
        <f>+BI638-BI637</f>
        <v>3.6100000000000021E-4</v>
      </c>
      <c r="BJ639" s="1222">
        <f>+BJ638-BJ637</f>
        <v>1.4635000000000342E-4</v>
      </c>
      <c r="BK639" s="1220"/>
      <c r="BL639" s="1222">
        <f>+BL638-BL637</f>
        <v>1.1310000000000001E-3</v>
      </c>
      <c r="BM639" s="1222">
        <f>+BM638-BM637</f>
        <v>1.6799999999999975E-3</v>
      </c>
      <c r="BN639" s="1222">
        <f>+BN638-BN637</f>
        <v>1.405499999999997E-3</v>
      </c>
      <c r="BO639" s="1220"/>
      <c r="BP639" s="1222">
        <f>+BP638-BP637</f>
        <v>2.3810000000000012E-3</v>
      </c>
      <c r="BQ639" s="1222">
        <f>+BQ638-BQ637</f>
        <v>3.5000000000000309E-4</v>
      </c>
      <c r="BR639" s="1222">
        <f>+BR638-BR637</f>
        <v>1.3655000000000021E-3</v>
      </c>
      <c r="BS639" s="1216"/>
      <c r="BT639" s="1222">
        <f>+BT638-BT637</f>
        <v>2.700000000000001E-3</v>
      </c>
      <c r="BU639" s="1222">
        <f>+BU638-BU637</f>
        <v>1.9251093750000114E-3</v>
      </c>
      <c r="BV639" s="1222">
        <f>+BV638-BV637</f>
        <v>2.3125546875000028E-3</v>
      </c>
      <c r="BW639" s="1216"/>
      <c r="BX639" s="1222">
        <f>+BX638-BX637</f>
        <v>2.700000000000001E-3</v>
      </c>
      <c r="BY639" s="1222">
        <f>+BY638-BY637</f>
        <v>2.2000000000000006E-3</v>
      </c>
      <c r="BZ639" s="1222">
        <f>+BZ638-BZ637</f>
        <v>2.4500000000000008E-3</v>
      </c>
      <c r="CA639" s="1216"/>
      <c r="CB639" s="1222">
        <f>+CB638-CB637</f>
        <v>2.8000000000000004E-3</v>
      </c>
      <c r="CC639" s="1222">
        <f>+CC638-CC637</f>
        <v>5.000000000000001E-3</v>
      </c>
      <c r="CD639" s="1222">
        <f>+CD638-CD637</f>
        <v>3.9000000000000007E-3</v>
      </c>
      <c r="CE639" s="1216"/>
      <c r="CF639" s="1222">
        <f>+CF638-CF637</f>
        <v>4.5999999999999999E-3</v>
      </c>
      <c r="CG639" s="1222">
        <f>+CG638-CG637</f>
        <v>9.9999999999999395E-5</v>
      </c>
      <c r="CH639" s="1222">
        <f>+CH638-CH637</f>
        <v>2.3499999999999997E-3</v>
      </c>
      <c r="CI639" s="1216"/>
      <c r="CJ639" s="1222">
        <f>+CJ638-CJ637</f>
        <v>1.2940663000000005E-3</v>
      </c>
      <c r="CK639" s="1222">
        <f>+CK638-CK637</f>
        <v>4.8000000000000004E-3</v>
      </c>
      <c r="CL639" s="1222">
        <f>+CL638-CL637</f>
        <v>3.0470331500000005E-3</v>
      </c>
      <c r="CM639" s="1216"/>
      <c r="CN639" s="1222">
        <f>+CN638-CN637</f>
        <v>-9.8790000000000011E-4</v>
      </c>
      <c r="CO639" s="1222">
        <f>+CO638-CO637</f>
        <v>-7.3710000000000008E-4</v>
      </c>
      <c r="CP639" s="1222">
        <f>+CP638-CP637</f>
        <v>-8.6250000000000009E-4</v>
      </c>
      <c r="CQ639" s="1216"/>
      <c r="CR639" s="1222">
        <f>+CR638-CR637</f>
        <v>-2.3599999999999999E-4</v>
      </c>
      <c r="CS639" s="1222">
        <f>+CS638-CS637</f>
        <v>4.6499999999999979E-3</v>
      </c>
      <c r="CT639" s="1222">
        <f>+CT638-CT637</f>
        <v>2.2069999999999989E-3</v>
      </c>
      <c r="CU639" s="1216"/>
      <c r="CV639" s="1222">
        <f>+CV638-CV637</f>
        <v>8.9999999999999802E-4</v>
      </c>
      <c r="CW639" s="1222">
        <f>+CW638-CW637</f>
        <v>9.4999999999999946E-4</v>
      </c>
      <c r="CX639" s="1222">
        <f>+CX638-CX637</f>
        <v>9.2499999999999527E-4</v>
      </c>
      <c r="CY639" s="1216"/>
      <c r="CZ639" s="1222">
        <f>+CZ638-CZ637</f>
        <v>5.9999999999999637E-4</v>
      </c>
      <c r="DA639" s="1222">
        <f>+DA638-DA637</f>
        <v>5.0000000000000044E-4</v>
      </c>
      <c r="DB639" s="1222">
        <f>+DB638-DB637</f>
        <v>5.4999999999999494E-4</v>
      </c>
      <c r="DC639" s="1216"/>
      <c r="DD639" s="1222">
        <f>+DD638-DD637</f>
        <v>3.9999999999999758E-4</v>
      </c>
      <c r="DE639" s="1222">
        <f>+DE638-DE637</f>
        <v>-9.9999999999999395E-4</v>
      </c>
      <c r="DF639" s="1222">
        <f>+DF638-DF637</f>
        <v>-2.9999999999999472E-4</v>
      </c>
      <c r="DG639" s="1299"/>
      <c r="DH639" s="1297">
        <f>DE639</f>
        <v>-9.9999999999999395E-4</v>
      </c>
      <c r="DI639" s="1297">
        <f>DH639</f>
        <v>-9.9999999999999395E-4</v>
      </c>
      <c r="DJ639" s="1298"/>
      <c r="DK639" s="1299"/>
      <c r="DL639" s="1297">
        <f>DI639</f>
        <v>-9.9999999999999395E-4</v>
      </c>
      <c r="DM639" s="1297">
        <f>DL639</f>
        <v>-9.9999999999999395E-4</v>
      </c>
      <c r="DN639" s="1298"/>
      <c r="DO639" s="1216"/>
      <c r="DP639" s="1297">
        <f>DM639</f>
        <v>-9.9999999999999395E-4</v>
      </c>
      <c r="DQ639" s="1297">
        <f>DP639</f>
        <v>-9.9999999999999395E-4</v>
      </c>
      <c r="DR639" s="1298"/>
      <c r="DS639" s="1216"/>
      <c r="DT639" s="1216"/>
      <c r="DU639" s="1216"/>
      <c r="DV639" s="1216"/>
      <c r="DW639" s="20"/>
      <c r="DX639" s="20"/>
    </row>
    <row r="640" spans="1:128" s="20" customFormat="1" ht="13.8">
      <c r="B640" s="49"/>
      <c r="BH640" s="49"/>
      <c r="BI640" s="49"/>
      <c r="BJ640" s="49"/>
      <c r="BK640" s="49"/>
      <c r="BL640" s="49"/>
      <c r="BM640" s="49"/>
      <c r="BN640" s="49"/>
      <c r="BO640" s="49"/>
      <c r="BP640" s="49"/>
      <c r="BR640" s="49"/>
      <c r="BT640" s="49"/>
      <c r="BV640" s="49"/>
      <c r="BX640" s="49"/>
      <c r="BZ640" s="49"/>
      <c r="CB640" s="49"/>
      <c r="CD640" s="49"/>
      <c r="CF640" s="49"/>
      <c r="CH640" s="49"/>
      <c r="CJ640" s="49"/>
      <c r="CL640" s="49"/>
      <c r="CN640" s="49"/>
      <c r="CP640" s="49"/>
      <c r="CR640" s="49"/>
      <c r="CT640" s="49"/>
      <c r="CV640" s="49"/>
      <c r="CX640" s="49"/>
      <c r="CZ640" s="49"/>
      <c r="DB640" s="49"/>
      <c r="DD640" s="49"/>
      <c r="DF640" s="49"/>
      <c r="DH640" s="49"/>
      <c r="DJ640" s="49"/>
      <c r="DL640" s="49"/>
      <c r="DN640" s="49"/>
      <c r="DP640" s="49"/>
      <c r="DR640" s="49"/>
    </row>
    <row r="641" spans="1:128" s="20" customFormat="1" ht="13.8">
      <c r="A641" s="20" t="s">
        <v>532</v>
      </c>
      <c r="B641" s="49"/>
      <c r="BH641" s="65">
        <f>BH461</f>
        <v>449502</v>
      </c>
      <c r="BI641" s="65">
        <f>BI461</f>
        <v>475476</v>
      </c>
      <c r="BJ641" s="65">
        <f>BJ461</f>
        <v>461679</v>
      </c>
      <c r="BK641" s="49"/>
      <c r="BL641" s="65">
        <f>BL461</f>
        <v>502604</v>
      </c>
      <c r="BM641" s="65">
        <f>BM461</f>
        <v>527414</v>
      </c>
      <c r="BN641" s="65">
        <f>BN461</f>
        <v>515042</v>
      </c>
      <c r="BO641" s="49"/>
      <c r="BP641" s="65">
        <f>BP461</f>
        <v>544700</v>
      </c>
      <c r="BQ641" s="65">
        <f>BQ461</f>
        <v>566505</v>
      </c>
      <c r="BR641" s="65">
        <f>BR461</f>
        <v>555602.5</v>
      </c>
      <c r="BT641" s="65">
        <f>BT461</f>
        <v>550932</v>
      </c>
      <c r="BU641" s="65">
        <f>BU461</f>
        <v>551085</v>
      </c>
      <c r="BV641" s="65">
        <f>BV461</f>
        <v>551008.5</v>
      </c>
      <c r="BX641" s="65">
        <f>BX461</f>
        <v>555781</v>
      </c>
      <c r="BY641" s="65">
        <f>BY461</f>
        <v>558356</v>
      </c>
      <c r="BZ641" s="65">
        <f>BZ461</f>
        <v>557068.5</v>
      </c>
      <c r="CB641" s="65">
        <f>CB461</f>
        <v>561445</v>
      </c>
      <c r="CC641" s="65">
        <f>CC461</f>
        <v>572505</v>
      </c>
      <c r="CD641" s="65">
        <f>CD461</f>
        <v>567103</v>
      </c>
      <c r="CF641" s="65">
        <f>CF461</f>
        <v>585911</v>
      </c>
      <c r="CG641" s="65">
        <f>CG461</f>
        <v>589929</v>
      </c>
      <c r="CH641" s="65">
        <f>CH461</f>
        <v>587924</v>
      </c>
      <c r="CJ641" s="65">
        <f>CJ461</f>
        <v>604639</v>
      </c>
      <c r="CK641" s="65">
        <f>CK461</f>
        <v>607394</v>
      </c>
      <c r="CL641" s="65">
        <f>CL461</f>
        <v>606017</v>
      </c>
      <c r="CN641" s="65">
        <f>CN461</f>
        <v>586454</v>
      </c>
      <c r="CO641" s="65">
        <f>CO461</f>
        <v>587317</v>
      </c>
      <c r="CP641" s="65">
        <f>CP461</f>
        <v>586885</v>
      </c>
      <c r="CR641" s="65">
        <f>CR461</f>
        <v>607087</v>
      </c>
      <c r="CS641" s="65">
        <f>CS461</f>
        <v>619490</v>
      </c>
      <c r="CT641" s="65">
        <f>CT461</f>
        <v>613305</v>
      </c>
      <c r="CV641" s="65">
        <f>CV461</f>
        <v>649253</v>
      </c>
      <c r="CW641" s="65">
        <f>CW461</f>
        <v>650169</v>
      </c>
      <c r="CX641" s="65">
        <f>CX461</f>
        <v>649713</v>
      </c>
      <c r="CZ641" s="65">
        <f>CZ461</f>
        <v>663982</v>
      </c>
      <c r="DA641" s="65">
        <f>DA461</f>
        <v>699378</v>
      </c>
      <c r="DB641" s="65">
        <f>DB461</f>
        <v>681680</v>
      </c>
      <c r="DD641" s="65">
        <f>DD461</f>
        <v>762557</v>
      </c>
      <c r="DE641" s="65">
        <f>DE461</f>
        <v>777193</v>
      </c>
      <c r="DF641" s="65">
        <f>DF461</f>
        <v>769895</v>
      </c>
      <c r="DH641" s="65">
        <f>DH461</f>
        <v>784347.47131220344</v>
      </c>
      <c r="DI641" s="65">
        <f>DI461</f>
        <v>795631.82245495776</v>
      </c>
      <c r="DJ641" s="65">
        <f>DJ461</f>
        <v>789989.6468835806</v>
      </c>
      <c r="DL641" s="65">
        <f>DL461</f>
        <v>813134.17643466685</v>
      </c>
      <c r="DM641" s="65">
        <f>DM461</f>
        <v>832061.05379386828</v>
      </c>
      <c r="DN641" s="65">
        <f>DN461</f>
        <v>822597.61511426757</v>
      </c>
      <c r="DP641" s="65">
        <f>DP461</f>
        <v>850507.97044903133</v>
      </c>
      <c r="DQ641" s="65">
        <f>DQ461</f>
        <v>868291.32426456013</v>
      </c>
      <c r="DR641" s="65">
        <f>DR461</f>
        <v>859399.64735679573</v>
      </c>
    </row>
    <row r="642" spans="1:128" s="21" customFormat="1" ht="13.8">
      <c r="A642" s="21" t="s">
        <v>86</v>
      </c>
      <c r="B642" s="27"/>
      <c r="BH642" s="72">
        <f>BH594-BH647</f>
        <v>13159</v>
      </c>
      <c r="BI642" s="72">
        <f>BI594-BI647</f>
        <v>13044</v>
      </c>
      <c r="BJ642" s="72">
        <f>+BI642+BH642</f>
        <v>26203</v>
      </c>
      <c r="BK642" s="27"/>
      <c r="BL642" s="72">
        <f>BL594-BL647</f>
        <v>13049</v>
      </c>
      <c r="BM642" s="72">
        <f>BM594-BM647</f>
        <v>13701</v>
      </c>
      <c r="BN642" s="72">
        <f>+BM642+BL642</f>
        <v>26750</v>
      </c>
      <c r="BO642" s="27"/>
      <c r="BP642" s="72">
        <f>BP594-BP647</f>
        <v>13873</v>
      </c>
      <c r="BQ642" s="72">
        <f>BQ594-BQ647</f>
        <v>13643</v>
      </c>
      <c r="BR642" s="72">
        <f>+BQ642+BP642</f>
        <v>27516</v>
      </c>
      <c r="BT642" s="72">
        <f>BT594-BT647</f>
        <v>13572</v>
      </c>
      <c r="BU642" s="72">
        <f>BU594-BU647</f>
        <v>13270</v>
      </c>
      <c r="BV642" s="72">
        <f>+BU642+BT642</f>
        <v>26842</v>
      </c>
      <c r="BX642" s="72">
        <f>BX594-BX647</f>
        <v>12839</v>
      </c>
      <c r="BY642" s="72">
        <f>BY594-BY647</f>
        <v>13099</v>
      </c>
      <c r="BZ642" s="72">
        <f>+BY642+BX642</f>
        <v>25938</v>
      </c>
      <c r="CB642" s="72">
        <f>CB594-CB647</f>
        <v>12979</v>
      </c>
      <c r="CC642" s="72">
        <f>CC594-CC647</f>
        <v>13379</v>
      </c>
      <c r="CD642" s="72">
        <f>+CC642+CB642</f>
        <v>26358</v>
      </c>
      <c r="CF642" s="72">
        <f>CF594-CF647</f>
        <v>13853</v>
      </c>
      <c r="CG642" s="72">
        <f>CG594-CG647</f>
        <v>13223</v>
      </c>
      <c r="CH642" s="72">
        <f>+CG642+CF642</f>
        <v>27076</v>
      </c>
      <c r="CJ642" s="72">
        <f>CJ594-CJ647</f>
        <v>12201</v>
      </c>
      <c r="CK642" s="72">
        <f>CK594-CK647</f>
        <v>9838</v>
      </c>
      <c r="CL642" s="72">
        <f>+CK642+CJ642</f>
        <v>22039</v>
      </c>
      <c r="CN642" s="72">
        <f>CN594-CN647</f>
        <v>9137</v>
      </c>
      <c r="CO642" s="72">
        <f>CO594-CO647</f>
        <v>8870</v>
      </c>
      <c r="CP642" s="72">
        <f>+CO642+CN642</f>
        <v>18007</v>
      </c>
      <c r="CR642" s="72">
        <f>CR594-CR647</f>
        <v>8933</v>
      </c>
      <c r="CS642" s="72">
        <f>CS594-CS647</f>
        <v>11738</v>
      </c>
      <c r="CT642" s="72">
        <f>+CS642+CR642</f>
        <v>20671</v>
      </c>
      <c r="CV642" s="72">
        <f>CV594-CV647</f>
        <v>17723</v>
      </c>
      <c r="CW642" s="72">
        <f>CW594-CW647</f>
        <v>20475</v>
      </c>
      <c r="CX642" s="72">
        <f>+CW642+CV642</f>
        <v>38198</v>
      </c>
      <c r="CZ642" s="72">
        <f>CZ594-CZ647</f>
        <v>22010</v>
      </c>
      <c r="DA642" s="72">
        <f>DA594-DA647</f>
        <v>23472</v>
      </c>
      <c r="DB642" s="72">
        <f>+DA642+CZ642</f>
        <v>45482</v>
      </c>
      <c r="DD642" s="72">
        <f>DD594-DD647</f>
        <v>24990</v>
      </c>
      <c r="DE642" s="72">
        <f>DE594-DE647</f>
        <v>23900</v>
      </c>
      <c r="DF642" s="72">
        <f>+DE642+DD642</f>
        <v>48890</v>
      </c>
      <c r="DH642" s="72">
        <f>+DH641*DH643*(DH$3/DH$4)</f>
        <v>23968.653791255623</v>
      </c>
      <c r="DI642" s="72">
        <f>+DI641*DI643*(DI$3/DI$4)</f>
        <v>25364.563084783891</v>
      </c>
      <c r="DJ642" s="72">
        <f>+DI642+DH642</f>
        <v>49333.216876039514</v>
      </c>
      <c r="DL642" s="72">
        <f>+DL641*DL643*(DL$3/DL$4)</f>
        <v>26247.152177269196</v>
      </c>
      <c r="DM642" s="72">
        <f>+DM641*DM643*(DM$3/DM$4)</f>
        <v>26922.230584803605</v>
      </c>
      <c r="DN642" s="72">
        <f>+DM642+DL642</f>
        <v>53169.382762072797</v>
      </c>
      <c r="DP642" s="72">
        <f>+DP641*DP643*(DP$3/DP$4)</f>
        <v>27401.386222177407</v>
      </c>
      <c r="DQ642" s="72">
        <f>+DQ641*DQ643*(DQ$3/DQ$4)</f>
        <v>27887.495337428598</v>
      </c>
      <c r="DR642" s="72">
        <f>+DQ642+DP642</f>
        <v>55288.881559606001</v>
      </c>
    </row>
    <row r="643" spans="1:128" s="21" customFormat="1" ht="13.8">
      <c r="A643" s="21" t="s">
        <v>279</v>
      </c>
      <c r="B643" s="27"/>
      <c r="BH643" s="74">
        <f>+BH642*(BH$4/BH$3)/BH641</f>
        <v>5.8710088493048297E-2</v>
      </c>
      <c r="BI643" s="74">
        <f>+BI642*(BI$4/BI$3)/BI641</f>
        <v>5.471721245967285E-2</v>
      </c>
      <c r="BJ643" s="74">
        <f>+BJ642*(BJ$4/BJ$3)/BJ641</f>
        <v>5.6755884499836463E-2</v>
      </c>
      <c r="BK643" s="27"/>
      <c r="BL643" s="74">
        <f>+BL642*(BL$4/BL$3)/BL641</f>
        <v>5.2068224292281404E-2</v>
      </c>
      <c r="BM643" s="74">
        <f>+BM642*(BM$4/BM$3)/BM641</f>
        <v>5.1813435266301201E-2</v>
      </c>
      <c r="BN643" s="74">
        <f>+BN642*(BN$4/BN$3)/BN641</f>
        <v>5.1937511892234028E-2</v>
      </c>
      <c r="BO643" s="27"/>
      <c r="BP643" s="74">
        <f>+BP642*(BP$4/BP$3)/BP641</f>
        <v>5.1078071001882275E-2</v>
      </c>
      <c r="BQ643" s="74">
        <f>+BQ642*(BQ$4/BQ$3)/BQ641</f>
        <v>4.803390629814687E-2</v>
      </c>
      <c r="BR643" s="74">
        <f>+BR642*(BR$4/BR$3)/BR641</f>
        <v>4.9524615170018133E-2</v>
      </c>
      <c r="BT643" s="74">
        <f>+BT642*(BT$4/BT$3)/BT641</f>
        <v>4.9269238308902008E-2</v>
      </c>
      <c r="BU643" s="74">
        <f>+BU642*(BU$4/BU$3)/BU641</f>
        <v>4.8159539816906648E-2</v>
      </c>
      <c r="BV643" s="74">
        <f>+BV642*(BV$4/BV$3)/BV641</f>
        <v>4.8714312029669235E-2</v>
      </c>
      <c r="BX643" s="74">
        <f>+BX642*(BX$4/BX$3)/BX641</f>
        <v>4.6328578983527602E-2</v>
      </c>
      <c r="BY643" s="74">
        <f>+BY642*(BY$4/BY$3)/BY641</f>
        <v>4.6791689826969393E-2</v>
      </c>
      <c r="BZ643" s="74">
        <f>+BZ642*(BZ$4/BZ$3)/BZ641</f>
        <v>4.6561598797993424E-2</v>
      </c>
      <c r="CB643" s="74">
        <f>+CB642*(CB$4/CB$3)/CB641</f>
        <v>4.6361287725090052E-2</v>
      </c>
      <c r="CC643" s="74">
        <f>+CC642*(CC$4/CC$3)/CC641</f>
        <v>4.6610755732059132E-2</v>
      </c>
      <c r="CD643" s="74">
        <f>+CD642*(CD$4/CD$3)/CD641</f>
        <v>4.6478329333472047E-2</v>
      </c>
      <c r="CF643" s="74">
        <f>+CF642*(CF$4/CF$3)/CF641</f>
        <v>4.7416954767217856E-2</v>
      </c>
      <c r="CG643" s="74">
        <f>+CG642*(CG$4/CG$3)/CG641</f>
        <v>4.4706639560691042E-2</v>
      </c>
      <c r="CH643" s="74">
        <f>+CH642*(CH$4/CH$3)/CH641</f>
        <v>4.6053571550064294E-2</v>
      </c>
      <c r="CJ643" s="74">
        <f>+CJ642*(CJ$4/CJ$3)/CJ641</f>
        <v>4.0357965662155437E-2</v>
      </c>
      <c r="CK643" s="74">
        <f>+CK642*(CK$4/CK$3)/CK641</f>
        <v>3.2394129675301371E-2</v>
      </c>
      <c r="CL643" s="74">
        <f>+CL642*(CL$4/CL$3)/CL641</f>
        <v>3.6366966603247106E-2</v>
      </c>
      <c r="CN643" s="74">
        <f>+CN642*(CN$4/CN$3)/CN641</f>
        <v>3.1245764027022234E-2</v>
      </c>
      <c r="CO643" s="74">
        <f>+CO642*(CO$4/CO$3)/CO641</f>
        <v>3.0122625523601069E-2</v>
      </c>
      <c r="CP643" s="74">
        <f>+CP642*(CP$4/CP$3)/CP641</f>
        <v>3.0682331291479591E-2</v>
      </c>
      <c r="CR643" s="74">
        <f>+CR642*(CR$4/CR$3)/CR641</f>
        <v>2.950990948180807E-2</v>
      </c>
      <c r="CS643" s="74">
        <f>+CS642*(CS$4/CS$3)/CS641</f>
        <v>3.7792148256626044E-2</v>
      </c>
      <c r="CT643" s="74">
        <f>+CT642*(CT$4/CT$3)/CT641</f>
        <v>3.3704274382240482E-2</v>
      </c>
      <c r="CV643" s="74">
        <f>+CV642*(CV$4/CV$3)/CV641</f>
        <v>5.4745036404728394E-2</v>
      </c>
      <c r="CW643" s="74">
        <f>+CW642*(CW$4/CW$3)/CW641</f>
        <v>6.2811537852617338E-2</v>
      </c>
      <c r="CX643" s="74">
        <f>+CX642*(CX$4/CX$3)/CX641</f>
        <v>5.8792112825201283E-2</v>
      </c>
      <c r="CZ643" s="74">
        <f>+CZ642*(CZ$4/CZ$3)/CZ641</f>
        <v>6.6296977930124609E-2</v>
      </c>
      <c r="DA643" s="74">
        <f>+DA642*(DA$4/DA$3)/DA641</f>
        <v>6.7122500278819178E-2</v>
      </c>
      <c r="DB643" s="74">
        <f>+DB642*(DB$4/DB$3)/DB641</f>
        <v>6.6720455345616714E-2</v>
      </c>
      <c r="DD643" s="74">
        <f>+DD642*(DD$4/DD$3)/DD641</f>
        <v>6.5722703604199684E-2</v>
      </c>
      <c r="DE643" s="74">
        <f>+DE642*(DE$4/DE$3)/DE641</f>
        <v>6.133534258170599E-2</v>
      </c>
      <c r="DF643" s="74">
        <f>+DF642*(DF$4/DF$3)/DF641</f>
        <v>6.3502165879762831E-2</v>
      </c>
      <c r="DH643" s="361">
        <f>+DH637+DH644</f>
        <v>6.1285342581705995E-2</v>
      </c>
      <c r="DI643" s="361">
        <f>+DI637+DI644</f>
        <v>6.3585342581705992E-2</v>
      </c>
      <c r="DJ643" s="74">
        <f>+DJ642*(DJ$4/DJ$3)/DJ641</f>
        <v>6.2447928362926591E-2</v>
      </c>
      <c r="DL643" s="361">
        <f>+DL637+DL644</f>
        <v>6.473534258170599E-2</v>
      </c>
      <c r="DM643" s="361">
        <f>+DM637+DM644</f>
        <v>6.4535342581705998E-2</v>
      </c>
      <c r="DN643" s="74">
        <f>+DN642*(DN$4/DN$3)/DN641</f>
        <v>6.4635955399271375E-2</v>
      </c>
      <c r="DP643" s="361">
        <f>+DP637+DP644</f>
        <v>6.4435342581705995E-2</v>
      </c>
      <c r="DQ643" s="361">
        <f>+DQ637+DQ644</f>
        <v>6.4235342581706004E-2</v>
      </c>
      <c r="DR643" s="74">
        <f>+DR642*(DR$4/DR$3)/DR641</f>
        <v>6.4334307943521643E-2</v>
      </c>
    </row>
    <row r="644" spans="1:128" s="20" customFormat="1" ht="13.8">
      <c r="A644" s="20" t="s">
        <v>87</v>
      </c>
      <c r="B644" s="49"/>
      <c r="BH644" s="77">
        <f>BH643-BH637</f>
        <v>2.7767788493048298E-2</v>
      </c>
      <c r="BI644" s="77">
        <f>BI643-BI637</f>
        <v>2.7446212459672849E-2</v>
      </c>
      <c r="BJ644" s="77">
        <f>BJ643-BJ637</f>
        <v>2.7649234499836466E-2</v>
      </c>
      <c r="BK644" s="49"/>
      <c r="BL644" s="77">
        <f>BL643-BL637</f>
        <v>2.7068224292281402E-2</v>
      </c>
      <c r="BM644" s="77">
        <f>BM643-BM637</f>
        <v>2.68134352663012E-2</v>
      </c>
      <c r="BN644" s="77">
        <f>BN643-BN637</f>
        <v>2.6937511892234027E-2</v>
      </c>
      <c r="BO644" s="49"/>
      <c r="BP644" s="77">
        <f>BP643-BP637</f>
        <v>2.7328071001882275E-2</v>
      </c>
      <c r="BQ644" s="77">
        <f>BQ643-BQ637</f>
        <v>2.6783906298146871E-2</v>
      </c>
      <c r="BR644" s="77">
        <f>BR643-BR637</f>
        <v>2.7024615170018133E-2</v>
      </c>
      <c r="BT644" s="77">
        <f>BT643-BT637</f>
        <v>2.9269238308902008E-2</v>
      </c>
      <c r="BU644" s="77">
        <f>BU643-BU637</f>
        <v>3.0659539816906646E-2</v>
      </c>
      <c r="BV644" s="77">
        <f>BV643-BV637</f>
        <v>2.9964312029669232E-2</v>
      </c>
      <c r="BX644" s="77">
        <f>BX643-BX637</f>
        <v>3.1328578983527602E-2</v>
      </c>
      <c r="BY644" s="77">
        <f>BY643-BY637</f>
        <v>3.1791689826969394E-2</v>
      </c>
      <c r="BZ644" s="77">
        <f>BZ643-BZ637</f>
        <v>3.1561598797993425E-2</v>
      </c>
      <c r="CB644" s="77">
        <f>CB643-CB637</f>
        <v>3.1361287725090052E-2</v>
      </c>
      <c r="CC644" s="77">
        <f>CC643-CC637</f>
        <v>3.1610755732059133E-2</v>
      </c>
      <c r="CD644" s="77">
        <f>CD643-CD637</f>
        <v>3.1478329333472048E-2</v>
      </c>
      <c r="CF644" s="77">
        <f>CF643-CF637</f>
        <v>3.2416954767217857E-2</v>
      </c>
      <c r="CG644" s="77">
        <f>CG643-CG637</f>
        <v>3.2206639560691044E-2</v>
      </c>
      <c r="CH644" s="77">
        <f>CH643-CH637</f>
        <v>3.2303571550064296E-2</v>
      </c>
      <c r="CJ644" s="77">
        <f>CJ643-CJ637</f>
        <v>3.3430485662155437E-2</v>
      </c>
      <c r="CK644" s="77">
        <f>CK643-CK637</f>
        <v>2.9894129675301372E-2</v>
      </c>
      <c r="CL644" s="77">
        <f>CL643-CL637</f>
        <v>3.1653226603247105E-2</v>
      </c>
      <c r="CN644" s="77">
        <f>CN643-CN637</f>
        <v>2.9968864027022233E-2</v>
      </c>
      <c r="CO644" s="77">
        <f>CO643-CO637</f>
        <v>2.9122625523601068E-2</v>
      </c>
      <c r="CP644" s="77">
        <f>CP643-CP637</f>
        <v>2.9543881291479591E-2</v>
      </c>
      <c r="CR644" s="77">
        <f>CR643-CR637</f>
        <v>2.8509909481808069E-2</v>
      </c>
      <c r="CS644" s="77">
        <f>CS643-CS637</f>
        <v>2.5542148256626044E-2</v>
      </c>
      <c r="CT644" s="77">
        <f>CT643-CT637</f>
        <v>2.7079274382240483E-2</v>
      </c>
      <c r="CV644" s="77">
        <f>CV643-CV637</f>
        <v>2.2945036404728392E-2</v>
      </c>
      <c r="CW644" s="77">
        <f>CW643-CW637</f>
        <v>2.3061537852617338E-2</v>
      </c>
      <c r="CX644" s="77">
        <f>CX643-CX637</f>
        <v>2.3017112825201282E-2</v>
      </c>
      <c r="CZ644" s="77">
        <f>CZ643-CZ637</f>
        <v>2.3596977930124607E-2</v>
      </c>
      <c r="DA644" s="77">
        <f>DA643-DA637</f>
        <v>2.3622500278819181E-2</v>
      </c>
      <c r="DB644" s="77">
        <f>DB643-DB637</f>
        <v>2.3620455345616714E-2</v>
      </c>
      <c r="DD644" s="77">
        <f>DD643-DD637</f>
        <v>2.3022703604199682E-2</v>
      </c>
      <c r="DE644" s="77">
        <f>DE643-DE637</f>
        <v>2.4135342581705993E-2</v>
      </c>
      <c r="DF644" s="77">
        <f>DF643-DF637</f>
        <v>2.3552165879762832E-2</v>
      </c>
      <c r="DH644" s="77">
        <f>+DE644+DH645</f>
        <v>2.4035342581705994E-2</v>
      </c>
      <c r="DI644" s="77">
        <f>+DH644+DI645</f>
        <v>2.3835342581705995E-2</v>
      </c>
      <c r="DJ644" s="77">
        <f>DJ643-DJ637</f>
        <v>2.3947928362926592E-2</v>
      </c>
      <c r="DL644" s="77">
        <f>+DI644+DL645</f>
        <v>2.3735342581705995E-2</v>
      </c>
      <c r="DM644" s="77">
        <f>+DL644+DM645</f>
        <v>2.3535342581705997E-2</v>
      </c>
      <c r="DN644" s="77">
        <f>DN643-DN637</f>
        <v>2.3635955399271373E-2</v>
      </c>
      <c r="DP644" s="77">
        <f>+DM644+DP645</f>
        <v>2.3435342581705997E-2</v>
      </c>
      <c r="DQ644" s="77">
        <f>+DP644+DQ645</f>
        <v>2.3235342581705998E-2</v>
      </c>
      <c r="DR644" s="77">
        <f>DR643-DR637</f>
        <v>2.3334307943521641E-2</v>
      </c>
    </row>
    <row r="645" spans="1:128" s="335" customFormat="1" ht="13.8">
      <c r="A645" s="1223" t="s">
        <v>88</v>
      </c>
      <c r="B645" s="1217" t="s">
        <v>84</v>
      </c>
      <c r="C645" s="1223"/>
      <c r="D645" s="1223"/>
      <c r="E645" s="1223"/>
      <c r="F645" s="1223"/>
      <c r="G645" s="1223"/>
      <c r="H645" s="1223"/>
      <c r="I645" s="1223"/>
      <c r="J645" s="1223"/>
      <c r="K645" s="1223"/>
      <c r="L645" s="1223"/>
      <c r="M645" s="1223"/>
      <c r="N645" s="1223"/>
      <c r="O645" s="1223"/>
      <c r="P645" s="1223"/>
      <c r="Q645" s="1223"/>
      <c r="R645" s="1223"/>
      <c r="S645" s="1223"/>
      <c r="T645" s="1223"/>
      <c r="U645" s="1223"/>
      <c r="V645" s="1223"/>
      <c r="W645" s="1223"/>
      <c r="X645" s="1223"/>
      <c r="Y645" s="1223"/>
      <c r="Z645" s="1223"/>
      <c r="AA645" s="1223"/>
      <c r="AB645" s="1223"/>
      <c r="AC645" s="1223"/>
      <c r="AD645" s="1223"/>
      <c r="AE645" s="1223"/>
      <c r="AF645" s="1223"/>
      <c r="AG645" s="1223"/>
      <c r="AH645" s="1223"/>
      <c r="AI645" s="1223"/>
      <c r="AJ645" s="1223"/>
      <c r="AK645" s="1223"/>
      <c r="AL645" s="1223"/>
      <c r="AM645" s="1223"/>
      <c r="AN645" s="1223"/>
      <c r="AO645" s="1223"/>
      <c r="AP645" s="1223"/>
      <c r="AQ645" s="1223"/>
      <c r="AR645" s="1223"/>
      <c r="AS645" s="1223"/>
      <c r="AT645" s="1223"/>
      <c r="AU645" s="1223"/>
      <c r="AV645" s="1223"/>
      <c r="AW645" s="1223"/>
      <c r="AX645" s="1223"/>
      <c r="AY645" s="1223"/>
      <c r="AZ645" s="1223"/>
      <c r="BA645" s="1223"/>
      <c r="BB645" s="1223"/>
      <c r="BC645" s="1223"/>
      <c r="BD645" s="1223"/>
      <c r="BE645" s="1223"/>
      <c r="BF645" s="1223"/>
      <c r="BG645" s="1223"/>
      <c r="BH645" s="1224"/>
      <c r="BI645" s="1225">
        <f>+BI644-BH644</f>
        <v>-3.2157603337544874E-4</v>
      </c>
      <c r="BJ645" s="1217"/>
      <c r="BK645" s="1217"/>
      <c r="BL645" s="1224">
        <f>BL644-BI644</f>
        <v>-3.7798816739144717E-4</v>
      </c>
      <c r="BM645" s="1225">
        <f>+BM644-BL644</f>
        <v>-2.5478902598020242E-4</v>
      </c>
      <c r="BN645" s="1217"/>
      <c r="BO645" s="1217"/>
      <c r="BP645" s="1224">
        <f>BP644-BM644</f>
        <v>5.1463573558107462E-4</v>
      </c>
      <c r="BQ645" s="1225">
        <f>+BQ644-BP644</f>
        <v>-5.4416470373540304E-4</v>
      </c>
      <c r="BR645" s="1217"/>
      <c r="BS645" s="1223"/>
      <c r="BT645" s="1224">
        <f>BT644-BQ644</f>
        <v>2.4853320107551362E-3</v>
      </c>
      <c r="BU645" s="1225">
        <f>+BU644-BT644</f>
        <v>1.3903015080046384E-3</v>
      </c>
      <c r="BV645" s="1217"/>
      <c r="BW645" s="1223"/>
      <c r="BX645" s="1224">
        <f>BX644-BU644</f>
        <v>6.6903916662095636E-4</v>
      </c>
      <c r="BY645" s="1225">
        <f>+BY644-BX644</f>
        <v>4.6311084344179132E-4</v>
      </c>
      <c r="BZ645" s="1217"/>
      <c r="CA645" s="1223"/>
      <c r="CB645" s="1224">
        <f>CB644-BY644</f>
        <v>-4.3040210187934164E-4</v>
      </c>
      <c r="CC645" s="1225">
        <f>+CC644-CB644</f>
        <v>2.4946800696908078E-4</v>
      </c>
      <c r="CD645" s="1217"/>
      <c r="CE645" s="1223"/>
      <c r="CF645" s="1224">
        <f>CF644-CC644</f>
        <v>8.0619903515872365E-4</v>
      </c>
      <c r="CG645" s="1225">
        <f>+CG644-CF644</f>
        <v>-2.1031520652681213E-4</v>
      </c>
      <c r="CH645" s="1217"/>
      <c r="CI645" s="1223"/>
      <c r="CJ645" s="1224">
        <f>CJ644-CG644</f>
        <v>1.2238461014643931E-3</v>
      </c>
      <c r="CK645" s="1225">
        <f>+CK644-CJ644</f>
        <v>-3.5363559868540652E-3</v>
      </c>
      <c r="CL645" s="1217"/>
      <c r="CM645" s="1223"/>
      <c r="CN645" s="1224">
        <f>CN644-CK644</f>
        <v>7.4734351720860681E-5</v>
      </c>
      <c r="CO645" s="1225">
        <f>+CO644-CN644</f>
        <v>-8.4623850342116502E-4</v>
      </c>
      <c r="CP645" s="1217"/>
      <c r="CQ645" s="1223"/>
      <c r="CR645" s="1224">
        <f>CR644-CO644</f>
        <v>-6.1271604179299888E-4</v>
      </c>
      <c r="CS645" s="1225">
        <f>+CS644-CR644</f>
        <v>-2.9677612251820251E-3</v>
      </c>
      <c r="CT645" s="1217"/>
      <c r="CU645" s="1223"/>
      <c r="CV645" s="1224">
        <f>CV644-CS644</f>
        <v>-2.5971118518976523E-3</v>
      </c>
      <c r="CW645" s="1225">
        <f>+CW644-CV644</f>
        <v>1.1650144788894617E-4</v>
      </c>
      <c r="CX645" s="1217"/>
      <c r="CY645" s="1223"/>
      <c r="CZ645" s="1224">
        <f>CZ644-CW644</f>
        <v>5.3544007750726957E-4</v>
      </c>
      <c r="DA645" s="1225">
        <f>+DA644-CZ644</f>
        <v>2.552234869457326E-5</v>
      </c>
      <c r="DB645" s="1217"/>
      <c r="DC645" s="1223"/>
      <c r="DD645" s="1224">
        <f>DD644-DA644</f>
        <v>-5.9979667461949882E-4</v>
      </c>
      <c r="DE645" s="1225">
        <f>+DE644-DD644</f>
        <v>1.1126389775063111E-3</v>
      </c>
      <c r="DF645" s="1217"/>
      <c r="DG645" s="1223"/>
      <c r="DH645" s="1226">
        <v>-1E-4</v>
      </c>
      <c r="DI645" s="1226">
        <v>-2.0000000000000001E-4</v>
      </c>
      <c r="DJ645" s="1224">
        <f>+DJ644-DG644</f>
        <v>2.3947928362926592E-2</v>
      </c>
      <c r="DK645" s="1223"/>
      <c r="DL645" s="1226">
        <v>-1E-4</v>
      </c>
      <c r="DM645" s="1226">
        <v>-2.0000000000000001E-4</v>
      </c>
      <c r="DN645" s="1224">
        <f>+DN644-DK644</f>
        <v>2.3635955399271373E-2</v>
      </c>
      <c r="DO645" s="1223"/>
      <c r="DP645" s="1226">
        <v>-1E-4</v>
      </c>
      <c r="DQ645" s="1226">
        <v>-2.0000000000000001E-4</v>
      </c>
      <c r="DR645" s="1224">
        <f>+DR644-DO644</f>
        <v>2.3334307943521641E-2</v>
      </c>
      <c r="DS645" s="1223"/>
      <c r="DT645" s="1223"/>
      <c r="DU645" s="1223"/>
      <c r="DV645" s="1223"/>
      <c r="DW645" s="20"/>
      <c r="DX645" s="20"/>
    </row>
    <row r="646" spans="1:128" s="20" customFormat="1" ht="13.8">
      <c r="A646" s="20" t="s">
        <v>89</v>
      </c>
      <c r="B646" s="49"/>
      <c r="BH646" s="65">
        <f>BH462</f>
        <v>106762</v>
      </c>
      <c r="BI646" s="65">
        <f>BI462</f>
        <v>120522</v>
      </c>
      <c r="BJ646" s="65">
        <f>BJ462</f>
        <v>113660</v>
      </c>
      <c r="BK646" s="49"/>
      <c r="BL646" s="65">
        <f>BL462</f>
        <v>129796</v>
      </c>
      <c r="BM646" s="65">
        <f>BM462</f>
        <v>134101</v>
      </c>
      <c r="BN646" s="65">
        <f>BN462</f>
        <v>131955</v>
      </c>
      <c r="BO646" s="49"/>
      <c r="BP646" s="65">
        <f>BP462</f>
        <v>157503</v>
      </c>
      <c r="BQ646" s="65">
        <f>BQ462</f>
        <v>165234</v>
      </c>
      <c r="BR646" s="65">
        <f>BR462</f>
        <v>161368.5</v>
      </c>
      <c r="BT646" s="65">
        <f>BT462</f>
        <v>180463</v>
      </c>
      <c r="BU646" s="65">
        <f>BU462</f>
        <v>179190</v>
      </c>
      <c r="BV646" s="65">
        <f>BV462</f>
        <v>179826.5</v>
      </c>
      <c r="BX646" s="65">
        <f>BX462</f>
        <v>188125</v>
      </c>
      <c r="BY646" s="65">
        <f>BY462</f>
        <v>193717</v>
      </c>
      <c r="BZ646" s="65">
        <f>BZ462</f>
        <v>190921</v>
      </c>
      <c r="CB646" s="65">
        <f>CB462</f>
        <v>203741</v>
      </c>
      <c r="CC646" s="65">
        <f>CC462</f>
        <v>211996</v>
      </c>
      <c r="CD646" s="65">
        <f>CD462</f>
        <v>207781</v>
      </c>
      <c r="CF646" s="65">
        <f>CF462</f>
        <v>225617</v>
      </c>
      <c r="CG646" s="65">
        <f>CG462</f>
        <v>224902</v>
      </c>
      <c r="CH646" s="65">
        <f>CH462</f>
        <v>225295</v>
      </c>
      <c r="CJ646" s="65">
        <f>CJ462</f>
        <v>252012</v>
      </c>
      <c r="CK646" s="65">
        <f>CK462</f>
        <v>261716</v>
      </c>
      <c r="CL646" s="65">
        <f>CL462</f>
        <v>256865</v>
      </c>
      <c r="CN646" s="65">
        <f>CN462</f>
        <v>271070</v>
      </c>
      <c r="CO646" s="65">
        <f>CO462</f>
        <v>282508</v>
      </c>
      <c r="CP646" s="65">
        <f>CP462</f>
        <v>276806</v>
      </c>
      <c r="CR646" s="65">
        <f>CR462</f>
        <v>292591</v>
      </c>
      <c r="CS646" s="65">
        <f>CS462</f>
        <v>300850</v>
      </c>
      <c r="CT646" s="65">
        <f>CT462</f>
        <v>296732</v>
      </c>
      <c r="CV646" s="65">
        <f>CV462</f>
        <v>323719</v>
      </c>
      <c r="CW646" s="65">
        <f>CW462</f>
        <v>327006</v>
      </c>
      <c r="CX646" s="65">
        <f>CX462</f>
        <v>325366</v>
      </c>
      <c r="CZ646" s="65">
        <f>CZ462</f>
        <v>351639</v>
      </c>
      <c r="DA646" s="65">
        <f>DA462</f>
        <v>332233</v>
      </c>
      <c r="DB646" s="65">
        <f>DB462</f>
        <v>341936</v>
      </c>
      <c r="DD646" s="65">
        <f>DD462</f>
        <v>379571</v>
      </c>
      <c r="DE646" s="65">
        <f>DE462</f>
        <v>399960</v>
      </c>
      <c r="DF646" s="65">
        <f>DF462</f>
        <v>389793</v>
      </c>
      <c r="DH646" s="65">
        <f>DH462</f>
        <v>403641.84266460052</v>
      </c>
      <c r="DI646" s="65">
        <f>DI462</f>
        <v>409449.00907378847</v>
      </c>
      <c r="DJ646" s="65">
        <f>DJ462</f>
        <v>406545.4258691945</v>
      </c>
      <c r="DL646" s="65">
        <f>DL462</f>
        <v>418456.09161020408</v>
      </c>
      <c r="DM646" s="65">
        <f>DM462</f>
        <v>428196.26408806501</v>
      </c>
      <c r="DN646" s="65">
        <f>DN462</f>
        <v>423326.17784913455</v>
      </c>
      <c r="DP646" s="65">
        <f>DP462</f>
        <v>437689.43860893568</v>
      </c>
      <c r="DQ646" s="65">
        <f>DQ462</f>
        <v>446841.12962012453</v>
      </c>
      <c r="DR646" s="65">
        <f>DR462</f>
        <v>442265.28411453008</v>
      </c>
    </row>
    <row r="647" spans="1:128" s="21" customFormat="1" ht="13.8">
      <c r="A647" s="21" t="s">
        <v>90</v>
      </c>
      <c r="B647" s="27"/>
      <c r="BH647" s="67">
        <f>BH594-(9856+965+2338)</f>
        <v>1167</v>
      </c>
      <c r="BI647" s="67">
        <f>BI594-(9490+1058+2496)</f>
        <v>1257</v>
      </c>
      <c r="BJ647" s="72">
        <f>+BI647+BH647</f>
        <v>2424</v>
      </c>
      <c r="BK647" s="27"/>
      <c r="BL647" s="67">
        <f>BL594-(9249+1126+2674)</f>
        <v>1381</v>
      </c>
      <c r="BM647" s="67">
        <v>1393</v>
      </c>
      <c r="BN647" s="72">
        <f>+BM647+BL647</f>
        <v>2774</v>
      </c>
      <c r="BO647" s="27"/>
      <c r="BP647" s="67">
        <v>1521</v>
      </c>
      <c r="BQ647" s="67">
        <f>15132-13643</f>
        <v>1489</v>
      </c>
      <c r="BR647" s="72">
        <f>+BQ647+BP647</f>
        <v>3010</v>
      </c>
      <c r="BT647" s="67">
        <v>1518</v>
      </c>
      <c r="BU647" s="67">
        <v>1591</v>
      </c>
      <c r="BV647" s="72">
        <f>+BU647+BT647</f>
        <v>3109</v>
      </c>
      <c r="BX647" s="67">
        <v>1587</v>
      </c>
      <c r="BY647" s="67">
        <v>1595</v>
      </c>
      <c r="BZ647" s="72">
        <f>+BY647+BX647</f>
        <v>3182</v>
      </c>
      <c r="CB647" s="67">
        <v>1870</v>
      </c>
      <c r="CC647" s="67">
        <v>2099</v>
      </c>
      <c r="CD647" s="72">
        <f>+CC647+CB647</f>
        <v>3969</v>
      </c>
      <c r="CF647" s="67">
        <v>2118</v>
      </c>
      <c r="CG647" s="67">
        <v>1884</v>
      </c>
      <c r="CH647" s="72">
        <f>+CG647+CF647</f>
        <v>4002</v>
      </c>
      <c r="CJ647" s="67">
        <v>1599</v>
      </c>
      <c r="CK647" s="67">
        <v>788</v>
      </c>
      <c r="CL647" s="72">
        <f>+CK647+CJ647</f>
        <v>2387</v>
      </c>
      <c r="CN647" s="67">
        <v>742</v>
      </c>
      <c r="CO647" s="67">
        <v>780</v>
      </c>
      <c r="CP647" s="72">
        <f>+CO647+CN647</f>
        <v>1522</v>
      </c>
      <c r="CR647" s="67">
        <v>774</v>
      </c>
      <c r="CS647" s="67">
        <v>2164</v>
      </c>
      <c r="CT647" s="72">
        <f>+CS647+CR647</f>
        <v>2938</v>
      </c>
      <c r="CV647" s="67">
        <v>5109</v>
      </c>
      <c r="CW647" s="67">
        <v>6597</v>
      </c>
      <c r="CX647" s="72">
        <f>+CW647+CV647</f>
        <v>11706</v>
      </c>
      <c r="CZ647" s="67">
        <v>7801</v>
      </c>
      <c r="DA647" s="67">
        <v>7356</v>
      </c>
      <c r="DB647" s="72">
        <f>+DA647+CZ647</f>
        <v>15157</v>
      </c>
      <c r="DD647" s="67">
        <v>7744</v>
      </c>
      <c r="DE647" s="67">
        <v>7289</v>
      </c>
      <c r="DF647" s="72">
        <f>+DE647+DD647</f>
        <v>15033</v>
      </c>
      <c r="DH647" s="72">
        <f>+DH646*DH648*(DH$3/DH$4)</f>
        <v>7325.9652244543167</v>
      </c>
      <c r="DI647" s="72">
        <f>+DI646*DI648*(DI$3/DI$4)</f>
        <v>7985.4085145787758</v>
      </c>
      <c r="DJ647" s="72">
        <f>+DI647+DH647</f>
        <v>15311.373739033093</v>
      </c>
      <c r="DL647" s="72">
        <f>+DL646*DL648*(DL$3/DL$4)</f>
        <v>8377.2944853079061</v>
      </c>
      <c r="DM647" s="72">
        <f>+DM646*DM648*(DM$3/DM$4)</f>
        <v>8619.3886496443502</v>
      </c>
      <c r="DN647" s="72">
        <f>+DM647+DL647</f>
        <v>16996.683134952254</v>
      </c>
      <c r="DP647" s="72">
        <f>+DP646*DP648*(DP$3/DP$4)</f>
        <v>8786.4094165668721</v>
      </c>
      <c r="DQ647" s="72">
        <f>+DQ646*DQ648*(DQ$3/DQ$4)</f>
        <v>8970.1253050145824</v>
      </c>
      <c r="DR647" s="72">
        <f>+DQ647+DP647</f>
        <v>17756.534721581455</v>
      </c>
    </row>
    <row r="648" spans="1:128" s="20" customFormat="1" ht="13.8">
      <c r="A648" s="21" t="s">
        <v>91</v>
      </c>
      <c r="B648" s="49"/>
      <c r="BH648" s="66">
        <f>+BH647*(BH$4/BH$3)/BH646</f>
        <v>2.1921770741575541E-2</v>
      </c>
      <c r="BI648" s="66">
        <f>+BI647*(BI$4/BI$3)/BI646</f>
        <v>2.0802269689691372E-2</v>
      </c>
      <c r="BJ648" s="66">
        <f>+BJ647*(BJ$4/BJ$3)/BJ646</f>
        <v>2.1326764033081119E-2</v>
      </c>
      <c r="BK648" s="49"/>
      <c r="BL648" s="66">
        <f>+BL647*(BL$4/BL$3)/BL646</f>
        <v>2.1338006657276896E-2</v>
      </c>
      <c r="BM648" s="66">
        <f>+BM647*(BM$4/BM$3)/BM646</f>
        <v>2.0718622367783063E-2</v>
      </c>
      <c r="BN648" s="66">
        <f>+BN647*(BN$4/BN$3)/BN646</f>
        <v>2.1022318214542837E-2</v>
      </c>
      <c r="BO648" s="49"/>
      <c r="BP648" s="66">
        <f>+BP647*(BP$4/BP$3)/BP646</f>
        <v>1.9366978043955624E-2</v>
      </c>
      <c r="BQ648" s="66">
        <f>+BQ647*(BQ$4/BQ$3)/BQ646</f>
        <v>1.7973682099193519E-2</v>
      </c>
      <c r="BR648" s="66">
        <f>+BR647*(BR$4/BR$3)/BR646</f>
        <v>1.8652958910815927E-2</v>
      </c>
      <c r="BT648" s="66">
        <f>+BT647*(BT$4/BT$3)/BT646</f>
        <v>1.6823393160924953E-2</v>
      </c>
      <c r="BU648" s="66">
        <f>+BU647*(BU$4/BU$3)/BU646</f>
        <v>1.7757687370947038E-2</v>
      </c>
      <c r="BV648" s="66">
        <f>+BV647*(BV$4/BV$3)/BV646</f>
        <v>1.7288886788098527E-2</v>
      </c>
      <c r="BX648" s="66">
        <f>+BX647*(BX$4/BX$3)/BX646</f>
        <v>1.6918111788543681E-2</v>
      </c>
      <c r="BY648" s="66">
        <f>+BY647*(BY$4/BY$3)/BY646</f>
        <v>1.6422328205606448E-2</v>
      </c>
      <c r="BZ648" s="66">
        <f>+BZ647*(BZ$4/BZ$3)/BZ646</f>
        <v>1.6666579370524983E-2</v>
      </c>
      <c r="CB648" s="66">
        <f>+CB647*(CB$4/CB$3)/CB646</f>
        <v>1.8407069393370629E-2</v>
      </c>
      <c r="CC648" s="66">
        <f>+CC647*(CC$4/CC$3)/CC646</f>
        <v>1.9748155883341237E-2</v>
      </c>
      <c r="CD648" s="66">
        <f>+CD647*(CD$4/CD$3)/CD646</f>
        <v>1.9101842805646328E-2</v>
      </c>
      <c r="CF648" s="66">
        <f>+CF647*(CF$4/CF$3)/CF646</f>
        <v>1.882676111568438E-2</v>
      </c>
      <c r="CG648" s="66">
        <f>+CG647*(CG$4/CG$3)/CG646</f>
        <v>1.670818809095867E-2</v>
      </c>
      <c r="CH648" s="66">
        <f>+CH647*(CH$4/CH$3)/CH646</f>
        <v>1.7763376905834571E-2</v>
      </c>
      <c r="CJ648" s="66">
        <f>+CJ647*(CJ$4/CJ$3)/CJ646</f>
        <v>1.2689871910861388E-2</v>
      </c>
      <c r="CK648" s="66">
        <f>+CK647*(CK$4/CK$3)/CK646</f>
        <v>6.0217946170658268E-3</v>
      </c>
      <c r="CL648" s="66">
        <f>+CL647*(CL$4/CL$3)/CL646</f>
        <v>9.2928191851750913E-3</v>
      </c>
      <c r="CN648" s="66">
        <f>+CN647*(CN$4/CN$3)/CN646</f>
        <v>5.4896407683510647E-3</v>
      </c>
      <c r="CO648" s="66">
        <f>+CO647*(CO$4/CO$3)/CO646</f>
        <v>5.5068801765544078E-3</v>
      </c>
      <c r="CP648" s="66">
        <f>+CP647*(CP$4/CP$3)/CP646</f>
        <v>5.4984357275492581E-3</v>
      </c>
      <c r="CR648" s="66">
        <f>+CR647*(CR$4/CR$3)/CR646</f>
        <v>5.3051964935789111E-3</v>
      </c>
      <c r="CS648" s="66">
        <f>+CS647*(CS$4/CS$3)/CS646</f>
        <v>1.4346600842240246E-2</v>
      </c>
      <c r="CT648" s="66">
        <f>+CT647*(CT$4/CT$3)/CT646</f>
        <v>9.9011902996643444E-3</v>
      </c>
      <c r="CV648" s="66">
        <f>+CV647*(CV$4/CV$3)/CV646</f>
        <v>3.1651127763805735E-2</v>
      </c>
      <c r="CW648" s="66">
        <f>+CW647*(CW$4/CW$3)/CW646</f>
        <v>4.023764340615197E-2</v>
      </c>
      <c r="CX648" s="66">
        <f>+CX647*(CX$4/CX$3)/CX646</f>
        <v>3.5977944837506069E-2</v>
      </c>
      <c r="CZ648" s="66">
        <f>+CZ647*(CZ$4/CZ$3)/CZ646</f>
        <v>4.4369367447865564E-2</v>
      </c>
      <c r="DA648" s="66">
        <f>+DA647*(DA$4/DA$3)/DA646</f>
        <v>4.4282175461197414E-2</v>
      </c>
      <c r="DB648" s="66">
        <f>+DB647*(DB$4/DB$3)/DB646</f>
        <v>4.4327008563005942E-2</v>
      </c>
      <c r="DD648" s="66">
        <f>+DD647*(DD$4/DD$3)/DD646</f>
        <v>4.0916059052323414E-2</v>
      </c>
      <c r="DE648" s="66">
        <f>+DE647*(DE$4/DE$3)/DE646</f>
        <v>3.6349058403108071E-2</v>
      </c>
      <c r="DF648" s="66">
        <f>+DF647*(DF$4/DF$3)/DF646</f>
        <v>3.8566623823413963E-2</v>
      </c>
      <c r="DH648" s="77">
        <f>+DH637+DH649</f>
        <v>3.6399058403108073E-2</v>
      </c>
      <c r="DI648" s="77">
        <f>+DI637+DI649</f>
        <v>3.8899058403108075E-2</v>
      </c>
      <c r="DJ648" s="66">
        <f>+DJ647*(DJ$4/DJ$3)/DJ646</f>
        <v>3.7662147363476943E-2</v>
      </c>
      <c r="DL648" s="77">
        <f>+DL637+DL649</f>
        <v>4.0149058403108076E-2</v>
      </c>
      <c r="DM648" s="77">
        <f>+DM637+DM649</f>
        <v>4.0149058403108076E-2</v>
      </c>
      <c r="DN648" s="66">
        <f>+DN647*(DN$4/DN$3)/DN646</f>
        <v>4.0150323850299548E-2</v>
      </c>
      <c r="DP648" s="77">
        <f>+DP637+DP649</f>
        <v>4.0149058403108076E-2</v>
      </c>
      <c r="DQ648" s="77">
        <f>+DQ637+DQ649</f>
        <v>4.0149058403108076E-2</v>
      </c>
      <c r="DR648" s="66">
        <f>+DR647*(DR$4/DR$3)/DR646</f>
        <v>4.0149058403108076E-2</v>
      </c>
    </row>
    <row r="649" spans="1:128" s="20" customFormat="1" ht="13.8">
      <c r="A649" s="20" t="s">
        <v>87</v>
      </c>
      <c r="B649" s="49"/>
      <c r="BH649" s="77">
        <f>BH648-BH637</f>
        <v>-9.0205292584244583E-3</v>
      </c>
      <c r="BI649" s="77">
        <f>BI648-BI637</f>
        <v>-6.4687303103086284E-3</v>
      </c>
      <c r="BJ649" s="77">
        <f>BJ648-BJ637</f>
        <v>-7.7798859669188786E-3</v>
      </c>
      <c r="BK649" s="49"/>
      <c r="BL649" s="77">
        <f>BL648-BL637</f>
        <v>-3.6619933427231056E-3</v>
      </c>
      <c r="BM649" s="77">
        <f>BM648-BM637</f>
        <v>-4.2813776322169379E-3</v>
      </c>
      <c r="BN649" s="77">
        <f>BN648-BN637</f>
        <v>-3.9776817854571649E-3</v>
      </c>
      <c r="BO649" s="49"/>
      <c r="BP649" s="77">
        <f>BP648-BP637</f>
        <v>-4.3830219560443764E-3</v>
      </c>
      <c r="BQ649" s="77">
        <f>BQ648-BQ637</f>
        <v>-3.2763179008064788E-3</v>
      </c>
      <c r="BR649" s="77">
        <f>BR648-BR637</f>
        <v>-3.8470410891840723E-3</v>
      </c>
      <c r="BT649" s="77">
        <f>BT648-BT637</f>
        <v>-3.1766068390750475E-3</v>
      </c>
      <c r="BU649" s="77">
        <f>BU648-BU637</f>
        <v>2.5768737094703648E-4</v>
      </c>
      <c r="BV649" s="77">
        <f>BV648-BV637</f>
        <v>-1.4611132119014755E-3</v>
      </c>
      <c r="BX649" s="77">
        <f>BX648-BX637</f>
        <v>1.9181117885436819E-3</v>
      </c>
      <c r="BY649" s="77">
        <f>BY648-BY637</f>
        <v>1.422328205606449E-3</v>
      </c>
      <c r="BZ649" s="77">
        <f>BZ648-BZ637</f>
        <v>1.6665793705249836E-3</v>
      </c>
      <c r="CB649" s="77">
        <f>CB648-CB637</f>
        <v>3.4070693933706299E-3</v>
      </c>
      <c r="CC649" s="77">
        <f>CC648-CC637</f>
        <v>4.7481558833412374E-3</v>
      </c>
      <c r="CD649" s="77">
        <f>CD648-CD637</f>
        <v>4.1018428056463288E-3</v>
      </c>
      <c r="CF649" s="77">
        <f>CF648-CF637</f>
        <v>3.8267611156843802E-3</v>
      </c>
      <c r="CG649" s="77">
        <f>CG648-CG637</f>
        <v>4.2081880909586693E-3</v>
      </c>
      <c r="CH649" s="77">
        <f>CH648-CH637</f>
        <v>4.0133769058345713E-3</v>
      </c>
      <c r="CJ649" s="77">
        <f>CJ648-CJ637</f>
        <v>5.7623919108613884E-3</v>
      </c>
      <c r="CK649" s="77">
        <f>CK648-CK637</f>
        <v>3.5217946170658268E-3</v>
      </c>
      <c r="CL649" s="77">
        <f>CL648-CL637</f>
        <v>4.5790791851750912E-3</v>
      </c>
      <c r="CN649" s="77">
        <f>CN648-CN637</f>
        <v>4.2127407683510646E-3</v>
      </c>
      <c r="CO649" s="77">
        <f>CO648-CO637</f>
        <v>4.5068801765544078E-3</v>
      </c>
      <c r="CP649" s="77">
        <f>CP648-CP637</f>
        <v>4.3599857275492581E-3</v>
      </c>
      <c r="CR649" s="77">
        <f>CR648-CR637</f>
        <v>4.3051964935789111E-3</v>
      </c>
      <c r="CS649" s="77">
        <f>CS648-CS637</f>
        <v>2.0966008422402451E-3</v>
      </c>
      <c r="CT649" s="77">
        <f>CT648-CT637</f>
        <v>3.2761902996643437E-3</v>
      </c>
      <c r="CV649" s="77">
        <f>CV648-CV637</f>
        <v>-1.4887223619426682E-4</v>
      </c>
      <c r="CW649" s="77">
        <f>CW648-CW637</f>
        <v>4.8764340615196911E-4</v>
      </c>
      <c r="CX649" s="77">
        <f>CX648-CX637</f>
        <v>2.0294483750606801E-4</v>
      </c>
      <c r="CZ649" s="77">
        <f>CZ648-CZ637</f>
        <v>1.6693674478655621E-3</v>
      </c>
      <c r="DA649" s="77">
        <f>DA648-DA637</f>
        <v>7.821754611974166E-4</v>
      </c>
      <c r="DB649" s="77">
        <f>DB648-DB637</f>
        <v>1.2270085630059421E-3</v>
      </c>
      <c r="DD649" s="77">
        <f>DD648-DD637</f>
        <v>-1.7839409476765877E-3</v>
      </c>
      <c r="DE649" s="77">
        <f>DE648-DE637</f>
        <v>-8.5094159689192567E-4</v>
      </c>
      <c r="DF649" s="77">
        <f>DF648-DF637</f>
        <v>-1.3833761765860361E-3</v>
      </c>
      <c r="DH649" s="77">
        <f>+DE649+DH650</f>
        <v>-8.5094159689192567E-4</v>
      </c>
      <c r="DI649" s="77">
        <f>+DH649+DI650</f>
        <v>-8.5094159689192567E-4</v>
      </c>
      <c r="DJ649" s="77">
        <f>DJ648-DJ644</f>
        <v>1.3714219000550351E-2</v>
      </c>
      <c r="DL649" s="77">
        <f>+DI649+DL650</f>
        <v>-8.5094159689192567E-4</v>
      </c>
      <c r="DM649" s="77">
        <f>+DL649+DM650</f>
        <v>-8.5094159689192567E-4</v>
      </c>
      <c r="DN649" s="77">
        <f>DN648-DN644</f>
        <v>1.6514368451028175E-2</v>
      </c>
      <c r="DP649" s="77">
        <f>+DM649+DP650</f>
        <v>-8.5094159689192567E-4</v>
      </c>
      <c r="DQ649" s="77">
        <f>+DP649+DQ650</f>
        <v>-8.5094159689192567E-4</v>
      </c>
      <c r="DR649" s="77">
        <f>DR648-DR644</f>
        <v>1.6814750459586435E-2</v>
      </c>
    </row>
    <row r="650" spans="1:128" s="335" customFormat="1" ht="13.8">
      <c r="A650" s="1223" t="s">
        <v>88</v>
      </c>
      <c r="B650" s="1217" t="s">
        <v>84</v>
      </c>
      <c r="C650" s="1223"/>
      <c r="D650" s="1223"/>
      <c r="E650" s="1223"/>
      <c r="F650" s="1223"/>
      <c r="G650" s="1223"/>
      <c r="H650" s="1223"/>
      <c r="I650" s="1223"/>
      <c r="J650" s="1223"/>
      <c r="K650" s="1223"/>
      <c r="L650" s="1223"/>
      <c r="M650" s="1223"/>
      <c r="N650" s="1223"/>
      <c r="O650" s="1223"/>
      <c r="P650" s="1223"/>
      <c r="Q650" s="1223"/>
      <c r="R650" s="1223"/>
      <c r="S650" s="1223"/>
      <c r="T650" s="1223"/>
      <c r="U650" s="1223"/>
      <c r="V650" s="1223"/>
      <c r="W650" s="1223"/>
      <c r="X650" s="1223"/>
      <c r="Y650" s="1223"/>
      <c r="Z650" s="1223"/>
      <c r="AA650" s="1223"/>
      <c r="AB650" s="1223"/>
      <c r="AC650" s="1223"/>
      <c r="AD650" s="1223"/>
      <c r="AE650" s="1223"/>
      <c r="AF650" s="1223"/>
      <c r="AG650" s="1223"/>
      <c r="AH650" s="1223"/>
      <c r="AI650" s="1223"/>
      <c r="AJ650" s="1223"/>
      <c r="AK650" s="1223"/>
      <c r="AL650" s="1223"/>
      <c r="AM650" s="1223"/>
      <c r="AN650" s="1223"/>
      <c r="AO650" s="1223"/>
      <c r="AP650" s="1223"/>
      <c r="AQ650" s="1223"/>
      <c r="AR650" s="1223"/>
      <c r="AS650" s="1223"/>
      <c r="AT650" s="1223"/>
      <c r="AU650" s="1223"/>
      <c r="AV650" s="1223"/>
      <c r="AW650" s="1223"/>
      <c r="AX650" s="1223"/>
      <c r="AY650" s="1223"/>
      <c r="AZ650" s="1223"/>
      <c r="BA650" s="1223"/>
      <c r="BB650" s="1223"/>
      <c r="BC650" s="1223"/>
      <c r="BD650" s="1223"/>
      <c r="BE650" s="1223"/>
      <c r="BF650" s="1223"/>
      <c r="BG650" s="1223"/>
      <c r="BH650" s="1224"/>
      <c r="BI650" s="1225">
        <f>+BI649-BH649</f>
        <v>2.5517989481158299E-3</v>
      </c>
      <c r="BJ650" s="1217"/>
      <c r="BK650" s="1217"/>
      <c r="BL650" s="1224">
        <f>BL649-BI649</f>
        <v>2.8067369675855228E-3</v>
      </c>
      <c r="BM650" s="1225">
        <f>+BM649-BL649</f>
        <v>-6.1938428949383229E-4</v>
      </c>
      <c r="BN650" s="1217"/>
      <c r="BO650" s="1217"/>
      <c r="BP650" s="1224">
        <f>BP649-BM649</f>
        <v>-1.0164432382743852E-4</v>
      </c>
      <c r="BQ650" s="1225">
        <f>+BQ649-BP649</f>
        <v>1.1067040552378976E-3</v>
      </c>
      <c r="BR650" s="1217"/>
      <c r="BS650" s="1223"/>
      <c r="BT650" s="1224">
        <f>BT649-BQ649</f>
        <v>9.9711061731431322E-5</v>
      </c>
      <c r="BU650" s="1225">
        <f>+BU649-BT649</f>
        <v>3.434294210022084E-3</v>
      </c>
      <c r="BV650" s="1217"/>
      <c r="BW650" s="1223"/>
      <c r="BX650" s="1224">
        <f>BX649-BU649</f>
        <v>1.6604244175966454E-3</v>
      </c>
      <c r="BY650" s="1225">
        <f>+BY649-BX649</f>
        <v>-4.9578358293723285E-4</v>
      </c>
      <c r="BZ650" s="1217"/>
      <c r="CA650" s="1223"/>
      <c r="CB650" s="1224">
        <f>CB649-BY649</f>
        <v>1.9847411877641809E-3</v>
      </c>
      <c r="CC650" s="1225">
        <f>+CC649-CB649</f>
        <v>1.3410864899706075E-3</v>
      </c>
      <c r="CD650" s="1217"/>
      <c r="CE650" s="1223"/>
      <c r="CF650" s="1224">
        <f>CF649-CC649</f>
        <v>-9.2139476765685721E-4</v>
      </c>
      <c r="CG650" s="1225">
        <f>+CG649-CF649</f>
        <v>3.8142697527428909E-4</v>
      </c>
      <c r="CH650" s="1217"/>
      <c r="CI650" s="1223"/>
      <c r="CJ650" s="1224">
        <f>CJ649-CG649</f>
        <v>1.5542038199027192E-3</v>
      </c>
      <c r="CK650" s="1225">
        <f>+CK649-CJ649</f>
        <v>-2.2405972937955617E-3</v>
      </c>
      <c r="CL650" s="1217"/>
      <c r="CM650" s="1223"/>
      <c r="CN650" s="1224">
        <f>CN649-CK649</f>
        <v>6.9094615128523782E-4</v>
      </c>
      <c r="CO650" s="1225">
        <f>+CO649-CN649</f>
        <v>2.9413940820334321E-4</v>
      </c>
      <c r="CP650" s="1217"/>
      <c r="CQ650" s="1223"/>
      <c r="CR650" s="1224">
        <f>CR649-CO649</f>
        <v>-2.0168368297549671E-4</v>
      </c>
      <c r="CS650" s="1225">
        <f>+CS649-CR649</f>
        <v>-2.208595651338666E-3</v>
      </c>
      <c r="CT650" s="1217"/>
      <c r="CU650" s="1223"/>
      <c r="CV650" s="1224">
        <f>CV649-CS649</f>
        <v>-2.2454730784345119E-3</v>
      </c>
      <c r="CW650" s="1225">
        <f>+CW649-CV649</f>
        <v>6.3651564234623592E-4</v>
      </c>
      <c r="CX650" s="1217"/>
      <c r="CY650" s="1223"/>
      <c r="CZ650" s="1224">
        <f>CZ649-CW649</f>
        <v>1.181724041713593E-3</v>
      </c>
      <c r="DA650" s="1225">
        <f>+DA649-CZ649</f>
        <v>-8.8719198666814547E-4</v>
      </c>
      <c r="DB650" s="1217"/>
      <c r="DC650" s="1223"/>
      <c r="DD650" s="1224">
        <f>DD649-DA649</f>
        <v>-2.5661164088740043E-3</v>
      </c>
      <c r="DE650" s="1225">
        <f>+DE649-DD649</f>
        <v>9.3299935078466206E-4</v>
      </c>
      <c r="DF650" s="1217"/>
      <c r="DG650" s="1223"/>
      <c r="DH650" s="1226">
        <v>0</v>
      </c>
      <c r="DI650" s="1226">
        <v>0</v>
      </c>
      <c r="DJ650" s="1224">
        <f>+DJ649-DF649</f>
        <v>1.5097595177136387E-2</v>
      </c>
      <c r="DK650" s="1223"/>
      <c r="DL650" s="1226">
        <v>0</v>
      </c>
      <c r="DM650" s="1226">
        <v>0</v>
      </c>
      <c r="DN650" s="1224">
        <f>+DN649-DJ649</f>
        <v>2.8001494504778235E-3</v>
      </c>
      <c r="DO650" s="1223"/>
      <c r="DP650" s="1226">
        <v>0</v>
      </c>
      <c r="DQ650" s="1226">
        <v>0</v>
      </c>
      <c r="DR650" s="1224">
        <f>+DR649-DN649</f>
        <v>3.0038200855826008E-4</v>
      </c>
      <c r="DS650" s="1223"/>
      <c r="DT650" s="1223"/>
      <c r="DU650" s="1223"/>
      <c r="DV650" s="1223"/>
      <c r="DW650" s="20"/>
      <c r="DX650" s="20"/>
    </row>
    <row r="651" spans="1:128" s="21" customFormat="1" ht="13.8">
      <c r="A651" s="21" t="s">
        <v>92</v>
      </c>
      <c r="B651" s="27"/>
      <c r="BH651" s="74">
        <f>+BH594*(BH4/BH3)/BH605</f>
        <v>5.164942237087837E-2</v>
      </c>
      <c r="BI651" s="74">
        <f>+BI594*(BI4/BI3)/BI605</f>
        <v>4.7858973451280699E-2</v>
      </c>
      <c r="BJ651" s="74">
        <f>+BJ594*(BJ4/BJ3)/BJ605</f>
        <v>4.975675210614959E-2</v>
      </c>
      <c r="BK651" s="27"/>
      <c r="BL651" s="74">
        <f>+BL594*(BL4/BL3)/BL605</f>
        <v>4.5761046354025482E-2</v>
      </c>
      <c r="BM651" s="74">
        <f>+BM594*(BM4/BM3)/BM605</f>
        <v>4.550995688031724E-2</v>
      </c>
      <c r="BN651" s="74">
        <f>+BN594*(BN4/BN3)/BN605</f>
        <v>4.5632359964574799E-2</v>
      </c>
      <c r="BO651" s="27"/>
      <c r="BP651" s="74">
        <f>+BP594*(BP4/BP3)/BP605</f>
        <v>4.3965324012546825E-2</v>
      </c>
      <c r="BQ651" s="74">
        <f>+BQ594*(BQ4/BQ3)/BQ605</f>
        <v>4.1246006397649755E-2</v>
      </c>
      <c r="BR651" s="74">
        <f>+BR594*(BR4/BR3)/BR605</f>
        <v>4.257633851299425E-2</v>
      </c>
      <c r="BT651" s="74">
        <f>+BT594*(BT4/BT3)/BT605</f>
        <v>4.126361268534786E-2</v>
      </c>
      <c r="BU651" s="74">
        <f>+BU594*(BU4/BU3)/BU605</f>
        <v>4.0699736400670983E-2</v>
      </c>
      <c r="BV651" s="74">
        <f>+BV594*(BV4/BV3)/BV605</f>
        <v>4.0981890577216469E-2</v>
      </c>
      <c r="BX651" s="74">
        <f>+BX594*(BX4/BX3)/BX605</f>
        <v>3.8891020822877806E-2</v>
      </c>
      <c r="BY651" s="74">
        <f>+BY594*(BY4/BY3)/BY605</f>
        <v>3.896922894191493E-2</v>
      </c>
      <c r="BZ651" s="74">
        <f>+BZ594*(BZ4/BZ3)/BZ605</f>
        <v>3.8931027775122515E-2</v>
      </c>
      <c r="CB651" s="74">
        <f>+CB594*(CB4/CB3)/CB605</f>
        <v>3.891810345731353E-2</v>
      </c>
      <c r="CC651" s="74">
        <f>+CC594*(CC4/CC3)/CC605</f>
        <v>3.9351665281532243E-2</v>
      </c>
      <c r="CD651" s="74">
        <f>+CD594*(CD4/CD3)/CD605</f>
        <v>3.9137470898870028E-2</v>
      </c>
      <c r="CF651" s="74">
        <f>+CF594*(CF4/CF3)/CF605</f>
        <v>3.9468450561475077E-2</v>
      </c>
      <c r="CG651" s="74">
        <f>+CG594*(CG4/CG3)/CG605</f>
        <v>3.6978769938099669E-2</v>
      </c>
      <c r="CH651" s="74">
        <f>+CH594*(CH4/CH3)/CH605</f>
        <v>3.8216027908841287E-2</v>
      </c>
      <c r="CJ651" s="74">
        <f>+CJ594*(CJ4/CJ3)/CJ605</f>
        <v>3.2218488042388325E-2</v>
      </c>
      <c r="CK651" s="74">
        <f>+CK594*(CK4/CK3)/CK605</f>
        <v>2.4452600936590307E-2</v>
      </c>
      <c r="CL651" s="74">
        <f>+CL594*(CL4/CL3)/CL605</f>
        <v>2.830746266581062E-2</v>
      </c>
      <c r="CN651" s="74">
        <f>+CN594*(CN4/CN3)/CN605</f>
        <v>2.3104053320700316E-2</v>
      </c>
      <c r="CO651" s="74">
        <f>+CO594*(CO4/CO3)/CO605</f>
        <v>2.2127747259003641E-2</v>
      </c>
      <c r="CP651" s="74">
        <f>+CP594*(CP4/CP3)/CP605</f>
        <v>2.2611095866461501E-2</v>
      </c>
      <c r="CR651" s="74">
        <f>+CR594*(CR4/CR3)/CR605</f>
        <v>2.1638114041729557E-2</v>
      </c>
      <c r="CS651" s="74">
        <f>+CS594*(CS4/CS3)/CS605</f>
        <v>3.0128031800079589E-2</v>
      </c>
      <c r="CT651" s="74">
        <f>+CT594*(CT4/CT3)/CT605</f>
        <v>2.5942901222697538E-2</v>
      </c>
      <c r="CV651" s="74">
        <f>+CV594*(CV4/CV3)/CV605</f>
        <v>4.7061426792806525E-2</v>
      </c>
      <c r="CW651" s="74">
        <f>+CW594*(CW4/CW3)/CW605</f>
        <v>5.5257313760350493E-2</v>
      </c>
      <c r="CX651" s="74">
        <f>+CX594*(CX4/CX3)/CX605</f>
        <v>5.1179442896421727E-2</v>
      </c>
      <c r="CZ651" s="74">
        <f>+CZ594*(CZ4/CZ3)/CZ605</f>
        <v>5.8704969668803619E-2</v>
      </c>
      <c r="DA651" s="74">
        <f>+DA594*(DA4/DA3)/DA605</f>
        <v>5.9766714391374265E-2</v>
      </c>
      <c r="DB651" s="74">
        <f>+DB594*(DB4/DB3)/DB605</f>
        <v>5.9239988433162437E-2</v>
      </c>
      <c r="DD651" s="74">
        <f>+DD594*(DD4/DD3)/DD605</f>
        <v>5.747854631254741E-2</v>
      </c>
      <c r="DE651" s="74">
        <f>+DE594*(DE4/DE3)/DE605</f>
        <v>5.2845779865498307E-2</v>
      </c>
      <c r="DF651" s="74">
        <f>+DF594*(DF4/DF3)/DF605</f>
        <v>5.5120860093404431E-2</v>
      </c>
      <c r="DH651" s="74">
        <f>+DH594*(DH4/DH3)/DH605</f>
        <v>5.2829756757202272E-2</v>
      </c>
      <c r="DI651" s="74">
        <f>+DI594*(DI4/DI3)/DI605</f>
        <v>5.5197710540610213E-2</v>
      </c>
      <c r="DJ651" s="74">
        <f>+DJ594*(DJ4/DJ3)/DJ605</f>
        <v>5.4026490394761123E-2</v>
      </c>
      <c r="DL651" s="74">
        <f>+DL594*(DL4/DL3)/DL605</f>
        <v>5.6381687432314184E-2</v>
      </c>
      <c r="DM651" s="74">
        <f>+DM594*(DM4/DM3)/DM605</f>
        <v>5.6249641215722124E-2</v>
      </c>
      <c r="DN651" s="74">
        <f>+DN594*(DN4/DN3)/DN605</f>
        <v>5.6316498884844808E-2</v>
      </c>
      <c r="DP651" s="74">
        <f>+DP594*(DP4/DP3)/DP605</f>
        <v>5.6183618107426093E-2</v>
      </c>
      <c r="DQ651" s="74">
        <f>+DQ594*(DQ4/DQ3)/DQ605</f>
        <v>5.6051571890834019E-2</v>
      </c>
      <c r="DR651" s="74">
        <f>+DR594*(DR4/DR3)/DR605</f>
        <v>5.6116911898841125E-2</v>
      </c>
    </row>
    <row r="652" spans="1:128" s="21" customFormat="1" ht="13.8">
      <c r="B652" s="27"/>
      <c r="BH652" s="74"/>
      <c r="BI652" s="74"/>
      <c r="BJ652" s="74"/>
      <c r="BK652" s="27"/>
      <c r="BL652" s="74"/>
      <c r="BM652" s="74"/>
      <c r="BN652" s="74"/>
      <c r="BO652" s="27"/>
      <c r="BP652" s="74"/>
      <c r="BQ652" s="74"/>
      <c r="BR652" s="74"/>
      <c r="BT652" s="74"/>
      <c r="BU652" s="74"/>
      <c r="BV652" s="74"/>
      <c r="BX652" s="74"/>
      <c r="BY652" s="74"/>
      <c r="BZ652" s="74"/>
      <c r="CB652" s="74"/>
      <c r="CC652" s="74"/>
      <c r="CD652" s="74"/>
      <c r="CF652" s="74"/>
      <c r="CG652" s="74"/>
      <c r="CH652" s="74"/>
      <c r="CJ652" s="74"/>
      <c r="CK652" s="74"/>
      <c r="CL652" s="74"/>
      <c r="CN652" s="74"/>
      <c r="CO652" s="74"/>
      <c r="CP652" s="74"/>
      <c r="CR652" s="74"/>
      <c r="CS652" s="74"/>
      <c r="CT652" s="74"/>
      <c r="CV652" s="74"/>
      <c r="CW652" s="74"/>
      <c r="CX652" s="74"/>
      <c r="CZ652" s="74"/>
      <c r="DA652" s="74"/>
      <c r="DB652" s="74"/>
      <c r="DD652" s="74"/>
      <c r="DE652" s="74"/>
      <c r="DF652" s="74"/>
      <c r="DH652" s="74"/>
      <c r="DI652" s="74"/>
      <c r="DJ652" s="74"/>
      <c r="DL652" s="74"/>
      <c r="DM652" s="74"/>
      <c r="DN652" s="74"/>
      <c r="DP652" s="74"/>
      <c r="DQ652" s="74"/>
      <c r="DR652" s="74"/>
    </row>
    <row r="653" spans="1:128" s="20" customFormat="1" ht="13.8">
      <c r="B653" s="49"/>
      <c r="BH653" s="49"/>
      <c r="BI653" s="49"/>
      <c r="BJ653" s="49"/>
      <c r="BK653" s="49"/>
      <c r="BL653" s="49"/>
      <c r="BM653" s="49"/>
      <c r="BN653" s="49"/>
      <c r="BO653" s="49"/>
      <c r="BP653" s="49"/>
      <c r="BQ653" s="49"/>
      <c r="BR653" s="49"/>
      <c r="BS653" s="49"/>
      <c r="BT653" s="49"/>
      <c r="BU653" s="49"/>
      <c r="BV653" s="49"/>
      <c r="BX653" s="49"/>
      <c r="BY653" s="49"/>
      <c r="BZ653" s="49"/>
      <c r="CB653" s="49"/>
      <c r="CC653" s="49"/>
      <c r="CD653" s="49"/>
      <c r="CF653" s="49"/>
      <c r="CG653" s="49"/>
      <c r="CH653" s="49"/>
      <c r="CJ653" s="49"/>
      <c r="CK653" s="49"/>
      <c r="CL653" s="49"/>
      <c r="CN653" s="49"/>
      <c r="CO653" s="49"/>
      <c r="CP653" s="49"/>
      <c r="CR653" s="49"/>
      <c r="CS653" s="49"/>
      <c r="CT653" s="49"/>
      <c r="CV653" s="49"/>
      <c r="CW653" s="49"/>
      <c r="CX653" s="49"/>
      <c r="CZ653" s="49"/>
      <c r="DA653" s="49"/>
      <c r="DB653" s="49"/>
      <c r="DD653" s="49"/>
      <c r="DE653" s="49"/>
      <c r="DF653" s="49"/>
      <c r="DH653" s="49"/>
      <c r="DL653" s="49"/>
      <c r="DP653" s="49"/>
    </row>
    <row r="654" spans="1:128" s="20" customFormat="1" ht="13.8">
      <c r="A654" s="20" t="s">
        <v>93</v>
      </c>
      <c r="B654" s="49"/>
      <c r="BH654" s="65">
        <f>BH467</f>
        <v>511368</v>
      </c>
      <c r="BI654" s="65">
        <f>BI467</f>
        <v>545292</v>
      </c>
      <c r="BJ654" s="65">
        <f>BJ467</f>
        <v>528160</v>
      </c>
      <c r="BK654" s="49"/>
      <c r="BL654" s="65">
        <f>BL467</f>
        <v>577633</v>
      </c>
      <c r="BM654" s="65">
        <f>BM467</f>
        <v>604711</v>
      </c>
      <c r="BN654" s="65">
        <f>BN467</f>
        <v>591210</v>
      </c>
      <c r="BO654" s="49"/>
      <c r="BP654" s="65">
        <f>BP467</f>
        <v>645698</v>
      </c>
      <c r="BQ654" s="65">
        <f>BQ467</f>
        <v>664117</v>
      </c>
      <c r="BR654" s="65">
        <f>BR467</f>
        <v>654933</v>
      </c>
      <c r="BT654" s="65">
        <f>BT467</f>
        <v>661807</v>
      </c>
      <c r="BU654" s="65">
        <f>BU467</f>
        <v>665165</v>
      </c>
      <c r="BV654" s="65">
        <f>BV467</f>
        <v>663486</v>
      </c>
      <c r="BX654" s="65">
        <f>BX467</f>
        <v>676201</v>
      </c>
      <c r="BY654" s="65">
        <f>BY467</f>
        <v>682798</v>
      </c>
      <c r="BZ654" s="65">
        <f>BZ467</f>
        <v>679499.5</v>
      </c>
      <c r="CB654" s="65">
        <f>CB467</f>
        <v>685728</v>
      </c>
      <c r="CC654" s="65">
        <f>CC467</f>
        <v>700374</v>
      </c>
      <c r="CD654" s="65">
        <f>CD467</f>
        <v>693070</v>
      </c>
      <c r="CF654" s="65">
        <f>CF467</f>
        <v>715833</v>
      </c>
      <c r="CG654" s="65">
        <f>CG467</f>
        <v>730495</v>
      </c>
      <c r="CH654" s="65">
        <f>CH467</f>
        <v>723583</v>
      </c>
      <c r="CJ654" s="65">
        <f>CJ467</f>
        <v>757402</v>
      </c>
      <c r="CK654" s="65">
        <f>CK467</f>
        <v>771672</v>
      </c>
      <c r="CL654" s="65">
        <f>CL467</f>
        <v>764565</v>
      </c>
      <c r="CN654" s="65">
        <f>CN467</f>
        <v>751477</v>
      </c>
      <c r="CO654" s="65">
        <f>CO467</f>
        <v>767933</v>
      </c>
      <c r="CP654" s="65">
        <f>CP467</f>
        <v>759728</v>
      </c>
      <c r="CR654" s="65">
        <f>CR467</f>
        <v>792900</v>
      </c>
      <c r="CS654" s="65">
        <f>CS467</f>
        <v>815539</v>
      </c>
      <c r="CT654" s="65">
        <f>CT467</f>
        <v>804251</v>
      </c>
      <c r="CV654" s="65">
        <f>CV467</f>
        <v>860906</v>
      </c>
      <c r="CW654" s="65">
        <f>CW467</f>
        <v>871374</v>
      </c>
      <c r="CX654" s="65">
        <f>CX467</f>
        <v>866156</v>
      </c>
      <c r="CZ654" s="65">
        <f>CZ467</f>
        <v>922804</v>
      </c>
      <c r="DA654" s="65">
        <f>DA467</f>
        <v>931029</v>
      </c>
      <c r="DB654" s="65">
        <f>DB467</f>
        <v>926917</v>
      </c>
      <c r="DD654" s="65">
        <f>DD467</f>
        <v>1035376</v>
      </c>
      <c r="DE654" s="65">
        <f>DE467</f>
        <v>1061360</v>
      </c>
      <c r="DF654" s="65">
        <f>DF467</f>
        <v>1048403</v>
      </c>
      <c r="DH654" s="65">
        <f ca="1">DH467</f>
        <v>1062038.5155929134</v>
      </c>
      <c r="DI654" s="65">
        <f ca="1">DI467</f>
        <v>1076554.8259109349</v>
      </c>
      <c r="DJ654" s="65">
        <f ca="1">DJ467</f>
        <v>1069296.6707519242</v>
      </c>
      <c r="DL654" s="65">
        <f ca="1">DL467</f>
        <v>1100428.5887919781</v>
      </c>
      <c r="DM654" s="65">
        <f ca="1">DM467</f>
        <v>1126526.7020499234</v>
      </c>
      <c r="DN654" s="65">
        <f ca="1">DN467</f>
        <v>1113477.6454209508</v>
      </c>
      <c r="DP654" s="65">
        <f ca="1">DP467</f>
        <v>1152086.9495908229</v>
      </c>
      <c r="DQ654" s="65">
        <f ca="1">DQ467</f>
        <v>1176615.7072902417</v>
      </c>
      <c r="DR654" s="65">
        <f ca="1">DR467</f>
        <v>1164351.3284405323</v>
      </c>
    </row>
    <row r="655" spans="1:128" s="21" customFormat="1" ht="13.8">
      <c r="A655" s="21" t="s">
        <v>422</v>
      </c>
      <c r="B655" s="27"/>
      <c r="BH655" s="72">
        <f>BH595</f>
        <v>-8090</v>
      </c>
      <c r="BI655" s="72">
        <f>BI595</f>
        <v>-7765</v>
      </c>
      <c r="BJ655" s="72">
        <f>BJ595</f>
        <v>-15855</v>
      </c>
      <c r="BK655" s="27"/>
      <c r="BL655" s="72">
        <f>BL595</f>
        <v>-7666</v>
      </c>
      <c r="BM655" s="72">
        <f>BM595</f>
        <v>-8061</v>
      </c>
      <c r="BN655" s="72">
        <f>BN595</f>
        <v>-15727</v>
      </c>
      <c r="BO655" s="27"/>
      <c r="BP655" s="72">
        <f>BP595</f>
        <v>-8256</v>
      </c>
      <c r="BQ655" s="72">
        <f>BQ595</f>
        <v>-7654</v>
      </c>
      <c r="BR655" s="72">
        <f>BR595</f>
        <v>-15910</v>
      </c>
      <c r="BT655" s="72">
        <f>BT595</f>
        <v>-7522</v>
      </c>
      <c r="BU655" s="72">
        <f>BU595</f>
        <v>-7334</v>
      </c>
      <c r="BV655" s="72">
        <f>BV595</f>
        <v>-14856</v>
      </c>
      <c r="BX655" s="72">
        <f>BX595</f>
        <v>-7007</v>
      </c>
      <c r="BY655" s="72">
        <f>BY595</f>
        <v>-7152</v>
      </c>
      <c r="BZ655" s="72">
        <f>BZ595</f>
        <v>-14159</v>
      </c>
      <c r="CB655" s="72">
        <f>CB595</f>
        <v>-7322</v>
      </c>
      <c r="CC655" s="72">
        <f>CC595</f>
        <v>-8136</v>
      </c>
      <c r="CD655" s="72">
        <f>CD595</f>
        <v>-15458</v>
      </c>
      <c r="CF655" s="72">
        <f>CF595</f>
        <v>-8494</v>
      </c>
      <c r="CG655" s="72">
        <f>CG595</f>
        <v>-7882</v>
      </c>
      <c r="CH655" s="72">
        <f>CH595</f>
        <v>-16376</v>
      </c>
      <c r="CJ655" s="72">
        <f>CJ595</f>
        <v>-6382</v>
      </c>
      <c r="CK655" s="72">
        <f>CK595</f>
        <v>-3589</v>
      </c>
      <c r="CL655" s="72">
        <f>CL595</f>
        <v>-9971</v>
      </c>
      <c r="CN655" s="72">
        <f>CN595</f>
        <v>-2704</v>
      </c>
      <c r="CO655" s="72">
        <f>CO595</f>
        <v>-2318</v>
      </c>
      <c r="CP655" s="72">
        <f>CP595</f>
        <v>-5022</v>
      </c>
      <c r="CR655" s="72">
        <f>CR595</f>
        <v>-2442</v>
      </c>
      <c r="CS655" s="72">
        <f>CS595</f>
        <v>-5953</v>
      </c>
      <c r="CT655" s="72">
        <f>CT595</f>
        <v>-8395</v>
      </c>
      <c r="CV655" s="72">
        <f>CV595</f>
        <v>-14157</v>
      </c>
      <c r="CW655" s="72">
        <f>CW595</f>
        <v>-18820</v>
      </c>
      <c r="CX655" s="72">
        <f>CX595</f>
        <v>-32977</v>
      </c>
      <c r="CZ655" s="72">
        <f>CZ595</f>
        <v>-21720</v>
      </c>
      <c r="DA655" s="72">
        <f>DA595</f>
        <v>-22461</v>
      </c>
      <c r="DB655" s="72">
        <f>DB595</f>
        <v>-44181</v>
      </c>
      <c r="DD655" s="72">
        <f>DD595</f>
        <v>-23645</v>
      </c>
      <c r="DE655" s="72">
        <f>DE595</f>
        <v>-21866</v>
      </c>
      <c r="DF655" s="72">
        <f>DF595</f>
        <v>-45511</v>
      </c>
      <c r="DH655" s="72">
        <f>DH595</f>
        <v>-21877.973492099998</v>
      </c>
      <c r="DI655" s="72">
        <f>DI595</f>
        <v>-23805.784401655568</v>
      </c>
      <c r="DJ655" s="72">
        <f>DJ595</f>
        <v>-45683.757893755566</v>
      </c>
      <c r="DL655" s="72">
        <f>DL595</f>
        <v>-24923.607208974478</v>
      </c>
      <c r="DM655" s="72">
        <f>DM595</f>
        <v>-25623.622194843876</v>
      </c>
      <c r="DN655" s="72">
        <f>DN595</f>
        <v>-50547.229403818354</v>
      </c>
      <c r="DP655" s="72">
        <f>DP595</f>
        <v>-26077.614264586693</v>
      </c>
      <c r="DQ655" s="72">
        <f>DQ595</f>
        <v>-26536.044503318379</v>
      </c>
      <c r="DR655" s="72">
        <f>DR595</f>
        <v>-52613.658767905072</v>
      </c>
    </row>
    <row r="656" spans="1:128" s="21" customFormat="1" ht="13.8">
      <c r="A656" s="21" t="s">
        <v>298</v>
      </c>
      <c r="B656" s="27"/>
      <c r="BH656" s="74">
        <f>-BH655*(BH$4/BH$3)/BH654</f>
        <v>3.1727543666108457E-2</v>
      </c>
      <c r="BI656" s="74">
        <f>-BI655*(BI$4/BI$3)/BI654</f>
        <v>2.8402339124745879E-2</v>
      </c>
      <c r="BJ656" s="74">
        <f>-BJ655*(BJ$4/BJ$3)/BJ654</f>
        <v>3.0019312329597092E-2</v>
      </c>
      <c r="BK656" s="27"/>
      <c r="BL656" s="74">
        <f>-BL655*(BL$4/BL$3)/BL654</f>
        <v>2.6615724654098501E-2</v>
      </c>
      <c r="BM656" s="74">
        <f>-BM655*(BM$4/BM$3)/BM654</f>
        <v>2.6587825952681745E-2</v>
      </c>
      <c r="BN656" s="74">
        <f>-BN655*(BN$4/BN$3)/BN654</f>
        <v>2.6601376837333605E-2</v>
      </c>
      <c r="BO656" s="27"/>
      <c r="BP656" s="74">
        <f>-BP655*(BP$4/BP$3)/BP654</f>
        <v>2.5642580025588797E-2</v>
      </c>
      <c r="BQ656" s="74">
        <f>-BQ655*(BQ$4/BQ$3)/BQ654</f>
        <v>2.298717675257218E-2</v>
      </c>
      <c r="BR656" s="74">
        <f>-BR655*(BR$4/BR$3)/BR654</f>
        <v>2.4292561223819842E-2</v>
      </c>
      <c r="BT656" s="74">
        <f>-BT655*(BT$4/BT$3)/BT654</f>
        <v>2.2731702747175536E-2</v>
      </c>
      <c r="BU656" s="74">
        <f>-BU655*(BU$4/BU$3)/BU654</f>
        <v>2.2051671389805537E-2</v>
      </c>
      <c r="BV656" s="74">
        <f>-BV655*(BV$4/BV$3)/BV654</f>
        <v>2.2390826633870195E-2</v>
      </c>
      <c r="BX656" s="74">
        <f>-BX655*(BX$4/BX$3)/BX654</f>
        <v>2.0781542766130191E-2</v>
      </c>
      <c r="BY656" s="74">
        <f>-BY655*(BY$4/BY$3)/BY654</f>
        <v>2.0891856790422474E-2</v>
      </c>
      <c r="BZ656" s="74">
        <f>-BZ655*(BZ$4/BZ$3)/BZ654</f>
        <v>2.0837395759673111E-2</v>
      </c>
      <c r="CB656" s="74">
        <f>-CB655*(CB$4/CB$3)/CB654</f>
        <v>2.1414074923629733E-2</v>
      </c>
      <c r="CC656" s="74">
        <f>-CC655*(CC$4/CC$3)/CC654</f>
        <v>2.3169822100201545E-2</v>
      </c>
      <c r="CD656" s="74">
        <f>-CD655*(CD$4/CD$3)/CD654</f>
        <v>2.2303663410622305E-2</v>
      </c>
      <c r="CF656" s="74">
        <f>-CF655*(CF$4/CF$3)/CF654</f>
        <v>2.3796989423050252E-2</v>
      </c>
      <c r="CG656" s="74">
        <f>-CG655*(CG$4/CG$3)/CG654</f>
        <v>2.1520926168897302E-2</v>
      </c>
      <c r="CH656" s="74">
        <f>-CH655*(CH$4/CH$3)/CH654</f>
        <v>2.2631819708312659E-2</v>
      </c>
      <c r="CJ656" s="74">
        <f>-CJ655*(CJ$4/CJ$3)/CJ654</f>
        <v>1.6852345253907434E-2</v>
      </c>
      <c r="CK656" s="74">
        <f>-CK655*(CK$4/CK$3)/CK654</f>
        <v>9.3018795550441121E-3</v>
      </c>
      <c r="CL656" s="74">
        <f>-CL655*(CL$4/CL$3)/CL654</f>
        <v>1.3041402627637939E-2</v>
      </c>
      <c r="CN656" s="74">
        <f>-CN655*(CN$4/CN$3)/CN654</f>
        <v>7.2162649593495781E-3</v>
      </c>
      <c r="CO656" s="74">
        <f>-CO655*(CO$4/CO$3)/CO654</f>
        <v>6.0204905028607095E-3</v>
      </c>
      <c r="CP656" s="74">
        <f>-CP655*(CP$4/CP$3)/CP654</f>
        <v>6.6102605142893244E-3</v>
      </c>
      <c r="CR656" s="74">
        <f>-CR655*(CR$4/CR$3)/CR654</f>
        <v>6.1765892072361992E-3</v>
      </c>
      <c r="CS656" s="74">
        <f>-CS655*(CS$4/CS$3)/CS654</f>
        <v>1.4559046158865722E-2</v>
      </c>
      <c r="CT656" s="74">
        <f>-CT655*(CT$4/CT$3)/CT654</f>
        <v>1.0438283570676318E-2</v>
      </c>
      <c r="CV656" s="74">
        <f>-CV655*(CV$4/CV$3)/CV654</f>
        <v>3.2978961366613442E-2</v>
      </c>
      <c r="CW656" s="74">
        <f>-CW655*(CW$4/CW$3)/CW654</f>
        <v>4.3078125431726622E-2</v>
      </c>
      <c r="CX656" s="74">
        <f>-CX655*(CX$4/CX$3)/CX654</f>
        <v>3.8072818291393237E-2</v>
      </c>
      <c r="CZ656" s="74">
        <f>-CZ655*(CZ$4/CZ$3)/CZ654</f>
        <v>4.7073918188477726E-2</v>
      </c>
      <c r="DA656" s="74">
        <f>-DA655*(DA$4/DA$3)/DA654</f>
        <v>4.824983969350042E-2</v>
      </c>
      <c r="DB656" s="74">
        <f>-DB655*(DB$4/DB$3)/DB654</f>
        <v>4.7664461866596466E-2</v>
      </c>
      <c r="DD656" s="74">
        <f>-DD655*(DD$4/DD$3)/DD654</f>
        <v>4.5799707142542986E-2</v>
      </c>
      <c r="DE656" s="74">
        <f>-DE655*(DE$4/DE$3)/DE654</f>
        <v>4.109116007876893E-2</v>
      </c>
      <c r="DF656" s="74">
        <f>-DF655*(DF$4/DF$3)/DF654</f>
        <v>4.3409833813905528E-2</v>
      </c>
      <c r="DH656" s="74">
        <f ca="1">-DH655*(DH$4/DH$3)/DH654</f>
        <v>4.1313149180155551E-2</v>
      </c>
      <c r="DI656" s="74">
        <f ca="1">-DI655*(DI$4/DI$3)/DI654</f>
        <v>4.410502968074418E-2</v>
      </c>
      <c r="DJ656" s="74">
        <f ca="1">-DJ655*(DJ$4/DJ$3)/DJ654</f>
        <v>4.2723183512421277E-2</v>
      </c>
      <c r="DL656" s="74">
        <f ca="1">-DL655*(DL$4/DL$3)/DL654</f>
        <v>4.5422445239788681E-2</v>
      </c>
      <c r="DM656" s="74">
        <f ca="1">-DM655*(DM$4/DM$3)/DM654</f>
        <v>4.5367077853791016E-2</v>
      </c>
      <c r="DN656" s="74">
        <f ca="1">-DN655*(DN$4/DN$3)/DN654</f>
        <v>4.5395818777043295E-2</v>
      </c>
      <c r="DP656" s="74">
        <f ca="1">-DP655*(DP$4/DP$3)/DP654</f>
        <v>4.527021901228629E-2</v>
      </c>
      <c r="DQ656" s="74">
        <f ca="1">-DQ655*(DQ$4/DQ$3)/DQ654</f>
        <v>4.5105711812110968E-2</v>
      </c>
      <c r="DR656" s="74">
        <f ca="1">-DR655*(DR$4/DR$3)/DR654</f>
        <v>4.5187099016216085E-2</v>
      </c>
    </row>
    <row r="657" spans="1:128" s="20" customFormat="1" ht="13.8">
      <c r="A657" s="20" t="s">
        <v>94</v>
      </c>
      <c r="B657" s="49"/>
      <c r="BH657" s="77">
        <f>BH656-BH637</f>
        <v>7.8524366610845803E-4</v>
      </c>
      <c r="BI657" s="77">
        <f>BI656-BI637</f>
        <v>1.1313391247458789E-3</v>
      </c>
      <c r="BJ657" s="77">
        <f>BJ656-BJ637</f>
        <v>9.1266232959709426E-4</v>
      </c>
      <c r="BK657" s="49"/>
      <c r="BL657" s="77">
        <f>BL656-BL637</f>
        <v>1.6157246540985E-3</v>
      </c>
      <c r="BM657" s="77">
        <f>BM656-BM637</f>
        <v>1.5878259526817436E-3</v>
      </c>
      <c r="BN657" s="77">
        <f>BN656-BN637</f>
        <v>1.6013768373336033E-3</v>
      </c>
      <c r="BO657" s="49"/>
      <c r="BP657" s="77">
        <f>BP656-BP637</f>
        <v>1.8925800255887963E-3</v>
      </c>
      <c r="BQ657" s="77">
        <f>BQ656-BQ637</f>
        <v>1.7371767525721817E-3</v>
      </c>
      <c r="BR657" s="77">
        <f>BR656-BR637</f>
        <v>1.7925612238198427E-3</v>
      </c>
      <c r="BT657" s="77">
        <f>BT656-BT637</f>
        <v>2.7317027471755358E-3</v>
      </c>
      <c r="BU657" s="77">
        <f>BU656-BU637</f>
        <v>4.5516713898055353E-3</v>
      </c>
      <c r="BV657" s="77">
        <f>BV656-BV637</f>
        <v>3.6408266338701922E-3</v>
      </c>
      <c r="BX657" s="77">
        <f>BX656-BX637</f>
        <v>5.7815427661301912E-3</v>
      </c>
      <c r="BY657" s="77">
        <f>BY656-BY637</f>
        <v>5.8918567904224749E-3</v>
      </c>
      <c r="BZ657" s="77">
        <f>BZ656-BZ637</f>
        <v>5.8373957596731113E-3</v>
      </c>
      <c r="CB657" s="77">
        <f>CB656-CB637</f>
        <v>6.414074923629734E-3</v>
      </c>
      <c r="CC657" s="77">
        <f>CC656-CC637</f>
        <v>8.1698221002015452E-3</v>
      </c>
      <c r="CD657" s="77">
        <f>CD656-CD637</f>
        <v>7.3036634106223054E-3</v>
      </c>
      <c r="CF657" s="77">
        <f>CF656-CF637</f>
        <v>8.7969894230502527E-3</v>
      </c>
      <c r="CG657" s="77">
        <f>CG656-CG637</f>
        <v>9.020926168897301E-3</v>
      </c>
      <c r="CH657" s="77">
        <f>CH656-CH637</f>
        <v>8.8818197083126594E-3</v>
      </c>
      <c r="CJ657" s="77">
        <f>CJ656-CJ637</f>
        <v>9.9248652539074347E-3</v>
      </c>
      <c r="CK657" s="77">
        <f>CK656-CK637</f>
        <v>6.8018795550441116E-3</v>
      </c>
      <c r="CL657" s="77">
        <f>CL656-CL637</f>
        <v>8.3276626276379377E-3</v>
      </c>
      <c r="CN657" s="77">
        <f>CN656-CN637</f>
        <v>5.939364959349578E-3</v>
      </c>
      <c r="CO657" s="77">
        <f>CO656-CO637</f>
        <v>5.0204905028607095E-3</v>
      </c>
      <c r="CP657" s="77">
        <f>CP656-CP637</f>
        <v>5.4718105142893244E-3</v>
      </c>
      <c r="CR657" s="77">
        <f>CR656-CR637</f>
        <v>5.1765892072361992E-3</v>
      </c>
      <c r="CS657" s="77">
        <f>CS656-CS637</f>
        <v>2.3090461588657213E-3</v>
      </c>
      <c r="CT657" s="77">
        <f>CT656-CT637</f>
        <v>3.8132835706763176E-3</v>
      </c>
      <c r="CV657" s="77">
        <f>CV656-CV637</f>
        <v>1.1789613666134402E-3</v>
      </c>
      <c r="CW657" s="77">
        <f>CW656-CW637</f>
        <v>3.328125431726621E-3</v>
      </c>
      <c r="CX657" s="77">
        <f>CX656-CX637</f>
        <v>2.297818291393236E-3</v>
      </c>
      <c r="CZ657" s="77">
        <f>CZ656-CZ637</f>
        <v>4.373918188477724E-3</v>
      </c>
      <c r="DA657" s="77">
        <f>DA656-DA637</f>
        <v>4.7498396935004225E-3</v>
      </c>
      <c r="DB657" s="77">
        <f>DB656-DB637</f>
        <v>4.564461866596467E-3</v>
      </c>
      <c r="DD657" s="77">
        <f>DD656-DD637</f>
        <v>3.0997071425429845E-3</v>
      </c>
      <c r="DE657" s="77">
        <f>DE656-DE637</f>
        <v>3.8911600787689335E-3</v>
      </c>
      <c r="DF657" s="77">
        <f>DF656-DF637</f>
        <v>3.4598338139055287E-3</v>
      </c>
      <c r="DH657" s="77">
        <f ca="1">DH656-DH637</f>
        <v>4.0631491801555522E-3</v>
      </c>
      <c r="DI657" s="77">
        <f ca="1">DI656-DI637</f>
        <v>4.3550296807441796E-3</v>
      </c>
      <c r="DJ657" s="77">
        <f ca="1">DJ656-DJ637</f>
        <v>4.2231835124212774E-3</v>
      </c>
      <c r="DL657" s="77">
        <f ca="1">DL656-DL637</f>
        <v>4.422445239788679E-3</v>
      </c>
      <c r="DM657" s="77">
        <f ca="1">DM656-DM637</f>
        <v>4.367077853791014E-3</v>
      </c>
      <c r="DN657" s="77">
        <f ca="1">DN656-DN637</f>
        <v>4.3958187770432935E-3</v>
      </c>
      <c r="DP657" s="77">
        <f ca="1">DP656-DP637</f>
        <v>4.2702190122862888E-3</v>
      </c>
      <c r="DQ657" s="77">
        <f ca="1">DQ656-DQ637</f>
        <v>4.1057118121109668E-3</v>
      </c>
      <c r="DR657" s="77">
        <f ca="1">DR656-DR637</f>
        <v>4.1870990162160837E-3</v>
      </c>
    </row>
    <row r="658" spans="1:128" s="47" customFormat="1" ht="13.8">
      <c r="A658" s="47" t="s">
        <v>88</v>
      </c>
      <c r="B658" s="92" t="s">
        <v>586</v>
      </c>
      <c r="BH658" s="92"/>
      <c r="BI658" s="76">
        <f>+BI657-BH657</f>
        <v>3.4609545863742083E-4</v>
      </c>
      <c r="BJ658" s="92"/>
      <c r="BK658" s="92"/>
      <c r="BL658" s="76">
        <f>+BL657-BI657</f>
        <v>4.8438552935262114E-4</v>
      </c>
      <c r="BM658" s="76">
        <f>+BM657-BL657</f>
        <v>-2.7898701416756433E-5</v>
      </c>
      <c r="BN658" s="92"/>
      <c r="BO658" s="92"/>
      <c r="BP658" s="76">
        <f>+BP657-BM657</f>
        <v>3.0475407290705275E-4</v>
      </c>
      <c r="BQ658" s="76">
        <f>+BQ657-BP657</f>
        <v>-1.5540327301661466E-4</v>
      </c>
      <c r="BR658" s="92"/>
      <c r="BT658" s="76">
        <f>+BT657-BQ657</f>
        <v>9.9452599460335411E-4</v>
      </c>
      <c r="BU658" s="76">
        <f>+BU657-BT657</f>
        <v>1.8199686426299995E-3</v>
      </c>
      <c r="BV658" s="92"/>
      <c r="BX658" s="76">
        <f>+BX657-BU657</f>
        <v>1.2298713763246559E-3</v>
      </c>
      <c r="BY658" s="76">
        <f>+BY657-BX657</f>
        <v>1.1031402429228371E-4</v>
      </c>
      <c r="BZ658" s="92"/>
      <c r="CB658" s="76">
        <f>+CB657-BY657</f>
        <v>5.222181332072591E-4</v>
      </c>
      <c r="CC658" s="76">
        <f>+CC657-CB657</f>
        <v>1.7557471765718112E-3</v>
      </c>
      <c r="CD658" s="92"/>
      <c r="CF658" s="76">
        <f>+CF657-CC657</f>
        <v>6.2716732284870749E-4</v>
      </c>
      <c r="CG658" s="76">
        <f>+CG657-CF657</f>
        <v>2.2393674584704829E-4</v>
      </c>
      <c r="CH658" s="92"/>
      <c r="CJ658" s="76">
        <f>+CJ657-CG657</f>
        <v>9.0393908501013379E-4</v>
      </c>
      <c r="CK658" s="76">
        <f>+CK657-CJ657</f>
        <v>-3.1229856988633231E-3</v>
      </c>
      <c r="CL658" s="92"/>
      <c r="CN658" s="76">
        <f>+CN657-CK657</f>
        <v>-8.6251459569453362E-4</v>
      </c>
      <c r="CO658" s="76">
        <f>+CO657-CN657</f>
        <v>-9.1887445648886849E-4</v>
      </c>
      <c r="CP658" s="92"/>
      <c r="CR658" s="76">
        <f>+CR657-CO657</f>
        <v>1.5609870437548971E-4</v>
      </c>
      <c r="CS658" s="76">
        <f>+CS657-CR657</f>
        <v>-2.8675430483704779E-3</v>
      </c>
      <c r="CT658" s="92"/>
      <c r="CV658" s="76">
        <f>+CV657-CS657</f>
        <v>-1.1300847922522811E-3</v>
      </c>
      <c r="CW658" s="76">
        <f>+CW657-CV657</f>
        <v>2.1491640651131808E-3</v>
      </c>
      <c r="CX658" s="92"/>
      <c r="CZ658" s="76">
        <f>+CZ657-CW657</f>
        <v>1.045792756751103E-3</v>
      </c>
      <c r="DA658" s="76">
        <f>+DA657-CZ657</f>
        <v>3.7592150502269855E-4</v>
      </c>
      <c r="DB658" s="92"/>
      <c r="DD658" s="76">
        <f>+DD657-DA657</f>
        <v>-1.650132550957438E-3</v>
      </c>
      <c r="DE658" s="76">
        <f>+DE657-DD657</f>
        <v>7.9145293622594898E-4</v>
      </c>
      <c r="DF658" s="92"/>
      <c r="DH658" s="76">
        <f ca="1">+DH657-DE657</f>
        <v>1.7198910138661871E-4</v>
      </c>
      <c r="DI658" s="76">
        <f ca="1">+DI657-DF657</f>
        <v>8.9519586683865088E-4</v>
      </c>
      <c r="DJ658" s="76">
        <f ca="1">+DJ657-DG657</f>
        <v>4.2231835124212774E-3</v>
      </c>
      <c r="DL658" s="76">
        <f ca="1">+DL657-DI657</f>
        <v>6.7415559044499418E-5</v>
      </c>
      <c r="DM658" s="76">
        <f ca="1">+DM657-DJ657</f>
        <v>1.4389434136973661E-4</v>
      </c>
      <c r="DN658" s="76">
        <f ca="1">+DN657-DK657</f>
        <v>4.3958187770432935E-3</v>
      </c>
      <c r="DP658" s="76">
        <f ca="1">+DP657-DM657</f>
        <v>-9.685884150472529E-5</v>
      </c>
      <c r="DQ658" s="76">
        <f ca="1">+DQ657-DN657</f>
        <v>-2.9010696493232679E-4</v>
      </c>
      <c r="DR658" s="76">
        <f ca="1">+DR657-DO657</f>
        <v>4.1870990162160837E-3</v>
      </c>
      <c r="DW658" s="20"/>
      <c r="DX658" s="20"/>
    </row>
    <row r="659" spans="1:128" s="20" customFormat="1" ht="13.8">
      <c r="A659" s="20" t="s">
        <v>95</v>
      </c>
      <c r="B659" s="49"/>
      <c r="BH659" s="77">
        <f>+BH656-BH638</f>
        <v>8.5354366610845833E-4</v>
      </c>
      <c r="BI659" s="77">
        <f>+BI656-BI638</f>
        <v>7.7033912474587865E-4</v>
      </c>
      <c r="BJ659" s="77">
        <f>+BJ656-BJ638</f>
        <v>7.6631232959709084E-4</v>
      </c>
      <c r="BK659" s="49"/>
      <c r="BL659" s="77">
        <f>+BL656-BL638</f>
        <v>4.8472465409849994E-4</v>
      </c>
      <c r="BM659" s="77">
        <f>+BM656-BM638</f>
        <v>-9.2174047318253904E-5</v>
      </c>
      <c r="BN659" s="77">
        <f>+BN656-BN638</f>
        <v>1.9587683733360631E-4</v>
      </c>
      <c r="BO659" s="49"/>
      <c r="BP659" s="77">
        <f>+BP656-BP638</f>
        <v>-4.8841997441120485E-4</v>
      </c>
      <c r="BQ659" s="77">
        <f>+BQ656-BQ638</f>
        <v>1.3871767525721786E-3</v>
      </c>
      <c r="BR659" s="77">
        <f>+BR656-BR638</f>
        <v>4.2706122381984055E-4</v>
      </c>
      <c r="BT659" s="77">
        <f>+BT656-BT638</f>
        <v>3.1702747175534757E-5</v>
      </c>
      <c r="BU659" s="77">
        <f>+BU656-BU638</f>
        <v>2.6265620148055238E-3</v>
      </c>
      <c r="BV659" s="77">
        <f>+BV656-BV638</f>
        <v>1.3282719463701895E-3</v>
      </c>
      <c r="BX659" s="77">
        <f>+BX656-BX638</f>
        <v>3.0815427661301902E-3</v>
      </c>
      <c r="BY659" s="77">
        <f>+BY656-BY638</f>
        <v>3.6918567904224743E-3</v>
      </c>
      <c r="BZ659" s="77">
        <f>+BZ656-BZ638</f>
        <v>3.3873957596731105E-3</v>
      </c>
      <c r="CB659" s="77">
        <f>+CB656-CB638</f>
        <v>3.6140749236297336E-3</v>
      </c>
      <c r="CC659" s="77">
        <f>+CC656-CC638</f>
        <v>3.1698221002015442E-3</v>
      </c>
      <c r="CD659" s="77">
        <f>+CD656-CD638</f>
        <v>3.4036634106223047E-3</v>
      </c>
      <c r="CF659" s="77">
        <f>+CF656-CF638</f>
        <v>4.1969894230502527E-3</v>
      </c>
      <c r="CG659" s="77">
        <f>+CG656-CG638</f>
        <v>8.9209261688973016E-3</v>
      </c>
      <c r="CH659" s="77">
        <f>+CH656-CH638</f>
        <v>6.5318197083126597E-3</v>
      </c>
      <c r="CJ659" s="77">
        <f>+CJ656-CJ638</f>
        <v>8.6307989539074342E-3</v>
      </c>
      <c r="CK659" s="77">
        <f>+CK656-CK638</f>
        <v>2.001879555044112E-3</v>
      </c>
      <c r="CL659" s="77">
        <f>+CL656-CL638</f>
        <v>5.2806294776379381E-3</v>
      </c>
      <c r="CN659" s="77">
        <f>+CN656-CN638</f>
        <v>6.9272649593495779E-3</v>
      </c>
      <c r="CO659" s="77">
        <f>+CO656-CO638</f>
        <v>5.7575905028607096E-3</v>
      </c>
      <c r="CP659" s="77">
        <f>+CP656-CP638</f>
        <v>6.3343105142893248E-3</v>
      </c>
      <c r="CR659" s="77">
        <f>+CR656-CR638</f>
        <v>5.4125892072361993E-3</v>
      </c>
      <c r="CS659" s="77">
        <f>+CS656-CS638</f>
        <v>-2.3409538411342766E-3</v>
      </c>
      <c r="CT659" s="77">
        <f>+CT656-CT638</f>
        <v>1.6062835706763187E-3</v>
      </c>
      <c r="CV659" s="77">
        <f>+CV656-CV638</f>
        <v>2.7896136661344217E-4</v>
      </c>
      <c r="CW659" s="77">
        <f>+CW656-CW638</f>
        <v>2.3781254317266215E-3</v>
      </c>
      <c r="CX659" s="77">
        <f>+CX656-CX638</f>
        <v>1.3728182913932407E-3</v>
      </c>
      <c r="CZ659" s="77">
        <f>+CZ656-CZ638</f>
        <v>3.7739181884777276E-3</v>
      </c>
      <c r="DA659" s="77">
        <f>+DA656-DA638</f>
        <v>4.2498396935004221E-3</v>
      </c>
      <c r="DB659" s="77">
        <f>+DB656-DB638</f>
        <v>4.0144618665964721E-3</v>
      </c>
      <c r="DD659" s="77">
        <f>+DD656-DD638</f>
        <v>2.6997071425429869E-3</v>
      </c>
      <c r="DE659" s="77">
        <f>+DE656-DE638</f>
        <v>4.8911600787689274E-3</v>
      </c>
      <c r="DF659" s="77">
        <f>+DF656-DF638</f>
        <v>3.7598338139055235E-3</v>
      </c>
      <c r="DH659" s="77">
        <f ca="1">+DH656-DH638</f>
        <v>5.0631491801555462E-3</v>
      </c>
      <c r="DI659" s="77">
        <f ca="1">+DI656-DI638</f>
        <v>5.3550296807441736E-3</v>
      </c>
      <c r="DJ659" s="77">
        <f ca="1">+DJ656-DJ638</f>
        <v>5.2231835124212714E-3</v>
      </c>
      <c r="DL659" s="77">
        <f ca="1">+DL656-DL638</f>
        <v>5.422445239788673E-3</v>
      </c>
      <c r="DM659" s="77">
        <f ca="1">+DM656-DM638</f>
        <v>5.367077853791008E-3</v>
      </c>
      <c r="DN659" s="77">
        <f ca="1">+DN656-DN638</f>
        <v>5.3958187770432875E-3</v>
      </c>
      <c r="DP659" s="77">
        <f ca="1">+DP656-DP638</f>
        <v>5.2702190122862827E-3</v>
      </c>
      <c r="DQ659" s="77">
        <f ca="1">+DQ656-DQ638</f>
        <v>5.1057118121109607E-3</v>
      </c>
      <c r="DR659" s="77">
        <f ca="1">+DR656-DR638</f>
        <v>5.1870990162160777E-3</v>
      </c>
    </row>
    <row r="660" spans="1:128" s="78" customFormat="1" ht="13.8">
      <c r="A660" s="78" t="s">
        <v>88</v>
      </c>
      <c r="B660" s="95" t="s">
        <v>586</v>
      </c>
      <c r="BH660" s="95"/>
      <c r="BI660" s="350">
        <f>+BI659-BH659</f>
        <v>-8.3204541362579681E-5</v>
      </c>
      <c r="BJ660" s="95"/>
      <c r="BK660" s="95"/>
      <c r="BL660" s="350">
        <f>+BL659-BI659</f>
        <v>-2.8561447064737872E-4</v>
      </c>
      <c r="BM660" s="350">
        <f>+BM659-BL659</f>
        <v>-5.7689870141675384E-4</v>
      </c>
      <c r="BN660" s="95"/>
      <c r="BO660" s="95"/>
      <c r="BP660" s="350">
        <f>+BP659-BM659</f>
        <v>-3.9624592709295095E-4</v>
      </c>
      <c r="BQ660" s="350">
        <f>+BQ659-BP659</f>
        <v>1.8755967269833834E-3</v>
      </c>
      <c r="BR660" s="95"/>
      <c r="BT660" s="350">
        <f>+BT659-BQ659</f>
        <v>-1.3554740053966438E-3</v>
      </c>
      <c r="BU660" s="350">
        <f>+BU659-BT659</f>
        <v>2.5948592676299891E-3</v>
      </c>
      <c r="BV660" s="95"/>
      <c r="BX660" s="350">
        <f>+BX659-BU659</f>
        <v>4.5498075132466634E-4</v>
      </c>
      <c r="BY660" s="350">
        <f>+BY659-BX659</f>
        <v>6.1031402429228415E-4</v>
      </c>
      <c r="BZ660" s="95"/>
      <c r="CB660" s="350">
        <f>+CB659-BY659</f>
        <v>-7.7781866792740739E-5</v>
      </c>
      <c r="CC660" s="350">
        <f>+CC659-CB659</f>
        <v>-4.4425282342818936E-4</v>
      </c>
      <c r="CD660" s="95"/>
      <c r="CF660" s="350">
        <f>+CF659-CC659</f>
        <v>1.0271673228487085E-3</v>
      </c>
      <c r="CG660" s="350">
        <f>+CG659-CF659</f>
        <v>4.7239367458470488E-3</v>
      </c>
      <c r="CH660" s="95"/>
      <c r="CJ660" s="350">
        <f>+CJ659-CG659</f>
        <v>-2.9012721498986732E-4</v>
      </c>
      <c r="CK660" s="350">
        <f>+CK659-CJ659</f>
        <v>-6.6289193988633222E-3</v>
      </c>
      <c r="CL660" s="95"/>
      <c r="CN660" s="350">
        <f>+CN659-CK659</f>
        <v>4.9253854043054658E-3</v>
      </c>
      <c r="CO660" s="350">
        <f>+CO659-CN659</f>
        <v>-1.1696744564888683E-3</v>
      </c>
      <c r="CP660" s="95"/>
      <c r="CR660" s="350">
        <f>+CR659-CO659</f>
        <v>-3.4500129562451028E-4</v>
      </c>
      <c r="CS660" s="350">
        <f>+CS659-CR659</f>
        <v>-7.7535430483704759E-3</v>
      </c>
      <c r="CT660" s="95"/>
      <c r="CV660" s="350">
        <f>+CV659-CS659</f>
        <v>2.6199152077477188E-3</v>
      </c>
      <c r="CW660" s="350">
        <f>+CW659-CV659</f>
        <v>2.0991640651131793E-3</v>
      </c>
      <c r="CX660" s="95"/>
      <c r="CZ660" s="350">
        <f>+CZ659-CW659</f>
        <v>1.3957927567511061E-3</v>
      </c>
      <c r="DA660" s="350">
        <f>+DA659-CZ659</f>
        <v>4.7592150502269448E-4</v>
      </c>
      <c r="DB660" s="95"/>
      <c r="DD660" s="350">
        <f>+DD659-DA659</f>
        <v>-1.5501325509574351E-3</v>
      </c>
      <c r="DE660" s="350">
        <f>+DE659-DD659</f>
        <v>2.1914529362259405E-3</v>
      </c>
      <c r="DF660" s="95"/>
      <c r="DH660" s="350">
        <f ca="1">+DH659-DE659</f>
        <v>1.7198910138661871E-4</v>
      </c>
      <c r="DI660" s="350">
        <f ca="1">+DI659-DH659</f>
        <v>2.9188050058862741E-4</v>
      </c>
      <c r="DJ660" s="350">
        <f ca="1">+DJ659-DG659</f>
        <v>5.2231835124212714E-3</v>
      </c>
      <c r="DL660" s="350">
        <f ca="1">+DL659-DI659</f>
        <v>6.7415559044499418E-5</v>
      </c>
      <c r="DM660" s="350">
        <f ca="1">+DM659-DL659</f>
        <v>-5.5367385997664997E-5</v>
      </c>
      <c r="DN660" s="350">
        <f ca="1">+DN659-DK659</f>
        <v>5.3958187770432875E-3</v>
      </c>
      <c r="DP660" s="350">
        <f ca="1">+DP659-DM659</f>
        <v>-9.685884150472529E-5</v>
      </c>
      <c r="DQ660" s="350">
        <f ca="1">+DQ659-DP659</f>
        <v>-1.64507200175322E-4</v>
      </c>
      <c r="DR660" s="350">
        <f ca="1">+DR659-DO659</f>
        <v>5.1870990162160777E-3</v>
      </c>
      <c r="DW660" s="21"/>
      <c r="DX660" s="21"/>
    </row>
    <row r="661" spans="1:128" s="20" customFormat="1" ht="13.8">
      <c r="B661" s="49"/>
      <c r="BH661" s="49"/>
      <c r="BI661" s="49"/>
      <c r="BJ661" s="49"/>
      <c r="BK661" s="49"/>
      <c r="BL661" s="49"/>
      <c r="BM661" s="49"/>
      <c r="BN661" s="49"/>
      <c r="BO661" s="49"/>
      <c r="BP661" s="49"/>
      <c r="BQ661" s="49"/>
      <c r="BR661" s="49"/>
      <c r="BT661" s="49"/>
      <c r="BU661" s="49"/>
      <c r="BV661" s="49"/>
      <c r="BW661" s="96"/>
      <c r="BX661" s="49"/>
      <c r="BY661" s="49"/>
      <c r="BZ661" s="49"/>
      <c r="CB661" s="49"/>
      <c r="CC661" s="49"/>
      <c r="CD661" s="49"/>
      <c r="CF661" s="49"/>
      <c r="CG661" s="49"/>
      <c r="CH661" s="49"/>
      <c r="CJ661" s="49"/>
      <c r="CK661" s="49"/>
      <c r="CL661" s="49"/>
      <c r="CN661" s="49"/>
      <c r="CO661" s="49"/>
      <c r="CP661" s="49"/>
      <c r="CR661"/>
      <c r="CS661" s="49"/>
      <c r="CT661" s="49"/>
      <c r="CV661"/>
      <c r="CW661" s="49"/>
      <c r="CX661" s="49"/>
      <c r="CZ661"/>
      <c r="DA661" s="49"/>
      <c r="DB661" s="49"/>
      <c r="DD661"/>
      <c r="DE661" s="49"/>
      <c r="DF661" s="49"/>
      <c r="DH661" s="49"/>
      <c r="DL661" s="49"/>
      <c r="DP661" s="49"/>
    </row>
    <row r="662" spans="1:128" s="21" customFormat="1" ht="13.8">
      <c r="A662" s="59" t="s">
        <v>466</v>
      </c>
      <c r="B662" s="27"/>
      <c r="BH662" s="65">
        <f t="shared" ref="BH662:BJ666" si="1030">BH15</f>
        <v>1145</v>
      </c>
      <c r="BI662" s="65">
        <f t="shared" si="1030"/>
        <v>1171</v>
      </c>
      <c r="BJ662" s="65">
        <f t="shared" si="1030"/>
        <v>2316</v>
      </c>
      <c r="BK662" s="49"/>
      <c r="BL662" s="65">
        <f t="shared" ref="BL662:BN666" si="1031">BL15</f>
        <v>1186</v>
      </c>
      <c r="BM662" s="65">
        <f t="shared" si="1031"/>
        <v>1178</v>
      </c>
      <c r="BN662" s="65">
        <f t="shared" si="1031"/>
        <v>2364</v>
      </c>
      <c r="BO662" s="49"/>
      <c r="BP662" s="65">
        <f t="shared" ref="BP662:BR666" si="1032">BP15</f>
        <v>1253</v>
      </c>
      <c r="BQ662" s="65">
        <f t="shared" si="1032"/>
        <v>1267</v>
      </c>
      <c r="BR662" s="65">
        <f t="shared" si="1032"/>
        <v>2520</v>
      </c>
      <c r="BS662" s="96">
        <f>BR662/BN662-1</f>
        <v>6.5989847715736127E-2</v>
      </c>
      <c r="BT662" s="65">
        <f t="shared" ref="BT662:BV666" si="1033">BT15</f>
        <v>1236</v>
      </c>
      <c r="BU662" s="65">
        <f t="shared" si="1033"/>
        <v>1201</v>
      </c>
      <c r="BV662" s="65">
        <f t="shared" si="1033"/>
        <v>2437</v>
      </c>
      <c r="BW662" s="96">
        <f>BV662/BR662-1</f>
        <v>-3.2936507936507931E-2</v>
      </c>
      <c r="BX662" s="65">
        <f t="shared" ref="BX662:BZ666" si="1034">BX15</f>
        <v>1177</v>
      </c>
      <c r="BY662" s="65">
        <f t="shared" si="1034"/>
        <v>1185</v>
      </c>
      <c r="BZ662" s="65">
        <f t="shared" si="1034"/>
        <v>2362</v>
      </c>
      <c r="CA662" s="96">
        <f>BZ662/BV662-1</f>
        <v>-3.0775543701272001E-2</v>
      </c>
      <c r="CB662" s="65">
        <f t="shared" ref="CB662:CD666" si="1035">CB15</f>
        <v>1335</v>
      </c>
      <c r="CC662" s="65">
        <f t="shared" si="1035"/>
        <v>1289</v>
      </c>
      <c r="CD662" s="65">
        <f t="shared" si="1035"/>
        <v>2624</v>
      </c>
      <c r="CE662" s="96">
        <f>CD662/BZ662-1</f>
        <v>0.11092294665537672</v>
      </c>
      <c r="CF662" s="65">
        <f t="shared" ref="CF662:CH666" si="1036">CF15</f>
        <v>1218</v>
      </c>
      <c r="CG662" s="65">
        <f t="shared" si="1036"/>
        <v>1275</v>
      </c>
      <c r="CH662" s="65">
        <f t="shared" si="1036"/>
        <v>2493</v>
      </c>
      <c r="CI662" s="96">
        <f>CH662/CD662-1</f>
        <v>-4.9923780487804881E-2</v>
      </c>
      <c r="CJ662" s="65">
        <f t="shared" ref="CJ662:CL666" si="1037">CJ15</f>
        <v>1135</v>
      </c>
      <c r="CK662" s="65">
        <f t="shared" si="1037"/>
        <v>1080</v>
      </c>
      <c r="CL662" s="65">
        <f t="shared" si="1037"/>
        <v>2215</v>
      </c>
      <c r="CM662" s="96">
        <f>CL662/CH662-1</f>
        <v>-0.11151223425591661</v>
      </c>
      <c r="CN662" s="65">
        <f t="shared" ref="CN662:CP666" si="1038">CN15</f>
        <v>1011</v>
      </c>
      <c r="CO662" s="65">
        <f t="shared" si="1038"/>
        <v>1052</v>
      </c>
      <c r="CP662" s="65">
        <f t="shared" si="1038"/>
        <v>2063</v>
      </c>
      <c r="CQ662" s="96">
        <f>CP662/CL662-1</f>
        <v>-6.8623024830699819E-2</v>
      </c>
      <c r="CR662" s="65">
        <f t="shared" ref="CR662:CT666" si="1039">CR15</f>
        <v>953</v>
      </c>
      <c r="CS662" s="65">
        <f t="shared" si="1039"/>
        <v>954</v>
      </c>
      <c r="CT662" s="65">
        <f t="shared" si="1039"/>
        <v>1907</v>
      </c>
      <c r="CU662" s="96">
        <f>CT662/CP662-1</f>
        <v>-7.5618031992244261E-2</v>
      </c>
      <c r="CV662" s="65">
        <f t="shared" ref="CV662:CX666" si="1040">CV15</f>
        <v>890</v>
      </c>
      <c r="CW662" s="65">
        <f t="shared" si="1040"/>
        <v>972</v>
      </c>
      <c r="CX662" s="65">
        <f t="shared" si="1040"/>
        <v>1862</v>
      </c>
      <c r="CY662" s="96">
        <f>CX662/CT662-1</f>
        <v>-2.3597273203985303E-2</v>
      </c>
      <c r="CZ662" s="65">
        <f t="shared" ref="CZ662:DB666" si="1041">CZ15</f>
        <v>919</v>
      </c>
      <c r="DA662" s="65">
        <f t="shared" si="1041"/>
        <v>956</v>
      </c>
      <c r="DB662" s="65">
        <f t="shared" si="1041"/>
        <v>1875</v>
      </c>
      <c r="DC662" s="96">
        <f>DB662/CX662-1</f>
        <v>6.9817400644467398E-3</v>
      </c>
      <c r="DD662" s="65">
        <f>DD15</f>
        <v>855</v>
      </c>
      <c r="DE662" s="65">
        <f t="shared" ref="DE662:DF662" si="1042">DE15</f>
        <v>948</v>
      </c>
      <c r="DF662" s="65">
        <f t="shared" si="1042"/>
        <v>1803</v>
      </c>
      <c r="DG662" s="96">
        <f>DF662/DB662-1</f>
        <v>-3.839999999999999E-2</v>
      </c>
      <c r="DH662" s="65">
        <f>+DE662*(1+DH668)</f>
        <v>891.12</v>
      </c>
      <c r="DI662" s="65">
        <f>+DH662*(1+DI668)</f>
        <v>944.58720000000005</v>
      </c>
      <c r="DJ662" s="65">
        <f>+DI662+DH662</f>
        <v>1835.7072000000001</v>
      </c>
      <c r="DK662" s="96">
        <f>DJ662/DF662-1</f>
        <v>1.8140432612312907E-2</v>
      </c>
      <c r="DL662" s="65">
        <f>+DI662*(1+DL668)</f>
        <v>906.80371200000002</v>
      </c>
      <c r="DM662" s="65">
        <f>+DL662*(1+DM668)</f>
        <v>961.21193472000004</v>
      </c>
      <c r="DN662" s="65">
        <f>+DM662+DL662</f>
        <v>1868.0156467199999</v>
      </c>
      <c r="DO662" s="96">
        <f>DN662/DJ662-1</f>
        <v>1.7599999999999838E-2</v>
      </c>
      <c r="DP662" s="65">
        <f>+DM662*(1+DP668)</f>
        <v>922.76345733120002</v>
      </c>
      <c r="DQ662" s="65">
        <f>+DP662*(1+DQ668)</f>
        <v>978.12926477107203</v>
      </c>
      <c r="DR662" s="65">
        <f>+DQ662+DP662</f>
        <v>1900.892722102272</v>
      </c>
      <c r="DS662" s="96">
        <f>DR662/DN662-1</f>
        <v>1.760000000000006E-2</v>
      </c>
      <c r="DT662" s="96"/>
      <c r="DU662" s="96"/>
      <c r="DV662" s="96"/>
      <c r="DW662" s="20"/>
      <c r="DX662" s="20"/>
    </row>
    <row r="663" spans="1:128" s="20" customFormat="1" ht="13.8">
      <c r="A663" s="57" t="s">
        <v>467</v>
      </c>
      <c r="B663" s="49"/>
      <c r="BH663" s="65">
        <f t="shared" si="1030"/>
        <v>743</v>
      </c>
      <c r="BI663" s="65">
        <f t="shared" si="1030"/>
        <v>567</v>
      </c>
      <c r="BJ663" s="65">
        <f t="shared" si="1030"/>
        <v>1310</v>
      </c>
      <c r="BK663" s="49"/>
      <c r="BL663" s="65">
        <f t="shared" si="1031"/>
        <v>720</v>
      </c>
      <c r="BM663" s="65">
        <f t="shared" si="1031"/>
        <v>565</v>
      </c>
      <c r="BN663" s="65">
        <f t="shared" si="1031"/>
        <v>1285</v>
      </c>
      <c r="BO663" s="49"/>
      <c r="BP663" s="65">
        <f t="shared" si="1032"/>
        <v>675</v>
      </c>
      <c r="BQ663" s="65">
        <f t="shared" si="1032"/>
        <v>388</v>
      </c>
      <c r="BR663" s="65">
        <f t="shared" si="1032"/>
        <v>1063</v>
      </c>
      <c r="BS663" s="96">
        <f>BR663/BN663-1</f>
        <v>-0.17276264591439694</v>
      </c>
      <c r="BT663" s="65">
        <f t="shared" si="1033"/>
        <v>401</v>
      </c>
      <c r="BU663" s="65">
        <f t="shared" si="1033"/>
        <v>365</v>
      </c>
      <c r="BV663" s="65">
        <f t="shared" si="1033"/>
        <v>766</v>
      </c>
      <c r="BW663" s="96">
        <f>BV663/BR663-1</f>
        <v>-0.27939793038570082</v>
      </c>
      <c r="BX663" s="65">
        <f t="shared" si="1034"/>
        <v>886</v>
      </c>
      <c r="BY663" s="65">
        <f t="shared" si="1034"/>
        <v>550</v>
      </c>
      <c r="BZ663" s="65">
        <f t="shared" si="1034"/>
        <v>1436</v>
      </c>
      <c r="CA663" s="96">
        <f>BZ663/BV663-1</f>
        <v>0.87467362924281988</v>
      </c>
      <c r="CB663" s="65">
        <f t="shared" si="1035"/>
        <v>552</v>
      </c>
      <c r="CC663" s="65">
        <f t="shared" si="1035"/>
        <v>577</v>
      </c>
      <c r="CD663" s="65">
        <f t="shared" si="1035"/>
        <v>1129</v>
      </c>
      <c r="CE663" s="96">
        <f>CD663/BZ663-1</f>
        <v>-0.21378830083565459</v>
      </c>
      <c r="CF663" s="65">
        <f t="shared" si="1036"/>
        <v>667</v>
      </c>
      <c r="CG663" s="65">
        <f t="shared" si="1036"/>
        <v>619</v>
      </c>
      <c r="CH663" s="65">
        <f t="shared" si="1036"/>
        <v>1286</v>
      </c>
      <c r="CI663" s="96">
        <f>CH663/CD663-1</f>
        <v>0.13906111603188664</v>
      </c>
      <c r="CJ663" s="65">
        <f t="shared" si="1037"/>
        <v>764</v>
      </c>
      <c r="CK663" s="65">
        <f t="shared" si="1037"/>
        <v>1120</v>
      </c>
      <c r="CL663" s="65">
        <f t="shared" si="1037"/>
        <v>1884</v>
      </c>
      <c r="CM663" s="96">
        <f>CL663/CH663-1</f>
        <v>0.46500777604976662</v>
      </c>
      <c r="CN663" s="65">
        <f t="shared" si="1038"/>
        <v>638</v>
      </c>
      <c r="CO663" s="65">
        <f t="shared" si="1038"/>
        <v>492</v>
      </c>
      <c r="CP663" s="65">
        <f t="shared" si="1038"/>
        <v>1130</v>
      </c>
      <c r="CQ663" s="96">
        <f>CP663/CL663-1</f>
        <v>-0.4002123142250531</v>
      </c>
      <c r="CR663" s="65">
        <f t="shared" si="1039"/>
        <v>396</v>
      </c>
      <c r="CS663" s="65">
        <f t="shared" si="1039"/>
        <v>464</v>
      </c>
      <c r="CT663" s="65">
        <f t="shared" si="1039"/>
        <v>860</v>
      </c>
      <c r="CU663" s="96">
        <f>CT663/CP663-1</f>
        <v>-0.23893805309734517</v>
      </c>
      <c r="CV663" s="65">
        <f t="shared" si="1040"/>
        <v>985</v>
      </c>
      <c r="CW663" s="65">
        <f t="shared" si="1040"/>
        <v>938</v>
      </c>
      <c r="CX663" s="65">
        <f t="shared" si="1040"/>
        <v>1923</v>
      </c>
      <c r="CY663" s="96">
        <f>CX663/CT663-1</f>
        <v>1.2360465116279071</v>
      </c>
      <c r="CZ663" s="65">
        <f t="shared" si="1041"/>
        <v>1276</v>
      </c>
      <c r="DA663" s="65">
        <f t="shared" si="1041"/>
        <v>1039</v>
      </c>
      <c r="DB663" s="65">
        <f t="shared" si="1041"/>
        <v>2315</v>
      </c>
      <c r="DC663" s="96">
        <f>DB663/CX663-1</f>
        <v>0.20384815392615696</v>
      </c>
      <c r="DD663" s="65">
        <f>DD16</f>
        <v>991</v>
      </c>
      <c r="DE663" s="65">
        <f t="shared" ref="DE663:DF663" si="1043">DE16</f>
        <v>870</v>
      </c>
      <c r="DF663" s="65">
        <f t="shared" si="1043"/>
        <v>1861</v>
      </c>
      <c r="DG663" s="96">
        <f>DF663/DB663-1</f>
        <v>-0.19611231101511883</v>
      </c>
      <c r="DH663" s="65">
        <f>DH692</f>
        <v>913.76</v>
      </c>
      <c r="DI663" s="65">
        <f>DI692</f>
        <v>818.93</v>
      </c>
      <c r="DJ663" s="65">
        <f>+DI663+DH663</f>
        <v>1732.69</v>
      </c>
      <c r="DK663" s="96">
        <f>DJ663/DF663-1</f>
        <v>-6.8946802794196627E-2</v>
      </c>
      <c r="DL663" s="65">
        <f>DL692</f>
        <v>940.21019999999999</v>
      </c>
      <c r="DM663" s="65">
        <f>DM692</f>
        <v>842.51909999999998</v>
      </c>
      <c r="DN663" s="65">
        <f>+DM663+DL663</f>
        <v>1782.7293</v>
      </c>
      <c r="DO663" s="96">
        <f>DN663/DJ663-1</f>
        <v>2.8879545677530372E-2</v>
      </c>
      <c r="DP663" s="65">
        <f>DP692</f>
        <v>967.43465400000002</v>
      </c>
      <c r="DQ663" s="65">
        <f>DQ692</f>
        <v>866.7962970000001</v>
      </c>
      <c r="DR663" s="65">
        <f>+DQ663+DP663</f>
        <v>1834.230951</v>
      </c>
      <c r="DS663" s="96">
        <f>DR663/DN663-1</f>
        <v>2.8889215541585633E-2</v>
      </c>
      <c r="DT663" s="96"/>
      <c r="DU663" s="96"/>
      <c r="DV663" s="96"/>
    </row>
    <row r="664" spans="1:128" s="20" customFormat="1" ht="13.8">
      <c r="A664" s="57" t="s">
        <v>28</v>
      </c>
      <c r="B664" s="49"/>
      <c r="BH664" s="65">
        <f t="shared" si="1030"/>
        <v>209</v>
      </c>
      <c r="BI664" s="65">
        <f t="shared" si="1030"/>
        <v>269</v>
      </c>
      <c r="BJ664" s="65">
        <f t="shared" si="1030"/>
        <v>478</v>
      </c>
      <c r="BK664" s="49"/>
      <c r="BL664" s="65">
        <f t="shared" si="1031"/>
        <v>243</v>
      </c>
      <c r="BM664" s="65">
        <f t="shared" si="1031"/>
        <v>267</v>
      </c>
      <c r="BN664" s="65">
        <f t="shared" si="1031"/>
        <v>510</v>
      </c>
      <c r="BO664" s="49"/>
      <c r="BP664" s="65">
        <f t="shared" si="1032"/>
        <v>314</v>
      </c>
      <c r="BQ664" s="65">
        <f t="shared" si="1032"/>
        <v>311</v>
      </c>
      <c r="BR664" s="65">
        <f t="shared" si="1032"/>
        <v>625</v>
      </c>
      <c r="BS664" s="96">
        <f>BR664/BN664-1</f>
        <v>0.22549019607843146</v>
      </c>
      <c r="BT664" s="65">
        <f t="shared" si="1033"/>
        <v>301</v>
      </c>
      <c r="BU664" s="65">
        <f t="shared" si="1033"/>
        <v>243</v>
      </c>
      <c r="BV664" s="65">
        <f t="shared" si="1033"/>
        <v>544</v>
      </c>
      <c r="BW664" s="96">
        <f>BV664/BR664-1</f>
        <v>-0.12960000000000005</v>
      </c>
      <c r="BX664" s="65">
        <f t="shared" si="1034"/>
        <v>173</v>
      </c>
      <c r="BY664" s="65">
        <f t="shared" si="1034"/>
        <v>127</v>
      </c>
      <c r="BZ664" s="65">
        <f t="shared" si="1034"/>
        <v>300</v>
      </c>
      <c r="CA664" s="96">
        <f>BZ664/BV664-1</f>
        <v>-0.44852941176470584</v>
      </c>
      <c r="CB664" s="65">
        <f t="shared" si="1035"/>
        <v>88</v>
      </c>
      <c r="CC664" s="65">
        <f t="shared" si="1035"/>
        <v>95</v>
      </c>
      <c r="CD664" s="65">
        <f t="shared" si="1035"/>
        <v>183</v>
      </c>
      <c r="CE664" s="96">
        <f>CD664/BZ664-1</f>
        <v>-0.39</v>
      </c>
      <c r="CF664" s="65">
        <f t="shared" si="1036"/>
        <v>131</v>
      </c>
      <c r="CG664" s="65">
        <f t="shared" si="1036"/>
        <v>131</v>
      </c>
      <c r="CH664" s="65">
        <f t="shared" si="1036"/>
        <v>262</v>
      </c>
      <c r="CI664" s="96">
        <f>CH664/CD664-1</f>
        <v>0.43169398907103829</v>
      </c>
      <c r="CJ664" s="65">
        <f t="shared" si="1037"/>
        <v>135</v>
      </c>
      <c r="CK664" s="65">
        <f t="shared" si="1037"/>
        <v>20</v>
      </c>
      <c r="CL664" s="65">
        <f t="shared" si="1037"/>
        <v>155</v>
      </c>
      <c r="CM664" s="96">
        <f>CL664/CH664-1</f>
        <v>-0.40839694656488545</v>
      </c>
      <c r="CN664" s="65">
        <f t="shared" si="1038"/>
        <v>-242</v>
      </c>
      <c r="CO664" s="65">
        <f t="shared" si="1038"/>
        <v>66</v>
      </c>
      <c r="CP664" s="65">
        <f t="shared" si="1038"/>
        <v>-176</v>
      </c>
      <c r="CQ664" s="96">
        <f>CP664/CL664-1</f>
        <v>-2.1354838709677422</v>
      </c>
      <c r="CR664" s="65">
        <f t="shared" si="1039"/>
        <v>74</v>
      </c>
      <c r="CS664" s="65">
        <f t="shared" si="1039"/>
        <v>103</v>
      </c>
      <c r="CT664" s="65">
        <f t="shared" si="1039"/>
        <v>177</v>
      </c>
      <c r="CU664" s="96">
        <f>CT664/CP664-1</f>
        <v>-2.0056818181818183</v>
      </c>
      <c r="CV664" s="65">
        <f t="shared" si="1040"/>
        <v>101</v>
      </c>
      <c r="CW664" s="65">
        <f t="shared" si="1040"/>
        <v>120</v>
      </c>
      <c r="CX664" s="65">
        <f t="shared" si="1040"/>
        <v>221</v>
      </c>
      <c r="CY664" s="96">
        <f>CX664/CT664-1</f>
        <v>0.24858757062146886</v>
      </c>
      <c r="CZ664" s="65">
        <f t="shared" si="1041"/>
        <v>84</v>
      </c>
      <c r="DA664" s="65">
        <f t="shared" si="1041"/>
        <v>21</v>
      </c>
      <c r="DB664" s="65">
        <f t="shared" si="1041"/>
        <v>105</v>
      </c>
      <c r="DC664" s="96">
        <f>DB664/CX664-1</f>
        <v>-0.52488687782805432</v>
      </c>
      <c r="DD664" s="65">
        <f>DD17</f>
        <v>38</v>
      </c>
      <c r="DE664" s="65">
        <f t="shared" ref="DE664:DF664" si="1044">DE17</f>
        <v>38</v>
      </c>
      <c r="DF664" s="65">
        <f t="shared" si="1044"/>
        <v>76</v>
      </c>
      <c r="DG664" s="96">
        <f>DF664/DB664-1</f>
        <v>-0.27619047619047621</v>
      </c>
      <c r="DH664" s="65">
        <f>DH687</f>
        <v>53.752200000000016</v>
      </c>
      <c r="DI664" s="65">
        <f>DI687</f>
        <v>55.427244000000016</v>
      </c>
      <c r="DJ664" s="65">
        <f>+DI664+DH664</f>
        <v>109.17944400000003</v>
      </c>
      <c r="DK664" s="96">
        <f>DJ664/DF664-1</f>
        <v>0.43657163157894785</v>
      </c>
      <c r="DL664" s="65">
        <f>DL687</f>
        <v>67.135788880000021</v>
      </c>
      <c r="DM664" s="65">
        <f>DM687</f>
        <v>68.878504657600018</v>
      </c>
      <c r="DN664" s="65">
        <f>+DM664+DL664</f>
        <v>136.01429353760005</v>
      </c>
      <c r="DO664" s="96">
        <f>DN664/DJ664-1</f>
        <v>0.24578664769166636</v>
      </c>
      <c r="DP664" s="65">
        <f>DP687</f>
        <v>70.656074750752026</v>
      </c>
      <c r="DQ664" s="65">
        <f>DQ687</f>
        <v>72.469196245767066</v>
      </c>
      <c r="DR664" s="65">
        <f>+DQ664+DP664</f>
        <v>143.12527099651908</v>
      </c>
      <c r="DS664" s="96">
        <f>DR664/DN664-1</f>
        <v>5.2281104242571708E-2</v>
      </c>
      <c r="DT664" s="96"/>
      <c r="DU664" s="96"/>
      <c r="DV664" s="96"/>
    </row>
    <row r="665" spans="1:128" s="20" customFormat="1" ht="13.8">
      <c r="A665" s="59" t="s">
        <v>469</v>
      </c>
      <c r="B665" s="49"/>
      <c r="BH665" s="65">
        <f t="shared" si="1030"/>
        <v>165</v>
      </c>
      <c r="BI665" s="65">
        <f t="shared" si="1030"/>
        <v>134</v>
      </c>
      <c r="BJ665" s="65">
        <f t="shared" si="1030"/>
        <v>299</v>
      </c>
      <c r="BK665" s="49"/>
      <c r="BL665" s="65">
        <f t="shared" si="1031"/>
        <v>138</v>
      </c>
      <c r="BM665" s="65">
        <f t="shared" si="1031"/>
        <v>201</v>
      </c>
      <c r="BN665" s="65">
        <f t="shared" si="1031"/>
        <v>339</v>
      </c>
      <c r="BO665" s="49"/>
      <c r="BP665" s="65">
        <f t="shared" si="1032"/>
        <v>83</v>
      </c>
      <c r="BQ665" s="65">
        <f t="shared" si="1032"/>
        <v>126</v>
      </c>
      <c r="BR665" s="65">
        <f t="shared" si="1032"/>
        <v>209</v>
      </c>
      <c r="BS665" s="96">
        <f>BR665/BN665-1</f>
        <v>-0.38348082595870203</v>
      </c>
      <c r="BT665" s="65">
        <f t="shared" si="1033"/>
        <v>48</v>
      </c>
      <c r="BU665" s="65">
        <f t="shared" si="1033"/>
        <v>186</v>
      </c>
      <c r="BV665" s="65">
        <f t="shared" si="1033"/>
        <v>234</v>
      </c>
      <c r="BW665" s="96">
        <f>BV665/BR665-1</f>
        <v>0.11961722488038284</v>
      </c>
      <c r="BX665" s="65">
        <f t="shared" si="1034"/>
        <v>-24</v>
      </c>
      <c r="BY665" s="65">
        <f t="shared" si="1034"/>
        <v>199</v>
      </c>
      <c r="BZ665" s="65">
        <f t="shared" si="1034"/>
        <v>175</v>
      </c>
      <c r="CA665" s="96">
        <f>BZ665/BV665-1</f>
        <v>-0.25213675213675213</v>
      </c>
      <c r="CB665" s="65">
        <f t="shared" si="1035"/>
        <v>419</v>
      </c>
      <c r="CC665" s="65">
        <f t="shared" si="1035"/>
        <v>245</v>
      </c>
      <c r="CD665" s="65">
        <f t="shared" si="1035"/>
        <v>664</v>
      </c>
      <c r="CE665" s="96">
        <f>CD665/BZ665-1</f>
        <v>2.7942857142857145</v>
      </c>
      <c r="CF665" s="65">
        <f t="shared" si="1036"/>
        <v>361</v>
      </c>
      <c r="CG665" s="65">
        <f t="shared" si="1036"/>
        <v>169</v>
      </c>
      <c r="CH665" s="65">
        <f t="shared" si="1036"/>
        <v>530</v>
      </c>
      <c r="CI665" s="96">
        <f>CH665/CD665-1</f>
        <v>-0.20180722891566261</v>
      </c>
      <c r="CJ665" s="65">
        <f t="shared" si="1037"/>
        <v>-724</v>
      </c>
      <c r="CK665" s="65">
        <f t="shared" si="1037"/>
        <v>95</v>
      </c>
      <c r="CL665" s="65">
        <f t="shared" si="1037"/>
        <v>-629</v>
      </c>
      <c r="CM665" s="96">
        <f>CL665/CH665-1</f>
        <v>-2.186792452830189</v>
      </c>
      <c r="CN665" s="65">
        <f t="shared" si="1038"/>
        <v>-22</v>
      </c>
      <c r="CO665" s="65">
        <f t="shared" si="1038"/>
        <v>181</v>
      </c>
      <c r="CP665" s="65">
        <f t="shared" si="1038"/>
        <v>159</v>
      </c>
      <c r="CQ665" s="96">
        <f>CP665/CL665-1</f>
        <v>-1.2527821939586645</v>
      </c>
      <c r="CR665" s="65">
        <f t="shared" si="1039"/>
        <v>370</v>
      </c>
      <c r="CS665" s="65">
        <f t="shared" si="1039"/>
        <v>219</v>
      </c>
      <c r="CT665" s="65">
        <f t="shared" si="1039"/>
        <v>589</v>
      </c>
      <c r="CU665" s="96">
        <f>CT665/CP665-1</f>
        <v>2.7044025157232703</v>
      </c>
      <c r="CV665" s="65">
        <f t="shared" si="1040"/>
        <v>9</v>
      </c>
      <c r="CW665" s="65">
        <f t="shared" si="1040"/>
        <v>208</v>
      </c>
      <c r="CX665" s="65">
        <f t="shared" si="1040"/>
        <v>217</v>
      </c>
      <c r="CY665" s="96">
        <f>CX665/CT665-1</f>
        <v>-0.63157894736842102</v>
      </c>
      <c r="CZ665" s="65">
        <f t="shared" si="1041"/>
        <v>121</v>
      </c>
      <c r="DA665" s="65">
        <f t="shared" si="1041"/>
        <v>202</v>
      </c>
      <c r="DB665" s="65">
        <f t="shared" si="1041"/>
        <v>323</v>
      </c>
      <c r="DC665" s="96">
        <f>DB665/CX665-1</f>
        <v>0.48847926267281117</v>
      </c>
      <c r="DD665" s="65">
        <f>DD18</f>
        <v>196</v>
      </c>
      <c r="DE665" s="65">
        <f t="shared" ref="DE665:DF665" si="1045">DE18</f>
        <v>-93</v>
      </c>
      <c r="DF665" s="65">
        <f t="shared" si="1045"/>
        <v>103</v>
      </c>
      <c r="DG665" s="96">
        <f>DF665/DB665-1</f>
        <v>-0.68111455108359131</v>
      </c>
      <c r="DH665" s="65">
        <f>DH740</f>
        <v>195.84</v>
      </c>
      <c r="DI665" s="65">
        <f>DI740</f>
        <v>199.7568</v>
      </c>
      <c r="DJ665" s="65">
        <f>+DI665+DH665</f>
        <v>395.59680000000003</v>
      </c>
      <c r="DK665" s="96">
        <f>DJ665/DF665-1</f>
        <v>2.8407456310679615</v>
      </c>
      <c r="DL665" s="65">
        <f>DL740</f>
        <v>203.751936</v>
      </c>
      <c r="DM665" s="65">
        <f>DM740</f>
        <v>207.82697472000001</v>
      </c>
      <c r="DN665" s="65">
        <f>+DM665+DL665</f>
        <v>411.57891072000001</v>
      </c>
      <c r="DO665" s="96">
        <f>DN665/DJ665-1</f>
        <v>4.0399999999999991E-2</v>
      </c>
      <c r="DP665" s="65">
        <f>DP740</f>
        <v>211.9835142144</v>
      </c>
      <c r="DQ665" s="65">
        <f>DQ740</f>
        <v>216.223184498688</v>
      </c>
      <c r="DR665" s="65">
        <f>+DQ665+DP665</f>
        <v>428.20669871308803</v>
      </c>
      <c r="DS665" s="96">
        <f>DR665/DN665-1</f>
        <v>4.0399999999999991E-2</v>
      </c>
      <c r="DT665" s="96"/>
      <c r="DU665" s="96"/>
      <c r="DV665" s="96"/>
    </row>
    <row r="666" spans="1:128" s="20" customFormat="1" ht="13.8">
      <c r="A666" s="60" t="s">
        <v>487</v>
      </c>
      <c r="B666" s="49"/>
      <c r="BH666" s="72">
        <f t="shared" si="1030"/>
        <v>2262</v>
      </c>
      <c r="BI666" s="72">
        <f t="shared" si="1030"/>
        <v>2141</v>
      </c>
      <c r="BJ666" s="72">
        <f t="shared" si="1030"/>
        <v>4403</v>
      </c>
      <c r="BK666" s="49"/>
      <c r="BL666" s="72">
        <f t="shared" si="1031"/>
        <v>2287</v>
      </c>
      <c r="BM666" s="72">
        <f t="shared" si="1031"/>
        <v>2211</v>
      </c>
      <c r="BN666" s="72">
        <f t="shared" si="1031"/>
        <v>4498</v>
      </c>
      <c r="BO666" s="49"/>
      <c r="BP666" s="72">
        <f t="shared" si="1032"/>
        <v>2325</v>
      </c>
      <c r="BQ666" s="72">
        <f t="shared" si="1032"/>
        <v>2092</v>
      </c>
      <c r="BR666" s="72">
        <f t="shared" si="1032"/>
        <v>4417</v>
      </c>
      <c r="BS666" s="97">
        <f>BR666/BN666-1</f>
        <v>-1.8008003557136498E-2</v>
      </c>
      <c r="BT666" s="72">
        <f t="shared" si="1033"/>
        <v>1986</v>
      </c>
      <c r="BU666" s="72">
        <f t="shared" si="1033"/>
        <v>1995</v>
      </c>
      <c r="BV666" s="72">
        <f t="shared" si="1033"/>
        <v>3981</v>
      </c>
      <c r="BW666" s="97">
        <f>BV666/BR666-1</f>
        <v>-9.8709531356124036E-2</v>
      </c>
      <c r="BX666" s="72">
        <f t="shared" si="1034"/>
        <v>2212</v>
      </c>
      <c r="BY666" s="72">
        <f t="shared" si="1034"/>
        <v>2061</v>
      </c>
      <c r="BZ666" s="72">
        <f t="shared" si="1034"/>
        <v>4273</v>
      </c>
      <c r="CA666" s="97">
        <f>BZ666/BV666-1</f>
        <v>7.3348404923386123E-2</v>
      </c>
      <c r="CB666" s="72">
        <f t="shared" si="1035"/>
        <v>2394</v>
      </c>
      <c r="CC666" s="72">
        <f t="shared" si="1035"/>
        <v>2206</v>
      </c>
      <c r="CD666" s="72">
        <f t="shared" si="1035"/>
        <v>4600</v>
      </c>
      <c r="CE666" s="97">
        <f>CD666/BZ666-1</f>
        <v>7.6527030189562417E-2</v>
      </c>
      <c r="CF666" s="72">
        <f t="shared" si="1036"/>
        <v>2377</v>
      </c>
      <c r="CG666" s="72">
        <f t="shared" si="1036"/>
        <v>2194</v>
      </c>
      <c r="CH666" s="72">
        <f t="shared" si="1036"/>
        <v>4571</v>
      </c>
      <c r="CI666" s="97">
        <f>CH666/CD666-1</f>
        <v>-6.304347826086909E-3</v>
      </c>
      <c r="CJ666" s="72">
        <f t="shared" si="1037"/>
        <v>1310</v>
      </c>
      <c r="CK666" s="72">
        <f t="shared" si="1037"/>
        <v>2315</v>
      </c>
      <c r="CL666" s="72">
        <f t="shared" si="1037"/>
        <v>3625</v>
      </c>
      <c r="CM666" s="97">
        <f>CL666/CH666-1</f>
        <v>-0.20695690220958218</v>
      </c>
      <c r="CN666" s="72">
        <f t="shared" si="1038"/>
        <v>1385</v>
      </c>
      <c r="CO666" s="72">
        <f t="shared" si="1038"/>
        <v>1791</v>
      </c>
      <c r="CP666" s="72">
        <f t="shared" si="1038"/>
        <v>3176</v>
      </c>
      <c r="CQ666" s="97">
        <f>CP666/CL666-1</f>
        <v>-0.12386206896551721</v>
      </c>
      <c r="CR666" s="72">
        <f t="shared" si="1039"/>
        <v>1793</v>
      </c>
      <c r="CS666" s="72">
        <f t="shared" si="1039"/>
        <v>1740</v>
      </c>
      <c r="CT666" s="72">
        <f t="shared" si="1039"/>
        <v>3533</v>
      </c>
      <c r="CU666" s="97">
        <f>CT666/CP666-1</f>
        <v>0.1124055415617129</v>
      </c>
      <c r="CV666" s="72">
        <f t="shared" si="1040"/>
        <v>1985</v>
      </c>
      <c r="CW666" s="72">
        <f t="shared" si="1040"/>
        <v>2238</v>
      </c>
      <c r="CX666" s="72">
        <f t="shared" si="1040"/>
        <v>4223</v>
      </c>
      <c r="CY666" s="97">
        <f>CX666/CT666-1</f>
        <v>0.19530144353240875</v>
      </c>
      <c r="CZ666" s="72">
        <f t="shared" si="1041"/>
        <v>2400</v>
      </c>
      <c r="DA666" s="72">
        <f t="shared" si="1041"/>
        <v>2218</v>
      </c>
      <c r="DB666" s="72">
        <f t="shared" si="1041"/>
        <v>4618</v>
      </c>
      <c r="DC666" s="97">
        <f>DB666/CX666-1</f>
        <v>9.3535401373431304E-2</v>
      </c>
      <c r="DD666" s="72">
        <f>DD19</f>
        <v>2080</v>
      </c>
      <c r="DE666" s="72">
        <f t="shared" ref="DE666:DF666" si="1046">DE19</f>
        <v>1763</v>
      </c>
      <c r="DF666" s="72">
        <f t="shared" si="1046"/>
        <v>3843</v>
      </c>
      <c r="DG666" s="97">
        <f>DF666/DB666-1</f>
        <v>-0.16782156777825896</v>
      </c>
      <c r="DH666" s="72">
        <f>SUM(DH662:DH665)</f>
        <v>2054.4722000000002</v>
      </c>
      <c r="DI666" s="72">
        <f>SUM(DI662:DI665)</f>
        <v>2018.7012439999999</v>
      </c>
      <c r="DJ666" s="72">
        <f>+DI666+DH666</f>
        <v>4073.173444</v>
      </c>
      <c r="DK666" s="97">
        <f>DJ666/DF666-1</f>
        <v>5.9894208691126716E-2</v>
      </c>
      <c r="DL666" s="72">
        <f>SUM(DL662:DL665)</f>
        <v>2117.9016368799998</v>
      </c>
      <c r="DM666" s="72">
        <f>SUM(DM662:DM665)</f>
        <v>2080.4365140976001</v>
      </c>
      <c r="DN666" s="72">
        <f>+DM666+DL666</f>
        <v>4198.3381509776</v>
      </c>
      <c r="DO666" s="97">
        <f>DN666/DJ666-1</f>
        <v>3.0729039334667752E-2</v>
      </c>
      <c r="DP666" s="72">
        <f>SUM(DP662:DP665)</f>
        <v>2172.8377002963521</v>
      </c>
      <c r="DQ666" s="72">
        <f>SUM(DQ662:DQ665)</f>
        <v>2133.6179425155274</v>
      </c>
      <c r="DR666" s="72">
        <f>+DQ666+DP666</f>
        <v>4306.4556428118794</v>
      </c>
      <c r="DS666" s="97">
        <f>DR666/DN666-1</f>
        <v>2.5752449647035602E-2</v>
      </c>
      <c r="DT666" s="97"/>
      <c r="DU666" s="97"/>
      <c r="DV666" s="97"/>
    </row>
    <row r="667" spans="1:128" s="20" customFormat="1" ht="13.8">
      <c r="A667" s="78" t="s">
        <v>217</v>
      </c>
      <c r="B667" s="49"/>
      <c r="BH667" s="49"/>
      <c r="BI667" s="49"/>
      <c r="BJ667" s="49"/>
      <c r="BK667" s="49"/>
      <c r="BL667" s="49"/>
      <c r="BM667" s="65"/>
      <c r="BN667" s="49"/>
      <c r="BO667" s="49"/>
      <c r="BP667" s="68"/>
      <c r="BQ667" s="65"/>
      <c r="BR667" s="49"/>
      <c r="BT667" s="68"/>
      <c r="BU667" s="65"/>
      <c r="BV667" s="49"/>
      <c r="BX667" s="68"/>
      <c r="BY667" s="65"/>
      <c r="BZ667" s="49"/>
      <c r="CB667" s="68"/>
      <c r="CC667" s="65"/>
      <c r="CD667" s="49"/>
      <c r="CF667" s="49"/>
      <c r="CG667" s="65"/>
      <c r="CH667" s="49"/>
      <c r="CJ667" s="49"/>
      <c r="CK667" s="65"/>
      <c r="CL667" s="49"/>
      <c r="CN667" s="49"/>
      <c r="CO667" s="65"/>
      <c r="CP667" s="49"/>
      <c r="CR667" s="49"/>
      <c r="CS667" s="49"/>
      <c r="CV667" s="49"/>
      <c r="CW667" s="49"/>
      <c r="CZ667" s="49"/>
      <c r="DA667" s="49"/>
      <c r="DD667" s="49"/>
      <c r="DE667" s="49"/>
      <c r="DH667" s="49"/>
      <c r="DI667" s="49"/>
      <c r="DL667" s="49"/>
      <c r="DM667" s="49"/>
      <c r="DP667" s="49"/>
      <c r="DQ667" s="49"/>
    </row>
    <row r="668" spans="1:128" s="20" customFormat="1" ht="13.8">
      <c r="A668" s="335" t="str">
        <f>A662</f>
        <v>Fee income (excl Global Markets)</v>
      </c>
      <c r="B668" s="430"/>
      <c r="C668" s="325"/>
      <c r="D668" s="325"/>
      <c r="E668" s="325"/>
      <c r="F668" s="325"/>
      <c r="G668" s="325"/>
      <c r="H668" s="325"/>
      <c r="I668" s="325"/>
      <c r="J668" s="325"/>
      <c r="K668" s="325"/>
      <c r="L668" s="325"/>
      <c r="M668" s="325"/>
      <c r="N668" s="325"/>
      <c r="O668" s="325"/>
      <c r="P668" s="325"/>
      <c r="Q668" s="325"/>
      <c r="R668" s="325"/>
      <c r="S668" s="325"/>
      <c r="T668" s="325"/>
      <c r="U668" s="325"/>
      <c r="V668" s="325"/>
      <c r="W668" s="325"/>
      <c r="X668" s="325"/>
      <c r="Y668" s="325"/>
      <c r="Z668" s="325"/>
      <c r="AA668" s="325"/>
      <c r="AB668" s="325"/>
      <c r="AC668" s="325"/>
      <c r="AD668" s="325"/>
      <c r="AE668" s="325"/>
      <c r="AF668" s="325"/>
      <c r="AG668" s="325"/>
      <c r="AH668" s="325"/>
      <c r="AI668" s="325"/>
      <c r="AJ668" s="325"/>
      <c r="AK668" s="325"/>
      <c r="AL668" s="325"/>
      <c r="AM668" s="325"/>
      <c r="AN668" s="325"/>
      <c r="AO668" s="325"/>
      <c r="AP668" s="325"/>
      <c r="AQ668" s="325"/>
      <c r="AR668" s="325"/>
      <c r="AS668" s="325"/>
      <c r="AT668" s="325"/>
      <c r="AU668" s="325"/>
      <c r="AV668" s="325"/>
      <c r="AW668" s="325"/>
      <c r="AX668" s="325"/>
      <c r="AY668" s="325"/>
      <c r="AZ668" s="325"/>
      <c r="BA668" s="325"/>
      <c r="BB668" s="325"/>
      <c r="BC668" s="325"/>
      <c r="BD668" s="325"/>
      <c r="BE668" s="325"/>
      <c r="BF668" s="325"/>
      <c r="BG668" s="325"/>
      <c r="BH668" s="324"/>
      <c r="BI668" s="345">
        <f>+BI662/BH662-1</f>
        <v>2.2707423580786035E-2</v>
      </c>
      <c r="BJ668" s="324"/>
      <c r="BK668" s="324"/>
      <c r="BL668" s="345">
        <f>+BL662/BI662-1</f>
        <v>1.2809564474807855E-2</v>
      </c>
      <c r="BM668" s="345">
        <f>+BM662/BL662-1</f>
        <v>-6.7453625632377667E-3</v>
      </c>
      <c r="BN668" s="324"/>
      <c r="BO668" s="324"/>
      <c r="BP668" s="345">
        <f>+BP662/BM662-1</f>
        <v>6.366723259762308E-2</v>
      </c>
      <c r="BQ668" s="345">
        <f>+BQ662/BP662-1</f>
        <v>1.1173184357541999E-2</v>
      </c>
      <c r="BR668" s="324"/>
      <c r="BS668" s="325"/>
      <c r="BT668" s="345">
        <f>+BT662/BQ662-1</f>
        <v>-2.4467245461720633E-2</v>
      </c>
      <c r="BU668" s="345">
        <f>+BU662/BT662-1</f>
        <v>-2.8317152103559895E-2</v>
      </c>
      <c r="BV668" s="324"/>
      <c r="BW668" s="325"/>
      <c r="BX668" s="345">
        <f>+BX662/BU662-1</f>
        <v>-1.9983347210657754E-2</v>
      </c>
      <c r="BY668" s="345">
        <f>+BY662/BX662-1</f>
        <v>6.7969413763806497E-3</v>
      </c>
      <c r="BZ668" s="324"/>
      <c r="CA668" s="325"/>
      <c r="CB668" s="345">
        <f>+CB662/BY662-1</f>
        <v>0.12658227848101267</v>
      </c>
      <c r="CC668" s="345">
        <f>+CC662/CB662-1</f>
        <v>-3.4456928838951351E-2</v>
      </c>
      <c r="CD668" s="324"/>
      <c r="CE668" s="325"/>
      <c r="CF668" s="345">
        <f>+CF662/CC662-1</f>
        <v>-5.508145849495738E-2</v>
      </c>
      <c r="CG668" s="345">
        <f>+CG662/CF662-1</f>
        <v>4.6798029556650356E-2</v>
      </c>
      <c r="CH668" s="324"/>
      <c r="CI668" s="325"/>
      <c r="CJ668" s="345">
        <f>+CJ662/CG662-1</f>
        <v>-0.1098039215686275</v>
      </c>
      <c r="CK668" s="345">
        <f>+CK662/CJ662-1</f>
        <v>-4.8458149779735726E-2</v>
      </c>
      <c r="CL668" s="324"/>
      <c r="CM668" s="325"/>
      <c r="CN668" s="345">
        <f>+CN662/CK662-1</f>
        <v>-6.3888888888888884E-2</v>
      </c>
      <c r="CO668" s="345">
        <f>+CO662/CN662-1</f>
        <v>4.0553907022749858E-2</v>
      </c>
      <c r="CP668" s="324"/>
      <c r="CQ668" s="325"/>
      <c r="CR668" s="345">
        <f>+CR662/CO662-1</f>
        <v>-9.4106463878326996E-2</v>
      </c>
      <c r="CS668" s="345">
        <f>+CS662/CR662-1</f>
        <v>1.0493179433368471E-3</v>
      </c>
      <c r="CT668" s="324"/>
      <c r="CU668" s="325"/>
      <c r="CV668" s="345">
        <f>+CV662/CS662-1</f>
        <v>-6.7085953878406657E-2</v>
      </c>
      <c r="CW668" s="345">
        <f>+CW662/CV662-1</f>
        <v>9.2134831460674249E-2</v>
      </c>
      <c r="CX668" s="324"/>
      <c r="CY668" s="325"/>
      <c r="CZ668" s="345">
        <f>+CZ662/CW662-1</f>
        <v>-5.4526748971193362E-2</v>
      </c>
      <c r="DA668" s="345">
        <f>+DA662/CZ662-1</f>
        <v>4.0261153427638696E-2</v>
      </c>
      <c r="DB668" s="324"/>
      <c r="DC668" s="325"/>
      <c r="DD668" s="345">
        <f>+DD662/DA662-1</f>
        <v>-0.10564853556485354</v>
      </c>
      <c r="DE668" s="345">
        <f>+DE662/DD662-1</f>
        <v>0.1087719298245613</v>
      </c>
      <c r="DF668" s="324"/>
      <c r="DG668" s="325"/>
      <c r="DH668" s="1294">
        <v>-0.06</v>
      </c>
      <c r="DI668" s="1294">
        <v>0.06</v>
      </c>
      <c r="DJ668" s="325"/>
      <c r="DK668" s="325"/>
      <c r="DL668" s="1294">
        <v>-0.04</v>
      </c>
      <c r="DM668" s="1294">
        <v>0.06</v>
      </c>
      <c r="DN668" s="325"/>
      <c r="DO668" s="325"/>
      <c r="DP668" s="1294">
        <v>-0.04</v>
      </c>
      <c r="DQ668" s="1294">
        <v>0.06</v>
      </c>
      <c r="DR668" s="325"/>
      <c r="DS668" s="325"/>
      <c r="DT668" s="325"/>
      <c r="DU668" s="325"/>
      <c r="DV668" s="325"/>
    </row>
    <row r="669" spans="1:128" s="20" customFormat="1" ht="13.8">
      <c r="A669" s="47" t="str">
        <f>+A663</f>
        <v>Global Markets and other operating income</v>
      </c>
      <c r="B669" s="420"/>
      <c r="BH669" s="49"/>
      <c r="BI669" s="96">
        <f>+BI663/BH663-1</f>
        <v>-0.23687752355316283</v>
      </c>
      <c r="BJ669" s="49"/>
      <c r="BK669" s="49"/>
      <c r="BL669" s="96">
        <f>+BL663/BI663-1</f>
        <v>0.26984126984126977</v>
      </c>
      <c r="BM669" s="96">
        <f>+BM663/BL663-1</f>
        <v>-0.21527777777777779</v>
      </c>
      <c r="BN669" s="49"/>
      <c r="BO669" s="49"/>
      <c r="BP669" s="96">
        <f>+BP663/BM663-1</f>
        <v>0.19469026548672574</v>
      </c>
      <c r="BQ669" s="96">
        <f>+BQ663/BP663-1</f>
        <v>-0.42518518518518522</v>
      </c>
      <c r="BR669" s="49"/>
      <c r="BT669" s="96">
        <f>+BT663/BQ663-1</f>
        <v>3.3505154639175361E-2</v>
      </c>
      <c r="BU669" s="96">
        <f>+BU663/BT663-1</f>
        <v>-8.9775561097256817E-2</v>
      </c>
      <c r="BV669" s="49"/>
      <c r="BX669" s="96">
        <f>+BX663/BU663-1</f>
        <v>1.4273972602739726</v>
      </c>
      <c r="BY669" s="96">
        <f>+BY663/BX663-1</f>
        <v>-0.37923250564334088</v>
      </c>
      <c r="BZ669" s="49"/>
      <c r="CB669" s="96">
        <f>+CB663/BY663-1</f>
        <v>3.6363636363636598E-3</v>
      </c>
      <c r="CC669" s="96">
        <f>+CC663/CB663-1</f>
        <v>4.5289855072463858E-2</v>
      </c>
      <c r="CD669" s="49"/>
      <c r="CF669" s="96">
        <f>+CF663/CC663-1</f>
        <v>0.15597920277296362</v>
      </c>
      <c r="CG669" s="96">
        <f>+CG663/CF663-1</f>
        <v>-7.1964017991004492E-2</v>
      </c>
      <c r="CH669" s="49"/>
      <c r="CJ669" s="96">
        <f>+CJ663/CG663-1</f>
        <v>0.23424878836833596</v>
      </c>
      <c r="CK669" s="96">
        <f>+CK663/CJ663-1</f>
        <v>0.46596858638743455</v>
      </c>
      <c r="CL669" s="49"/>
      <c r="CN669" s="96">
        <f>+CN663/CK663-1</f>
        <v>-0.43035714285714288</v>
      </c>
      <c r="CO669" s="96">
        <f>+CO663/CN663-1</f>
        <v>-0.2288401253918495</v>
      </c>
      <c r="CP669" s="49"/>
      <c r="CR669" s="96">
        <f>+CR663/CO663-1</f>
        <v>-0.19512195121951215</v>
      </c>
      <c r="CS669" s="96">
        <f>+CS663/CR663-1</f>
        <v>0.17171717171717171</v>
      </c>
      <c r="CT669" s="49"/>
      <c r="CV669" s="96">
        <f>+CV663/CS663-1</f>
        <v>1.1228448275862069</v>
      </c>
      <c r="CW669" s="96">
        <f>+CW663/CV663-1</f>
        <v>-4.7715736040609191E-2</v>
      </c>
      <c r="CX669" s="49"/>
      <c r="CZ669" s="96">
        <f>+CZ663/CW663-1</f>
        <v>0.36034115138592759</v>
      </c>
      <c r="DA669" s="96">
        <f>+DA663/CZ663-1</f>
        <v>-0.18573667711598751</v>
      </c>
      <c r="DB669" s="49"/>
      <c r="DD669" s="96">
        <f>+DD663/DA663-1</f>
        <v>-4.6198267564966367E-2</v>
      </c>
      <c r="DE669" s="96">
        <f>+DE663/DD663-1</f>
        <v>-0.12209889001009078</v>
      </c>
      <c r="DF669" s="49"/>
      <c r="DH669" s="96">
        <f>+DH663/DE663-1</f>
        <v>5.0298850574712617E-2</v>
      </c>
      <c r="DI669" s="96">
        <f>+DI663/DH663-1</f>
        <v>-0.10377998599194538</v>
      </c>
      <c r="DL669" s="96">
        <f>+DL663/DI663-1</f>
        <v>0.14809593005507193</v>
      </c>
      <c r="DM669" s="96">
        <f>+DM663/DL663-1</f>
        <v>-0.10390346754374713</v>
      </c>
      <c r="DP669" s="96">
        <f>+DP663/DM663-1</f>
        <v>0.14826435863590515</v>
      </c>
      <c r="DQ669" s="96">
        <f>+DQ663/DP663-1</f>
        <v>-0.10402599967232506</v>
      </c>
    </row>
    <row r="670" spans="1:128" s="20" customFormat="1" ht="13.8">
      <c r="A670" s="47" t="str">
        <f>+A664</f>
        <v>Asian Partnerships</v>
      </c>
      <c r="B670" s="420"/>
      <c r="BH670" s="49"/>
      <c r="BI670" s="96">
        <f>+BI664/BH664-1</f>
        <v>0.2870813397129186</v>
      </c>
      <c r="BJ670" s="49"/>
      <c r="BK670" s="49"/>
      <c r="BL670" s="96">
        <f>+BL664/BI664-1</f>
        <v>-9.6654275092936781E-2</v>
      </c>
      <c r="BM670" s="96">
        <f>+BM664/BL664-1</f>
        <v>9.8765432098765427E-2</v>
      </c>
      <c r="BN670" s="49"/>
      <c r="BO670" s="49"/>
      <c r="BP670" s="96">
        <f>+BP664/BM664-1</f>
        <v>0.17602996254681647</v>
      </c>
      <c r="BQ670" s="96">
        <f>+BQ664/BP664-1</f>
        <v>-9.5541401273885329E-3</v>
      </c>
      <c r="BR670" s="49"/>
      <c r="BT670" s="96">
        <f>+BT664/BQ664-1</f>
        <v>-3.2154340836012874E-2</v>
      </c>
      <c r="BU670" s="96">
        <f>+BU664/BT664-1</f>
        <v>-0.19269102990033227</v>
      </c>
      <c r="BV670" s="49"/>
      <c r="BX670" s="96">
        <f>+BX664/BU664-1</f>
        <v>-0.2880658436213992</v>
      </c>
      <c r="BY670" s="96">
        <f>+BY664/BX664-1</f>
        <v>-0.26589595375722541</v>
      </c>
      <c r="BZ670" s="49"/>
      <c r="CB670" s="96">
        <f>+CB664/BY664-1</f>
        <v>-0.30708661417322836</v>
      </c>
      <c r="CC670" s="96">
        <f>+CC664/CB664-1</f>
        <v>7.9545454545454586E-2</v>
      </c>
      <c r="CD670" s="49"/>
      <c r="CF670" s="96">
        <f>+CF664/CC664-1</f>
        <v>0.3789473684210527</v>
      </c>
      <c r="CG670" s="96">
        <f>+CG664/CF664-1</f>
        <v>0</v>
      </c>
      <c r="CH670" s="49"/>
      <c r="CJ670" s="96">
        <f>+CJ664/CG664-1</f>
        <v>3.0534351145038219E-2</v>
      </c>
      <c r="CK670" s="96">
        <f>+CK664/CJ664-1</f>
        <v>-0.85185185185185186</v>
      </c>
      <c r="CL670" s="49"/>
      <c r="CN670" s="96">
        <f>+CN664/CK664-1</f>
        <v>-13.1</v>
      </c>
      <c r="CO670" s="96">
        <f>+CO664/CN664-1</f>
        <v>-1.2727272727272727</v>
      </c>
      <c r="CP670" s="49"/>
      <c r="CR670" s="96">
        <f>+CR664/CO664-1</f>
        <v>0.1212121212121211</v>
      </c>
      <c r="CS670" s="96">
        <f>+CS664/CR664-1</f>
        <v>0.39189189189189189</v>
      </c>
      <c r="CT670" s="49"/>
      <c r="CV670" s="96">
        <f>+CV664/CS664-1</f>
        <v>-1.9417475728155331E-2</v>
      </c>
      <c r="CW670" s="96">
        <f>+CW664/CV664-1</f>
        <v>0.18811881188118806</v>
      </c>
      <c r="CX670" s="49"/>
      <c r="CZ670" s="96">
        <f>+CZ664/CW664-1</f>
        <v>-0.30000000000000004</v>
      </c>
      <c r="DA670" s="96">
        <f>+DA664/CZ664-1</f>
        <v>-0.75</v>
      </c>
      <c r="DB670" s="49"/>
      <c r="DD670" s="96">
        <f>+DD664/DA664-1</f>
        <v>0.80952380952380953</v>
      </c>
      <c r="DE670" s="96">
        <f>+DE664/DD664-1</f>
        <v>0</v>
      </c>
      <c r="DF670" s="49"/>
      <c r="DH670" s="96">
        <f>+DH664/DE664-1</f>
        <v>0.41453157894736892</v>
      </c>
      <c r="DI670" s="96">
        <f>+DI664/DH664-1</f>
        <v>3.1162333820755173E-2</v>
      </c>
      <c r="DL670" s="96">
        <f>+DL664/DI664-1</f>
        <v>0.21124169334488285</v>
      </c>
      <c r="DM670" s="96">
        <f>+DM664/DL664-1</f>
        <v>2.5958074026879441E-2</v>
      </c>
      <c r="DP670" s="96">
        <f>+DP664/DM664-1</f>
        <v>2.5807327002646652E-2</v>
      </c>
      <c r="DQ670" s="96">
        <f>+DQ664/DP664-1</f>
        <v>2.5661225894745066E-2</v>
      </c>
    </row>
    <row r="671" spans="1:128" s="325" customFormat="1" ht="13.8">
      <c r="A671" s="335" t="str">
        <f>+A665</f>
        <v>Other &amp; FX Income (excl Global Markets)</v>
      </c>
      <c r="B671" s="430"/>
      <c r="BH671" s="324"/>
      <c r="BI671" s="345">
        <f>+BI665/BH665-1</f>
        <v>-0.18787878787878787</v>
      </c>
      <c r="BJ671" s="324"/>
      <c r="BK671" s="324"/>
      <c r="BL671" s="345">
        <f>+BL665/BI665-1</f>
        <v>2.9850746268656803E-2</v>
      </c>
      <c r="BM671" s="345">
        <f>+BM665/BL665-1</f>
        <v>0.45652173913043481</v>
      </c>
      <c r="BN671" s="324"/>
      <c r="BO671" s="324"/>
      <c r="BP671" s="345">
        <f>+BP665/BM665-1</f>
        <v>-0.58706467661691542</v>
      </c>
      <c r="BQ671" s="345">
        <f>+BQ665/BP665-1</f>
        <v>0.51807228915662651</v>
      </c>
      <c r="BR671" s="324"/>
      <c r="BT671" s="345">
        <f>+BT665/BQ665-1</f>
        <v>-0.61904761904761907</v>
      </c>
      <c r="BU671" s="345">
        <f>+BU665/BT665-1</f>
        <v>2.875</v>
      </c>
      <c r="BV671" s="324"/>
      <c r="BX671" s="345">
        <f>+BX665/BU665-1</f>
        <v>-1.129032258064516</v>
      </c>
      <c r="BY671" s="345">
        <f>+BY665/BX665-1</f>
        <v>-9.2916666666666661</v>
      </c>
      <c r="BZ671" s="324"/>
      <c r="CB671" s="345">
        <f>+CB665/BY665-1</f>
        <v>1.1055276381909547</v>
      </c>
      <c r="CC671" s="345">
        <f>+CC665/CB665-1</f>
        <v>-0.41527446300715987</v>
      </c>
      <c r="CD671" s="324"/>
      <c r="CF671" s="345">
        <f>+CF665/CC665-1</f>
        <v>0.47346938775510194</v>
      </c>
      <c r="CG671" s="345">
        <f>+CG665/CF665-1</f>
        <v>-0.53185595567867039</v>
      </c>
      <c r="CH671" s="324"/>
      <c r="CJ671" s="345">
        <f>+CJ665/CG665-1</f>
        <v>-5.2840236686390529</v>
      </c>
      <c r="CK671" s="345">
        <f>+CK665/CJ665-1</f>
        <v>-1.1312154696132597</v>
      </c>
      <c r="CL671" s="324"/>
      <c r="CN671" s="345">
        <f>+CN665/CK665-1</f>
        <v>-1.2315789473684211</v>
      </c>
      <c r="CO671" s="345">
        <f>+CO665/CN665-1</f>
        <v>-9.2272727272727266</v>
      </c>
      <c r="CP671" s="324"/>
      <c r="CR671" s="345">
        <f>+CR665/CO665-1</f>
        <v>1.0441988950276242</v>
      </c>
      <c r="CS671" s="345">
        <f>+CS665/CR665-1</f>
        <v>-0.40810810810810816</v>
      </c>
      <c r="CT671" s="324"/>
      <c r="CV671" s="345">
        <f>+CV665/CS665-1</f>
        <v>-0.95890410958904115</v>
      </c>
      <c r="CW671" s="345">
        <f>+CW665/CV665-1</f>
        <v>22.111111111111111</v>
      </c>
      <c r="CX671" s="324"/>
      <c r="CZ671" s="345">
        <f>+CZ665/CW665-1</f>
        <v>-0.41826923076923073</v>
      </c>
      <c r="DA671" s="345">
        <f>+DA665/CZ665-1</f>
        <v>0.66942148760330578</v>
      </c>
      <c r="DB671" s="324"/>
      <c r="DD671" s="345">
        <f>+DD665/DA665-1</f>
        <v>-2.9702970297029729E-2</v>
      </c>
      <c r="DE671" s="345">
        <f>+DE665/DD665-1</f>
        <v>-1.4744897959183674</v>
      </c>
      <c r="DF671" s="324"/>
      <c r="DH671" s="345">
        <f>+DH665/DE665-1</f>
        <v>-3.1058064516129034</v>
      </c>
      <c r="DI671" s="345">
        <f>+DI665/DH665-1</f>
        <v>2.0000000000000018E-2</v>
      </c>
      <c r="DL671" s="345">
        <f>+DL665/DI665-1</f>
        <v>2.0000000000000018E-2</v>
      </c>
      <c r="DM671" s="345">
        <f>+DM665/DL665-1</f>
        <v>2.0000000000000018E-2</v>
      </c>
      <c r="DP671" s="345">
        <f>+DP665/DM665-1</f>
        <v>2.0000000000000018E-2</v>
      </c>
      <c r="DQ671" s="345">
        <f>+DQ665/DP665-1</f>
        <v>2.0000000000000018E-2</v>
      </c>
      <c r="DW671" s="20"/>
      <c r="DX671" s="20"/>
    </row>
    <row r="672" spans="1:128" s="20" customFormat="1" ht="13.8">
      <c r="A672" s="78" t="str">
        <f>+A666</f>
        <v>Banking Non Interest Income</v>
      </c>
      <c r="B672" s="49"/>
      <c r="BH672" s="49"/>
      <c r="BI672" s="97">
        <f>+BI666/BH666-1</f>
        <v>-5.349248452696731E-2</v>
      </c>
      <c r="BJ672" s="49"/>
      <c r="BK672" s="49"/>
      <c r="BL672" s="97">
        <f>+BL666/BI666-1</f>
        <v>6.8192433442316736E-2</v>
      </c>
      <c r="BM672" s="97">
        <f>+BM666/BL666-1</f>
        <v>-3.3231307389593345E-2</v>
      </c>
      <c r="BN672" s="49"/>
      <c r="BO672" s="49"/>
      <c r="BP672" s="97">
        <f>+BP666/BM666-1</f>
        <v>5.1560379918588861E-2</v>
      </c>
      <c r="BQ672" s="97">
        <f>+BQ666/BP666-1</f>
        <v>-0.10021505376344086</v>
      </c>
      <c r="BR672" s="49"/>
      <c r="BT672" s="97">
        <f>+BT666/BQ666-1</f>
        <v>-5.0669216061185463E-2</v>
      </c>
      <c r="BU672" s="97">
        <f>+BU666/BT666-1</f>
        <v>4.5317220543805714E-3</v>
      </c>
      <c r="BV672" s="49"/>
      <c r="BX672" s="97">
        <f>+BX666/BU666-1</f>
        <v>0.1087719298245613</v>
      </c>
      <c r="BY672" s="97">
        <f>+BY666/BX666-1</f>
        <v>-6.8264014466546064E-2</v>
      </c>
      <c r="BZ672" s="49"/>
      <c r="CB672" s="97">
        <f>+CB666/BY666-1</f>
        <v>0.16157205240174677</v>
      </c>
      <c r="CC672" s="97">
        <f>+CC666/CB666-1</f>
        <v>-7.8529657477025894E-2</v>
      </c>
      <c r="CD672" s="49"/>
      <c r="CF672" s="97">
        <f>+CF666/CC666-1</f>
        <v>7.7515865820489527E-2</v>
      </c>
      <c r="CG672" s="97">
        <f>+CG666/CF666-1</f>
        <v>-7.6987799747580965E-2</v>
      </c>
      <c r="CH672" s="49"/>
      <c r="CJ672" s="97">
        <f>+CJ666/CG666-1</f>
        <v>-0.40291704649042848</v>
      </c>
      <c r="CK672" s="97">
        <f>+CK666/CJ666-1</f>
        <v>0.76717557251908386</v>
      </c>
      <c r="CL672" s="49"/>
      <c r="CN672" s="97">
        <f>+CN666/CK666-1</f>
        <v>-0.40172786177105835</v>
      </c>
      <c r="CO672" s="97">
        <f>+CO666/CN666-1</f>
        <v>0.29314079422382666</v>
      </c>
      <c r="CP672" s="49"/>
      <c r="CR672" s="97">
        <f>+CR666/CO666-1</f>
        <v>1.116694584031297E-3</v>
      </c>
      <c r="CS672" s="97">
        <f>+CS666/CR666-1</f>
        <v>-2.9559397657557218E-2</v>
      </c>
      <c r="CT672" s="49"/>
      <c r="CV672" s="97">
        <f>+CV666/CS666-1</f>
        <v>0.14080459770114939</v>
      </c>
      <c r="CW672" s="97">
        <f>+CW666/CV666-1</f>
        <v>0.12745591939546608</v>
      </c>
      <c r="CX672" s="49"/>
      <c r="CZ672" s="97">
        <f>+CZ666/CW666-1</f>
        <v>7.2386058981233292E-2</v>
      </c>
      <c r="DA672" s="97">
        <f>+DA666/CZ666-1</f>
        <v>-7.5833333333333308E-2</v>
      </c>
      <c r="DB672" s="49"/>
      <c r="DD672" s="97">
        <f>+DD666/DA666-1</f>
        <v>-6.2218214607754785E-2</v>
      </c>
      <c r="DE672" s="97">
        <f>+DE666/DD666-1</f>
        <v>-0.15240384615384617</v>
      </c>
      <c r="DF672" s="49"/>
      <c r="DH672" s="97">
        <f>+DH666/DE666-1</f>
        <v>0.16532739648326733</v>
      </c>
      <c r="DI672" s="97">
        <f>+DI666/DH666-1</f>
        <v>-1.7411263097159568E-2</v>
      </c>
      <c r="DL672" s="97">
        <f>+DL666/DI666-1</f>
        <v>4.9140700326432141E-2</v>
      </c>
      <c r="DM672" s="97">
        <f>+DM666/DL666-1</f>
        <v>-1.7689736921678634E-2</v>
      </c>
      <c r="DP672" s="97">
        <f>+DP666/DM666-1</f>
        <v>4.4414326307299801E-2</v>
      </c>
      <c r="DQ672" s="97">
        <f>+DQ666/DP666-1</f>
        <v>-1.8050017162108078E-2</v>
      </c>
    </row>
    <row r="673" spans="1:126" s="20" customFormat="1" ht="13.8">
      <c r="B673" s="49"/>
      <c r="BH673" s="49"/>
      <c r="BI673" s="49"/>
      <c r="BJ673" s="49"/>
      <c r="BK673" s="49"/>
      <c r="BL673" s="49"/>
      <c r="BM673" s="49"/>
      <c r="BN673" s="49"/>
      <c r="BO673" s="49"/>
      <c r="BP673" s="56"/>
      <c r="BQ673" s="49"/>
      <c r="BR673" s="49"/>
      <c r="BT673" s="56"/>
      <c r="BU673" s="49"/>
      <c r="BV673" s="49"/>
      <c r="BX673" s="56"/>
      <c r="BY673" s="49"/>
      <c r="BZ673" s="49"/>
      <c r="CB673" s="56"/>
      <c r="CC673" s="49"/>
      <c r="CD673" s="49"/>
      <c r="CF673" s="49"/>
      <c r="CG673" s="49"/>
      <c r="CH673" s="49"/>
      <c r="CJ673" s="49"/>
      <c r="CM673" s="49"/>
      <c r="CN673" s="49"/>
      <c r="CR673" s="49"/>
      <c r="CV673" s="49"/>
      <c r="CZ673" s="49"/>
      <c r="DD673" s="49"/>
      <c r="DH673" s="49"/>
      <c r="DL673" s="49"/>
      <c r="DP673" s="49"/>
    </row>
    <row r="674" spans="1:126" s="20" customFormat="1" ht="13.8">
      <c r="A674" s="20" t="s">
        <v>343</v>
      </c>
      <c r="B674" s="49"/>
      <c r="BH674" s="49"/>
      <c r="BI674" s="49"/>
      <c r="BJ674" s="49"/>
      <c r="BK674" s="49"/>
      <c r="BL674" s="49"/>
      <c r="BM674" s="49"/>
      <c r="BN674" s="49"/>
      <c r="BO674" s="49"/>
      <c r="BP674" s="56"/>
      <c r="BQ674" s="49"/>
      <c r="BR674" s="49"/>
      <c r="BT674" s="56"/>
      <c r="BU674" s="49"/>
      <c r="BV674" s="49"/>
      <c r="BX674" s="56"/>
      <c r="BY674" s="49"/>
      <c r="BZ674" s="49"/>
      <c r="CB674" s="56"/>
      <c r="CC674" s="49"/>
      <c r="CD674" s="49"/>
      <c r="CF674" s="49"/>
      <c r="CG674" s="49"/>
      <c r="CH674" s="49"/>
      <c r="CJ674" s="49"/>
      <c r="CM674" s="49"/>
      <c r="CN674" s="65">
        <f t="shared" ref="CN674:CO674" si="1047">CN662</f>
        <v>1011</v>
      </c>
      <c r="CO674" s="65">
        <f t="shared" si="1047"/>
        <v>1052</v>
      </c>
      <c r="CP674" s="65">
        <f>+CO674+CN674</f>
        <v>2063</v>
      </c>
      <c r="CR674" s="65">
        <f>CR662</f>
        <v>953</v>
      </c>
      <c r="CS674" s="65">
        <f t="shared" ref="CS674" si="1048">CS662</f>
        <v>954</v>
      </c>
      <c r="CT674" s="65">
        <f>+CS674+CR674</f>
        <v>1907</v>
      </c>
      <c r="CV674" s="65">
        <f>CV662</f>
        <v>890</v>
      </c>
      <c r="CW674" s="65">
        <f t="shared" ref="CW674" si="1049">CW662</f>
        <v>972</v>
      </c>
      <c r="CX674" s="65">
        <f>+CW674+CV674</f>
        <v>1862</v>
      </c>
      <c r="CZ674" s="65">
        <f>CZ662</f>
        <v>919</v>
      </c>
      <c r="DA674" s="65">
        <f t="shared" ref="DA674" si="1050">DA662</f>
        <v>956</v>
      </c>
      <c r="DB674" s="65">
        <f>+DA674+CZ674</f>
        <v>1875</v>
      </c>
      <c r="DD674" s="65">
        <f>DD662</f>
        <v>855</v>
      </c>
      <c r="DE674" s="65">
        <f t="shared" ref="DE674" si="1051">DE662</f>
        <v>948</v>
      </c>
      <c r="DF674" s="65">
        <f>+DE674+DD674</f>
        <v>1803</v>
      </c>
      <c r="DH674" s="49"/>
      <c r="DL674" s="49"/>
      <c r="DP674" s="49"/>
    </row>
    <row r="675" spans="1:126" s="20" customFormat="1" ht="13.8">
      <c r="A675" s="20" t="s">
        <v>967</v>
      </c>
      <c r="B675" s="49"/>
      <c r="BH675" s="49"/>
      <c r="BI675" s="49"/>
      <c r="BJ675" s="49"/>
      <c r="BK675" s="49"/>
      <c r="BL675" s="49"/>
      <c r="BM675" s="49"/>
      <c r="BN675" s="49"/>
      <c r="BO675" s="49"/>
      <c r="BP675" s="56"/>
      <c r="BQ675" s="49"/>
      <c r="BR675" s="49"/>
      <c r="BT675" s="56"/>
      <c r="BU675" s="49"/>
      <c r="BV675" s="49"/>
      <c r="BX675" s="56"/>
      <c r="BY675" s="49"/>
      <c r="BZ675" s="49"/>
      <c r="CB675" s="56"/>
      <c r="CC675" s="49"/>
      <c r="CD675" s="49"/>
      <c r="CF675" s="49"/>
      <c r="CG675" s="49"/>
      <c r="CH675" s="49"/>
      <c r="CJ675" s="49"/>
      <c r="CM675" s="49"/>
      <c r="CN675" s="65">
        <f t="shared" ref="CN675:CO675" si="1052">+CN674-CN676</f>
        <v>63</v>
      </c>
      <c r="CO675" s="65">
        <f t="shared" si="1052"/>
        <v>40</v>
      </c>
      <c r="CP675" s="65">
        <f t="shared" ref="CP675:CP676" si="1053">+CO675+CN675</f>
        <v>103</v>
      </c>
      <c r="CR675" s="65">
        <f>+CR674-CR676</f>
        <v>84</v>
      </c>
      <c r="CS675" s="65">
        <f t="shared" ref="CS675" si="1054">+CS674-CS676</f>
        <v>1</v>
      </c>
      <c r="CT675" s="65">
        <f t="shared" ref="CT675:CT676" si="1055">+CS675+CR675</f>
        <v>85</v>
      </c>
      <c r="CV675" s="573">
        <v>-7</v>
      </c>
      <c r="CW675" s="573">
        <v>0</v>
      </c>
      <c r="CX675" s="65">
        <f t="shared" ref="CX675:CX676" si="1056">+CW675+CV675</f>
        <v>-7</v>
      </c>
      <c r="CZ675" s="573">
        <v>0</v>
      </c>
      <c r="DA675" s="573">
        <v>0</v>
      </c>
      <c r="DB675" s="65">
        <f t="shared" ref="DB675:DB676" si="1057">+DA675+CZ675</f>
        <v>0</v>
      </c>
      <c r="DD675" s="573">
        <v>0</v>
      </c>
      <c r="DE675" s="573">
        <v>0</v>
      </c>
      <c r="DF675" s="65">
        <f t="shared" ref="DF675:DF676" si="1058">+DE675+DD675</f>
        <v>0</v>
      </c>
      <c r="DH675" s="49"/>
      <c r="DL675" s="49"/>
      <c r="DP675" s="49"/>
    </row>
    <row r="676" spans="1:126" s="21" customFormat="1" ht="13.8">
      <c r="A676" s="21" t="s">
        <v>1107</v>
      </c>
      <c r="B676" s="27"/>
      <c r="BH676" s="27"/>
      <c r="BI676" s="27"/>
      <c r="BJ676" s="27"/>
      <c r="BK676" s="27"/>
      <c r="BL676" s="27"/>
      <c r="BM676" s="27"/>
      <c r="BN676" s="27"/>
      <c r="BO676" s="27"/>
      <c r="BP676" s="708"/>
      <c r="BQ676" s="27"/>
      <c r="BR676" s="27"/>
      <c r="BT676" s="708"/>
      <c r="BU676" s="27"/>
      <c r="BV676" s="27"/>
      <c r="BX676" s="708"/>
      <c r="BY676" s="27"/>
      <c r="BZ676" s="27"/>
      <c r="CB676" s="708"/>
      <c r="CC676" s="27"/>
      <c r="CD676" s="27"/>
      <c r="CF676" s="27"/>
      <c r="CG676" s="27"/>
      <c r="CH676" s="27"/>
      <c r="CJ676" s="27"/>
      <c r="CM676" s="27"/>
      <c r="CN676" s="607">
        <v>948</v>
      </c>
      <c r="CO676" s="607">
        <v>1012</v>
      </c>
      <c r="CP676" s="65">
        <f t="shared" si="1053"/>
        <v>1960</v>
      </c>
      <c r="CQ676" s="46"/>
      <c r="CR676" s="607">
        <v>869</v>
      </c>
      <c r="CS676" s="607">
        <v>953</v>
      </c>
      <c r="CT676" s="65">
        <f t="shared" si="1055"/>
        <v>1822</v>
      </c>
      <c r="CV676" s="72">
        <f>CV674-CV675</f>
        <v>897</v>
      </c>
      <c r="CW676" s="72">
        <f>CW674-CW675</f>
        <v>972</v>
      </c>
      <c r="CX676" s="65">
        <f t="shared" si="1056"/>
        <v>1869</v>
      </c>
      <c r="CZ676" s="72">
        <f>CZ674-CZ675</f>
        <v>919</v>
      </c>
      <c r="DA676" s="72">
        <f>DA674-DA675</f>
        <v>956</v>
      </c>
      <c r="DB676" s="65">
        <f t="shared" si="1057"/>
        <v>1875</v>
      </c>
      <c r="DD676" s="72">
        <f>DD674-DD675</f>
        <v>855</v>
      </c>
      <c r="DE676" s="72">
        <f>DE674-DE675</f>
        <v>948</v>
      </c>
      <c r="DF676" s="65">
        <f t="shared" si="1058"/>
        <v>1803</v>
      </c>
      <c r="DH676" s="27"/>
      <c r="DL676" s="27"/>
      <c r="DP676" s="27"/>
    </row>
    <row r="677" spans="1:126" s="47" customFormat="1" ht="13.8">
      <c r="A677" s="47" t="s">
        <v>217</v>
      </c>
      <c r="B677" s="92"/>
      <c r="BH677" s="92"/>
      <c r="BI677" s="92"/>
      <c r="BJ677" s="92"/>
      <c r="BK677" s="92"/>
      <c r="BL677" s="92"/>
      <c r="BM677" s="92"/>
      <c r="BN677" s="92"/>
      <c r="BO677" s="92"/>
      <c r="BP677" s="436"/>
      <c r="BQ677" s="92"/>
      <c r="BR677" s="92"/>
      <c r="BT677" s="436"/>
      <c r="BU677" s="92"/>
      <c r="BV677" s="92"/>
      <c r="BX677" s="436"/>
      <c r="BY677" s="92"/>
      <c r="BZ677" s="92"/>
      <c r="CB677" s="436"/>
      <c r="CC677" s="92"/>
      <c r="CD677" s="92"/>
      <c r="CF677" s="92"/>
      <c r="CG677" s="92"/>
      <c r="CH677" s="92"/>
      <c r="CJ677" s="92"/>
      <c r="CM677" s="92"/>
      <c r="CN677" s="92"/>
      <c r="CO677" s="75">
        <f>+CO676/CN676-1</f>
        <v>6.7510548523206815E-2</v>
      </c>
      <c r="CR677" s="75">
        <f>+CR676/CO676-1</f>
        <v>-0.14130434782608692</v>
      </c>
      <c r="CS677" s="75">
        <f>+CS676/CR676-1</f>
        <v>9.6662830840046121E-2</v>
      </c>
      <c r="CV677" s="75">
        <f>+CV676/CS676-1</f>
        <v>-5.8761804826862551E-2</v>
      </c>
      <c r="CW677" s="75">
        <f>+CW676/CT676-1</f>
        <v>-0.46652030735455541</v>
      </c>
      <c r="CZ677" s="75">
        <f>+CZ676/CW676-1</f>
        <v>-5.4526748971193362E-2</v>
      </c>
      <c r="DA677" s="75">
        <f>+DA676/CX676-1</f>
        <v>-0.48849652220438733</v>
      </c>
      <c r="DD677" s="75">
        <f>+DD676/DA676-1</f>
        <v>-0.10564853556485354</v>
      </c>
      <c r="DE677" s="75">
        <f>+DE676/DB676-1</f>
        <v>-0.49439999999999995</v>
      </c>
      <c r="DH677" s="92"/>
      <c r="DL677" s="92"/>
      <c r="DP677" s="92"/>
    </row>
    <row r="678" spans="1:126" s="20" customFormat="1" ht="13.8">
      <c r="B678" s="49"/>
      <c r="BH678" s="49"/>
      <c r="BI678" s="49"/>
      <c r="BJ678" s="49"/>
      <c r="BK678" s="49"/>
      <c r="BL678" s="49"/>
      <c r="BM678" s="49"/>
      <c r="BN678" s="49"/>
      <c r="BO678" s="49"/>
      <c r="BP678" s="56"/>
      <c r="BQ678" s="49"/>
      <c r="BR678" s="49"/>
      <c r="BT678" s="56"/>
      <c r="BU678" s="49"/>
      <c r="BV678" s="49"/>
      <c r="BX678" s="56"/>
      <c r="BY678" s="49"/>
      <c r="BZ678" s="49"/>
      <c r="CB678" s="56"/>
      <c r="CC678" s="49"/>
      <c r="CD678" s="49"/>
      <c r="CF678" s="49"/>
      <c r="CG678" s="49"/>
      <c r="CH678" s="49"/>
      <c r="CJ678" s="49"/>
      <c r="CM678" s="49"/>
      <c r="CN678" s="49"/>
      <c r="CR678" s="49"/>
      <c r="CV678" s="49"/>
      <c r="CZ678" s="49"/>
      <c r="DD678" s="49"/>
      <c r="DH678" s="49"/>
      <c r="DL678" s="49"/>
      <c r="DP678" s="49"/>
    </row>
    <row r="679" spans="1:126" s="20" customFormat="1" ht="13.8">
      <c r="A679" s="21" t="s">
        <v>28</v>
      </c>
      <c r="B679" s="49"/>
      <c r="BH679" s="49"/>
      <c r="BI679" s="49"/>
      <c r="BJ679" s="49"/>
      <c r="BK679" s="49"/>
      <c r="BL679" s="49"/>
      <c r="BM679" s="49"/>
      <c r="BN679" s="49"/>
      <c r="BO679" s="49"/>
      <c r="BP679" s="56"/>
      <c r="BQ679" s="49"/>
      <c r="BR679" s="49"/>
      <c r="BT679" s="56"/>
      <c r="BU679" s="49"/>
      <c r="BV679" s="49"/>
      <c r="BX679" s="56"/>
      <c r="BY679" s="49"/>
      <c r="BZ679" s="49"/>
      <c r="CB679" s="56"/>
      <c r="CC679" s="49"/>
      <c r="CD679" s="49"/>
      <c r="CF679" s="56"/>
      <c r="CG679" s="49"/>
      <c r="CH679" s="49"/>
      <c r="CJ679" s="56"/>
      <c r="CN679" s="65"/>
      <c r="CR679" s="49"/>
      <c r="CV679" s="49"/>
      <c r="CZ679" s="49"/>
      <c r="DD679" s="49"/>
      <c r="DH679" s="49"/>
      <c r="DL679" s="49"/>
      <c r="DP679" s="49"/>
    </row>
    <row r="680" spans="1:126" s="20" customFormat="1" ht="13.8">
      <c r="A680" s="533" t="s">
        <v>856</v>
      </c>
      <c r="B680" s="547"/>
      <c r="C680" s="533"/>
      <c r="D680" s="533"/>
      <c r="E680" s="533"/>
      <c r="F680" s="533"/>
      <c r="G680" s="533"/>
      <c r="H680" s="533"/>
      <c r="I680" s="533"/>
      <c r="J680" s="533"/>
      <c r="K680" s="533"/>
      <c r="L680" s="533"/>
      <c r="M680" s="533"/>
      <c r="N680" s="533"/>
      <c r="O680" s="533"/>
      <c r="P680" s="533"/>
      <c r="Q680" s="533"/>
      <c r="R680" s="533"/>
      <c r="S680" s="533"/>
      <c r="T680" s="533"/>
      <c r="U680" s="533"/>
      <c r="V680" s="533"/>
      <c r="W680" s="533"/>
      <c r="X680" s="533"/>
      <c r="Y680" s="533"/>
      <c r="Z680" s="533"/>
      <c r="AA680" s="533"/>
      <c r="AB680" s="533"/>
      <c r="AC680" s="533"/>
      <c r="AD680" s="533"/>
      <c r="AE680" s="533"/>
      <c r="AF680" s="533"/>
      <c r="AG680" s="533"/>
      <c r="AH680" s="533"/>
      <c r="AI680" s="533"/>
      <c r="AJ680" s="533"/>
      <c r="AK680" s="533"/>
      <c r="AL680" s="533"/>
      <c r="AM680" s="533"/>
      <c r="AN680" s="533"/>
      <c r="AO680" s="533"/>
      <c r="AP680" s="533"/>
      <c r="AQ680" s="533"/>
      <c r="AR680" s="533"/>
      <c r="AS680" s="533"/>
      <c r="AT680" s="533"/>
      <c r="AU680" s="533"/>
      <c r="AV680" s="533"/>
      <c r="AW680" s="533"/>
      <c r="AX680" s="533"/>
      <c r="AY680" s="533"/>
      <c r="AZ680" s="533"/>
      <c r="BA680" s="533"/>
      <c r="BB680" s="533"/>
      <c r="BC680" s="533"/>
      <c r="BD680" s="533"/>
      <c r="BE680" s="533"/>
      <c r="BF680" s="533"/>
      <c r="BG680" s="533"/>
      <c r="BH680" s="547"/>
      <c r="BI680" s="547"/>
      <c r="BJ680" s="547"/>
      <c r="BK680" s="547"/>
      <c r="BL680" s="547"/>
      <c r="BM680" s="547"/>
      <c r="BN680" s="547"/>
      <c r="BO680" s="547"/>
      <c r="BP680" s="705"/>
      <c r="BQ680" s="547"/>
      <c r="BR680" s="547"/>
      <c r="BS680" s="533"/>
      <c r="BT680" s="706">
        <v>17</v>
      </c>
      <c r="BU680" s="706">
        <v>47</v>
      </c>
      <c r="BV680" s="707">
        <f t="shared" ref="BV680:BV686" si="1059">+BT680+BU680</f>
        <v>64</v>
      </c>
      <c r="BW680" s="533"/>
      <c r="BX680" s="706">
        <v>50</v>
      </c>
      <c r="BY680" s="706">
        <v>51</v>
      </c>
      <c r="BZ680" s="707">
        <f t="shared" ref="BZ680:BZ686" si="1060">+BX680+BY680</f>
        <v>101</v>
      </c>
      <c r="CA680" s="709">
        <f>BZ680/BV680-1</f>
        <v>0.578125</v>
      </c>
      <c r="CB680" s="706">
        <v>45</v>
      </c>
      <c r="CC680" s="706">
        <v>44</v>
      </c>
      <c r="CD680" s="707">
        <f t="shared" ref="CD680:CD686" si="1061">+CB680+CC680</f>
        <v>89</v>
      </c>
      <c r="CE680" s="709">
        <f>CD680/BZ680-1</f>
        <v>-0.11881188118811881</v>
      </c>
      <c r="CF680" s="706">
        <v>70</v>
      </c>
      <c r="CG680" s="706">
        <v>63</v>
      </c>
      <c r="CH680" s="707">
        <f t="shared" ref="CH680:CH686" si="1062">+CF680+CG680</f>
        <v>133</v>
      </c>
      <c r="CI680" s="709">
        <f>CH680/CD680-1</f>
        <v>0.49438202247191021</v>
      </c>
      <c r="CJ680" s="706">
        <v>74</v>
      </c>
      <c r="CK680" s="706">
        <f>49-68</f>
        <v>-19</v>
      </c>
      <c r="CL680" s="707">
        <f t="shared" ref="CL680:CL686" si="1063">+CJ680+CK680</f>
        <v>55</v>
      </c>
      <c r="CM680" s="709">
        <f>CL680/CH680-1</f>
        <v>-0.58646616541353391</v>
      </c>
      <c r="CN680" s="706">
        <v>65</v>
      </c>
      <c r="CO680" s="706">
        <v>49</v>
      </c>
      <c r="CP680" s="707">
        <f>+CN680+CO680</f>
        <v>114</v>
      </c>
      <c r="CQ680" s="709">
        <f>CP680/CL680-1</f>
        <v>1.0727272727272728</v>
      </c>
      <c r="CR680" s="706">
        <v>24</v>
      </c>
      <c r="CS680" s="706">
        <v>58</v>
      </c>
      <c r="CT680" s="707">
        <f t="shared" ref="CT680:CT686" si="1064">+CR680+CS680</f>
        <v>82</v>
      </c>
      <c r="CU680" s="709">
        <f>CT680/CP680-1</f>
        <v>-0.2807017543859649</v>
      </c>
      <c r="CV680" s="706">
        <v>56</v>
      </c>
      <c r="CW680" s="706">
        <f>CV680+9</f>
        <v>65</v>
      </c>
      <c r="CX680" s="707">
        <f t="shared" ref="CX680:CX686" si="1065">+CV680+CW680</f>
        <v>121</v>
      </c>
      <c r="CY680" s="709">
        <f>CX680/CT680-1</f>
        <v>0.47560975609756095</v>
      </c>
      <c r="CZ680" s="706">
        <v>31</v>
      </c>
      <c r="DA680" s="706">
        <f>(121-54)-CZ680</f>
        <v>36</v>
      </c>
      <c r="DB680" s="707">
        <f t="shared" ref="DB680:DB686" si="1066">+CZ680+DA680</f>
        <v>67</v>
      </c>
      <c r="DC680" s="709">
        <f>DB680/CX680-1</f>
        <v>-0.44628099173553715</v>
      </c>
      <c r="DD680" s="706">
        <v>54</v>
      </c>
      <c r="DE680" s="1229">
        <f>349*39%-DD680</f>
        <v>82.110000000000014</v>
      </c>
      <c r="DF680" s="707">
        <f t="shared" ref="DF680:DF686" si="1067">+DD680+DE680</f>
        <v>136.11000000000001</v>
      </c>
      <c r="DG680" s="709">
        <f>DF680/DB680-1</f>
        <v>1.0314925373134329</v>
      </c>
      <c r="DH680" s="1229">
        <f>+DE680*1.02</f>
        <v>83.752200000000016</v>
      </c>
      <c r="DI680" s="1229">
        <f>+DH680*1.02</f>
        <v>85.427244000000016</v>
      </c>
      <c r="DJ680" s="707">
        <f t="shared" ref="DJ680:DJ686" si="1068">+DH680+DI680</f>
        <v>169.17944400000005</v>
      </c>
      <c r="DK680" s="709">
        <f>DJ680/DF680-1</f>
        <v>0.24296116376460231</v>
      </c>
      <c r="DL680" s="1229">
        <f>+DI680*1.02</f>
        <v>87.135788880000021</v>
      </c>
      <c r="DM680" s="1229">
        <f>+DL680*1.02</f>
        <v>88.878504657600018</v>
      </c>
      <c r="DN680" s="707">
        <f t="shared" ref="DN680:DN686" si="1069">+DL680+DM680</f>
        <v>176.01429353760005</v>
      </c>
      <c r="DO680" s="709">
        <f>DN680/DJ680-1</f>
        <v>4.0399999999999991E-2</v>
      </c>
      <c r="DP680" s="1229">
        <f>+DM680*1.02</f>
        <v>90.656074750752026</v>
      </c>
      <c r="DQ680" s="1229">
        <f>+DP680*1.02</f>
        <v>92.469196245767066</v>
      </c>
      <c r="DR680" s="707">
        <f t="shared" ref="DR680:DR686" si="1070">+DP680+DQ680</f>
        <v>183.12527099651908</v>
      </c>
      <c r="DS680" s="709">
        <f>DR680/DN680-1</f>
        <v>4.0399999999999991E-2</v>
      </c>
      <c r="DT680" s="709"/>
      <c r="DU680" s="709"/>
      <c r="DV680" s="709"/>
    </row>
    <row r="681" spans="1:126" s="20" customFormat="1" ht="13.8">
      <c r="A681" s="533" t="s">
        <v>857</v>
      </c>
      <c r="B681" s="547"/>
      <c r="C681" s="533"/>
      <c r="D681" s="533"/>
      <c r="E681" s="533"/>
      <c r="F681" s="533"/>
      <c r="G681" s="533"/>
      <c r="H681" s="533"/>
      <c r="I681" s="533"/>
      <c r="J681" s="533"/>
      <c r="K681" s="533"/>
      <c r="L681" s="533"/>
      <c r="M681" s="533"/>
      <c r="N681" s="533"/>
      <c r="O681" s="533"/>
      <c r="P681" s="533"/>
      <c r="Q681" s="533"/>
      <c r="R681" s="533"/>
      <c r="S681" s="533"/>
      <c r="T681" s="533"/>
      <c r="U681" s="533"/>
      <c r="V681" s="533"/>
      <c r="W681" s="533"/>
      <c r="X681" s="533"/>
      <c r="Y681" s="533"/>
      <c r="Z681" s="533"/>
      <c r="AA681" s="533"/>
      <c r="AB681" s="533"/>
      <c r="AC681" s="533"/>
      <c r="AD681" s="533"/>
      <c r="AE681" s="533"/>
      <c r="AF681" s="533"/>
      <c r="AG681" s="533"/>
      <c r="AH681" s="533"/>
      <c r="AI681" s="533"/>
      <c r="AJ681" s="533"/>
      <c r="AK681" s="533"/>
      <c r="AL681" s="533"/>
      <c r="AM681" s="533"/>
      <c r="AN681" s="533"/>
      <c r="AO681" s="533"/>
      <c r="AP681" s="533"/>
      <c r="AQ681" s="533"/>
      <c r="AR681" s="533"/>
      <c r="AS681" s="533"/>
      <c r="AT681" s="533"/>
      <c r="AU681" s="533"/>
      <c r="AV681" s="533"/>
      <c r="AW681" s="533"/>
      <c r="AX681" s="533"/>
      <c r="AY681" s="533"/>
      <c r="AZ681" s="533"/>
      <c r="BA681" s="533"/>
      <c r="BB681" s="533"/>
      <c r="BC681" s="533"/>
      <c r="BD681" s="533"/>
      <c r="BE681" s="533"/>
      <c r="BF681" s="533"/>
      <c r="BG681" s="533"/>
      <c r="BH681" s="547"/>
      <c r="BI681" s="547"/>
      <c r="BJ681" s="547"/>
      <c r="BK681" s="547"/>
      <c r="BL681" s="547"/>
      <c r="BM681" s="547"/>
      <c r="BN681" s="547"/>
      <c r="BO681" s="547"/>
      <c r="BP681" s="705"/>
      <c r="BQ681" s="547"/>
      <c r="BR681" s="547"/>
      <c r="BS681" s="533"/>
      <c r="BT681" s="706">
        <v>43</v>
      </c>
      <c r="BU681" s="706">
        <v>51</v>
      </c>
      <c r="BV681" s="707">
        <f t="shared" si="1059"/>
        <v>94</v>
      </c>
      <c r="BW681" s="533"/>
      <c r="BX681" s="706">
        <v>48</v>
      </c>
      <c r="BY681" s="706">
        <v>48</v>
      </c>
      <c r="BZ681" s="707">
        <f t="shared" si="1060"/>
        <v>96</v>
      </c>
      <c r="CA681" s="709">
        <f>BZ681/BV681-1</f>
        <v>2.1276595744680771E-2</v>
      </c>
      <c r="CB681" s="706">
        <v>42</v>
      </c>
      <c r="CC681" s="706">
        <v>48</v>
      </c>
      <c r="CD681" s="707">
        <f t="shared" si="1061"/>
        <v>90</v>
      </c>
      <c r="CE681" s="709">
        <f>CD681/BZ681-1</f>
        <v>-6.25E-2</v>
      </c>
      <c r="CF681" s="706">
        <v>56</v>
      </c>
      <c r="CG681" s="706">
        <v>70</v>
      </c>
      <c r="CH681" s="707">
        <f t="shared" si="1062"/>
        <v>126</v>
      </c>
      <c r="CI681" s="709">
        <f>CH681/CD681-1</f>
        <v>0.39999999999999991</v>
      </c>
      <c r="CJ681" s="706">
        <v>61</v>
      </c>
      <c r="CK681" s="706">
        <v>41</v>
      </c>
      <c r="CL681" s="707">
        <f t="shared" si="1063"/>
        <v>102</v>
      </c>
      <c r="CM681" s="709">
        <f>CL681/CH681-1</f>
        <v>-0.19047619047619047</v>
      </c>
      <c r="CN681" s="706">
        <v>-306</v>
      </c>
      <c r="CO681" s="706">
        <v>18</v>
      </c>
      <c r="CP681" s="707">
        <f t="shared" ref="CP681:CP686" si="1071">+CN681+CO681</f>
        <v>-288</v>
      </c>
      <c r="CQ681" s="709">
        <f>CP681/CL681-1</f>
        <v>-3.8235294117647061</v>
      </c>
      <c r="CR681" s="706">
        <v>51</v>
      </c>
      <c r="CS681" s="706">
        <v>57</v>
      </c>
      <c r="CT681" s="707">
        <f t="shared" si="1064"/>
        <v>108</v>
      </c>
      <c r="CU681" s="709">
        <f>CT681/CP681-1</f>
        <v>-1.375</v>
      </c>
      <c r="CV681" s="706">
        <v>63</v>
      </c>
      <c r="CW681" s="706">
        <f>122-CV681</f>
        <v>59</v>
      </c>
      <c r="CX681" s="707">
        <f t="shared" si="1065"/>
        <v>122</v>
      </c>
      <c r="CY681" s="709">
        <f>CX681/CT681-1</f>
        <v>0.12962962962962954</v>
      </c>
      <c r="CZ681" s="706">
        <v>65</v>
      </c>
      <c r="DA681" s="706">
        <v>0</v>
      </c>
      <c r="DB681" s="707">
        <f t="shared" si="1066"/>
        <v>65</v>
      </c>
      <c r="DC681" s="709">
        <f>DB681/CX681-1</f>
        <v>-0.46721311475409832</v>
      </c>
      <c r="DD681" s="706">
        <v>0</v>
      </c>
      <c r="DE681" s="706">
        <v>0</v>
      </c>
      <c r="DF681" s="707">
        <f t="shared" si="1067"/>
        <v>0</v>
      </c>
      <c r="DG681" s="709">
        <f>DF681/DB681-1</f>
        <v>-1</v>
      </c>
      <c r="DH681" s="1229">
        <f>+DE681*1.02</f>
        <v>0</v>
      </c>
      <c r="DI681" s="1229">
        <f>+DH681*1.02</f>
        <v>0</v>
      </c>
      <c r="DJ681" s="707">
        <f t="shared" si="1068"/>
        <v>0</v>
      </c>
      <c r="DK681" s="709"/>
      <c r="DL681" s="1229">
        <f>+DI681*1.02</f>
        <v>0</v>
      </c>
      <c r="DM681" s="1229">
        <f>+DL681*1.02</f>
        <v>0</v>
      </c>
      <c r="DN681" s="707">
        <f t="shared" si="1069"/>
        <v>0</v>
      </c>
      <c r="DO681" s="709"/>
      <c r="DP681" s="1229">
        <f>+DM681*1.02</f>
        <v>0</v>
      </c>
      <c r="DQ681" s="1229">
        <f>+DP681*1.02</f>
        <v>0</v>
      </c>
      <c r="DR681" s="707">
        <f t="shared" si="1070"/>
        <v>0</v>
      </c>
      <c r="DS681" s="709"/>
      <c r="DT681" s="709"/>
      <c r="DU681" s="709"/>
      <c r="DV681" s="709"/>
    </row>
    <row r="682" spans="1:126" s="20" customFormat="1" ht="13.8">
      <c r="A682" s="533" t="s">
        <v>858</v>
      </c>
      <c r="B682" s="547"/>
      <c r="C682" s="533"/>
      <c r="D682" s="533"/>
      <c r="E682" s="533"/>
      <c r="F682" s="533"/>
      <c r="G682" s="533"/>
      <c r="H682" s="533"/>
      <c r="I682" s="533"/>
      <c r="J682" s="533"/>
      <c r="K682" s="533"/>
      <c r="L682" s="533"/>
      <c r="M682" s="533"/>
      <c r="N682" s="533"/>
      <c r="O682" s="533"/>
      <c r="P682" s="533"/>
      <c r="Q682" s="533"/>
      <c r="R682" s="533"/>
      <c r="S682" s="533"/>
      <c r="T682" s="533"/>
      <c r="U682" s="533"/>
      <c r="V682" s="533"/>
      <c r="W682" s="533"/>
      <c r="X682" s="533"/>
      <c r="Y682" s="533"/>
      <c r="Z682" s="533"/>
      <c r="AA682" s="533"/>
      <c r="AB682" s="533"/>
      <c r="AC682" s="533"/>
      <c r="AD682" s="533"/>
      <c r="AE682" s="533"/>
      <c r="AF682" s="533"/>
      <c r="AG682" s="533"/>
      <c r="AH682" s="533"/>
      <c r="AI682" s="533"/>
      <c r="AJ682" s="533"/>
      <c r="AK682" s="533"/>
      <c r="AL682" s="533"/>
      <c r="AM682" s="533"/>
      <c r="AN682" s="533"/>
      <c r="AO682" s="533"/>
      <c r="AP682" s="533"/>
      <c r="AQ682" s="533"/>
      <c r="AR682" s="533"/>
      <c r="AS682" s="533"/>
      <c r="AT682" s="533"/>
      <c r="AU682" s="533"/>
      <c r="AV682" s="533"/>
      <c r="AW682" s="533"/>
      <c r="AX682" s="533"/>
      <c r="AY682" s="533"/>
      <c r="AZ682" s="533"/>
      <c r="BA682" s="533"/>
      <c r="BB682" s="533"/>
      <c r="BC682" s="533"/>
      <c r="BD682" s="533"/>
      <c r="BE682" s="533"/>
      <c r="BF682" s="533"/>
      <c r="BG682" s="533"/>
      <c r="BH682" s="547"/>
      <c r="BI682" s="547"/>
      <c r="BJ682" s="547"/>
      <c r="BK682" s="547"/>
      <c r="BL682" s="547"/>
      <c r="BM682" s="547"/>
      <c r="BN682" s="547"/>
      <c r="BO682" s="547"/>
      <c r="BP682" s="705"/>
      <c r="BQ682" s="547"/>
      <c r="BR682" s="547"/>
      <c r="BS682" s="533"/>
      <c r="BT682" s="706">
        <v>137</v>
      </c>
      <c r="BU682" s="706">
        <v>122</v>
      </c>
      <c r="BV682" s="707">
        <f t="shared" si="1059"/>
        <v>259</v>
      </c>
      <c r="BW682" s="533"/>
      <c r="BX682" s="706">
        <v>58</v>
      </c>
      <c r="BY682" s="706">
        <v>0</v>
      </c>
      <c r="BZ682" s="707">
        <f t="shared" si="1060"/>
        <v>58</v>
      </c>
      <c r="CA682" s="709"/>
      <c r="CB682" s="706">
        <v>0</v>
      </c>
      <c r="CC682" s="706">
        <v>0</v>
      </c>
      <c r="CD682" s="707">
        <f t="shared" si="1061"/>
        <v>0</v>
      </c>
      <c r="CE682" s="709"/>
      <c r="CF682" s="706">
        <v>0</v>
      </c>
      <c r="CG682" s="706">
        <v>0</v>
      </c>
      <c r="CH682" s="707">
        <f t="shared" si="1062"/>
        <v>0</v>
      </c>
      <c r="CI682" s="709"/>
      <c r="CJ682" s="706">
        <v>0</v>
      </c>
      <c r="CK682" s="706">
        <v>0</v>
      </c>
      <c r="CL682" s="707">
        <f t="shared" si="1063"/>
        <v>0</v>
      </c>
      <c r="CM682" s="709"/>
      <c r="CN682" s="706">
        <v>0</v>
      </c>
      <c r="CO682" s="706">
        <v>0</v>
      </c>
      <c r="CP682" s="707">
        <f t="shared" si="1071"/>
        <v>0</v>
      </c>
      <c r="CQ682" s="709"/>
      <c r="CR682" s="706">
        <v>0</v>
      </c>
      <c r="CS682" s="706">
        <v>0</v>
      </c>
      <c r="CT682" s="707">
        <f t="shared" si="1064"/>
        <v>0</v>
      </c>
      <c r="CU682" s="709"/>
      <c r="CV682" s="706">
        <v>0</v>
      </c>
      <c r="CW682" s="706">
        <v>0</v>
      </c>
      <c r="CX682" s="707">
        <f t="shared" si="1065"/>
        <v>0</v>
      </c>
      <c r="CY682" s="709"/>
      <c r="CZ682" s="706">
        <v>0</v>
      </c>
      <c r="DA682" s="706">
        <v>0</v>
      </c>
      <c r="DB682" s="707">
        <f t="shared" si="1066"/>
        <v>0</v>
      </c>
      <c r="DC682" s="709"/>
      <c r="DD682" s="706">
        <v>0</v>
      </c>
      <c r="DE682" s="706">
        <v>0</v>
      </c>
      <c r="DF682" s="707">
        <f t="shared" si="1067"/>
        <v>0</v>
      </c>
      <c r="DG682" s="709"/>
      <c r="DH682" s="1229">
        <v>0</v>
      </c>
      <c r="DI682" s="1229">
        <v>0</v>
      </c>
      <c r="DJ682" s="707">
        <f t="shared" si="1068"/>
        <v>0</v>
      </c>
      <c r="DK682" s="709"/>
      <c r="DL682" s="1229">
        <v>0</v>
      </c>
      <c r="DM682" s="1229">
        <v>0</v>
      </c>
      <c r="DN682" s="707">
        <f t="shared" si="1069"/>
        <v>0</v>
      </c>
      <c r="DO682" s="709"/>
      <c r="DP682" s="1229">
        <v>0</v>
      </c>
      <c r="DQ682" s="1229">
        <v>0</v>
      </c>
      <c r="DR682" s="707">
        <f t="shared" si="1070"/>
        <v>0</v>
      </c>
      <c r="DS682" s="709"/>
      <c r="DT682" s="709"/>
      <c r="DU682" s="709"/>
      <c r="DV682" s="709"/>
    </row>
    <row r="683" spans="1:126" s="20" customFormat="1" ht="13.8">
      <c r="A683" s="533" t="s">
        <v>1122</v>
      </c>
      <c r="B683" s="547"/>
      <c r="C683" s="533"/>
      <c r="D683" s="533"/>
      <c r="E683" s="533"/>
      <c r="F683" s="533"/>
      <c r="G683" s="533"/>
      <c r="H683" s="533"/>
      <c r="I683" s="533"/>
      <c r="J683" s="533"/>
      <c r="K683" s="533"/>
      <c r="L683" s="533"/>
      <c r="M683" s="533"/>
      <c r="N683" s="533"/>
      <c r="O683" s="533"/>
      <c r="P683" s="533"/>
      <c r="Q683" s="533"/>
      <c r="R683" s="533"/>
      <c r="S683" s="533"/>
      <c r="T683" s="533"/>
      <c r="U683" s="533"/>
      <c r="V683" s="533"/>
      <c r="W683" s="533"/>
      <c r="X683" s="533"/>
      <c r="Y683" s="533"/>
      <c r="Z683" s="533"/>
      <c r="AA683" s="533"/>
      <c r="AB683" s="533"/>
      <c r="AC683" s="533"/>
      <c r="AD683" s="533"/>
      <c r="AE683" s="533"/>
      <c r="AF683" s="533"/>
      <c r="AG683" s="533"/>
      <c r="AH683" s="533"/>
      <c r="AI683" s="533"/>
      <c r="AJ683" s="533"/>
      <c r="AK683" s="533"/>
      <c r="AL683" s="533"/>
      <c r="AM683" s="533"/>
      <c r="AN683" s="533"/>
      <c r="AO683" s="533"/>
      <c r="AP683" s="533"/>
      <c r="AQ683" s="533"/>
      <c r="AR683" s="533"/>
      <c r="AS683" s="533"/>
      <c r="AT683" s="533"/>
      <c r="AU683" s="533"/>
      <c r="AV683" s="533"/>
      <c r="AW683" s="533"/>
      <c r="AX683" s="533"/>
      <c r="AY683" s="533"/>
      <c r="AZ683" s="533"/>
      <c r="BA683" s="533"/>
      <c r="BB683" s="533"/>
      <c r="BC683" s="533"/>
      <c r="BD683" s="533"/>
      <c r="BE683" s="533"/>
      <c r="BF683" s="533"/>
      <c r="BG683" s="533"/>
      <c r="BH683" s="547"/>
      <c r="BI683" s="547"/>
      <c r="BJ683" s="547"/>
      <c r="BK683" s="547"/>
      <c r="BL683" s="547"/>
      <c r="BM683" s="547"/>
      <c r="BN683" s="547"/>
      <c r="BO683" s="547"/>
      <c r="BP683" s="705"/>
      <c r="BQ683" s="547"/>
      <c r="BR683" s="547"/>
      <c r="BS683" s="533"/>
      <c r="BT683" s="706"/>
      <c r="BU683" s="706"/>
      <c r="BV683" s="707"/>
      <c r="BW683" s="533"/>
      <c r="BX683" s="706"/>
      <c r="BY683" s="706"/>
      <c r="BZ683" s="707"/>
      <c r="CA683" s="709"/>
      <c r="CB683" s="706"/>
      <c r="CC683" s="706"/>
      <c r="CD683" s="707"/>
      <c r="CE683" s="709"/>
      <c r="CF683" s="706"/>
      <c r="CG683" s="706"/>
      <c r="CH683" s="707"/>
      <c r="CI683" s="709"/>
      <c r="CJ683" s="706"/>
      <c r="CK683" s="706"/>
      <c r="CL683" s="707"/>
      <c r="CM683" s="709"/>
      <c r="CN683" s="706"/>
      <c r="CO683" s="706"/>
      <c r="CP683" s="707"/>
      <c r="CQ683" s="709"/>
      <c r="CR683" s="706">
        <v>0</v>
      </c>
      <c r="CS683" s="706">
        <v>-10</v>
      </c>
      <c r="CT683" s="707">
        <f t="shared" ref="CT683" si="1072">+CR683+CS683</f>
        <v>-10</v>
      </c>
      <c r="CU683" s="709"/>
      <c r="CV683" s="706">
        <v>-17</v>
      </c>
      <c r="CW683" s="706">
        <f>CV683+6</f>
        <v>-11</v>
      </c>
      <c r="CX683" s="707">
        <f t="shared" si="1065"/>
        <v>-28</v>
      </c>
      <c r="CY683" s="709"/>
      <c r="CZ683" s="706">
        <v>-12</v>
      </c>
      <c r="DA683" s="706">
        <f>(-28-8)-CZ683</f>
        <v>-24</v>
      </c>
      <c r="DB683" s="707">
        <f t="shared" si="1066"/>
        <v>-36</v>
      </c>
      <c r="DC683" s="709"/>
      <c r="DD683" s="706">
        <v>-16</v>
      </c>
      <c r="DE683" s="1229">
        <v>-44</v>
      </c>
      <c r="DF683" s="707">
        <f t="shared" si="1067"/>
        <v>-60</v>
      </c>
      <c r="DG683" s="709"/>
      <c r="DH683" s="1229">
        <v>-30</v>
      </c>
      <c r="DI683" s="1229">
        <v>-30</v>
      </c>
      <c r="DJ683" s="707">
        <f t="shared" si="1068"/>
        <v>-60</v>
      </c>
      <c r="DK683" s="709"/>
      <c r="DL683" s="1229">
        <v>-20</v>
      </c>
      <c r="DM683" s="1229">
        <v>-20</v>
      </c>
      <c r="DN683" s="707">
        <f t="shared" si="1069"/>
        <v>-40</v>
      </c>
      <c r="DO683" s="709"/>
      <c r="DP683" s="1229">
        <v>-20</v>
      </c>
      <c r="DQ683" s="1229">
        <v>-20</v>
      </c>
      <c r="DR683" s="707">
        <f t="shared" si="1070"/>
        <v>-40</v>
      </c>
      <c r="DS683" s="709"/>
      <c r="DT683" s="709"/>
      <c r="DU683" s="709"/>
      <c r="DV683" s="709"/>
    </row>
    <row r="684" spans="1:126" s="20" customFormat="1" ht="13.8">
      <c r="A684" s="533" t="s">
        <v>859</v>
      </c>
      <c r="B684" s="547"/>
      <c r="C684" s="533"/>
      <c r="D684" s="533"/>
      <c r="E684" s="533"/>
      <c r="F684" s="533"/>
      <c r="G684" s="533"/>
      <c r="H684" s="533"/>
      <c r="I684" s="533"/>
      <c r="J684" s="533"/>
      <c r="K684" s="533"/>
      <c r="L684" s="533"/>
      <c r="M684" s="533"/>
      <c r="N684" s="533"/>
      <c r="O684" s="533"/>
      <c r="P684" s="533"/>
      <c r="Q684" s="533"/>
      <c r="R684" s="533"/>
      <c r="S684" s="533"/>
      <c r="T684" s="533"/>
      <c r="U684" s="533"/>
      <c r="V684" s="533"/>
      <c r="W684" s="533"/>
      <c r="X684" s="533"/>
      <c r="Y684" s="533"/>
      <c r="Z684" s="533"/>
      <c r="AA684" s="533"/>
      <c r="AB684" s="533"/>
      <c r="AC684" s="533"/>
      <c r="AD684" s="533"/>
      <c r="AE684" s="533"/>
      <c r="AF684" s="533"/>
      <c r="AG684" s="533"/>
      <c r="AH684" s="533"/>
      <c r="AI684" s="533"/>
      <c r="AJ684" s="533"/>
      <c r="AK684" s="533"/>
      <c r="AL684" s="533"/>
      <c r="AM684" s="533"/>
      <c r="AN684" s="533"/>
      <c r="AO684" s="533"/>
      <c r="AP684" s="533"/>
      <c r="AQ684" s="533"/>
      <c r="AR684" s="533"/>
      <c r="AS684" s="533"/>
      <c r="AT684" s="533"/>
      <c r="AU684" s="533"/>
      <c r="AV684" s="533"/>
      <c r="AW684" s="533"/>
      <c r="AX684" s="533"/>
      <c r="AY684" s="533"/>
      <c r="AZ684" s="533"/>
      <c r="BA684" s="533"/>
      <c r="BB684" s="533"/>
      <c r="BC684" s="533"/>
      <c r="BD684" s="533"/>
      <c r="BE684" s="533"/>
      <c r="BF684" s="533"/>
      <c r="BG684" s="533"/>
      <c r="BH684" s="547"/>
      <c r="BI684" s="547"/>
      <c r="BJ684" s="547"/>
      <c r="BK684" s="547"/>
      <c r="BL684" s="547"/>
      <c r="BM684" s="547"/>
      <c r="BN684" s="547"/>
      <c r="BO684" s="547"/>
      <c r="BP684" s="705"/>
      <c r="BQ684" s="547"/>
      <c r="BR684" s="547"/>
      <c r="BS684" s="533"/>
      <c r="BT684" s="706">
        <v>86</v>
      </c>
      <c r="BU684" s="706">
        <v>0</v>
      </c>
      <c r="BV684" s="707">
        <f t="shared" si="1059"/>
        <v>86</v>
      </c>
      <c r="BW684" s="533"/>
      <c r="BX684" s="706">
        <v>0</v>
      </c>
      <c r="BY684" s="706">
        <v>0</v>
      </c>
      <c r="BZ684" s="707">
        <f t="shared" si="1060"/>
        <v>0</v>
      </c>
      <c r="CA684" s="709"/>
      <c r="CB684" s="706">
        <v>0</v>
      </c>
      <c r="CC684" s="706">
        <v>0</v>
      </c>
      <c r="CD684" s="707">
        <f t="shared" si="1061"/>
        <v>0</v>
      </c>
      <c r="CE684" s="709"/>
      <c r="CF684" s="706">
        <v>0</v>
      </c>
      <c r="CG684" s="706">
        <v>0</v>
      </c>
      <c r="CH684" s="707">
        <f t="shared" si="1062"/>
        <v>0</v>
      </c>
      <c r="CI684" s="709"/>
      <c r="CJ684" s="706">
        <v>0</v>
      </c>
      <c r="CK684" s="706">
        <v>0</v>
      </c>
      <c r="CL684" s="707">
        <f t="shared" si="1063"/>
        <v>0</v>
      </c>
      <c r="CM684" s="709"/>
      <c r="CN684" s="706">
        <v>0</v>
      </c>
      <c r="CO684" s="706">
        <v>0</v>
      </c>
      <c r="CP684" s="707">
        <f t="shared" si="1071"/>
        <v>0</v>
      </c>
      <c r="CQ684" s="709"/>
      <c r="CR684" s="706">
        <v>0</v>
      </c>
      <c r="CS684" s="706">
        <v>0</v>
      </c>
      <c r="CT684" s="707">
        <f t="shared" si="1064"/>
        <v>0</v>
      </c>
      <c r="CU684" s="709"/>
      <c r="CV684" s="706">
        <v>0</v>
      </c>
      <c r="CW684" s="706">
        <v>0</v>
      </c>
      <c r="CX684" s="707">
        <f t="shared" si="1065"/>
        <v>0</v>
      </c>
      <c r="CY684" s="709"/>
      <c r="CZ684" s="706">
        <v>0</v>
      </c>
      <c r="DA684" s="706">
        <v>0</v>
      </c>
      <c r="DB684" s="707">
        <f t="shared" si="1066"/>
        <v>0</v>
      </c>
      <c r="DC684" s="709"/>
      <c r="DD684" s="706">
        <v>0</v>
      </c>
      <c r="DE684" s="706">
        <v>0</v>
      </c>
      <c r="DF684" s="707">
        <f t="shared" si="1067"/>
        <v>0</v>
      </c>
      <c r="DG684" s="709"/>
      <c r="DH684" s="1229">
        <v>0</v>
      </c>
      <c r="DI684" s="1229">
        <v>0</v>
      </c>
      <c r="DJ684" s="707">
        <f t="shared" si="1068"/>
        <v>0</v>
      </c>
      <c r="DK684" s="709"/>
      <c r="DL684" s="1229">
        <v>0</v>
      </c>
      <c r="DM684" s="1229">
        <v>0</v>
      </c>
      <c r="DN684" s="707">
        <f t="shared" si="1069"/>
        <v>0</v>
      </c>
      <c r="DO684" s="709"/>
      <c r="DP684" s="1229">
        <v>0</v>
      </c>
      <c r="DQ684" s="1229">
        <v>0</v>
      </c>
      <c r="DR684" s="707">
        <f t="shared" si="1070"/>
        <v>0</v>
      </c>
      <c r="DS684" s="709"/>
      <c r="DT684" s="709"/>
      <c r="DU684" s="709"/>
      <c r="DV684" s="709"/>
    </row>
    <row r="685" spans="1:126" s="20" customFormat="1" ht="13.8">
      <c r="A685" s="533" t="s">
        <v>860</v>
      </c>
      <c r="B685" s="547"/>
      <c r="C685" s="533"/>
      <c r="D685" s="533"/>
      <c r="E685" s="533"/>
      <c r="F685" s="533"/>
      <c r="G685" s="533"/>
      <c r="H685" s="533"/>
      <c r="I685" s="533"/>
      <c r="J685" s="533"/>
      <c r="K685" s="533"/>
      <c r="L685" s="533"/>
      <c r="M685" s="533"/>
      <c r="N685" s="533"/>
      <c r="O685" s="533"/>
      <c r="P685" s="533"/>
      <c r="Q685" s="533"/>
      <c r="R685" s="533"/>
      <c r="S685" s="533"/>
      <c r="T685" s="533"/>
      <c r="U685" s="533"/>
      <c r="V685" s="533"/>
      <c r="W685" s="533"/>
      <c r="X685" s="533"/>
      <c r="Y685" s="533"/>
      <c r="Z685" s="533"/>
      <c r="AA685" s="533"/>
      <c r="AB685" s="533"/>
      <c r="AC685" s="533"/>
      <c r="AD685" s="533"/>
      <c r="AE685" s="533"/>
      <c r="AF685" s="533"/>
      <c r="AG685" s="533"/>
      <c r="AH685" s="533"/>
      <c r="AI685" s="533"/>
      <c r="AJ685" s="533"/>
      <c r="AK685" s="533"/>
      <c r="AL685" s="533"/>
      <c r="AM685" s="533"/>
      <c r="AN685" s="533"/>
      <c r="AO685" s="533"/>
      <c r="AP685" s="533"/>
      <c r="AQ685" s="533"/>
      <c r="AR685" s="533"/>
      <c r="AS685" s="533"/>
      <c r="AT685" s="533"/>
      <c r="AU685" s="533"/>
      <c r="AV685" s="533"/>
      <c r="AW685" s="533"/>
      <c r="AX685" s="533"/>
      <c r="AY685" s="533"/>
      <c r="AZ685" s="533"/>
      <c r="BA685" s="533"/>
      <c r="BB685" s="533"/>
      <c r="BC685" s="533"/>
      <c r="BD685" s="533"/>
      <c r="BE685" s="533"/>
      <c r="BF685" s="533"/>
      <c r="BG685" s="533"/>
      <c r="BH685" s="547"/>
      <c r="BI685" s="547"/>
      <c r="BJ685" s="547"/>
      <c r="BK685" s="547"/>
      <c r="BL685" s="547"/>
      <c r="BM685" s="547"/>
      <c r="BN685" s="547"/>
      <c r="BO685" s="547"/>
      <c r="BP685" s="705"/>
      <c r="BQ685" s="547"/>
      <c r="BR685" s="547"/>
      <c r="BS685" s="533"/>
      <c r="BT685" s="706">
        <v>18</v>
      </c>
      <c r="BU685" s="706">
        <v>20</v>
      </c>
      <c r="BV685" s="707">
        <f t="shared" si="1059"/>
        <v>38</v>
      </c>
      <c r="BW685" s="533"/>
      <c r="BX685" s="706">
        <v>17</v>
      </c>
      <c r="BY685" s="706">
        <v>28</v>
      </c>
      <c r="BZ685" s="707">
        <f t="shared" si="1060"/>
        <v>45</v>
      </c>
      <c r="CA685" s="709">
        <f>BZ685/BV685-1</f>
        <v>0.18421052631578938</v>
      </c>
      <c r="CB685" s="706">
        <v>1</v>
      </c>
      <c r="CC685" s="706">
        <v>3</v>
      </c>
      <c r="CD685" s="707">
        <f t="shared" si="1061"/>
        <v>4</v>
      </c>
      <c r="CE685" s="709">
        <f>CD685/BZ685-1</f>
        <v>-0.91111111111111109</v>
      </c>
      <c r="CF685" s="706">
        <v>5</v>
      </c>
      <c r="CG685" s="706">
        <v>-2</v>
      </c>
      <c r="CH685" s="707">
        <f t="shared" si="1062"/>
        <v>3</v>
      </c>
      <c r="CI685" s="709">
        <f>CH685/CD685-1</f>
        <v>-0.25</v>
      </c>
      <c r="CJ685" s="706">
        <v>0</v>
      </c>
      <c r="CK685" s="706">
        <v>-2</v>
      </c>
      <c r="CL685" s="707">
        <f t="shared" si="1063"/>
        <v>-2</v>
      </c>
      <c r="CM685" s="709">
        <f>CL685/CH685-1</f>
        <v>-1.6666666666666665</v>
      </c>
      <c r="CN685" s="706">
        <v>0</v>
      </c>
      <c r="CO685" s="706">
        <v>-1</v>
      </c>
      <c r="CP685" s="707">
        <f t="shared" si="1071"/>
        <v>-1</v>
      </c>
      <c r="CQ685" s="709">
        <f>CP685/CL685-1</f>
        <v>-0.5</v>
      </c>
      <c r="CR685" s="706">
        <v>-1</v>
      </c>
      <c r="CS685" s="706">
        <v>-2</v>
      </c>
      <c r="CT685" s="707">
        <f t="shared" si="1064"/>
        <v>-3</v>
      </c>
      <c r="CU685" s="709"/>
      <c r="CV685" s="706">
        <v>-1</v>
      </c>
      <c r="CW685" s="706">
        <v>0</v>
      </c>
      <c r="CX685" s="707">
        <f t="shared" si="1065"/>
        <v>-1</v>
      </c>
      <c r="CY685" s="709"/>
      <c r="CZ685" s="706">
        <v>0</v>
      </c>
      <c r="DA685" s="706">
        <v>0</v>
      </c>
      <c r="DB685" s="707">
        <f t="shared" si="1066"/>
        <v>0</v>
      </c>
      <c r="DC685" s="709"/>
      <c r="DD685" s="706">
        <v>0</v>
      </c>
      <c r="DE685" s="706">
        <v>0</v>
      </c>
      <c r="DF685" s="707">
        <f t="shared" si="1067"/>
        <v>0</v>
      </c>
      <c r="DG685" s="709"/>
      <c r="DH685" s="1229">
        <v>0</v>
      </c>
      <c r="DI685" s="1229">
        <v>0</v>
      </c>
      <c r="DJ685" s="707">
        <f t="shared" si="1068"/>
        <v>0</v>
      </c>
      <c r="DK685" s="709"/>
      <c r="DL685" s="1229">
        <v>0</v>
      </c>
      <c r="DM685" s="1229">
        <v>0</v>
      </c>
      <c r="DN685" s="707">
        <f t="shared" si="1069"/>
        <v>0</v>
      </c>
      <c r="DO685" s="709"/>
      <c r="DP685" s="1229">
        <v>0</v>
      </c>
      <c r="DQ685" s="1229">
        <v>0</v>
      </c>
      <c r="DR685" s="707">
        <f t="shared" si="1070"/>
        <v>0</v>
      </c>
      <c r="DS685" s="709"/>
      <c r="DT685" s="709"/>
      <c r="DU685" s="709"/>
      <c r="DV685" s="709"/>
    </row>
    <row r="686" spans="1:126" s="20" customFormat="1" ht="13.8">
      <c r="A686" s="533" t="s">
        <v>861</v>
      </c>
      <c r="B686" s="547"/>
      <c r="C686" s="533"/>
      <c r="D686" s="533"/>
      <c r="E686" s="533"/>
      <c r="F686" s="533"/>
      <c r="G686" s="533"/>
      <c r="H686" s="533"/>
      <c r="I686" s="533"/>
      <c r="J686" s="533"/>
      <c r="K686" s="533"/>
      <c r="L686" s="533"/>
      <c r="M686" s="533"/>
      <c r="N686" s="533"/>
      <c r="O686" s="533"/>
      <c r="P686" s="533"/>
      <c r="Q686" s="533"/>
      <c r="R686" s="533"/>
      <c r="S686" s="533"/>
      <c r="T686" s="533"/>
      <c r="U686" s="533"/>
      <c r="V686" s="533"/>
      <c r="W686" s="533"/>
      <c r="X686" s="533"/>
      <c r="Y686" s="533"/>
      <c r="Z686" s="533"/>
      <c r="AA686" s="533"/>
      <c r="AB686" s="533"/>
      <c r="AC686" s="533"/>
      <c r="AD686" s="533"/>
      <c r="AE686" s="533"/>
      <c r="AF686" s="533"/>
      <c r="AG686" s="533"/>
      <c r="AH686" s="533"/>
      <c r="AI686" s="533"/>
      <c r="AJ686" s="533"/>
      <c r="AK686" s="533"/>
      <c r="AL686" s="533"/>
      <c r="AM686" s="533"/>
      <c r="AN686" s="533"/>
      <c r="AO686" s="533"/>
      <c r="AP686" s="533"/>
      <c r="AQ686" s="533"/>
      <c r="AR686" s="533"/>
      <c r="AS686" s="533"/>
      <c r="AT686" s="533"/>
      <c r="AU686" s="533"/>
      <c r="AV686" s="533"/>
      <c r="AW686" s="533"/>
      <c r="AX686" s="533"/>
      <c r="AY686" s="533"/>
      <c r="AZ686" s="533"/>
      <c r="BA686" s="533"/>
      <c r="BB686" s="533"/>
      <c r="BC686" s="533"/>
      <c r="BD686" s="533"/>
      <c r="BE686" s="533"/>
      <c r="BF686" s="533"/>
      <c r="BG686" s="533"/>
      <c r="BH686" s="547"/>
      <c r="BI686" s="547"/>
      <c r="BJ686" s="547"/>
      <c r="BK686" s="547"/>
      <c r="BL686" s="547"/>
      <c r="BM686" s="547"/>
      <c r="BN686" s="547"/>
      <c r="BO686" s="547"/>
      <c r="BP686" s="705"/>
      <c r="BQ686" s="547"/>
      <c r="BR686" s="547"/>
      <c r="BS686" s="533"/>
      <c r="BT686" s="707">
        <f>+BT687-SUM(BT680:BT685)</f>
        <v>0</v>
      </c>
      <c r="BU686" s="707">
        <f>+BU687-SUM(BU680:BU685)</f>
        <v>3</v>
      </c>
      <c r="BV686" s="707">
        <f t="shared" si="1059"/>
        <v>3</v>
      </c>
      <c r="BW686" s="533"/>
      <c r="BX686" s="707">
        <f>+BX687-SUM(BX680:BX685)</f>
        <v>0</v>
      </c>
      <c r="BY686" s="707">
        <f>+BY687-SUM(BY680:BY685)</f>
        <v>0</v>
      </c>
      <c r="BZ686" s="707">
        <f t="shared" si="1060"/>
        <v>0</v>
      </c>
      <c r="CA686" s="709"/>
      <c r="CB686" s="707">
        <f>+CB687-SUM(CB680:CB685)</f>
        <v>0</v>
      </c>
      <c r="CC686" s="707">
        <f>+CC687-SUM(CC680:CC685)</f>
        <v>0</v>
      </c>
      <c r="CD686" s="707">
        <f t="shared" si="1061"/>
        <v>0</v>
      </c>
      <c r="CE686" s="709"/>
      <c r="CF686" s="707">
        <f>+CF687-SUM(CF680:CF685)</f>
        <v>0</v>
      </c>
      <c r="CG686" s="707">
        <f>+CG687-SUM(CG680:CG685)</f>
        <v>0</v>
      </c>
      <c r="CH686" s="707">
        <f t="shared" si="1062"/>
        <v>0</v>
      </c>
      <c r="CI686" s="709"/>
      <c r="CJ686" s="706">
        <v>0</v>
      </c>
      <c r="CK686" s="707">
        <f>+CK687-SUM(CK680:CK685)</f>
        <v>0</v>
      </c>
      <c r="CL686" s="707">
        <f t="shared" si="1063"/>
        <v>0</v>
      </c>
      <c r="CM686" s="709"/>
      <c r="CN686" s="706">
        <v>0</v>
      </c>
      <c r="CO686" s="707">
        <f>+CO687-SUM(CO680:CO685)</f>
        <v>0</v>
      </c>
      <c r="CP686" s="707">
        <f t="shared" si="1071"/>
        <v>0</v>
      </c>
      <c r="CQ686" s="709"/>
      <c r="CR686" s="706">
        <v>0</v>
      </c>
      <c r="CS686" s="707">
        <f>+CS687-SUM(CS680:CS685)</f>
        <v>0</v>
      </c>
      <c r="CT686" s="707">
        <f t="shared" si="1064"/>
        <v>0</v>
      </c>
      <c r="CU686" s="709"/>
      <c r="CV686" s="706">
        <v>0</v>
      </c>
      <c r="CW686" s="707">
        <f>+CW687-SUM(CW680:CW685)</f>
        <v>7</v>
      </c>
      <c r="CX686" s="707">
        <f t="shared" si="1065"/>
        <v>7</v>
      </c>
      <c r="CY686" s="709"/>
      <c r="CZ686" s="706">
        <v>0</v>
      </c>
      <c r="DA686" s="707">
        <f>+DA687-SUM(DA680:DA685)</f>
        <v>9</v>
      </c>
      <c r="DB686" s="707">
        <f t="shared" si="1066"/>
        <v>9</v>
      </c>
      <c r="DC686" s="709"/>
      <c r="DD686" s="706">
        <v>0</v>
      </c>
      <c r="DE686" s="707">
        <f>+DE687-SUM(DE680:DE685)</f>
        <v>-0.11000000000001364</v>
      </c>
      <c r="DF686" s="707">
        <f t="shared" si="1067"/>
        <v>-0.11000000000001364</v>
      </c>
      <c r="DG686" s="709"/>
      <c r="DH686" s="1229">
        <v>0</v>
      </c>
      <c r="DI686" s="1229">
        <v>0</v>
      </c>
      <c r="DJ686" s="707">
        <f t="shared" si="1068"/>
        <v>0</v>
      </c>
      <c r="DK686" s="709"/>
      <c r="DL686" s="1229">
        <v>0</v>
      </c>
      <c r="DM686" s="1229">
        <v>0</v>
      </c>
      <c r="DN686" s="707">
        <f t="shared" si="1069"/>
        <v>0</v>
      </c>
      <c r="DO686" s="709"/>
      <c r="DP686" s="1229">
        <v>0</v>
      </c>
      <c r="DQ686" s="1229">
        <v>0</v>
      </c>
      <c r="DR686" s="707">
        <f t="shared" si="1070"/>
        <v>0</v>
      </c>
      <c r="DS686" s="709"/>
      <c r="DT686" s="709"/>
      <c r="DU686" s="709"/>
      <c r="DV686" s="709"/>
    </row>
    <row r="687" spans="1:126" s="21" customFormat="1" ht="13.8">
      <c r="A687" s="21" t="s">
        <v>529</v>
      </c>
      <c r="B687" s="27"/>
      <c r="BH687" s="27"/>
      <c r="BI687" s="27"/>
      <c r="BJ687" s="27"/>
      <c r="BK687" s="27"/>
      <c r="BL687" s="27"/>
      <c r="BM687" s="27"/>
      <c r="BN687" s="27"/>
      <c r="BO687" s="27"/>
      <c r="BP687" s="708"/>
      <c r="BQ687" s="27"/>
      <c r="BR687" s="27"/>
      <c r="BT687" s="72">
        <f>BT664</f>
        <v>301</v>
      </c>
      <c r="BU687" s="72">
        <f>BU664</f>
        <v>243</v>
      </c>
      <c r="BV687" s="72">
        <f>BV664</f>
        <v>544</v>
      </c>
      <c r="BW687" s="97"/>
      <c r="BX687" s="72">
        <f>BX664</f>
        <v>173</v>
      </c>
      <c r="BY687" s="72">
        <f>BY664</f>
        <v>127</v>
      </c>
      <c r="BZ687" s="72">
        <f>BZ664</f>
        <v>300</v>
      </c>
      <c r="CA687" s="710">
        <f>BZ687/BV687-1</f>
        <v>-0.44852941176470584</v>
      </c>
      <c r="CB687" s="72">
        <f>CB664</f>
        <v>88</v>
      </c>
      <c r="CC687" s="72">
        <f>CC664</f>
        <v>95</v>
      </c>
      <c r="CD687" s="72">
        <f>CD664</f>
        <v>183</v>
      </c>
      <c r="CE687" s="710">
        <f>CD687/BZ687-1</f>
        <v>-0.39</v>
      </c>
      <c r="CF687" s="72">
        <f>CF664</f>
        <v>131</v>
      </c>
      <c r="CG687" s="72">
        <f>CG664</f>
        <v>131</v>
      </c>
      <c r="CH687" s="72">
        <f>CH664</f>
        <v>262</v>
      </c>
      <c r="CI687" s="710">
        <f>CH687/CD687-1</f>
        <v>0.43169398907103829</v>
      </c>
      <c r="CJ687" s="72">
        <f>CJ664</f>
        <v>135</v>
      </c>
      <c r="CK687" s="72">
        <f>CK664</f>
        <v>20</v>
      </c>
      <c r="CL687" s="72">
        <f>CL664</f>
        <v>155</v>
      </c>
      <c r="CM687" s="710">
        <f>CL687/CH687-1</f>
        <v>-0.40839694656488545</v>
      </c>
      <c r="CN687" s="72">
        <f>CN664</f>
        <v>-242</v>
      </c>
      <c r="CO687" s="72">
        <f>CO664</f>
        <v>66</v>
      </c>
      <c r="CP687" s="72">
        <f>CP664</f>
        <v>-176</v>
      </c>
      <c r="CQ687" s="710">
        <f>CP687/CL687-1</f>
        <v>-2.1354838709677422</v>
      </c>
      <c r="CR687" s="72">
        <f>CR664</f>
        <v>74</v>
      </c>
      <c r="CS687" s="72">
        <f>CS664</f>
        <v>103</v>
      </c>
      <c r="CT687" s="72">
        <f>CT664</f>
        <v>177</v>
      </c>
      <c r="CU687" s="710">
        <f>CT687/CP687-1</f>
        <v>-2.0056818181818183</v>
      </c>
      <c r="CV687" s="72">
        <f>CV664</f>
        <v>101</v>
      </c>
      <c r="CW687" s="72">
        <f>CW664</f>
        <v>120</v>
      </c>
      <c r="CX687" s="72">
        <f>CX664</f>
        <v>221</v>
      </c>
      <c r="CY687" s="710">
        <f>CX687/CT687-1</f>
        <v>0.24858757062146886</v>
      </c>
      <c r="CZ687" s="72">
        <f>CZ664</f>
        <v>84</v>
      </c>
      <c r="DA687" s="72">
        <f>DA664</f>
        <v>21</v>
      </c>
      <c r="DB687" s="72">
        <f>DB664</f>
        <v>105</v>
      </c>
      <c r="DC687" s="710">
        <f>DB687/CX687-1</f>
        <v>-0.52488687782805432</v>
      </c>
      <c r="DD687" s="72">
        <f>DD664</f>
        <v>38</v>
      </c>
      <c r="DE687" s="72">
        <f>DE664</f>
        <v>38</v>
      </c>
      <c r="DF687" s="72">
        <f>DF664</f>
        <v>76</v>
      </c>
      <c r="DG687" s="710">
        <f>DF687/DB687-1</f>
        <v>-0.27619047619047621</v>
      </c>
      <c r="DH687" s="72">
        <f>SUM(DH680:DH686)</f>
        <v>53.752200000000016</v>
      </c>
      <c r="DI687" s="72">
        <f>SUM(DI680:DI686)</f>
        <v>55.427244000000016</v>
      </c>
      <c r="DJ687" s="72">
        <f>DJ664</f>
        <v>109.17944400000003</v>
      </c>
      <c r="DK687" s="710">
        <f>DJ687/DF687-1</f>
        <v>0.43657163157894785</v>
      </c>
      <c r="DL687" s="72">
        <f>SUM(DL680:DL686)</f>
        <v>67.135788880000021</v>
      </c>
      <c r="DM687" s="72">
        <f>SUM(DM680:DM686)</f>
        <v>68.878504657600018</v>
      </c>
      <c r="DN687" s="72">
        <f>DN664</f>
        <v>136.01429353760005</v>
      </c>
      <c r="DO687" s="710">
        <f>DN687/DJ687-1</f>
        <v>0.24578664769166636</v>
      </c>
      <c r="DP687" s="72">
        <f>SUM(DP680:DP686)</f>
        <v>70.656074750752026</v>
      </c>
      <c r="DQ687" s="72">
        <f>SUM(DQ680:DQ686)</f>
        <v>72.469196245767066</v>
      </c>
      <c r="DR687" s="72">
        <f>DR664</f>
        <v>143.12527099651908</v>
      </c>
      <c r="DS687" s="710">
        <f>DR687/DN687-1</f>
        <v>5.2281104242571708E-2</v>
      </c>
      <c r="DT687" s="710"/>
      <c r="DU687" s="710"/>
      <c r="DV687" s="710"/>
    </row>
    <row r="688" spans="1:126" s="20" customFormat="1" ht="13.8">
      <c r="B688" s="49"/>
      <c r="BH688" s="49"/>
      <c r="BI688" s="49"/>
      <c r="BJ688" s="49"/>
      <c r="BK688" s="49"/>
      <c r="BL688" s="49"/>
      <c r="BM688" s="49"/>
      <c r="BN688" s="49"/>
      <c r="BO688" s="49"/>
      <c r="BP688" s="56"/>
      <c r="BQ688" s="49"/>
      <c r="BR688" s="49"/>
      <c r="BT688" s="56"/>
      <c r="BU688" s="49"/>
      <c r="BV688" s="49"/>
      <c r="BX688" s="56"/>
      <c r="BY688" s="49"/>
      <c r="BZ688" s="49"/>
      <c r="CB688" s="56"/>
      <c r="CC688" s="49"/>
      <c r="CD688" s="49"/>
      <c r="CF688" s="49"/>
      <c r="CG688" s="49"/>
      <c r="CH688" s="49"/>
      <c r="CJ688" s="49"/>
      <c r="CK688" s="49"/>
      <c r="CL688" s="49"/>
      <c r="CN688" s="49"/>
      <c r="CO688" s="49"/>
      <c r="CP688" s="49"/>
      <c r="CR688" s="49"/>
      <c r="CV688" s="49"/>
      <c r="CZ688" s="49"/>
      <c r="DD688" s="49"/>
      <c r="DH688" s="49"/>
      <c r="DL688" s="49"/>
      <c r="DP688" s="49"/>
    </row>
    <row r="689" spans="1:126" s="20" customFormat="1" ht="13.8">
      <c r="B689" s="49"/>
      <c r="BH689" s="49"/>
      <c r="BI689" s="49"/>
      <c r="BJ689" s="49"/>
      <c r="BK689" s="49"/>
      <c r="BL689" s="49"/>
      <c r="BM689" s="49"/>
      <c r="BN689" s="49"/>
      <c r="BO689" s="49"/>
      <c r="BP689" s="56"/>
      <c r="BQ689" s="49"/>
      <c r="BR689" s="49"/>
      <c r="BT689" s="56"/>
      <c r="BU689" s="49"/>
      <c r="BV689" s="49"/>
      <c r="BX689" s="56"/>
      <c r="BY689" s="49"/>
      <c r="BZ689" s="49"/>
      <c r="CB689" s="56"/>
      <c r="CC689" s="49"/>
      <c r="CD689" s="49"/>
      <c r="CF689" s="49"/>
      <c r="CG689" s="49"/>
      <c r="CH689" s="49"/>
      <c r="CJ689" s="49"/>
      <c r="CK689" s="49"/>
      <c r="CL689" s="49"/>
      <c r="CN689" s="49"/>
      <c r="CO689" s="49"/>
      <c r="CP689" s="49"/>
      <c r="CR689" s="49"/>
      <c r="CV689" s="49"/>
      <c r="CZ689" s="49"/>
      <c r="DD689" s="49"/>
      <c r="DH689" s="49"/>
      <c r="DL689" s="49"/>
      <c r="DP689" s="49"/>
    </row>
    <row r="690" spans="1:126" s="20" customFormat="1" ht="13.8">
      <c r="A690" s="21" t="s">
        <v>139</v>
      </c>
      <c r="B690" s="49"/>
      <c r="BH690" s="49"/>
      <c r="BI690" s="49"/>
      <c r="BJ690" s="49"/>
      <c r="BK690" s="49"/>
      <c r="BL690" s="49"/>
      <c r="BM690" s="49"/>
      <c r="BN690" s="49"/>
      <c r="BO690" s="49"/>
      <c r="BP690" s="56"/>
      <c r="BQ690" s="49"/>
      <c r="BR690" s="49"/>
      <c r="BT690" s="56"/>
      <c r="BU690" s="75"/>
      <c r="BW690" s="28"/>
      <c r="BX690" s="56"/>
      <c r="BY690" s="75"/>
      <c r="CB690" s="56"/>
      <c r="CC690" s="75"/>
      <c r="CF690" s="49"/>
      <c r="CG690" s="75"/>
      <c r="CJ690" s="49"/>
      <c r="CK690" s="75"/>
      <c r="CN690" s="49"/>
      <c r="CO690" s="75"/>
      <c r="CR690" s="387"/>
      <c r="CS690" s="25"/>
      <c r="CT690" s="25"/>
      <c r="CU690" s="25"/>
      <c r="CV690" s="387"/>
      <c r="CW690" s="25"/>
      <c r="CX690" s="25"/>
      <c r="CY690" s="25"/>
      <c r="CZ690" s="387"/>
      <c r="DA690" s="25"/>
      <c r="DB690" s="25"/>
      <c r="DC690" s="25"/>
      <c r="DD690" s="387"/>
      <c r="DE690" s="25"/>
      <c r="DF690" s="25"/>
      <c r="DG690" s="25"/>
      <c r="DH690" s="387"/>
      <c r="DI690" s="25"/>
      <c r="DJ690" s="25"/>
      <c r="DK690" s="25"/>
      <c r="DL690" s="387"/>
      <c r="DM690" s="25"/>
      <c r="DN690" s="25"/>
      <c r="DO690" s="25"/>
      <c r="DP690" s="387"/>
      <c r="DQ690" s="25"/>
      <c r="DR690" s="25"/>
      <c r="DS690" s="25"/>
      <c r="DT690" s="25"/>
      <c r="DU690" s="25"/>
    </row>
    <row r="691" spans="1:126" s="20" customFormat="1" ht="13.8">
      <c r="A691" s="20" t="s">
        <v>282</v>
      </c>
      <c r="B691" s="49"/>
      <c r="BH691" s="49"/>
      <c r="BI691" s="49"/>
      <c r="BJ691" s="49"/>
      <c r="BK691" s="49"/>
      <c r="BL691" s="65">
        <f>+BL693-BL692</f>
        <v>508</v>
      </c>
      <c r="BM691" s="65">
        <f>+BM693-BM692</f>
        <v>535</v>
      </c>
      <c r="BN691" s="65">
        <f>+BL691+BM691</f>
        <v>1043</v>
      </c>
      <c r="BO691" s="49"/>
      <c r="BP691" s="573">
        <v>507</v>
      </c>
      <c r="BQ691" s="573">
        <v>600</v>
      </c>
      <c r="BR691" s="65">
        <f>+BP691+BQ691</f>
        <v>1107</v>
      </c>
      <c r="BS691" s="75">
        <f>+BR691/BN691-1</f>
        <v>6.1361457334611735E-2</v>
      </c>
      <c r="BT691" s="65">
        <f>+BT693-BT692</f>
        <v>560</v>
      </c>
      <c r="BU691" s="65">
        <f>+BU693-BU692</f>
        <v>472</v>
      </c>
      <c r="BV691" s="65">
        <f>+BT691+BU691</f>
        <v>1032</v>
      </c>
      <c r="BW691" s="75">
        <f>+BV691/BR691-1</f>
        <v>-6.7750677506775103E-2</v>
      </c>
      <c r="BX691" s="65">
        <f>+BX693-BX692</f>
        <v>478</v>
      </c>
      <c r="BY691" s="65">
        <f>+BY693-BY692</f>
        <v>442</v>
      </c>
      <c r="BZ691" s="65">
        <f>+BX691+BY691</f>
        <v>920</v>
      </c>
      <c r="CA691" s="75">
        <f>+BZ691/BV691-1</f>
        <v>-0.10852713178294571</v>
      </c>
      <c r="CB691" s="65">
        <f>+CB693-CB692</f>
        <v>355</v>
      </c>
      <c r="CC691" s="65">
        <f>+CC693-CC692</f>
        <v>303</v>
      </c>
      <c r="CD691" s="65">
        <f>+CB691+CC691</f>
        <v>658</v>
      </c>
      <c r="CE691" s="75">
        <f>+CD691/BZ691-1</f>
        <v>-0.2847826086956522</v>
      </c>
      <c r="CF691" s="65">
        <f>+CF693-CF692</f>
        <v>280</v>
      </c>
      <c r="CG691" s="65">
        <f>+CG693-CG692</f>
        <v>211</v>
      </c>
      <c r="CH691" s="65">
        <f>+CF691+CG691</f>
        <v>491</v>
      </c>
      <c r="CI691" s="75">
        <f>+CH691/CD691-1</f>
        <v>-0.25379939209726443</v>
      </c>
      <c r="CJ691" s="65">
        <f>+CJ693-CJ692</f>
        <v>400</v>
      </c>
      <c r="CK691" s="65">
        <f>+CK693-CK692</f>
        <v>370</v>
      </c>
      <c r="CL691" s="65">
        <f>+CJ691+CK691</f>
        <v>770</v>
      </c>
      <c r="CM691" s="75">
        <f>+CL691/CH691-1</f>
        <v>0.56822810590631367</v>
      </c>
      <c r="CN691" s="65">
        <f>+CN693-CN692</f>
        <v>402</v>
      </c>
      <c r="CO691" s="65">
        <f>+CO693-CO692</f>
        <v>439</v>
      </c>
      <c r="CP691" s="65">
        <f>+CN691+CO691</f>
        <v>841</v>
      </c>
      <c r="CQ691" s="75">
        <f>+CP691/CL691-1</f>
        <v>9.2207792207792183E-2</v>
      </c>
      <c r="CR691" s="65">
        <f>+CR693-CR692</f>
        <v>416</v>
      </c>
      <c r="CS691" s="65">
        <f>+CS693-CS692</f>
        <v>291</v>
      </c>
      <c r="CT691" s="65">
        <f>+CR691+CS691</f>
        <v>707</v>
      </c>
      <c r="CU691" s="75">
        <f>+CT691/CP691-1</f>
        <v>-0.15933412604042807</v>
      </c>
      <c r="CV691" s="65">
        <f>+CV693-CV692</f>
        <v>164</v>
      </c>
      <c r="CW691" s="65">
        <f>+CW693-CW692</f>
        <v>20</v>
      </c>
      <c r="CX691" s="65">
        <f>+CV691+CW691</f>
        <v>184</v>
      </c>
      <c r="CY691" s="75">
        <f>+CX691/CT691-1</f>
        <v>-0.73974540311173975</v>
      </c>
      <c r="CZ691" s="65">
        <f>+CZ693-CZ692</f>
        <v>-64</v>
      </c>
      <c r="DA691" s="65">
        <f>+DA693-DA692</f>
        <v>-67</v>
      </c>
      <c r="DB691" s="65">
        <f>+CZ691+DA691</f>
        <v>-131</v>
      </c>
      <c r="DC691" s="75">
        <f>+DB691/CX691-1</f>
        <v>-1.7119565217391304</v>
      </c>
      <c r="DD691" s="65">
        <f>+DD693-DD692</f>
        <v>82</v>
      </c>
      <c r="DE691" s="65">
        <f>+DE693-DE692</f>
        <v>196</v>
      </c>
      <c r="DF691" s="65">
        <f>+DD691+DE691</f>
        <v>278</v>
      </c>
      <c r="DG691" s="75">
        <f>+DF691/DB691-1</f>
        <v>-3.1221374045801529</v>
      </c>
      <c r="DH691" s="65">
        <f>+DD691*(1+DH695)</f>
        <v>192.70000000000002</v>
      </c>
      <c r="DI691" s="65">
        <f>+DE691*(1+DI695)</f>
        <v>196</v>
      </c>
      <c r="DJ691" s="65">
        <f>+DH691+DI691</f>
        <v>388.70000000000005</v>
      </c>
      <c r="DK691" s="75">
        <f>+DJ691/DF691-1</f>
        <v>0.39820143884892101</v>
      </c>
      <c r="DL691" s="65">
        <f>+DH691*(1+DL695)</f>
        <v>196.55400000000003</v>
      </c>
      <c r="DM691" s="65">
        <f>+DI691*(1+DM695)</f>
        <v>199.92000000000002</v>
      </c>
      <c r="DN691" s="65">
        <f>+DL691+DM691</f>
        <v>396.47400000000005</v>
      </c>
      <c r="DO691" s="75">
        <f>+DN691/DJ691-1</f>
        <v>2.0000000000000018E-2</v>
      </c>
      <c r="DP691" s="65">
        <f>+DL691*(1+DP695)</f>
        <v>200.48508000000004</v>
      </c>
      <c r="DQ691" s="65">
        <f>+DM691*(1+DQ695)</f>
        <v>203.91840000000002</v>
      </c>
      <c r="DR691" s="65">
        <f>+DP691+DQ691</f>
        <v>404.40348000000006</v>
      </c>
      <c r="DS691" s="75">
        <f>+DR691/DN691-1</f>
        <v>2.0000000000000018E-2</v>
      </c>
      <c r="DT691" s="75"/>
      <c r="DU691" s="75"/>
      <c r="DV691" s="75"/>
    </row>
    <row r="692" spans="1:126" s="20" customFormat="1" ht="13.8">
      <c r="A692" s="20" t="s">
        <v>223</v>
      </c>
      <c r="B692" s="49"/>
      <c r="BH692" s="49"/>
      <c r="BI692" s="49"/>
      <c r="BJ692" s="49"/>
      <c r="BK692" s="49"/>
      <c r="BL692" s="65">
        <f>BL663</f>
        <v>720</v>
      </c>
      <c r="BM692" s="65">
        <f>BM663</f>
        <v>565</v>
      </c>
      <c r="BN692" s="65">
        <f>+BL692+BM692</f>
        <v>1285</v>
      </c>
      <c r="BO692" s="49"/>
      <c r="BP692" s="65">
        <f>+BP693-BP691</f>
        <v>675</v>
      </c>
      <c r="BQ692" s="65">
        <f>+BQ693-BQ691</f>
        <v>388</v>
      </c>
      <c r="BR692" s="65">
        <f>+BP692+BQ692</f>
        <v>1063</v>
      </c>
      <c r="BS692" s="75">
        <f>+BR692/BN692-1</f>
        <v>-0.17276264591439694</v>
      </c>
      <c r="BT692" s="65">
        <f>BT663</f>
        <v>401</v>
      </c>
      <c r="BU692" s="65">
        <f>BU663</f>
        <v>365</v>
      </c>
      <c r="BV692" s="65">
        <f>+BT692+BU692</f>
        <v>766</v>
      </c>
      <c r="BW692" s="75">
        <f>+BV692/BR692-1</f>
        <v>-0.27939793038570082</v>
      </c>
      <c r="BX692" s="65">
        <f>BX663</f>
        <v>886</v>
      </c>
      <c r="BY692" s="65">
        <f>BY663</f>
        <v>550</v>
      </c>
      <c r="BZ692" s="65">
        <f>+BX692+BY692</f>
        <v>1436</v>
      </c>
      <c r="CA692" s="75">
        <f>+BZ692/BV692-1</f>
        <v>0.87467362924281988</v>
      </c>
      <c r="CB692" s="65">
        <f>CB663</f>
        <v>552</v>
      </c>
      <c r="CC692" s="65">
        <f>CC663</f>
        <v>577</v>
      </c>
      <c r="CD692" s="65">
        <f>+CB692+CC692</f>
        <v>1129</v>
      </c>
      <c r="CE692" s="75">
        <f>+CD692/BZ692-1</f>
        <v>-0.21378830083565459</v>
      </c>
      <c r="CF692" s="65">
        <f>CF663</f>
        <v>667</v>
      </c>
      <c r="CG692" s="65">
        <f>CG663</f>
        <v>619</v>
      </c>
      <c r="CH692" s="65">
        <f>+CF692+CG692</f>
        <v>1286</v>
      </c>
      <c r="CI692" s="75">
        <f>+CH692/CD692-1</f>
        <v>0.13906111603188664</v>
      </c>
      <c r="CJ692" s="65">
        <f>CJ663</f>
        <v>764</v>
      </c>
      <c r="CK692" s="65">
        <f>CK663</f>
        <v>1120</v>
      </c>
      <c r="CL692" s="65">
        <f>+CJ692+CK692</f>
        <v>1884</v>
      </c>
      <c r="CM692" s="75">
        <f>+CL692/CH692-1</f>
        <v>0.46500777604976662</v>
      </c>
      <c r="CN692" s="65">
        <f>CN663</f>
        <v>638</v>
      </c>
      <c r="CO692" s="65">
        <f>CO663</f>
        <v>492</v>
      </c>
      <c r="CP692" s="65">
        <f>+CN692+CO692</f>
        <v>1130</v>
      </c>
      <c r="CQ692" s="75">
        <f>+CP692/CL692-1</f>
        <v>-0.4002123142250531</v>
      </c>
      <c r="CR692" s="65">
        <f>CR663</f>
        <v>396</v>
      </c>
      <c r="CS692" s="65">
        <f>CS663</f>
        <v>464</v>
      </c>
      <c r="CT692" s="65">
        <f>+CR692+CS692</f>
        <v>860</v>
      </c>
      <c r="CU692" s="75">
        <f>+CT692/CP692-1</f>
        <v>-0.23893805309734517</v>
      </c>
      <c r="CV692" s="65">
        <f>CV663</f>
        <v>985</v>
      </c>
      <c r="CW692" s="65">
        <f>CW663</f>
        <v>938</v>
      </c>
      <c r="CX692" s="65">
        <f>+CV692+CW692</f>
        <v>1923</v>
      </c>
      <c r="CY692" s="75">
        <f>+CX692/CT692-1</f>
        <v>1.2360465116279071</v>
      </c>
      <c r="CZ692" s="65">
        <f>CZ663</f>
        <v>1276</v>
      </c>
      <c r="DA692" s="65">
        <f>DA663</f>
        <v>1039</v>
      </c>
      <c r="DB692" s="65">
        <f>+CZ692+DA692</f>
        <v>2315</v>
      </c>
      <c r="DC692" s="75">
        <f>+DB692/CX692-1</f>
        <v>0.20384815392615696</v>
      </c>
      <c r="DD692" s="65">
        <f>DD663</f>
        <v>991</v>
      </c>
      <c r="DE692" s="65">
        <f>DE663</f>
        <v>870</v>
      </c>
      <c r="DF692" s="65">
        <f>+DD692+DE692</f>
        <v>1861</v>
      </c>
      <c r="DG692" s="75">
        <f>+DF692/DB692-1</f>
        <v>-0.19611231101511883</v>
      </c>
      <c r="DH692" s="65">
        <f>+DH693-DH691</f>
        <v>913.76</v>
      </c>
      <c r="DI692" s="65">
        <f>+DI693-DI691</f>
        <v>818.93</v>
      </c>
      <c r="DJ692" s="65">
        <f>+DH692+DI692</f>
        <v>1732.69</v>
      </c>
      <c r="DK692" s="75">
        <f>+DJ692/DF692-1</f>
        <v>-6.8946802794196627E-2</v>
      </c>
      <c r="DL692" s="65">
        <f>+DL693-DL691</f>
        <v>940.21019999999999</v>
      </c>
      <c r="DM692" s="65">
        <f>+DM693-DM691</f>
        <v>842.51909999999998</v>
      </c>
      <c r="DN692" s="65">
        <f>+DL692+DM692</f>
        <v>1782.7293</v>
      </c>
      <c r="DO692" s="75">
        <f>+DN692/DJ692-1</f>
        <v>2.8879545677530372E-2</v>
      </c>
      <c r="DP692" s="65">
        <f>+DP693-DP691</f>
        <v>967.43465400000002</v>
      </c>
      <c r="DQ692" s="65">
        <f>+DQ693-DQ691</f>
        <v>866.7962970000001</v>
      </c>
      <c r="DR692" s="65">
        <f>+DP692+DQ692</f>
        <v>1834.230951</v>
      </c>
      <c r="DS692" s="75">
        <f>+DR692/DN692-1</f>
        <v>2.8889215541585633E-2</v>
      </c>
      <c r="DT692" s="75"/>
      <c r="DU692" s="75"/>
      <c r="DV692" s="75"/>
    </row>
    <row r="693" spans="1:126" s="21" customFormat="1" ht="13.8">
      <c r="A693" s="21" t="s">
        <v>256</v>
      </c>
      <c r="B693" s="27"/>
      <c r="BH693" s="27"/>
      <c r="BI693" s="27"/>
      <c r="BJ693" s="27"/>
      <c r="BK693" s="27"/>
      <c r="BL693" s="440">
        <v>1228</v>
      </c>
      <c r="BM693" s="440">
        <v>1100</v>
      </c>
      <c r="BN693" s="72">
        <f>+BL693+BM693</f>
        <v>2328</v>
      </c>
      <c r="BO693" s="27"/>
      <c r="BP693" s="440">
        <f>BP725</f>
        <v>1182</v>
      </c>
      <c r="BQ693" s="440">
        <f>BQ725</f>
        <v>988</v>
      </c>
      <c r="BR693" s="72">
        <f>+BP693+BQ693</f>
        <v>2170</v>
      </c>
      <c r="BS693" s="79">
        <f>+BR693/BN693-1</f>
        <v>-6.7869415807560118E-2</v>
      </c>
      <c r="BT693" s="440">
        <v>961</v>
      </c>
      <c r="BU693" s="440">
        <v>837</v>
      </c>
      <c r="BV693" s="72">
        <f>+BT693+BU693</f>
        <v>1798</v>
      </c>
      <c r="BW693" s="79">
        <f>+BV693/BR693-1</f>
        <v>-0.17142857142857137</v>
      </c>
      <c r="BX693" s="440">
        <v>1364</v>
      </c>
      <c r="BY693" s="440">
        <v>992</v>
      </c>
      <c r="BZ693" s="72">
        <f>+BX693+BY693</f>
        <v>2356</v>
      </c>
      <c r="CA693" s="79">
        <f>+BZ693/BV693-1</f>
        <v>0.31034482758620685</v>
      </c>
      <c r="CB693" s="440">
        <v>907</v>
      </c>
      <c r="CC693" s="440">
        <v>880</v>
      </c>
      <c r="CD693" s="72">
        <f>+CB693+CC693</f>
        <v>1787</v>
      </c>
      <c r="CE693" s="79">
        <f>+CD693/BZ693-1</f>
        <v>-0.24151103565365029</v>
      </c>
      <c r="CF693" s="440">
        <v>947</v>
      </c>
      <c r="CG693" s="440">
        <v>830</v>
      </c>
      <c r="CH693" s="72">
        <f>+CF693+CG693</f>
        <v>1777</v>
      </c>
      <c r="CI693" s="79">
        <f>+CH693/CD693-1</f>
        <v>-5.5959709009513192E-3</v>
      </c>
      <c r="CJ693" s="440">
        <v>1164</v>
      </c>
      <c r="CK693" s="440">
        <v>1490</v>
      </c>
      <c r="CL693" s="72">
        <f>+CJ693+CK693</f>
        <v>2654</v>
      </c>
      <c r="CM693" s="79">
        <f>+CL693/CH693-1</f>
        <v>0.49352841868317388</v>
      </c>
      <c r="CN693" s="440">
        <v>1040</v>
      </c>
      <c r="CO693" s="440">
        <v>931</v>
      </c>
      <c r="CP693" s="72">
        <f>+CN693+CO693</f>
        <v>1971</v>
      </c>
      <c r="CQ693" s="79">
        <f>+CP693/CL693-1</f>
        <v>-0.25734740015071589</v>
      </c>
      <c r="CR693" s="440">
        <v>812</v>
      </c>
      <c r="CS693" s="440">
        <v>755</v>
      </c>
      <c r="CT693" s="72">
        <f>+CR693+CS693</f>
        <v>1567</v>
      </c>
      <c r="CU693" s="79">
        <f>+CT693/CP693-1</f>
        <v>-0.20497209538305428</v>
      </c>
      <c r="CV693" s="440">
        <v>1149</v>
      </c>
      <c r="CW693" s="440">
        <v>958</v>
      </c>
      <c r="CX693" s="72">
        <f>+CV693+CW693</f>
        <v>2107</v>
      </c>
      <c r="CY693" s="79">
        <f>+CX693/CT693-1</f>
        <v>0.34460753031269942</v>
      </c>
      <c r="CZ693" s="440">
        <v>1212</v>
      </c>
      <c r="DA693" s="440">
        <v>972</v>
      </c>
      <c r="DB693" s="72">
        <f>+CZ693+DA693</f>
        <v>2184</v>
      </c>
      <c r="DC693" s="79">
        <f>+DB693/CX693-1</f>
        <v>3.6544850498338777E-2</v>
      </c>
      <c r="DD693" s="440">
        <v>1073</v>
      </c>
      <c r="DE693" s="440">
        <v>1066</v>
      </c>
      <c r="DF693" s="72">
        <f>+DD693+DE693</f>
        <v>2139</v>
      </c>
      <c r="DG693" s="79">
        <f>+DF693/DB693-1</f>
        <v>-2.0604395604395642E-2</v>
      </c>
      <c r="DH693" s="72">
        <f>DH725</f>
        <v>1106.46</v>
      </c>
      <c r="DI693" s="72">
        <f>DI725</f>
        <v>1014.93</v>
      </c>
      <c r="DJ693" s="72">
        <f>+DH693+DI693</f>
        <v>2121.39</v>
      </c>
      <c r="DK693" s="79">
        <f>+DJ693/DF693-1</f>
        <v>-8.2328190743338192E-3</v>
      </c>
      <c r="DL693" s="72">
        <f>DL725</f>
        <v>1136.7642000000001</v>
      </c>
      <c r="DM693" s="72">
        <f>DM725</f>
        <v>1042.4391000000001</v>
      </c>
      <c r="DN693" s="72">
        <f>+DL693+DM693</f>
        <v>2179.2033000000001</v>
      </c>
      <c r="DO693" s="79">
        <f>+DN693/DJ693-1</f>
        <v>2.7252556107080883E-2</v>
      </c>
      <c r="DP693" s="72">
        <f>DP725</f>
        <v>1167.9197340000001</v>
      </c>
      <c r="DQ693" s="72">
        <f>DQ725</f>
        <v>1070.7146970000001</v>
      </c>
      <c r="DR693" s="72">
        <f>+DP693+DQ693</f>
        <v>2238.6344310000004</v>
      </c>
      <c r="DS693" s="79">
        <f>+DR693/DN693-1</f>
        <v>2.7271953470334953E-2</v>
      </c>
      <c r="DT693" s="79"/>
      <c r="DU693" s="79"/>
      <c r="DV693" s="79"/>
    </row>
    <row r="694" spans="1:126" s="21" customFormat="1" ht="13.8">
      <c r="A694" s="78" t="s">
        <v>127</v>
      </c>
      <c r="B694" s="27"/>
      <c r="BH694" s="27"/>
      <c r="BI694" s="27"/>
      <c r="BJ694" s="27"/>
      <c r="BK694" s="27"/>
      <c r="BL694" s="440"/>
      <c r="BM694" s="440"/>
      <c r="BN694" s="72"/>
      <c r="BO694" s="27"/>
      <c r="BP694" s="440"/>
      <c r="BQ694" s="440"/>
      <c r="BR694" s="72"/>
      <c r="BS694" s="79"/>
      <c r="BT694" s="440"/>
      <c r="BU694" s="440"/>
      <c r="BV694" s="72"/>
      <c r="BW694" s="79"/>
      <c r="BX694" s="440"/>
      <c r="BY694" s="440"/>
      <c r="BZ694" s="72"/>
      <c r="CA694" s="79"/>
      <c r="CB694" s="440"/>
      <c r="CC694" s="440"/>
      <c r="CD694" s="72"/>
      <c r="CE694" s="79"/>
      <c r="CF694" s="440"/>
      <c r="CG694" s="440"/>
      <c r="CH694" s="72"/>
      <c r="CI694" s="79"/>
      <c r="CJ694" s="440"/>
      <c r="CK694" s="72"/>
      <c r="CL694" s="72"/>
      <c r="CM694" s="79"/>
      <c r="CN694" s="440"/>
      <c r="CO694" s="72"/>
      <c r="CP694" s="72"/>
      <c r="CQ694" s="79"/>
      <c r="CR694" s="440"/>
      <c r="CS694" s="72"/>
      <c r="CT694" s="72"/>
      <c r="CU694" s="79"/>
      <c r="CV694" s="440"/>
      <c r="CW694" s="72"/>
      <c r="CX694" s="72"/>
      <c r="CY694" s="440"/>
      <c r="CZ694" s="440"/>
      <c r="DA694" s="72"/>
      <c r="DB694" s="72"/>
      <c r="DC694" s="440"/>
      <c r="DD694" s="440"/>
      <c r="DE694" s="72"/>
      <c r="DF694" s="72"/>
      <c r="DG694" s="1262"/>
      <c r="DH694" s="607"/>
      <c r="DI694" s="607"/>
      <c r="DJ694" s="607"/>
      <c r="DK694" s="1262"/>
      <c r="DL694" s="607"/>
      <c r="DM694" s="607"/>
      <c r="DN694" s="607"/>
      <c r="DO694" s="1262"/>
      <c r="DP694" s="607"/>
      <c r="DQ694" s="607"/>
      <c r="DR694" s="607"/>
      <c r="DS694" s="1262"/>
      <c r="DT694" s="79"/>
      <c r="DU694" s="79"/>
      <c r="DV694" s="79"/>
    </row>
    <row r="695" spans="1:126" s="20" customFormat="1" ht="13.8">
      <c r="A695" s="335" t="str">
        <f>A691</f>
        <v>Net Interest Income</v>
      </c>
      <c r="B695" s="324"/>
      <c r="C695" s="325"/>
      <c r="D695" s="325"/>
      <c r="E695" s="325"/>
      <c r="F695" s="325"/>
      <c r="G695" s="325"/>
      <c r="H695" s="325"/>
      <c r="I695" s="325"/>
      <c r="J695" s="325"/>
      <c r="K695" s="325"/>
      <c r="L695" s="325"/>
      <c r="M695" s="325"/>
      <c r="N695" s="325"/>
      <c r="O695" s="325"/>
      <c r="P695" s="325"/>
      <c r="Q695" s="325"/>
      <c r="R695" s="325"/>
      <c r="S695" s="325"/>
      <c r="T695" s="325"/>
      <c r="U695" s="325"/>
      <c r="V695" s="325"/>
      <c r="W695" s="325"/>
      <c r="X695" s="325"/>
      <c r="Y695" s="325"/>
      <c r="Z695" s="325"/>
      <c r="AA695" s="325"/>
      <c r="AB695" s="325"/>
      <c r="AC695" s="325"/>
      <c r="AD695" s="325"/>
      <c r="AE695" s="325"/>
      <c r="AF695" s="325"/>
      <c r="AG695" s="325"/>
      <c r="AH695" s="325"/>
      <c r="AI695" s="325"/>
      <c r="AJ695" s="325"/>
      <c r="AK695" s="325"/>
      <c r="AL695" s="325"/>
      <c r="AM695" s="325"/>
      <c r="AN695" s="325"/>
      <c r="AO695" s="325"/>
      <c r="AP695" s="325"/>
      <c r="AQ695" s="325"/>
      <c r="AR695" s="325"/>
      <c r="AS695" s="325"/>
      <c r="AT695" s="325"/>
      <c r="AU695" s="325"/>
      <c r="AV695" s="325"/>
      <c r="AW695" s="325"/>
      <c r="AX695" s="325"/>
      <c r="AY695" s="325"/>
      <c r="AZ695" s="325"/>
      <c r="BA695" s="325"/>
      <c r="BB695" s="325"/>
      <c r="BC695" s="325"/>
      <c r="BD695" s="325"/>
      <c r="BE695" s="325"/>
      <c r="BF695" s="325"/>
      <c r="BG695" s="325"/>
      <c r="BH695" s="324"/>
      <c r="BI695" s="324"/>
      <c r="BJ695" s="324"/>
      <c r="BK695" s="324"/>
      <c r="BL695" s="395"/>
      <c r="BM695" s="395"/>
      <c r="BN695" s="324"/>
      <c r="BO695" s="324"/>
      <c r="BP695" s="345">
        <f t="shared" ref="BP695:BT697" si="1073">+BP691/BL691-1</f>
        <v>-1.9685039370078705E-3</v>
      </c>
      <c r="BQ695" s="345">
        <f t="shared" si="1073"/>
        <v>0.12149532710280364</v>
      </c>
      <c r="BR695" s="345">
        <f t="shared" si="1073"/>
        <v>6.1361457334611735E-2</v>
      </c>
      <c r="BS695" s="325"/>
      <c r="BT695" s="345">
        <f t="shared" si="1073"/>
        <v>0.10453648915187386</v>
      </c>
      <c r="BU695" s="345">
        <f t="shared" ref="BU695:BV697" si="1074">+BU691/BQ691-1</f>
        <v>-0.21333333333333337</v>
      </c>
      <c r="BV695" s="345">
        <f t="shared" si="1074"/>
        <v>-6.7750677506775103E-2</v>
      </c>
      <c r="BW695" s="325"/>
      <c r="BX695" s="345">
        <f t="shared" ref="BX695:CB697" si="1075">+BX691/BT691-1</f>
        <v>-0.14642857142857146</v>
      </c>
      <c r="BY695" s="345">
        <f t="shared" si="1075"/>
        <v>-6.3559322033898358E-2</v>
      </c>
      <c r="BZ695" s="345">
        <f t="shared" si="1075"/>
        <v>-0.10852713178294571</v>
      </c>
      <c r="CA695" s="325"/>
      <c r="CB695" s="345">
        <f t="shared" si="1075"/>
        <v>-0.25732217573221761</v>
      </c>
      <c r="CC695" s="345">
        <f t="shared" ref="CC695:CD697" si="1076">+CC691/BY691-1</f>
        <v>-0.31447963800904977</v>
      </c>
      <c r="CD695" s="345">
        <f t="shared" si="1076"/>
        <v>-0.2847826086956522</v>
      </c>
      <c r="CE695" s="325"/>
      <c r="CF695" s="345">
        <f t="shared" ref="CF695:CJ697" si="1077">+CF691/CB691-1</f>
        <v>-0.21126760563380287</v>
      </c>
      <c r="CG695" s="345">
        <f t="shared" si="1077"/>
        <v>-0.30363036303630364</v>
      </c>
      <c r="CH695" s="345">
        <f t="shared" si="1077"/>
        <v>-0.25379939209726443</v>
      </c>
      <c r="CI695" s="325"/>
      <c r="CJ695" s="345">
        <f t="shared" si="1077"/>
        <v>0.4285714285714286</v>
      </c>
      <c r="CK695" s="345">
        <f t="shared" ref="CK695:CL697" si="1078">+CK691/CG691-1</f>
        <v>0.75355450236966814</v>
      </c>
      <c r="CL695" s="345">
        <f t="shared" si="1078"/>
        <v>0.56822810590631367</v>
      </c>
      <c r="CM695" s="325"/>
      <c r="CN695" s="345">
        <f t="shared" ref="CN695:CN697" si="1079">+CN691/CJ691-1</f>
        <v>4.9999999999998934E-3</v>
      </c>
      <c r="CO695" s="345">
        <f t="shared" ref="CO695:CO697" si="1080">+CO691/CK691-1</f>
        <v>0.18648648648648658</v>
      </c>
      <c r="CP695" s="345">
        <f t="shared" ref="CP695:CP697" si="1081">+CP691/CL691-1</f>
        <v>9.2207792207792183E-2</v>
      </c>
      <c r="CQ695" s="325"/>
      <c r="CR695" s="345">
        <f t="shared" ref="CR695:CR697" si="1082">+CR691/CN691-1</f>
        <v>3.4825870646766122E-2</v>
      </c>
      <c r="CS695" s="345">
        <f t="shared" ref="CS695:CS697" si="1083">+CS691/CO691-1</f>
        <v>-0.33712984054669703</v>
      </c>
      <c r="CT695" s="345">
        <f t="shared" ref="CT695:CT697" si="1084">+CT691/CP691-1</f>
        <v>-0.15933412604042807</v>
      </c>
      <c r="CU695" s="325"/>
      <c r="CV695" s="345">
        <f t="shared" ref="CV695:CV697" si="1085">+CV691/CR691-1</f>
        <v>-0.60576923076923084</v>
      </c>
      <c r="CW695" s="345">
        <f t="shared" ref="CW695:CW697" si="1086">+CW691/CS691-1</f>
        <v>-0.93127147766323026</v>
      </c>
      <c r="CX695" s="345">
        <f t="shared" ref="CX695:CX697" si="1087">+CX691/CT691-1</f>
        <v>-0.73974540311173975</v>
      </c>
      <c r="CY695" s="325"/>
      <c r="CZ695" s="345">
        <f t="shared" ref="CZ695:CZ697" si="1088">+CZ691/CV691-1</f>
        <v>-1.3902439024390243</v>
      </c>
      <c r="DA695" s="345">
        <f t="shared" ref="DA695:DA697" si="1089">+DA691/CW691-1</f>
        <v>-4.3499999999999996</v>
      </c>
      <c r="DB695" s="345">
        <f t="shared" ref="DB695:DB697" si="1090">+DB691/CX691-1</f>
        <v>-1.7119565217391304</v>
      </c>
      <c r="DC695" s="325"/>
      <c r="DD695" s="345">
        <f t="shared" ref="DD695:DD697" si="1091">+DD691/CZ691-1</f>
        <v>-2.28125</v>
      </c>
      <c r="DE695" s="345">
        <f t="shared" ref="DE695:DE697" si="1092">+DE691/DA691-1</f>
        <v>-3.9253731343283582</v>
      </c>
      <c r="DF695" s="345">
        <f t="shared" ref="DF695:DF697" si="1093">+DF691/DB691-1</f>
        <v>-3.1221374045801529</v>
      </c>
      <c r="DG695" s="325"/>
      <c r="DH695" s="346">
        <v>1.35</v>
      </c>
      <c r="DI695" s="346">
        <v>0</v>
      </c>
      <c r="DJ695" s="345"/>
      <c r="DK695" s="325"/>
      <c r="DL695" s="346">
        <v>0.02</v>
      </c>
      <c r="DM695" s="346">
        <v>0.02</v>
      </c>
      <c r="DN695" s="345"/>
      <c r="DO695" s="325"/>
      <c r="DP695" s="346">
        <v>0.02</v>
      </c>
      <c r="DQ695" s="346">
        <v>0.02</v>
      </c>
      <c r="DR695" s="345"/>
      <c r="DS695" s="325"/>
      <c r="DT695" s="325"/>
      <c r="DU695" s="325"/>
      <c r="DV695" s="325"/>
    </row>
    <row r="696" spans="1:126" s="21" customFormat="1" ht="13.8">
      <c r="A696" s="47" t="str">
        <f>A692</f>
        <v>Non Interest Income</v>
      </c>
      <c r="B696" s="27"/>
      <c r="BH696" s="27"/>
      <c r="BI696" s="27"/>
      <c r="BJ696" s="27"/>
      <c r="BK696" s="27"/>
      <c r="BL696" s="440"/>
      <c r="BM696" s="440"/>
      <c r="BN696" s="72"/>
      <c r="BO696" s="27"/>
      <c r="BP696" s="96">
        <f t="shared" si="1073"/>
        <v>-6.25E-2</v>
      </c>
      <c r="BQ696" s="96">
        <f t="shared" si="1073"/>
        <v>-0.31327433628318579</v>
      </c>
      <c r="BR696" s="96">
        <f t="shared" si="1073"/>
        <v>-0.17276264591439694</v>
      </c>
      <c r="BS696" s="79"/>
      <c r="BT696" s="96">
        <f t="shared" si="1073"/>
        <v>-0.40592592592592591</v>
      </c>
      <c r="BU696" s="96">
        <f t="shared" si="1074"/>
        <v>-5.9278350515463929E-2</v>
      </c>
      <c r="BV696" s="96">
        <f t="shared" si="1074"/>
        <v>-0.27939793038570082</v>
      </c>
      <c r="BW696" s="79"/>
      <c r="BX696" s="96">
        <f t="shared" si="1075"/>
        <v>1.2094763092269325</v>
      </c>
      <c r="BY696" s="96">
        <f t="shared" si="1075"/>
        <v>0.50684931506849318</v>
      </c>
      <c r="BZ696" s="96">
        <f t="shared" si="1075"/>
        <v>0.87467362924281988</v>
      </c>
      <c r="CA696" s="79"/>
      <c r="CB696" s="96">
        <f t="shared" si="1075"/>
        <v>-0.37697516930022579</v>
      </c>
      <c r="CC696" s="96">
        <f t="shared" si="1076"/>
        <v>4.9090909090909074E-2</v>
      </c>
      <c r="CD696" s="96">
        <f t="shared" si="1076"/>
        <v>-0.21378830083565459</v>
      </c>
      <c r="CE696" s="79"/>
      <c r="CF696" s="96">
        <f t="shared" si="1077"/>
        <v>0.20833333333333326</v>
      </c>
      <c r="CG696" s="96">
        <f t="shared" si="1077"/>
        <v>7.2790294627383068E-2</v>
      </c>
      <c r="CH696" s="96">
        <f t="shared" si="1077"/>
        <v>0.13906111603188664</v>
      </c>
      <c r="CI696" s="79"/>
      <c r="CJ696" s="96">
        <f t="shared" si="1077"/>
        <v>0.14542728635682156</v>
      </c>
      <c r="CK696" s="96">
        <f t="shared" si="1078"/>
        <v>0.80936995153473346</v>
      </c>
      <c r="CL696" s="96">
        <f t="shared" si="1078"/>
        <v>0.46500777604976662</v>
      </c>
      <c r="CM696" s="79"/>
      <c r="CN696" s="96">
        <f t="shared" si="1079"/>
        <v>-0.16492146596858637</v>
      </c>
      <c r="CO696" s="96">
        <f t="shared" si="1080"/>
        <v>-0.56071428571428572</v>
      </c>
      <c r="CP696" s="96">
        <f t="shared" si="1081"/>
        <v>-0.4002123142250531</v>
      </c>
      <c r="CQ696" s="79"/>
      <c r="CR696" s="96">
        <f t="shared" si="1082"/>
        <v>-0.37931034482758619</v>
      </c>
      <c r="CS696" s="96">
        <f t="shared" si="1083"/>
        <v>-5.6910569105691033E-2</v>
      </c>
      <c r="CT696" s="96">
        <f t="shared" si="1084"/>
        <v>-0.23893805309734517</v>
      </c>
      <c r="CU696" s="79"/>
      <c r="CV696" s="96">
        <f t="shared" si="1085"/>
        <v>1.4873737373737375</v>
      </c>
      <c r="CW696" s="96">
        <f t="shared" si="1086"/>
        <v>1.021551724137931</v>
      </c>
      <c r="CX696" s="96">
        <f t="shared" si="1087"/>
        <v>1.2360465116279071</v>
      </c>
      <c r="CY696" s="79"/>
      <c r="CZ696" s="96">
        <f t="shared" si="1088"/>
        <v>0.29543147208121834</v>
      </c>
      <c r="DA696" s="96">
        <f t="shared" si="1089"/>
        <v>0.10767590618336897</v>
      </c>
      <c r="DB696" s="96">
        <f t="shared" si="1090"/>
        <v>0.20384815392615696</v>
      </c>
      <c r="DC696" s="79"/>
      <c r="DD696" s="96">
        <f t="shared" si="1091"/>
        <v>-0.22335423197492166</v>
      </c>
      <c r="DE696" s="96">
        <f t="shared" si="1092"/>
        <v>-0.16265640038498552</v>
      </c>
      <c r="DF696" s="96">
        <f t="shared" si="1093"/>
        <v>-0.19611231101511883</v>
      </c>
      <c r="DG696" s="79"/>
      <c r="DH696" s="96">
        <f>+DH692/DD692-1</f>
        <v>-7.7941473259333982E-2</v>
      </c>
      <c r="DI696" s="96">
        <f>+DI692/DE692-1</f>
        <v>-5.8701149425287369E-2</v>
      </c>
      <c r="DJ696" s="96"/>
      <c r="DK696" s="79"/>
      <c r="DL696" s="96">
        <f>+DL692/DH692-1</f>
        <v>2.8946550516546932E-2</v>
      </c>
      <c r="DM696" s="96">
        <f>+DM692/DI692-1</f>
        <v>2.8804781849486538E-2</v>
      </c>
      <c r="DN696" s="96"/>
      <c r="DO696" s="79"/>
      <c r="DP696" s="96">
        <f>+DP692/DL692-1</f>
        <v>2.8955710116737698E-2</v>
      </c>
      <c r="DQ696" s="96">
        <f>+DQ692/DM692-1</f>
        <v>2.8815010840703925E-2</v>
      </c>
      <c r="DR696" s="96"/>
      <c r="DS696" s="79"/>
      <c r="DT696" s="79"/>
      <c r="DU696" s="79"/>
      <c r="DV696" s="79"/>
    </row>
    <row r="697" spans="1:126" s="21" customFormat="1" ht="13.8">
      <c r="A697" s="78" t="s">
        <v>256</v>
      </c>
      <c r="B697" s="27"/>
      <c r="BH697" s="27"/>
      <c r="BI697" s="27"/>
      <c r="BJ697" s="27"/>
      <c r="BK697" s="27"/>
      <c r="BL697" s="704"/>
      <c r="BM697" s="704"/>
      <c r="BN697" s="27"/>
      <c r="BO697" s="27"/>
      <c r="BP697" s="97">
        <f t="shared" si="1073"/>
        <v>-3.7459283387622166E-2</v>
      </c>
      <c r="BQ697" s="97">
        <f t="shared" si="1073"/>
        <v>-0.10181818181818181</v>
      </c>
      <c r="BR697" s="97">
        <f t="shared" si="1073"/>
        <v>-6.7869415807560118E-2</v>
      </c>
      <c r="BT697" s="97">
        <f t="shared" si="1073"/>
        <v>-0.18697123519458547</v>
      </c>
      <c r="BU697" s="97">
        <f t="shared" si="1074"/>
        <v>-0.15283400809716596</v>
      </c>
      <c r="BV697" s="97">
        <f t="shared" si="1074"/>
        <v>-0.17142857142857137</v>
      </c>
      <c r="BX697" s="97">
        <f t="shared" si="1075"/>
        <v>0.41935483870967749</v>
      </c>
      <c r="BY697" s="97">
        <f t="shared" si="1075"/>
        <v>0.18518518518518512</v>
      </c>
      <c r="BZ697" s="97">
        <f t="shared" si="1075"/>
        <v>0.31034482758620685</v>
      </c>
      <c r="CB697" s="97">
        <f t="shared" si="1075"/>
        <v>-0.33504398826979476</v>
      </c>
      <c r="CC697" s="97">
        <f t="shared" si="1076"/>
        <v>-0.11290322580645162</v>
      </c>
      <c r="CD697" s="97">
        <f t="shared" si="1076"/>
        <v>-0.24151103565365029</v>
      </c>
      <c r="CF697" s="97">
        <f t="shared" si="1077"/>
        <v>4.4101433296582115E-2</v>
      </c>
      <c r="CG697" s="97">
        <f t="shared" si="1077"/>
        <v>-5.6818181818181768E-2</v>
      </c>
      <c r="CH697" s="97">
        <f t="shared" si="1077"/>
        <v>-5.5959709009513192E-3</v>
      </c>
      <c r="CJ697" s="97">
        <f t="shared" si="1077"/>
        <v>0.2291446673706441</v>
      </c>
      <c r="CK697" s="97">
        <f t="shared" si="1078"/>
        <v>0.79518072289156616</v>
      </c>
      <c r="CL697" s="97">
        <f t="shared" si="1078"/>
        <v>0.49352841868317388</v>
      </c>
      <c r="CN697" s="97">
        <f t="shared" si="1079"/>
        <v>-0.10652920962199308</v>
      </c>
      <c r="CO697" s="97">
        <f t="shared" si="1080"/>
        <v>-0.37516778523489935</v>
      </c>
      <c r="CP697" s="97">
        <f t="shared" si="1081"/>
        <v>-0.25734740015071589</v>
      </c>
      <c r="CR697" s="97">
        <f t="shared" si="1082"/>
        <v>-0.21923076923076923</v>
      </c>
      <c r="CS697" s="97">
        <f t="shared" si="1083"/>
        <v>-0.18904403866809882</v>
      </c>
      <c r="CT697" s="97">
        <f t="shared" si="1084"/>
        <v>-0.20497209538305428</v>
      </c>
      <c r="CV697" s="97">
        <f t="shared" si="1085"/>
        <v>0.41502463054187189</v>
      </c>
      <c r="CW697" s="97">
        <f t="shared" si="1086"/>
        <v>0.26887417218543042</v>
      </c>
      <c r="CX697" s="97">
        <f t="shared" si="1087"/>
        <v>0.34460753031269942</v>
      </c>
      <c r="CZ697" s="97">
        <f t="shared" si="1088"/>
        <v>5.4830287206266259E-2</v>
      </c>
      <c r="DA697" s="97">
        <f t="shared" si="1089"/>
        <v>1.4613778705636848E-2</v>
      </c>
      <c r="DB697" s="97">
        <f t="shared" si="1090"/>
        <v>3.6544850498338777E-2</v>
      </c>
      <c r="DD697" s="97">
        <f t="shared" si="1091"/>
        <v>-0.11468646864686471</v>
      </c>
      <c r="DE697" s="97">
        <f t="shared" si="1092"/>
        <v>9.6707818930041212E-2</v>
      </c>
      <c r="DF697" s="97">
        <f t="shared" si="1093"/>
        <v>-2.0604395604395642E-2</v>
      </c>
      <c r="DH697" s="97">
        <f>+DH693/DD693-1</f>
        <v>3.1183597390493922E-2</v>
      </c>
      <c r="DI697" s="97">
        <f>+DI693/DE693-1</f>
        <v>-4.7908067542213884E-2</v>
      </c>
      <c r="DJ697" s="97">
        <f>+DJ693/DF693-1</f>
        <v>-8.2328190743338192E-3</v>
      </c>
      <c r="DL697" s="97">
        <f>+DL693/DH693-1</f>
        <v>2.73884279594383E-2</v>
      </c>
      <c r="DM697" s="97">
        <f>+DM693/DI693-1</f>
        <v>2.7104430847447736E-2</v>
      </c>
      <c r="DN697" s="97">
        <f>+DN693/DJ693-1</f>
        <v>2.7252556107080883E-2</v>
      </c>
      <c r="DP697" s="97">
        <f>+DP693/DL693-1</f>
        <v>2.7407208988460496E-2</v>
      </c>
      <c r="DQ697" s="97">
        <f>+DQ693/DM693-1</f>
        <v>2.7124459356906439E-2</v>
      </c>
      <c r="DR697" s="97">
        <f>+DR693/DN693-1</f>
        <v>2.7271953470334953E-2</v>
      </c>
    </row>
    <row r="698" spans="1:126" s="20" customFormat="1" ht="13.8">
      <c r="A698" s="20" t="s">
        <v>140</v>
      </c>
      <c r="B698" s="49"/>
      <c r="BH698" s="49"/>
      <c r="BI698" s="49"/>
      <c r="BJ698" s="49"/>
      <c r="BK698" s="49"/>
      <c r="BL698" s="56">
        <f>+BL691/BL693</f>
        <v>0.41368078175895767</v>
      </c>
      <c r="BM698" s="56">
        <f>+BM691/BM693</f>
        <v>0.48636363636363639</v>
      </c>
      <c r="BN698" s="56">
        <f>+BN691/BN693</f>
        <v>0.44802405498281789</v>
      </c>
      <c r="BO698" s="49"/>
      <c r="BP698" s="56">
        <f>+BP691/BP693</f>
        <v>0.42893401015228427</v>
      </c>
      <c r="BQ698" s="56">
        <f>+BQ691/BQ693</f>
        <v>0.60728744939271251</v>
      </c>
      <c r="BR698" s="56">
        <f>+BR691/BR693</f>
        <v>0.51013824884792625</v>
      </c>
      <c r="BT698" s="56">
        <f>+BT691/BT693</f>
        <v>0.58272632674297609</v>
      </c>
      <c r="BU698" s="56">
        <f>+BU691/BU693</f>
        <v>0.56391875746714459</v>
      </c>
      <c r="BV698" s="56">
        <f>+BV691/BV693</f>
        <v>0.57397107897664068</v>
      </c>
      <c r="BX698" s="56">
        <f>+BX691/BX693</f>
        <v>0.35043988269794724</v>
      </c>
      <c r="BY698" s="56">
        <f>+BY691/BY693</f>
        <v>0.44556451612903225</v>
      </c>
      <c r="BZ698" s="56">
        <f>+BZ691/BZ693</f>
        <v>0.39049235993208831</v>
      </c>
      <c r="CB698" s="56">
        <f>+CB691/CB693</f>
        <v>0.3914002205071665</v>
      </c>
      <c r="CC698" s="56">
        <f>+CC691/CC693</f>
        <v>0.3443181818181818</v>
      </c>
      <c r="CD698" s="56">
        <f>+CD691/CD693</f>
        <v>0.36821488528259655</v>
      </c>
      <c r="CF698" s="56">
        <f>+CF691/CF693</f>
        <v>0.29567053854276665</v>
      </c>
      <c r="CG698" s="56">
        <f>+CG691/CG693</f>
        <v>0.25421686746987954</v>
      </c>
      <c r="CH698" s="56">
        <f>+CH691/CH693</f>
        <v>0.27630838491840182</v>
      </c>
      <c r="CJ698" s="56">
        <f>+CJ691/CJ693</f>
        <v>0.3436426116838488</v>
      </c>
      <c r="CK698" s="56">
        <f>+CK691/CK693</f>
        <v>0.24832214765100671</v>
      </c>
      <c r="CL698" s="56">
        <f>+CL691/CL693</f>
        <v>0.2901281085154484</v>
      </c>
      <c r="CN698" s="56">
        <f>+CN691/CN693</f>
        <v>0.38653846153846155</v>
      </c>
      <c r="CO698" s="56">
        <f>+CO691/CO693</f>
        <v>0.4715359828141783</v>
      </c>
      <c r="CP698" s="56">
        <f>+CP691/CP693</f>
        <v>0.42668696093353625</v>
      </c>
      <c r="CR698" s="56">
        <f>+CR691/CR693</f>
        <v>0.51231527093596063</v>
      </c>
      <c r="CS698" s="56">
        <f>+CS691/CS693</f>
        <v>0.38543046357615895</v>
      </c>
      <c r="CT698" s="56">
        <f>+CT691/CT693</f>
        <v>0.45118059987236758</v>
      </c>
      <c r="CV698" s="56">
        <f>+CV691/CV693</f>
        <v>0.14273281114012185</v>
      </c>
      <c r="CW698" s="56">
        <f>+CW691/CW693</f>
        <v>2.0876826722338204E-2</v>
      </c>
      <c r="CX698" s="56">
        <f>+CX691/CX693</f>
        <v>8.7327954437588992E-2</v>
      </c>
      <c r="CZ698" s="56">
        <f>+CZ691/CZ693</f>
        <v>-5.2805280528052806E-2</v>
      </c>
      <c r="DA698" s="56">
        <f>+DA691/DA693</f>
        <v>-6.893004115226338E-2</v>
      </c>
      <c r="DB698" s="56">
        <f>+DB691/DB693</f>
        <v>-5.9981684981684984E-2</v>
      </c>
      <c r="DD698" s="56">
        <f>+DD691/DD693</f>
        <v>7.6421248835041936E-2</v>
      </c>
      <c r="DE698" s="56">
        <f>+DE691/DE693</f>
        <v>0.18386491557223264</v>
      </c>
      <c r="DF698" s="56">
        <f>+DF691/DF693</f>
        <v>0.12996727442730246</v>
      </c>
      <c r="DH698" s="56">
        <f>+DH691/DH693</f>
        <v>0.17415902969831717</v>
      </c>
      <c r="DI698" s="56">
        <f>+DI691/DI693</f>
        <v>0.1931167666735637</v>
      </c>
      <c r="DJ698" s="56">
        <f>+DJ691/DJ693</f>
        <v>0.18322892066051036</v>
      </c>
      <c r="DL698" s="56">
        <f>+DL691/DL693</f>
        <v>0.17290657112530464</v>
      </c>
      <c r="DM698" s="56">
        <f>+DM691/DM693</f>
        <v>0.19178098749365791</v>
      </c>
      <c r="DN698" s="56">
        <f>+DN691/DN693</f>
        <v>0.1819352971794784</v>
      </c>
      <c r="DP698" s="56">
        <f>+DP691/DP693</f>
        <v>0.17165998155828749</v>
      </c>
      <c r="DQ698" s="56">
        <f>+DQ691/DQ693</f>
        <v>0.19045073404834378</v>
      </c>
      <c r="DR698" s="56">
        <f>+DR691/DR693</f>
        <v>0.18064739575159333</v>
      </c>
    </row>
    <row r="699" spans="1:126" s="20" customFormat="1" ht="13.8">
      <c r="A699" s="20" t="s">
        <v>141</v>
      </c>
      <c r="B699" s="49"/>
      <c r="BH699" s="49"/>
      <c r="BI699" s="49"/>
      <c r="BJ699" s="49"/>
      <c r="BK699" s="49"/>
      <c r="BL699" s="56">
        <f>+BL692/BL693</f>
        <v>0.58631921824104238</v>
      </c>
      <c r="BM699" s="56">
        <f>+BM692/BM693</f>
        <v>0.51363636363636367</v>
      </c>
      <c r="BN699" s="56">
        <f>+BN692/BN693</f>
        <v>0.55197594501718217</v>
      </c>
      <c r="BO699" s="49"/>
      <c r="BP699" s="56">
        <f>+BP692/BP693</f>
        <v>0.57106598984771573</v>
      </c>
      <c r="BQ699" s="56">
        <f>+BQ692/BQ693</f>
        <v>0.39271255060728744</v>
      </c>
      <c r="BR699" s="56">
        <f>+BR692/BR693</f>
        <v>0.48986175115207375</v>
      </c>
      <c r="BT699" s="56">
        <f>+BT692/BT693</f>
        <v>0.41727367325702391</v>
      </c>
      <c r="BU699" s="56">
        <f>+BU692/BU693</f>
        <v>0.43608124253285546</v>
      </c>
      <c r="BV699" s="56">
        <f>+BV692/BV693</f>
        <v>0.42602892102335926</v>
      </c>
      <c r="BX699" s="56">
        <f>+BX692/BX693</f>
        <v>0.64956011730205276</v>
      </c>
      <c r="BY699" s="56">
        <f>+BY692/BY693</f>
        <v>0.55443548387096775</v>
      </c>
      <c r="BZ699" s="56">
        <f>+BZ692/BZ693</f>
        <v>0.60950764006791169</v>
      </c>
      <c r="CB699" s="56">
        <f>+CB692/CB693</f>
        <v>0.6085997794928335</v>
      </c>
      <c r="CC699" s="56">
        <f>+CC692/CC693</f>
        <v>0.65568181818181814</v>
      </c>
      <c r="CD699" s="56">
        <f>+CD692/CD693</f>
        <v>0.63178511471740351</v>
      </c>
      <c r="CF699" s="56">
        <f>+CF692/CF693</f>
        <v>0.70432946145723341</v>
      </c>
      <c r="CG699" s="56">
        <f>+CG692/CG693</f>
        <v>0.74578313253012052</v>
      </c>
      <c r="CH699" s="56">
        <f>+CH692/CH693</f>
        <v>0.72369161508159818</v>
      </c>
      <c r="CJ699" s="56">
        <f>+CJ692/CJ693</f>
        <v>0.6563573883161512</v>
      </c>
      <c r="CK699" s="56">
        <f>+CK692/CK693</f>
        <v>0.75167785234899331</v>
      </c>
      <c r="CL699" s="56">
        <f>+CL692/CL693</f>
        <v>0.70987189148455165</v>
      </c>
      <c r="CN699" s="56">
        <f>+CN692/CN693</f>
        <v>0.6134615384615385</v>
      </c>
      <c r="CO699" s="56">
        <f>+CO692/CO693</f>
        <v>0.5284640171858217</v>
      </c>
      <c r="CP699" s="56">
        <f>+CP692/CP693</f>
        <v>0.57331303906646369</v>
      </c>
      <c r="CR699" s="56">
        <f>+CR692/CR693</f>
        <v>0.48768472906403942</v>
      </c>
      <c r="CS699" s="56">
        <f>+CS692/CS693</f>
        <v>0.61456953642384105</v>
      </c>
      <c r="CT699" s="56">
        <f>+CT692/CT693</f>
        <v>0.54881940012763242</v>
      </c>
      <c r="CV699" s="56">
        <f>+CV692/CV693</f>
        <v>0.85726718885987818</v>
      </c>
      <c r="CW699" s="56">
        <f>+CW692/CW693</f>
        <v>0.97912317327766174</v>
      </c>
      <c r="CX699" s="56">
        <f>+CX692/CX693</f>
        <v>0.91267204556241099</v>
      </c>
      <c r="CZ699" s="56">
        <f>+CZ692/CZ693</f>
        <v>1.0528052805280528</v>
      </c>
      <c r="DA699" s="56">
        <f>+DA692/DA693</f>
        <v>1.0689300411522633</v>
      </c>
      <c r="DB699" s="56">
        <f>+DB692/DB693</f>
        <v>1.059981684981685</v>
      </c>
      <c r="DD699" s="56">
        <f>+DD692/DD693</f>
        <v>0.92357875116495802</v>
      </c>
      <c r="DE699" s="56">
        <f>+DE692/DE693</f>
        <v>0.81613508442776739</v>
      </c>
      <c r="DF699" s="56">
        <f>+DF692/DF693</f>
        <v>0.87003272557269751</v>
      </c>
      <c r="DH699" s="56">
        <f>+DH692/DH693</f>
        <v>0.8258409703016828</v>
      </c>
      <c r="DI699" s="56">
        <f>+DI692/DI693</f>
        <v>0.8068832333264363</v>
      </c>
      <c r="DJ699" s="56">
        <f>+DJ692/DJ693</f>
        <v>0.81677107933948978</v>
      </c>
      <c r="DL699" s="56">
        <f>+DL692/DL693</f>
        <v>0.82709342887469528</v>
      </c>
      <c r="DM699" s="56">
        <f>+DM692/DM693</f>
        <v>0.80821901250634198</v>
      </c>
      <c r="DN699" s="56">
        <f>+DN692/DN693</f>
        <v>0.81806470282052157</v>
      </c>
      <c r="DP699" s="56">
        <f>+DP692/DP693</f>
        <v>0.82834001844171257</v>
      </c>
      <c r="DQ699" s="56">
        <f>+DQ692/DQ693</f>
        <v>0.80954926595165622</v>
      </c>
      <c r="DR699" s="56">
        <f>+DR692/DR693</f>
        <v>0.8193526042484065</v>
      </c>
    </row>
    <row r="700" spans="1:126" s="47" customFormat="1" ht="13.8">
      <c r="A700" s="47" t="s">
        <v>1147</v>
      </c>
      <c r="B700" s="92"/>
      <c r="BH700" s="92"/>
      <c r="BI700" s="92"/>
      <c r="BJ700" s="92"/>
      <c r="BK700" s="92"/>
      <c r="BL700" s="436"/>
      <c r="BM700" s="436"/>
      <c r="BN700" s="436"/>
      <c r="BO700" s="92"/>
      <c r="BP700" s="436"/>
      <c r="BQ700" s="436"/>
      <c r="BR700" s="436"/>
      <c r="BT700" s="436">
        <f>+BT693/BV693</f>
        <v>0.53448275862068961</v>
      </c>
      <c r="BU700" s="436">
        <f>100%-BT700</f>
        <v>0.46551724137931039</v>
      </c>
      <c r="BV700" s="436"/>
      <c r="BX700" s="436">
        <f>+BX693/BZ693</f>
        <v>0.57894736842105265</v>
      </c>
      <c r="BY700" s="436">
        <f>100%-BX700</f>
        <v>0.42105263157894735</v>
      </c>
      <c r="BZ700" s="436"/>
      <c r="CB700" s="436">
        <f>+CB693/CD693</f>
        <v>0.50755456071628424</v>
      </c>
      <c r="CC700" s="436">
        <f>100%-CB700</f>
        <v>0.49244543928371576</v>
      </c>
      <c r="CD700" s="436"/>
      <c r="CF700" s="436">
        <f>+CF693/CH693</f>
        <v>0.53292065278559375</v>
      </c>
      <c r="CG700" s="436">
        <f>100%-CF700</f>
        <v>0.46707934721440625</v>
      </c>
      <c r="CH700" s="436"/>
      <c r="CJ700" s="436">
        <f>+CJ693/CL693</f>
        <v>0.43858327053504143</v>
      </c>
      <c r="CK700" s="436">
        <f>100%-CJ700</f>
        <v>0.56141672946495857</v>
      </c>
      <c r="CL700" s="436"/>
      <c r="CN700" s="436">
        <f>+CN693/CP693</f>
        <v>0.52765093860984269</v>
      </c>
      <c r="CO700" s="436">
        <f>100%-CN700</f>
        <v>0.47234906139015731</v>
      </c>
      <c r="CP700" s="436"/>
      <c r="CR700" s="436">
        <f>+CR693/CT693</f>
        <v>0.51818761965539251</v>
      </c>
      <c r="CS700" s="436">
        <f>100%-CR700</f>
        <v>0.48181238034460749</v>
      </c>
      <c r="CT700" s="436"/>
      <c r="CV700" s="436">
        <f>+CV693/CX693</f>
        <v>0.54532510678690083</v>
      </c>
      <c r="CW700" s="436">
        <f>100%-CV700</f>
        <v>0.45467489321309917</v>
      </c>
      <c r="CX700" s="436"/>
      <c r="CZ700" s="436">
        <f>+CZ693/DB693</f>
        <v>0.55494505494505497</v>
      </c>
      <c r="DA700" s="436">
        <f>100%-CZ700</f>
        <v>0.44505494505494503</v>
      </c>
      <c r="DB700" s="436"/>
      <c r="DD700" s="436">
        <f>+DD693/DF693</f>
        <v>0.50163627863487614</v>
      </c>
      <c r="DE700" s="436">
        <f>100%-DD700</f>
        <v>0.49836372136512386</v>
      </c>
      <c r="DF700" s="436"/>
      <c r="DH700" s="436">
        <f>+DH693/DJ693</f>
        <v>0.52157311951126384</v>
      </c>
      <c r="DI700" s="436">
        <f>100%-DH700</f>
        <v>0.47842688048873616</v>
      </c>
      <c r="DJ700" s="436"/>
      <c r="DL700" s="436">
        <f>+DL693/DN693</f>
        <v>0.52164210654416687</v>
      </c>
      <c r="DM700" s="436">
        <f>100%-DL700</f>
        <v>0.47835789345583313</v>
      </c>
      <c r="DN700" s="436"/>
      <c r="DP700" s="436">
        <f>+DP693/DR693</f>
        <v>0.52171078842841212</v>
      </c>
      <c r="DQ700" s="436">
        <f>100%-DP700</f>
        <v>0.47828921157158788</v>
      </c>
      <c r="DR700" s="436"/>
    </row>
    <row r="701" spans="1:126" s="20" customFormat="1" ht="13.8">
      <c r="B701" s="49"/>
      <c r="BH701" s="49"/>
      <c r="BI701" s="49"/>
      <c r="BJ701" s="49"/>
      <c r="BK701" s="49"/>
      <c r="BL701" s="49"/>
      <c r="BM701" s="49"/>
      <c r="BN701" s="49"/>
      <c r="BO701" s="49"/>
      <c r="BP701" s="56"/>
      <c r="BQ701" s="49"/>
      <c r="BR701" s="49"/>
      <c r="BT701" s="56"/>
      <c r="BX701" s="56"/>
      <c r="CB701" s="56"/>
      <c r="CF701" s="56"/>
      <c r="CJ701" s="56"/>
      <c r="CN701" s="56"/>
      <c r="CR701" s="56"/>
      <c r="CV701" s="56"/>
      <c r="CZ701" s="56"/>
      <c r="DD701" s="56"/>
    </row>
    <row r="702" spans="1:126" s="20" customFormat="1" ht="13.8">
      <c r="A702" s="21" t="s">
        <v>139</v>
      </c>
      <c r="B702" s="49"/>
      <c r="BH702" s="49"/>
      <c r="BI702" s="49"/>
      <c r="BJ702" s="49"/>
      <c r="BK702" s="49"/>
      <c r="BL702" s="49"/>
      <c r="BM702" s="49"/>
      <c r="BN702" s="49"/>
      <c r="BO702" s="49"/>
      <c r="BP702" s="56"/>
      <c r="BQ702" s="49"/>
      <c r="BR702" s="49"/>
      <c r="BT702" s="56"/>
      <c r="BX702" s="56"/>
      <c r="CB702" s="56"/>
      <c r="CF702" s="56"/>
      <c r="CJ702" s="56"/>
      <c r="CN702" s="56"/>
      <c r="CR702" s="56"/>
      <c r="CV702" s="56"/>
      <c r="CZ702" s="56"/>
      <c r="DD702" s="56"/>
      <c r="DH702" s="49"/>
      <c r="DL702" s="49"/>
      <c r="DP702" s="49"/>
    </row>
    <row r="703" spans="1:126" s="20" customFormat="1" ht="13.8">
      <c r="A703" s="20" t="s">
        <v>730</v>
      </c>
      <c r="B703" s="49"/>
      <c r="BH703" s="49"/>
      <c r="BI703" s="49"/>
      <c r="BJ703" s="49"/>
      <c r="BK703" s="49"/>
      <c r="BL703" s="49"/>
      <c r="BM703" s="49"/>
      <c r="BN703" s="49"/>
      <c r="BO703" s="49"/>
      <c r="BP703" s="56"/>
      <c r="BQ703" s="49"/>
      <c r="BR703" s="49"/>
      <c r="BT703" s="56"/>
      <c r="BX703" s="56"/>
      <c r="CB703" s="56"/>
      <c r="CF703" s="603">
        <v>326</v>
      </c>
      <c r="CG703" s="603">
        <v>284</v>
      </c>
      <c r="CH703" s="65">
        <f>+CG703+CF703</f>
        <v>610</v>
      </c>
      <c r="CJ703" s="603">
        <v>437</v>
      </c>
      <c r="CK703" s="603">
        <v>253</v>
      </c>
      <c r="CL703" s="65">
        <f>+CK703+CJ703</f>
        <v>690</v>
      </c>
      <c r="CN703" s="603">
        <v>307</v>
      </c>
      <c r="CO703" s="603">
        <v>262</v>
      </c>
      <c r="CP703" s="65">
        <f>+CO703+CN703</f>
        <v>569</v>
      </c>
      <c r="CR703" s="603">
        <v>324</v>
      </c>
      <c r="CS703" s="603">
        <v>381</v>
      </c>
      <c r="CT703" s="65">
        <f>+CS703+CR703</f>
        <v>705</v>
      </c>
      <c r="CV703" s="603">
        <v>407</v>
      </c>
      <c r="CW703" s="603">
        <v>370</v>
      </c>
      <c r="CX703" s="65">
        <f>+CW703+CV703</f>
        <v>777</v>
      </c>
      <c r="CZ703" s="603">
        <v>394</v>
      </c>
      <c r="DA703" s="603">
        <v>352</v>
      </c>
      <c r="DB703" s="65">
        <f>+DA703+CZ703</f>
        <v>746</v>
      </c>
      <c r="DD703" s="603">
        <v>370</v>
      </c>
      <c r="DE703" s="603">
        <v>376</v>
      </c>
      <c r="DF703" s="65">
        <f>+DE703+DD703</f>
        <v>746</v>
      </c>
    </row>
    <row r="704" spans="1:126" s="20" customFormat="1" ht="13.8">
      <c r="A704" s="20" t="s">
        <v>1033</v>
      </c>
      <c r="B704" s="49"/>
      <c r="BH704" s="49"/>
      <c r="BI704" s="49"/>
      <c r="BJ704" s="49"/>
      <c r="BK704" s="49"/>
      <c r="BL704" s="49"/>
      <c r="BM704" s="49"/>
      <c r="BN704" s="49"/>
      <c r="BO704" s="49"/>
      <c r="BP704" s="56"/>
      <c r="BQ704" s="49"/>
      <c r="BR704" s="49"/>
      <c r="BT704" s="56"/>
      <c r="BX704" s="56"/>
      <c r="CB704" s="56"/>
      <c r="CF704" s="603">
        <v>241</v>
      </c>
      <c r="CG704" s="603">
        <v>181</v>
      </c>
      <c r="CH704" s="65">
        <f>+CG704+CF704</f>
        <v>422</v>
      </c>
      <c r="CJ704" s="603">
        <v>290</v>
      </c>
      <c r="CK704" s="603">
        <v>338</v>
      </c>
      <c r="CL704" s="65">
        <f>+CK704+CJ704</f>
        <v>628</v>
      </c>
      <c r="CN704" s="603">
        <v>128</v>
      </c>
      <c r="CO704" s="603">
        <v>124</v>
      </c>
      <c r="CP704" s="65">
        <f>+CO704+CN704</f>
        <v>252</v>
      </c>
      <c r="CR704" s="603">
        <v>181</v>
      </c>
      <c r="CS704" s="603">
        <v>111</v>
      </c>
      <c r="CT704" s="65">
        <f>+CS704+CR704</f>
        <v>292</v>
      </c>
      <c r="CV704" s="603">
        <v>158</v>
      </c>
      <c r="CW704" s="603">
        <v>189</v>
      </c>
      <c r="CX704" s="65">
        <f>+CW704+CV704</f>
        <v>347</v>
      </c>
      <c r="CZ704" s="603">
        <v>232</v>
      </c>
      <c r="DA704" s="603">
        <v>164</v>
      </c>
      <c r="DB704" s="65">
        <f>+DA704+CZ704</f>
        <v>396</v>
      </c>
      <c r="DD704" s="603">
        <v>211</v>
      </c>
      <c r="DE704" s="603">
        <v>226</v>
      </c>
      <c r="DF704" s="65">
        <f>+DE704+DD704</f>
        <v>437</v>
      </c>
    </row>
    <row r="705" spans="1:126" s="20" customFormat="1" ht="13.8">
      <c r="A705" s="20" t="s">
        <v>1032</v>
      </c>
      <c r="B705" s="49"/>
      <c r="BH705" s="49"/>
      <c r="BI705" s="49"/>
      <c r="BJ705" s="49"/>
      <c r="BK705" s="49"/>
      <c r="BL705" s="49"/>
      <c r="BM705" s="49"/>
      <c r="BN705" s="49"/>
      <c r="BO705" s="49"/>
      <c r="BP705" s="56"/>
      <c r="BQ705" s="49"/>
      <c r="BR705" s="49"/>
      <c r="BT705" s="56"/>
      <c r="BX705" s="56"/>
      <c r="CB705" s="56"/>
      <c r="CF705" s="603">
        <v>87</v>
      </c>
      <c r="CG705" s="603">
        <v>88</v>
      </c>
      <c r="CH705" s="65">
        <f>+CG705+CF705</f>
        <v>175</v>
      </c>
      <c r="CJ705" s="603">
        <v>103</v>
      </c>
      <c r="CK705" s="603">
        <v>248</v>
      </c>
      <c r="CL705" s="65">
        <f>+CK705+CJ705</f>
        <v>351</v>
      </c>
      <c r="CN705" s="603">
        <v>139</v>
      </c>
      <c r="CO705" s="603">
        <v>61</v>
      </c>
      <c r="CP705" s="65">
        <f>+CO705+CN705</f>
        <v>200</v>
      </c>
      <c r="CR705" s="603">
        <v>32</v>
      </c>
      <c r="CS705" s="603">
        <v>53</v>
      </c>
      <c r="CT705" s="65">
        <f>+CS705+CR705</f>
        <v>85</v>
      </c>
      <c r="CV705" s="603">
        <v>112</v>
      </c>
      <c r="CW705" s="603">
        <v>76</v>
      </c>
      <c r="CX705" s="65">
        <f>+CW705+CV705</f>
        <v>188</v>
      </c>
      <c r="CZ705" s="603">
        <v>125</v>
      </c>
      <c r="DA705" s="603">
        <v>120</v>
      </c>
      <c r="DB705" s="65">
        <f>+DA705+CZ705</f>
        <v>245</v>
      </c>
      <c r="DD705" s="603">
        <v>114</v>
      </c>
      <c r="DE705" s="603">
        <v>102</v>
      </c>
      <c r="DF705" s="65">
        <f>+DE705+DD705</f>
        <v>216</v>
      </c>
    </row>
    <row r="706" spans="1:126" s="20" customFormat="1" ht="13.8">
      <c r="A706" s="20" t="s">
        <v>1034</v>
      </c>
      <c r="B706" s="49"/>
      <c r="BH706" s="49"/>
      <c r="BI706" s="49"/>
      <c r="BJ706" s="49"/>
      <c r="BK706" s="49"/>
      <c r="BL706" s="49"/>
      <c r="BM706" s="49"/>
      <c r="BN706" s="49"/>
      <c r="BO706" s="49"/>
      <c r="BP706" s="56"/>
      <c r="BQ706" s="49"/>
      <c r="BR706" s="49"/>
      <c r="BT706" s="56"/>
      <c r="BX706" s="56"/>
      <c r="CB706" s="56"/>
      <c r="CF706" s="603">
        <v>40</v>
      </c>
      <c r="CG706" s="603">
        <v>35</v>
      </c>
      <c r="CH706" s="65">
        <f>+CG706+CF706</f>
        <v>75</v>
      </c>
      <c r="CJ706" s="603">
        <v>72</v>
      </c>
      <c r="CK706" s="603">
        <v>52</v>
      </c>
      <c r="CL706" s="65">
        <f>+CK706+CJ706</f>
        <v>124</v>
      </c>
      <c r="CN706" s="603">
        <v>43</v>
      </c>
      <c r="CO706" s="603">
        <v>32</v>
      </c>
      <c r="CP706" s="65">
        <f>+CO706+CN706</f>
        <v>75</v>
      </c>
      <c r="CR706" s="603">
        <v>53</v>
      </c>
      <c r="CS706" s="603">
        <v>30</v>
      </c>
      <c r="CT706" s="65">
        <f>+CS706+CR706</f>
        <v>83</v>
      </c>
      <c r="CV706" s="603">
        <v>80</v>
      </c>
      <c r="CW706" s="603">
        <v>35</v>
      </c>
      <c r="CX706" s="65">
        <f>+CW706+CV706</f>
        <v>115</v>
      </c>
      <c r="CZ706" s="603">
        <v>118</v>
      </c>
      <c r="DA706" s="603">
        <v>45</v>
      </c>
      <c r="DB706" s="65">
        <f>+DA706+CZ706</f>
        <v>163</v>
      </c>
      <c r="DD706" s="603">
        <v>55</v>
      </c>
      <c r="DE706" s="603">
        <v>55</v>
      </c>
      <c r="DF706" s="65">
        <f>+DE706+DD706</f>
        <v>110</v>
      </c>
    </row>
    <row r="707" spans="1:126" s="20" customFormat="1" ht="13.8">
      <c r="A707" s="21" t="s">
        <v>1035</v>
      </c>
      <c r="B707" s="49"/>
      <c r="BH707" s="49"/>
      <c r="BI707" s="49"/>
      <c r="BJ707" s="49"/>
      <c r="BK707" s="49"/>
      <c r="BL707" s="49"/>
      <c r="BM707" s="49"/>
      <c r="BN707" s="49"/>
      <c r="BO707" s="49"/>
      <c r="BP707" s="56"/>
      <c r="BQ707" s="49"/>
      <c r="BR707" s="49"/>
      <c r="BT707" s="56"/>
      <c r="BX707" s="56"/>
      <c r="CB707" s="65">
        <f t="shared" ref="CB707:CC707" si="1094">+CB719+CB720</f>
        <v>615</v>
      </c>
      <c r="CC707" s="65">
        <f t="shared" si="1094"/>
        <v>606</v>
      </c>
      <c r="CD707" s="65">
        <f>+CD719+CD720</f>
        <v>1221</v>
      </c>
      <c r="CF707" s="72">
        <f>SUM(CF703:CF706)</f>
        <v>694</v>
      </c>
      <c r="CG707" s="72">
        <f>SUM(CG703:CG706)</f>
        <v>588</v>
      </c>
      <c r="CH707" s="72">
        <f>SUM(CH703:CH706)</f>
        <v>1282</v>
      </c>
      <c r="CJ707" s="72">
        <f>SUM(CJ703:CJ706)</f>
        <v>902</v>
      </c>
      <c r="CK707" s="72">
        <f>SUM(CK703:CK706)</f>
        <v>891</v>
      </c>
      <c r="CL707" s="72">
        <f>SUM(CL703:CL706)</f>
        <v>1793</v>
      </c>
      <c r="CN707" s="72">
        <f>SUM(CN703:CN706)</f>
        <v>617</v>
      </c>
      <c r="CO707" s="72">
        <f>SUM(CO703:CO706)</f>
        <v>479</v>
      </c>
      <c r="CP707" s="72">
        <f>SUM(CP703:CP706)</f>
        <v>1096</v>
      </c>
      <c r="CR707" s="72">
        <f>SUM(CR703:CR706)</f>
        <v>590</v>
      </c>
      <c r="CS707" s="72">
        <f>SUM(CS703:CS706)</f>
        <v>575</v>
      </c>
      <c r="CT707" s="72">
        <f>SUM(CT703:CT706)</f>
        <v>1165</v>
      </c>
      <c r="CU707" s="21"/>
      <c r="CV707" s="72">
        <f>SUM(CV703:CV706)</f>
        <v>757</v>
      </c>
      <c r="CW707" s="72">
        <f>SUM(CW703:CW706)</f>
        <v>670</v>
      </c>
      <c r="CX707" s="72">
        <f>SUM(CX703:CX706)</f>
        <v>1427</v>
      </c>
      <c r="CY707" s="21"/>
      <c r="CZ707" s="72">
        <f>SUM(CZ703:CZ706)</f>
        <v>869</v>
      </c>
      <c r="DA707" s="72">
        <f>SUM(DA703:DA706)</f>
        <v>681</v>
      </c>
      <c r="DB707" s="72">
        <f>SUM(DB703:DB706)</f>
        <v>1550</v>
      </c>
      <c r="DC707" s="21"/>
      <c r="DD707" s="72">
        <f>SUM(DD703:DD706)</f>
        <v>750</v>
      </c>
      <c r="DE707" s="72">
        <f>SUM(DE703:DE706)</f>
        <v>759</v>
      </c>
      <c r="DF707" s="72">
        <f>SUM(DF703:DF706)</f>
        <v>1509</v>
      </c>
      <c r="DH707" s="72">
        <f>+DD707*(1+DH714)</f>
        <v>817.50000000000011</v>
      </c>
      <c r="DI707" s="72">
        <f t="shared" ref="DI707:DI708" si="1095">+DE707*(1+DI714)</f>
        <v>721.05</v>
      </c>
      <c r="DJ707" s="72">
        <f>+DI707+DH707</f>
        <v>1538.5500000000002</v>
      </c>
      <c r="DL707" s="72">
        <f>+DH707*(1+DL714)</f>
        <v>842.02500000000009</v>
      </c>
      <c r="DM707" s="72">
        <f t="shared" ref="DM707:DM708" si="1096">+DI707*(1+DM714)</f>
        <v>742.68150000000003</v>
      </c>
      <c r="DN707" s="72">
        <f>+DM707+DL707</f>
        <v>1584.7065000000002</v>
      </c>
      <c r="DP707" s="72">
        <f>+DL707*(1+DP714)</f>
        <v>867.28575000000012</v>
      </c>
      <c r="DQ707" s="72">
        <f t="shared" ref="DQ707:DQ708" si="1097">+DM707*(1+DQ714)</f>
        <v>764.96194500000001</v>
      </c>
      <c r="DR707" s="72">
        <f>+DQ707+DP707</f>
        <v>1632.247695</v>
      </c>
    </row>
    <row r="708" spans="1:126" s="20" customFormat="1" ht="13.8">
      <c r="A708" s="20" t="s">
        <v>427</v>
      </c>
      <c r="B708" s="49"/>
      <c r="BH708" s="49"/>
      <c r="BI708" s="49"/>
      <c r="BJ708" s="49"/>
      <c r="BK708" s="49"/>
      <c r="BL708" s="49"/>
      <c r="BM708" s="49"/>
      <c r="BN708" s="49"/>
      <c r="BO708" s="49"/>
      <c r="BP708" s="56"/>
      <c r="BQ708" s="49"/>
      <c r="BR708" s="49"/>
      <c r="BT708" s="56"/>
      <c r="BX708" s="56"/>
      <c r="CB708" s="65">
        <f t="shared" ref="CB708:CC708" si="1098">CB721</f>
        <v>292</v>
      </c>
      <c r="CC708" s="65">
        <f t="shared" si="1098"/>
        <v>274</v>
      </c>
      <c r="CD708" s="65">
        <f>CD721</f>
        <v>566</v>
      </c>
      <c r="CF708" s="603">
        <v>256</v>
      </c>
      <c r="CG708" s="603">
        <v>190</v>
      </c>
      <c r="CH708" s="65">
        <f>+CG708+CF708</f>
        <v>446</v>
      </c>
      <c r="CJ708" s="603">
        <v>238</v>
      </c>
      <c r="CK708" s="603">
        <v>468</v>
      </c>
      <c r="CL708" s="65">
        <f>+CK708+CJ708</f>
        <v>706</v>
      </c>
      <c r="CN708" s="603">
        <v>402</v>
      </c>
      <c r="CO708" s="603">
        <v>445</v>
      </c>
      <c r="CP708" s="65">
        <f>+CO708+CN708</f>
        <v>847</v>
      </c>
      <c r="CR708" s="603">
        <v>223</v>
      </c>
      <c r="CS708" s="603">
        <v>206</v>
      </c>
      <c r="CT708" s="65">
        <f>+CS708+CR708</f>
        <v>429</v>
      </c>
      <c r="CV708" s="603">
        <v>356</v>
      </c>
      <c r="CW708" s="603">
        <v>270</v>
      </c>
      <c r="CX708" s="65">
        <f>+CW708+CV708</f>
        <v>626</v>
      </c>
      <c r="CZ708" s="603">
        <v>284</v>
      </c>
      <c r="DA708" s="603">
        <v>247</v>
      </c>
      <c r="DB708" s="65">
        <f>+DA708+CZ708</f>
        <v>531</v>
      </c>
      <c r="DD708" s="603">
        <v>301</v>
      </c>
      <c r="DE708" s="603">
        <v>316</v>
      </c>
      <c r="DF708" s="65">
        <f>+DE708+DD708</f>
        <v>617</v>
      </c>
      <c r="DH708" s="65">
        <f>+DD708*(1+DH715)</f>
        <v>288.95999999999998</v>
      </c>
      <c r="DI708" s="65">
        <f t="shared" si="1095"/>
        <v>293.88</v>
      </c>
      <c r="DJ708" s="65">
        <f>+DI708+DH708</f>
        <v>582.83999999999992</v>
      </c>
      <c r="DL708" s="65">
        <f>+DH708*(1+DL715)</f>
        <v>294.73919999999998</v>
      </c>
      <c r="DM708" s="65">
        <f t="shared" si="1096"/>
        <v>299.75760000000002</v>
      </c>
      <c r="DN708" s="65">
        <f>+DM708+DL708</f>
        <v>594.49680000000001</v>
      </c>
      <c r="DP708" s="65">
        <f>+DL708*(1+DP715)</f>
        <v>300.633984</v>
      </c>
      <c r="DQ708" s="65">
        <f t="shared" si="1097"/>
        <v>305.75275200000004</v>
      </c>
      <c r="DR708" s="65">
        <f>+DQ708+DP708</f>
        <v>606.38673600000004</v>
      </c>
    </row>
    <row r="709" spans="1:126" s="20" customFormat="1" ht="13.8">
      <c r="A709" s="21" t="s">
        <v>854</v>
      </c>
      <c r="B709" s="49"/>
      <c r="BH709" s="49"/>
      <c r="BI709" s="49"/>
      <c r="BJ709" s="49"/>
      <c r="BK709" s="49"/>
      <c r="BL709" s="49"/>
      <c r="BM709" s="49"/>
      <c r="BN709" s="49"/>
      <c r="BO709" s="49"/>
      <c r="BP709" s="56"/>
      <c r="BQ709" s="49"/>
      <c r="BR709" s="49"/>
      <c r="BT709" s="56"/>
      <c r="BX709" s="56"/>
      <c r="CB709" s="72">
        <f t="shared" ref="CB709:CC709" si="1099">SUM(CB707:CB708)</f>
        <v>907</v>
      </c>
      <c r="CC709" s="72">
        <f t="shared" si="1099"/>
        <v>880</v>
      </c>
      <c r="CD709" s="72">
        <f>SUM(CD707:CD708)</f>
        <v>1787</v>
      </c>
      <c r="CF709" s="72">
        <f>SUM(CF707:CF708)</f>
        <v>950</v>
      </c>
      <c r="CG709" s="72">
        <f>SUM(CG707:CG708)</f>
        <v>778</v>
      </c>
      <c r="CH709" s="72">
        <f>SUM(CH707:CH708)</f>
        <v>1728</v>
      </c>
      <c r="CJ709" s="72">
        <f>SUM(CJ707:CJ708)</f>
        <v>1140</v>
      </c>
      <c r="CK709" s="72">
        <f>SUM(CK707:CK708)</f>
        <v>1359</v>
      </c>
      <c r="CL709" s="72">
        <f>SUM(CL707:CL708)</f>
        <v>2499</v>
      </c>
      <c r="CN709" s="72">
        <f>SUM(CN707:CN708)</f>
        <v>1019</v>
      </c>
      <c r="CO709" s="72">
        <f>SUM(CO707:CO708)</f>
        <v>924</v>
      </c>
      <c r="CP709" s="72">
        <f>SUM(CP707:CP708)</f>
        <v>1943</v>
      </c>
      <c r="CR709" s="72">
        <f>SUM(CR707:CR708)</f>
        <v>813</v>
      </c>
      <c r="CS709" s="72">
        <f>SUM(CS707:CS708)</f>
        <v>781</v>
      </c>
      <c r="CT709" s="72">
        <f>SUM(CT707:CT708)</f>
        <v>1594</v>
      </c>
      <c r="CV709" s="72">
        <f>SUM(CV707:CV708)</f>
        <v>1113</v>
      </c>
      <c r="CW709" s="72">
        <f>SUM(CW707:CW708)</f>
        <v>940</v>
      </c>
      <c r="CX709" s="72">
        <f>SUM(CX707:CX708)</f>
        <v>2053</v>
      </c>
      <c r="CZ709" s="72">
        <f>SUM(CZ707:CZ708)</f>
        <v>1153</v>
      </c>
      <c r="DA709" s="72">
        <f>SUM(DA707:DA708)</f>
        <v>928</v>
      </c>
      <c r="DB709" s="72">
        <f>SUM(DB707:DB708)</f>
        <v>2081</v>
      </c>
      <c r="DD709" s="72">
        <f>SUM(DD707:DD708)</f>
        <v>1051</v>
      </c>
      <c r="DE709" s="72">
        <f>SUM(DE707:DE708)</f>
        <v>1075</v>
      </c>
      <c r="DF709" s="72">
        <f>SUM(DF707:DF708)</f>
        <v>2126</v>
      </c>
      <c r="DH709" s="72">
        <f>SUM(DH707:DH708)</f>
        <v>1106.46</v>
      </c>
      <c r="DI709" s="72">
        <f>SUM(DI707:DI708)</f>
        <v>1014.93</v>
      </c>
      <c r="DJ709" s="72">
        <f>SUM(DJ707:DJ708)</f>
        <v>2121.3900000000003</v>
      </c>
      <c r="DL709" s="72">
        <f>SUM(DL707:DL708)</f>
        <v>1136.7642000000001</v>
      </c>
      <c r="DM709" s="72">
        <f>SUM(DM707:DM708)</f>
        <v>1042.4391000000001</v>
      </c>
      <c r="DN709" s="72">
        <f>SUM(DN707:DN708)</f>
        <v>2179.2033000000001</v>
      </c>
      <c r="DP709" s="72">
        <f>SUM(DP707:DP708)</f>
        <v>1167.9197340000001</v>
      </c>
      <c r="DQ709" s="72">
        <f>SUM(DQ707:DQ708)</f>
        <v>1070.7146970000001</v>
      </c>
      <c r="DR709" s="72">
        <f>SUM(DR707:DR708)</f>
        <v>2238.6344309999999</v>
      </c>
    </row>
    <row r="710" spans="1:126" s="20" customFormat="1" ht="13.8">
      <c r="A710" s="20" t="s">
        <v>1084</v>
      </c>
      <c r="B710" s="49"/>
      <c r="BH710" s="49"/>
      <c r="BI710" s="49"/>
      <c r="BJ710" s="49"/>
      <c r="BK710" s="49"/>
      <c r="BL710" s="49"/>
      <c r="BM710" s="49"/>
      <c r="BN710" s="49"/>
      <c r="BO710" s="49"/>
      <c r="BP710" s="56"/>
      <c r="BQ710" s="49"/>
      <c r="BR710" s="49"/>
      <c r="BT710" s="56"/>
      <c r="BX710" s="56"/>
      <c r="CB710" s="65">
        <f>CB727</f>
        <v>11</v>
      </c>
      <c r="CC710" s="65">
        <f>CC727</f>
        <v>52</v>
      </c>
      <c r="CD710" s="65">
        <f>CD727</f>
        <v>63</v>
      </c>
      <c r="CF710" s="977">
        <f t="shared" ref="CF710:CG710" si="1100">CF727</f>
        <v>-10</v>
      </c>
      <c r="CG710" s="977">
        <f t="shared" si="1100"/>
        <v>48</v>
      </c>
      <c r="CH710" s="65">
        <f>+CG710+CF710</f>
        <v>38</v>
      </c>
      <c r="CJ710" s="977">
        <f t="shared" ref="CJ710:CK710" si="1101">CJ727</f>
        <v>24</v>
      </c>
      <c r="CK710" s="977">
        <f t="shared" si="1101"/>
        <v>131</v>
      </c>
      <c r="CL710" s="65">
        <f>+CK710+CJ710</f>
        <v>155</v>
      </c>
      <c r="CN710" s="977">
        <f>CN727</f>
        <v>21</v>
      </c>
      <c r="CO710" s="977">
        <f t="shared" ref="CO710" si="1102">CO727</f>
        <v>7</v>
      </c>
      <c r="CP710" s="65">
        <f>+CO710+CN710</f>
        <v>28</v>
      </c>
      <c r="CR710" s="977">
        <f>CR727</f>
        <v>-1</v>
      </c>
      <c r="CS710" s="977">
        <f t="shared" ref="CS710" si="1103">CS727</f>
        <v>-26</v>
      </c>
      <c r="CT710" s="65">
        <f>+CS710+CR710</f>
        <v>-27</v>
      </c>
      <c r="CV710" s="977">
        <f>CV727</f>
        <v>36</v>
      </c>
      <c r="CW710" s="977">
        <f t="shared" ref="CW710" si="1104">CW727</f>
        <v>18</v>
      </c>
      <c r="CX710" s="65">
        <f>+CW710+CV710</f>
        <v>54</v>
      </c>
      <c r="CZ710" s="977">
        <f>CZ727</f>
        <v>59</v>
      </c>
      <c r="DA710" s="977">
        <f t="shared" ref="DA710" si="1105">DA727</f>
        <v>44</v>
      </c>
      <c r="DB710" s="65">
        <f>+DA710+CZ710</f>
        <v>103</v>
      </c>
      <c r="DD710" s="977">
        <f>DD727</f>
        <v>22</v>
      </c>
      <c r="DE710" s="977">
        <f t="shared" ref="DE710" si="1106">DE727</f>
        <v>-9</v>
      </c>
      <c r="DF710" s="65">
        <f>+DE710+DD710</f>
        <v>13</v>
      </c>
      <c r="DH710" s="977">
        <f>DH727</f>
        <v>0</v>
      </c>
      <c r="DI710" s="977">
        <f t="shared" ref="DI710" si="1107">DI727</f>
        <v>0</v>
      </c>
      <c r="DJ710" s="65">
        <f>+DI710+DH710</f>
        <v>0</v>
      </c>
      <c r="DL710" s="977">
        <f>DL727</f>
        <v>0</v>
      </c>
      <c r="DM710" s="977">
        <f t="shared" ref="DM710" si="1108">DM727</f>
        <v>0</v>
      </c>
      <c r="DN710" s="65">
        <f>+DM710+DL710</f>
        <v>0</v>
      </c>
      <c r="DP710" s="977">
        <f>DP727</f>
        <v>0</v>
      </c>
      <c r="DQ710" s="977">
        <f t="shared" ref="DQ710" si="1109">DQ727</f>
        <v>0</v>
      </c>
      <c r="DR710" s="65">
        <f>+DQ710+DP710</f>
        <v>0</v>
      </c>
    </row>
    <row r="711" spans="1:126" s="20" customFormat="1" ht="13.8">
      <c r="A711" s="21" t="s">
        <v>529</v>
      </c>
      <c r="B711" s="49"/>
      <c r="BH711" s="49"/>
      <c r="BI711" s="49"/>
      <c r="BJ711" s="49"/>
      <c r="BK711" s="49"/>
      <c r="BL711" s="49"/>
      <c r="BM711" s="49"/>
      <c r="BN711" s="49"/>
      <c r="BO711" s="49"/>
      <c r="BP711" s="56"/>
      <c r="BQ711" s="49"/>
      <c r="BR711" s="49"/>
      <c r="BT711" s="56"/>
      <c r="BX711" s="56"/>
      <c r="CB711" s="72">
        <f t="shared" ref="CB711:CC711" si="1110">SUM(CB709:CB710)</f>
        <v>918</v>
      </c>
      <c r="CC711" s="72">
        <f t="shared" si="1110"/>
        <v>932</v>
      </c>
      <c r="CD711" s="72">
        <f>SUM(CD709:CD710)</f>
        <v>1850</v>
      </c>
      <c r="CF711" s="72">
        <f>SUM(CF709:CF710)</f>
        <v>940</v>
      </c>
      <c r="CG711" s="72">
        <f>SUM(CG709:CG710)</f>
        <v>826</v>
      </c>
      <c r="CH711" s="72">
        <f>SUM(CH709:CH710)</f>
        <v>1766</v>
      </c>
      <c r="CJ711" s="72">
        <f>SUM(CJ709:CJ710)</f>
        <v>1164</v>
      </c>
      <c r="CK711" s="72">
        <f>SUM(CK709:CK710)</f>
        <v>1490</v>
      </c>
      <c r="CL711" s="72">
        <f>SUM(CL709:CL710)</f>
        <v>2654</v>
      </c>
      <c r="CN711" s="72">
        <f>SUM(CN709:CN710)</f>
        <v>1040</v>
      </c>
      <c r="CO711" s="72">
        <f>SUM(CO709:CO710)</f>
        <v>931</v>
      </c>
      <c r="CP711" s="72">
        <f>SUM(CP709:CP710)</f>
        <v>1971</v>
      </c>
      <c r="CR711" s="72">
        <f>SUM(CR709:CR710)</f>
        <v>812</v>
      </c>
      <c r="CS711" s="72">
        <f>SUM(CS709:CS710)</f>
        <v>755</v>
      </c>
      <c r="CT711" s="72">
        <f>SUM(CT709:CT710)</f>
        <v>1567</v>
      </c>
      <c r="CV711" s="72">
        <f>SUM(CV709:CV710)</f>
        <v>1149</v>
      </c>
      <c r="CW711" s="72">
        <f>SUM(CW709:CW710)</f>
        <v>958</v>
      </c>
      <c r="CX711" s="72">
        <f>SUM(CX709:CX710)</f>
        <v>2107</v>
      </c>
      <c r="CZ711" s="72">
        <f>SUM(CZ709:CZ710)</f>
        <v>1212</v>
      </c>
      <c r="DA711" s="72">
        <f>SUM(DA709:DA710)</f>
        <v>972</v>
      </c>
      <c r="DB711" s="72">
        <f>SUM(DB709:DB710)</f>
        <v>2184</v>
      </c>
      <c r="DD711" s="72">
        <f>SUM(DD709:DD710)</f>
        <v>1073</v>
      </c>
      <c r="DE711" s="72">
        <f>SUM(DE709:DE710)</f>
        <v>1066</v>
      </c>
      <c r="DF711" s="72">
        <f>SUM(DF709:DF710)</f>
        <v>2139</v>
      </c>
      <c r="DH711" s="72">
        <f>SUM(DH709:DH710)</f>
        <v>1106.46</v>
      </c>
      <c r="DI711" s="72">
        <f>SUM(DI709:DI710)</f>
        <v>1014.93</v>
      </c>
      <c r="DJ711" s="72">
        <f>SUM(DJ709:DJ710)</f>
        <v>2121.3900000000003</v>
      </c>
      <c r="DL711" s="72">
        <f>SUM(DL709:DL710)</f>
        <v>1136.7642000000001</v>
      </c>
      <c r="DM711" s="72">
        <f>SUM(DM709:DM710)</f>
        <v>1042.4391000000001</v>
      </c>
      <c r="DN711" s="72">
        <f>SUM(DN709:DN710)</f>
        <v>2179.2033000000001</v>
      </c>
      <c r="DP711" s="72">
        <f>SUM(DP709:DP710)</f>
        <v>1167.9197340000001</v>
      </c>
      <c r="DQ711" s="72">
        <f>SUM(DQ709:DQ710)</f>
        <v>1070.7146970000001</v>
      </c>
      <c r="DR711" s="72">
        <f>SUM(DR709:DR710)</f>
        <v>2238.6344309999999</v>
      </c>
    </row>
    <row r="712" spans="1:126" s="20" customFormat="1" ht="13.8">
      <c r="B712" s="49"/>
      <c r="BH712" s="49"/>
      <c r="BI712" s="49"/>
      <c r="BJ712" s="49"/>
      <c r="BK712" s="49"/>
      <c r="BL712" s="49"/>
      <c r="BM712" s="49"/>
      <c r="BN712" s="49"/>
      <c r="BO712" s="49"/>
      <c r="BP712" s="56"/>
      <c r="BQ712" s="49"/>
      <c r="BR712" s="49"/>
      <c r="BT712" s="56"/>
      <c r="BX712" s="56"/>
      <c r="CB712" s="56"/>
      <c r="CD712" s="49"/>
      <c r="CF712" s="908">
        <v>940</v>
      </c>
      <c r="CG712" s="908">
        <v>826</v>
      </c>
      <c r="CJ712" s="908">
        <v>1164</v>
      </c>
      <c r="CK712" s="908">
        <v>1490</v>
      </c>
      <c r="CN712" s="908">
        <v>1040</v>
      </c>
      <c r="CO712" s="908">
        <v>931</v>
      </c>
      <c r="CR712" s="908">
        <v>812</v>
      </c>
      <c r="CS712" s="908">
        <f>CS693</f>
        <v>755</v>
      </c>
      <c r="CV712" s="908">
        <v>1149</v>
      </c>
      <c r="CW712" s="908">
        <f>CW693</f>
        <v>958</v>
      </c>
      <c r="CZ712" s="908">
        <v>1212</v>
      </c>
      <c r="DA712" s="908">
        <f>DA693</f>
        <v>972</v>
      </c>
      <c r="DD712" s="908">
        <v>1073</v>
      </c>
      <c r="DE712" s="908">
        <f>DE693</f>
        <v>1066</v>
      </c>
      <c r="DG712" s="72"/>
      <c r="DH712" s="72"/>
      <c r="DI712" s="72"/>
      <c r="DJ712" s="72"/>
      <c r="DK712" s="72"/>
      <c r="DL712" s="72"/>
      <c r="DM712" s="72"/>
      <c r="DN712" s="72"/>
      <c r="DO712" s="72"/>
      <c r="DP712" s="72"/>
      <c r="DQ712" s="72"/>
      <c r="DR712" s="72"/>
      <c r="DS712" s="72"/>
    </row>
    <row r="713" spans="1:126" s="78" customFormat="1" ht="13.8">
      <c r="A713" s="78" t="s">
        <v>127</v>
      </c>
      <c r="B713" s="95"/>
      <c r="BH713" s="95"/>
      <c r="BI713" s="95"/>
      <c r="BJ713" s="95"/>
      <c r="BK713" s="95"/>
      <c r="BL713" s="95"/>
      <c r="BM713" s="95"/>
      <c r="BN713" s="95"/>
      <c r="BO713" s="95"/>
      <c r="BP713" s="969"/>
      <c r="BQ713" s="95"/>
      <c r="BR713" s="95"/>
      <c r="BT713" s="969"/>
      <c r="BX713" s="969"/>
      <c r="CB713" s="969"/>
      <c r="CF713" s="968"/>
      <c r="CG713" s="968"/>
      <c r="CJ713" s="968"/>
      <c r="CK713" s="968"/>
      <c r="CN713" s="968"/>
      <c r="CO713" s="968"/>
      <c r="CS713" s="968"/>
      <c r="CW713" s="968"/>
      <c r="DA713" s="968"/>
      <c r="DE713" s="968"/>
    </row>
    <row r="714" spans="1:126" s="20" customFormat="1" ht="13.8">
      <c r="A714" s="335" t="s">
        <v>1036</v>
      </c>
      <c r="B714" s="547"/>
      <c r="C714" s="533"/>
      <c r="D714" s="533"/>
      <c r="E714" s="533"/>
      <c r="F714" s="533"/>
      <c r="G714" s="533"/>
      <c r="H714" s="533"/>
      <c r="I714" s="533"/>
      <c r="J714" s="533"/>
      <c r="K714" s="533"/>
      <c r="L714" s="533"/>
      <c r="M714" s="533"/>
      <c r="N714" s="533"/>
      <c r="O714" s="533"/>
      <c r="P714" s="533"/>
      <c r="Q714" s="533"/>
      <c r="R714" s="533"/>
      <c r="S714" s="533"/>
      <c r="T714" s="533"/>
      <c r="U714" s="533"/>
      <c r="V714" s="533"/>
      <c r="W714" s="533"/>
      <c r="X714" s="533"/>
      <c r="Y714" s="533"/>
      <c r="Z714" s="533"/>
      <c r="AA714" s="533"/>
      <c r="AB714" s="533"/>
      <c r="AC714" s="533"/>
      <c r="AD714" s="533"/>
      <c r="AE714" s="533"/>
      <c r="AF714" s="533"/>
      <c r="AG714" s="533"/>
      <c r="AH714" s="533"/>
      <c r="AI714" s="533"/>
      <c r="AJ714" s="533"/>
      <c r="AK714" s="533"/>
      <c r="AL714" s="533"/>
      <c r="AM714" s="533"/>
      <c r="AN714" s="533"/>
      <c r="AO714" s="533"/>
      <c r="AP714" s="533"/>
      <c r="AQ714" s="533"/>
      <c r="AR714" s="533"/>
      <c r="AS714" s="533"/>
      <c r="AT714" s="533"/>
      <c r="AU714" s="533"/>
      <c r="AV714" s="533"/>
      <c r="AW714" s="533"/>
      <c r="AX714" s="533"/>
      <c r="AY714" s="533"/>
      <c r="AZ714" s="533"/>
      <c r="BA714" s="533"/>
      <c r="BB714" s="533"/>
      <c r="BC714" s="533"/>
      <c r="BD714" s="533"/>
      <c r="BE714" s="533"/>
      <c r="BF714" s="533"/>
      <c r="BG714" s="533"/>
      <c r="BH714" s="547"/>
      <c r="BI714" s="547"/>
      <c r="BJ714" s="547"/>
      <c r="BK714" s="547"/>
      <c r="BL714" s="547"/>
      <c r="BM714" s="547"/>
      <c r="BN714" s="547"/>
      <c r="BO714" s="547"/>
      <c r="BP714" s="705"/>
      <c r="BQ714" s="547"/>
      <c r="BR714" s="547"/>
      <c r="BS714" s="533"/>
      <c r="BT714" s="705"/>
      <c r="BU714" s="533"/>
      <c r="BV714" s="533"/>
      <c r="BW714" s="533"/>
      <c r="BX714" s="705"/>
      <c r="BY714" s="533"/>
      <c r="BZ714" s="533"/>
      <c r="CA714" s="533"/>
      <c r="CB714" s="705"/>
      <c r="CC714" s="533"/>
      <c r="CD714" s="533"/>
      <c r="CE714" s="533"/>
      <c r="CF714" s="577">
        <f>+CF707/CB707-1</f>
        <v>0.12845528455284549</v>
      </c>
      <c r="CG714" s="577">
        <f t="shared" ref="CG714:CH714" si="1111">+CG707/CC707-1</f>
        <v>-2.9702970297029729E-2</v>
      </c>
      <c r="CH714" s="577">
        <f t="shared" si="1111"/>
        <v>4.9959049959049873E-2</v>
      </c>
      <c r="CI714" s="533"/>
      <c r="CJ714" s="577">
        <f>+CJ707/CF707-1</f>
        <v>0.29971181556195958</v>
      </c>
      <c r="CK714" s="577">
        <f t="shared" ref="CK714:CK716" si="1112">+CK707/CG707-1</f>
        <v>0.51530612244897966</v>
      </c>
      <c r="CL714" s="577">
        <f t="shared" ref="CL714:CL716" si="1113">+CL707/CH707-1</f>
        <v>0.39859594383775354</v>
      </c>
      <c r="CM714" s="533"/>
      <c r="CN714" s="577">
        <f>+CN707/CJ707-1</f>
        <v>-0.31596452328159641</v>
      </c>
      <c r="CO714" s="577">
        <f t="shared" ref="CO714:CO716" si="1114">+CO707/CK707-1</f>
        <v>-0.46240179573512907</v>
      </c>
      <c r="CP714" s="577">
        <f t="shared" ref="CP714:CP716" si="1115">+CP707/CL707-1</f>
        <v>-0.38873396542108196</v>
      </c>
      <c r="CQ714" s="533"/>
      <c r="CR714" s="577">
        <f>+CR707/CN707-1</f>
        <v>-4.3760129659643487E-2</v>
      </c>
      <c r="CS714" s="577">
        <f t="shared" ref="CS714:CS716" si="1116">+CS707/CO707-1</f>
        <v>0.20041753653444672</v>
      </c>
      <c r="CT714" s="577">
        <f t="shared" ref="CT714:CT716" si="1117">+CT707/CP707-1</f>
        <v>6.2956204379561953E-2</v>
      </c>
      <c r="CU714" s="533"/>
      <c r="CV714" s="577">
        <f>+CV707/CR707-1</f>
        <v>0.28305084745762721</v>
      </c>
      <c r="CW714" s="577">
        <f t="shared" ref="CW714:CW716" si="1118">+CW707/CS707-1</f>
        <v>0.16521739130434776</v>
      </c>
      <c r="CX714" s="577">
        <f t="shared" ref="CX714:CX716" si="1119">+CX707/CT707-1</f>
        <v>0.22489270386266091</v>
      </c>
      <c r="CY714" s="325"/>
      <c r="CZ714" s="577">
        <f>+CZ707/CV707-1</f>
        <v>0.14795244385733164</v>
      </c>
      <c r="DA714" s="577">
        <f t="shared" ref="DA714:DA716" si="1120">+DA707/CW707-1</f>
        <v>1.6417910447761086E-2</v>
      </c>
      <c r="DB714" s="577">
        <f t="shared" ref="DB714:DB716" si="1121">+DB707/CX707-1</f>
        <v>8.6194814295725397E-2</v>
      </c>
      <c r="DC714" s="325"/>
      <c r="DD714" s="577">
        <f>+DD707/CZ707-1</f>
        <v>-0.13693901035673184</v>
      </c>
      <c r="DE714" s="577">
        <f t="shared" ref="DE714:DE716" si="1122">+DE707/DA707-1</f>
        <v>0.11453744493392071</v>
      </c>
      <c r="DF714" s="577">
        <f t="shared" ref="DF714:DF716" si="1123">+DF707/DB707-1</f>
        <v>-2.6451612903225841E-2</v>
      </c>
      <c r="DG714" s="325"/>
      <c r="DH714" s="346">
        <v>0.09</v>
      </c>
      <c r="DI714" s="346">
        <v>-0.05</v>
      </c>
      <c r="DJ714" s="345">
        <f>+DJ707/DF707-1</f>
        <v>1.9582504970178993E-2</v>
      </c>
      <c r="DK714" s="325"/>
      <c r="DL714" s="346">
        <v>0.03</v>
      </c>
      <c r="DM714" s="346">
        <v>0.03</v>
      </c>
      <c r="DN714" s="345">
        <f>+DN707/DJ707-1</f>
        <v>3.0000000000000027E-2</v>
      </c>
      <c r="DO714" s="325"/>
      <c r="DP714" s="346">
        <v>0.03</v>
      </c>
      <c r="DQ714" s="346">
        <v>0.03</v>
      </c>
      <c r="DR714" s="345">
        <f>+DR707/DN707-1</f>
        <v>2.9999999999999805E-2</v>
      </c>
      <c r="DS714" s="325"/>
      <c r="DT714" s="325"/>
      <c r="DU714" s="325"/>
      <c r="DV714" s="325"/>
    </row>
    <row r="715" spans="1:126" s="20" customFormat="1" ht="13.8">
      <c r="A715" s="335" t="s">
        <v>427</v>
      </c>
      <c r="B715" s="547"/>
      <c r="C715" s="533"/>
      <c r="D715" s="533"/>
      <c r="E715" s="533"/>
      <c r="F715" s="533"/>
      <c r="G715" s="533"/>
      <c r="H715" s="533"/>
      <c r="I715" s="533"/>
      <c r="J715" s="533"/>
      <c r="K715" s="533"/>
      <c r="L715" s="533"/>
      <c r="M715" s="533"/>
      <c r="N715" s="533"/>
      <c r="O715" s="533"/>
      <c r="P715" s="533"/>
      <c r="Q715" s="533"/>
      <c r="R715" s="533"/>
      <c r="S715" s="533"/>
      <c r="T715" s="533"/>
      <c r="U715" s="533"/>
      <c r="V715" s="533"/>
      <c r="W715" s="533"/>
      <c r="X715" s="533"/>
      <c r="Y715" s="533"/>
      <c r="Z715" s="533"/>
      <c r="AA715" s="533"/>
      <c r="AB715" s="533"/>
      <c r="AC715" s="533"/>
      <c r="AD715" s="533"/>
      <c r="AE715" s="533"/>
      <c r="AF715" s="533"/>
      <c r="AG715" s="533"/>
      <c r="AH715" s="533"/>
      <c r="AI715" s="533"/>
      <c r="AJ715" s="533"/>
      <c r="AK715" s="533"/>
      <c r="AL715" s="533"/>
      <c r="AM715" s="533"/>
      <c r="AN715" s="533"/>
      <c r="AO715" s="533"/>
      <c r="AP715" s="533"/>
      <c r="AQ715" s="533"/>
      <c r="AR715" s="533"/>
      <c r="AS715" s="533"/>
      <c r="AT715" s="533"/>
      <c r="AU715" s="533"/>
      <c r="AV715" s="533"/>
      <c r="AW715" s="533"/>
      <c r="AX715" s="533"/>
      <c r="AY715" s="533"/>
      <c r="AZ715" s="533"/>
      <c r="BA715" s="533"/>
      <c r="BB715" s="533"/>
      <c r="BC715" s="533"/>
      <c r="BD715" s="533"/>
      <c r="BE715" s="533"/>
      <c r="BF715" s="533"/>
      <c r="BG715" s="533"/>
      <c r="BH715" s="547"/>
      <c r="BI715" s="547"/>
      <c r="BJ715" s="547"/>
      <c r="BK715" s="547"/>
      <c r="BL715" s="547"/>
      <c r="BM715" s="547"/>
      <c r="BN715" s="547"/>
      <c r="BO715" s="547"/>
      <c r="BP715" s="705"/>
      <c r="BQ715" s="547"/>
      <c r="BR715" s="547"/>
      <c r="BS715" s="533"/>
      <c r="BT715" s="705"/>
      <c r="BU715" s="533"/>
      <c r="BV715" s="533"/>
      <c r="BW715" s="533"/>
      <c r="BX715" s="705"/>
      <c r="BY715" s="533"/>
      <c r="BZ715" s="533"/>
      <c r="CA715" s="533"/>
      <c r="CB715" s="705"/>
      <c r="CC715" s="533"/>
      <c r="CD715" s="533" t="s">
        <v>1038</v>
      </c>
      <c r="CE715" s="533"/>
      <c r="CF715" s="577">
        <f t="shared" ref="CF715:CH715" si="1124">+CF708/CB708-1</f>
        <v>-0.12328767123287676</v>
      </c>
      <c r="CG715" s="577">
        <f t="shared" si="1124"/>
        <v>-0.30656934306569339</v>
      </c>
      <c r="CH715" s="577">
        <f t="shared" si="1124"/>
        <v>-0.21201413427561833</v>
      </c>
      <c r="CI715" s="533"/>
      <c r="CJ715" s="577">
        <f t="shared" ref="CJ715:CJ716" si="1125">+CJ708/CF708-1</f>
        <v>-7.03125E-2</v>
      </c>
      <c r="CK715" s="577">
        <f t="shared" si="1112"/>
        <v>1.4631578947368422</v>
      </c>
      <c r="CL715" s="577">
        <f t="shared" si="1113"/>
        <v>0.58295964125560529</v>
      </c>
      <c r="CM715" s="533"/>
      <c r="CN715" s="577">
        <f t="shared" ref="CN715:CN716" si="1126">+CN708/CJ708-1</f>
        <v>0.68907563025210083</v>
      </c>
      <c r="CO715" s="577">
        <f t="shared" si="1114"/>
        <v>-4.9145299145299193E-2</v>
      </c>
      <c r="CP715" s="577">
        <f t="shared" si="1115"/>
        <v>0.19971671388101986</v>
      </c>
      <c r="CQ715" s="533"/>
      <c r="CR715" s="577">
        <f t="shared" ref="CR715:CR716" si="1127">+CR708/CN708-1</f>
        <v>-0.44527363184079605</v>
      </c>
      <c r="CS715" s="577">
        <f t="shared" si="1116"/>
        <v>-0.53707865168539326</v>
      </c>
      <c r="CT715" s="577">
        <f t="shared" si="1117"/>
        <v>-0.49350649350649356</v>
      </c>
      <c r="CU715" s="533"/>
      <c r="CV715" s="577">
        <f t="shared" ref="CV715:CV716" si="1128">+CV708/CR708-1</f>
        <v>0.5964125560538116</v>
      </c>
      <c r="CW715" s="577">
        <f t="shared" si="1118"/>
        <v>0.31067961165048552</v>
      </c>
      <c r="CX715" s="577">
        <f t="shared" si="1119"/>
        <v>0.45920745920745931</v>
      </c>
      <c r="CY715" s="325"/>
      <c r="CZ715" s="577">
        <f t="shared" ref="CZ715:CZ716" si="1129">+CZ708/CV708-1</f>
        <v>-0.202247191011236</v>
      </c>
      <c r="DA715" s="577">
        <f t="shared" si="1120"/>
        <v>-8.5185185185185142E-2</v>
      </c>
      <c r="DB715" s="577">
        <f t="shared" si="1121"/>
        <v>-0.15175718849840258</v>
      </c>
      <c r="DC715" s="325"/>
      <c r="DD715" s="577">
        <f t="shared" ref="DD715:DD716" si="1130">+DD708/CZ708-1</f>
        <v>5.9859154929577496E-2</v>
      </c>
      <c r="DE715" s="577">
        <f t="shared" si="1122"/>
        <v>0.27935222672064786</v>
      </c>
      <c r="DF715" s="577">
        <f t="shared" si="1123"/>
        <v>0.16195856873822967</v>
      </c>
      <c r="DG715" s="325"/>
      <c r="DH715" s="346">
        <v>-0.04</v>
      </c>
      <c r="DI715" s="346">
        <v>-7.0000000000000007E-2</v>
      </c>
      <c r="DJ715" s="345">
        <f>+DJ708/DF708-1</f>
        <v>-5.5364667747163865E-2</v>
      </c>
      <c r="DK715" s="325"/>
      <c r="DL715" s="346">
        <v>0.02</v>
      </c>
      <c r="DM715" s="346">
        <v>0.02</v>
      </c>
      <c r="DN715" s="345">
        <f>+DN708/DJ708-1</f>
        <v>2.000000000000024E-2</v>
      </c>
      <c r="DO715" s="325"/>
      <c r="DP715" s="346">
        <v>0.02</v>
      </c>
      <c r="DQ715" s="346">
        <v>0.02</v>
      </c>
      <c r="DR715" s="345">
        <f>+DR708/DN708-1</f>
        <v>2.0000000000000018E-2</v>
      </c>
      <c r="DS715" s="325"/>
      <c r="DT715" s="325"/>
      <c r="DU715" s="325"/>
      <c r="DV715" s="325"/>
    </row>
    <row r="716" spans="1:126" s="20" customFormat="1" ht="13.8">
      <c r="A716" s="78" t="s">
        <v>1037</v>
      </c>
      <c r="B716" s="49"/>
      <c r="BH716" s="49"/>
      <c r="BI716" s="49"/>
      <c r="BJ716" s="49"/>
      <c r="BK716" s="49"/>
      <c r="BL716" s="49"/>
      <c r="BM716" s="49"/>
      <c r="BN716" s="49"/>
      <c r="BO716" s="49"/>
      <c r="BP716" s="56"/>
      <c r="BQ716" s="49"/>
      <c r="BR716" s="49"/>
      <c r="BT716" s="56"/>
      <c r="BX716" s="56"/>
      <c r="CB716" s="56"/>
      <c r="CF716" s="97">
        <f t="shared" ref="CF716:CH716" si="1131">+CF709/CB709-1</f>
        <v>4.7409040793825907E-2</v>
      </c>
      <c r="CG716" s="97">
        <f t="shared" si="1131"/>
        <v>-0.11590909090909096</v>
      </c>
      <c r="CH716" s="97">
        <f t="shared" si="1131"/>
        <v>-3.3016228315612794E-2</v>
      </c>
      <c r="CJ716" s="97">
        <f t="shared" si="1125"/>
        <v>0.19999999999999996</v>
      </c>
      <c r="CK716" s="97">
        <f t="shared" si="1112"/>
        <v>0.7467866323907455</v>
      </c>
      <c r="CL716" s="97">
        <f t="shared" si="1113"/>
        <v>0.44618055555555558</v>
      </c>
      <c r="CN716" s="97">
        <f t="shared" si="1126"/>
        <v>-0.10614035087719298</v>
      </c>
      <c r="CO716" s="97">
        <f t="shared" si="1114"/>
        <v>-0.32008830022075052</v>
      </c>
      <c r="CP716" s="97">
        <f t="shared" si="1115"/>
        <v>-0.22248899559823931</v>
      </c>
      <c r="CR716" s="97">
        <f t="shared" si="1127"/>
        <v>-0.20215897939156036</v>
      </c>
      <c r="CS716" s="97">
        <f t="shared" si="1116"/>
        <v>-0.15476190476190477</v>
      </c>
      <c r="CT716" s="97">
        <f t="shared" si="1117"/>
        <v>-0.17961914565105508</v>
      </c>
      <c r="CV716" s="97">
        <f t="shared" si="1128"/>
        <v>0.36900369003690048</v>
      </c>
      <c r="CW716" s="97">
        <f t="shared" si="1118"/>
        <v>0.20358514724711907</v>
      </c>
      <c r="CX716" s="97">
        <f t="shared" si="1119"/>
        <v>0.28795483061480542</v>
      </c>
      <c r="CZ716" s="97">
        <f t="shared" si="1129"/>
        <v>3.5938903863432126E-2</v>
      </c>
      <c r="DA716" s="97">
        <f t="shared" si="1120"/>
        <v>-1.2765957446808529E-2</v>
      </c>
      <c r="DB716" s="97">
        <f t="shared" si="1121"/>
        <v>1.3638577691183595E-2</v>
      </c>
      <c r="DD716" s="97">
        <f t="shared" si="1130"/>
        <v>-8.8464874241110159E-2</v>
      </c>
      <c r="DE716" s="97">
        <f t="shared" si="1122"/>
        <v>0.15840517241379315</v>
      </c>
      <c r="DF716" s="97">
        <f t="shared" si="1123"/>
        <v>2.1624219125420563E-2</v>
      </c>
      <c r="DH716" s="97">
        <f t="shared" ref="DH716" si="1132">+DH709/DD709-1</f>
        <v>5.276879162702186E-2</v>
      </c>
      <c r="DI716" s="97">
        <f t="shared" ref="DI716" si="1133">+DI709/DE709-1</f>
        <v>-5.5879069767441947E-2</v>
      </c>
      <c r="DJ716" s="97">
        <f t="shared" ref="DJ716" si="1134">+DJ709/DF709-1</f>
        <v>-2.1683913452491543E-3</v>
      </c>
      <c r="DL716" s="97">
        <f t="shared" ref="DL716" si="1135">+DL709/DH709-1</f>
        <v>2.73884279594383E-2</v>
      </c>
      <c r="DM716" s="97">
        <f t="shared" ref="DM716" si="1136">+DM709/DI709-1</f>
        <v>2.7104430847447736E-2</v>
      </c>
      <c r="DN716" s="97">
        <f t="shared" ref="DN716" si="1137">+DN709/DJ709-1</f>
        <v>2.7252556107080661E-2</v>
      </c>
      <c r="DP716" s="97">
        <f t="shared" ref="DP716" si="1138">+DP709/DL709-1</f>
        <v>2.7407208988460496E-2</v>
      </c>
      <c r="DQ716" s="97">
        <f t="shared" ref="DQ716" si="1139">+DQ709/DM709-1</f>
        <v>2.7124459356906439E-2</v>
      </c>
      <c r="DR716" s="97">
        <f t="shared" ref="DR716" si="1140">+DR709/DN709-1</f>
        <v>2.7271953470334731E-2</v>
      </c>
    </row>
    <row r="717" spans="1:126" s="20" customFormat="1" ht="13.8">
      <c r="B717" s="49"/>
      <c r="BH717" s="49"/>
      <c r="BI717" s="49"/>
      <c r="BJ717" s="49"/>
      <c r="BK717" s="49"/>
      <c r="BL717" s="49"/>
      <c r="BM717" s="49"/>
      <c r="BN717" s="49"/>
      <c r="BO717" s="49"/>
      <c r="BP717" s="56"/>
      <c r="BQ717" s="49"/>
      <c r="BR717" s="49"/>
      <c r="BT717" s="56"/>
      <c r="BX717" s="56"/>
      <c r="CB717" s="56"/>
      <c r="CF717" s="908"/>
      <c r="CG717" s="908"/>
      <c r="CJ717" s="908"/>
      <c r="CK717" s="908"/>
      <c r="CN717" s="908"/>
      <c r="CO717" s="908"/>
      <c r="CR717" s="908"/>
      <c r="CV717" s="908"/>
      <c r="CZ717" s="908"/>
      <c r="DD717" s="908"/>
    </row>
    <row r="718" spans="1:126" s="20" customFormat="1" ht="13.8">
      <c r="A718" s="21" t="s">
        <v>139</v>
      </c>
      <c r="B718" s="49"/>
      <c r="BH718" s="49"/>
      <c r="BI718" s="49"/>
      <c r="BJ718" s="49"/>
      <c r="BK718" s="49"/>
      <c r="BL718" s="49"/>
      <c r="BM718" s="49"/>
      <c r="BN718" s="49"/>
      <c r="BO718" s="49"/>
      <c r="BP718" s="56"/>
      <c r="BQ718" s="49"/>
      <c r="BR718" s="49"/>
      <c r="BT718" s="56"/>
      <c r="BX718" s="56"/>
      <c r="CB718" s="56"/>
      <c r="CF718" s="56"/>
      <c r="CJ718" s="56"/>
      <c r="CN718" s="56"/>
      <c r="CR718" s="56"/>
      <c r="CV718" s="56"/>
      <c r="CZ718" s="56"/>
      <c r="DD718" s="56"/>
      <c r="DH718" s="49"/>
      <c r="DL718" s="49"/>
      <c r="DP718" s="49"/>
    </row>
    <row r="719" spans="1:126" s="20" customFormat="1" ht="13.8">
      <c r="A719" s="20" t="s">
        <v>817</v>
      </c>
      <c r="B719" s="49"/>
      <c r="BH719" s="49"/>
      <c r="BI719" s="49"/>
      <c r="BJ719" s="49"/>
      <c r="BK719" s="49"/>
      <c r="BL719" s="603">
        <v>589</v>
      </c>
      <c r="BM719" s="603">
        <v>531</v>
      </c>
      <c r="BN719" s="65">
        <f>+BM719+BL719</f>
        <v>1120</v>
      </c>
      <c r="BO719" s="49"/>
      <c r="BP719" s="603">
        <v>625</v>
      </c>
      <c r="BQ719" s="603">
        <v>543</v>
      </c>
      <c r="BR719" s="65">
        <f>+BQ719+BP719</f>
        <v>1168</v>
      </c>
      <c r="BT719" s="603">
        <v>542</v>
      </c>
      <c r="BU719" s="603">
        <v>542</v>
      </c>
      <c r="BV719" s="65">
        <f>+BU719+BT719</f>
        <v>1084</v>
      </c>
      <c r="BX719" s="603">
        <v>483</v>
      </c>
      <c r="BY719" s="603">
        <v>451</v>
      </c>
      <c r="BZ719" s="65">
        <f>+BY719+BX719</f>
        <v>934</v>
      </c>
      <c r="CB719" s="603">
        <v>438</v>
      </c>
      <c r="CC719" s="603">
        <v>455</v>
      </c>
      <c r="CD719" s="65">
        <f>+CC719+CB719</f>
        <v>893</v>
      </c>
      <c r="CF719" s="603">
        <v>465</v>
      </c>
      <c r="CG719" s="603">
        <v>467</v>
      </c>
      <c r="CH719" s="65">
        <f>+CG719+CF719</f>
        <v>932</v>
      </c>
      <c r="CJ719" s="603">
        <v>513</v>
      </c>
      <c r="CK719" s="603">
        <v>471</v>
      </c>
      <c r="CL719" s="65">
        <f>+CK719+CJ719</f>
        <v>984</v>
      </c>
      <c r="CN719" s="603">
        <v>419</v>
      </c>
      <c r="CO719" s="603"/>
      <c r="CP719" s="65">
        <f>+CO719+CN719</f>
        <v>419</v>
      </c>
      <c r="CR719" s="603"/>
      <c r="CS719" s="65"/>
      <c r="CT719" s="65"/>
      <c r="CV719" s="603"/>
      <c r="CW719" s="65"/>
      <c r="CX719" s="65"/>
      <c r="CZ719" s="603"/>
      <c r="DA719" s="65"/>
      <c r="DB719" s="65"/>
      <c r="DD719" s="603"/>
      <c r="DE719" s="65"/>
      <c r="DF719" s="65"/>
      <c r="DH719" s="65"/>
      <c r="DI719" s="65"/>
      <c r="DJ719" s="65"/>
      <c r="DL719" s="65"/>
      <c r="DM719" s="65"/>
      <c r="DN719" s="65"/>
      <c r="DP719" s="65"/>
      <c r="DQ719" s="65"/>
      <c r="DR719" s="65"/>
      <c r="DV719" s="25"/>
    </row>
    <row r="720" spans="1:126" s="20" customFormat="1" ht="13.8">
      <c r="A720" s="20" t="s">
        <v>294</v>
      </c>
      <c r="B720" s="49"/>
      <c r="BH720" s="49"/>
      <c r="BI720" s="49"/>
      <c r="BJ720" s="49"/>
      <c r="BK720" s="49"/>
      <c r="BL720" s="603">
        <v>317</v>
      </c>
      <c r="BM720" s="603">
        <v>221</v>
      </c>
      <c r="BN720" s="65">
        <f>+BM720+BL720</f>
        <v>538</v>
      </c>
      <c r="BO720" s="49"/>
      <c r="BP720" s="603">
        <v>337</v>
      </c>
      <c r="BQ720" s="603">
        <v>266</v>
      </c>
      <c r="BR720" s="65">
        <f>+BQ720+BP720</f>
        <v>603</v>
      </c>
      <c r="BT720" s="603">
        <f>844-BT719</f>
        <v>302</v>
      </c>
      <c r="BU720" s="603">
        <f>903-BU719</f>
        <v>361</v>
      </c>
      <c r="BV720" s="65">
        <f>+BU720+BT720</f>
        <v>663</v>
      </c>
      <c r="BX720" s="603">
        <v>525</v>
      </c>
      <c r="BY720" s="603">
        <v>263</v>
      </c>
      <c r="BZ720" s="65">
        <f>+BY720+BX720</f>
        <v>788</v>
      </c>
      <c r="CB720" s="603">
        <v>177</v>
      </c>
      <c r="CC720" s="603">
        <v>151</v>
      </c>
      <c r="CD720" s="65">
        <f>+CC720+CB720</f>
        <v>328</v>
      </c>
      <c r="CF720" s="603">
        <v>226</v>
      </c>
      <c r="CG720" s="603">
        <v>173</v>
      </c>
      <c r="CH720" s="65">
        <f>+CG720+CF720</f>
        <v>399</v>
      </c>
      <c r="CJ720" s="603">
        <v>413</v>
      </c>
      <c r="CK720" s="603">
        <v>551</v>
      </c>
      <c r="CL720" s="65">
        <f>+CK720+CJ720</f>
        <v>964</v>
      </c>
      <c r="CN720" s="603">
        <v>219</v>
      </c>
      <c r="CO720" s="603"/>
      <c r="CP720" s="65">
        <f>+CO720+CN720</f>
        <v>219</v>
      </c>
      <c r="CR720" s="603"/>
      <c r="CS720" s="65"/>
      <c r="CT720" s="65"/>
      <c r="CV720" s="603"/>
      <c r="CW720" s="65"/>
      <c r="CX720" s="65"/>
      <c r="CZ720" s="603"/>
      <c r="DA720" s="65"/>
      <c r="DB720" s="65"/>
      <c r="DD720" s="603"/>
      <c r="DE720" s="65"/>
      <c r="DF720" s="65"/>
      <c r="DH720" s="65"/>
      <c r="DI720" s="65"/>
      <c r="DJ720" s="65"/>
      <c r="DL720" s="65"/>
      <c r="DM720" s="65"/>
      <c r="DN720" s="65"/>
      <c r="DP720" s="65"/>
      <c r="DQ720" s="65"/>
      <c r="DR720" s="65"/>
      <c r="DV720" s="25"/>
    </row>
    <row r="721" spans="1:128" s="20" customFormat="1" ht="13.8">
      <c r="A721" s="20" t="s">
        <v>427</v>
      </c>
      <c r="B721" s="49"/>
      <c r="BH721" s="49"/>
      <c r="BI721" s="49"/>
      <c r="BJ721" s="49"/>
      <c r="BK721" s="49"/>
      <c r="BL721" s="603">
        <v>284</v>
      </c>
      <c r="BM721" s="603">
        <v>286</v>
      </c>
      <c r="BN721" s="65">
        <f>+BM721+BL721</f>
        <v>570</v>
      </c>
      <c r="BO721" s="49"/>
      <c r="BP721" s="603">
        <v>276</v>
      </c>
      <c r="BQ721" s="603">
        <v>121</v>
      </c>
      <c r="BR721" s="65">
        <f>+BQ721+BP721</f>
        <v>397</v>
      </c>
      <c r="BT721" s="603">
        <v>152</v>
      </c>
      <c r="BU721" s="603">
        <v>238</v>
      </c>
      <c r="BV721" s="65">
        <f>+BU721+BT721</f>
        <v>390</v>
      </c>
      <c r="BX721" s="603">
        <v>356</v>
      </c>
      <c r="BY721" s="603">
        <v>278</v>
      </c>
      <c r="BZ721" s="65">
        <f>+BY721+BX721</f>
        <v>634</v>
      </c>
      <c r="CB721" s="603">
        <v>292</v>
      </c>
      <c r="CC721" s="603">
        <v>274</v>
      </c>
      <c r="CD721" s="65">
        <f>+CC721+CB721</f>
        <v>566</v>
      </c>
      <c r="CF721" s="603">
        <v>256</v>
      </c>
      <c r="CG721" s="603">
        <v>190</v>
      </c>
      <c r="CH721" s="65">
        <f>+CG721+CF721</f>
        <v>446</v>
      </c>
      <c r="CJ721" s="603">
        <v>238</v>
      </c>
      <c r="CK721" s="603">
        <v>468</v>
      </c>
      <c r="CL721" s="65">
        <f>+CK721+CJ721</f>
        <v>706</v>
      </c>
      <c r="CN721" s="603">
        <v>402</v>
      </c>
      <c r="CO721" s="603"/>
      <c r="CP721" s="65">
        <f>+CO721+CN721</f>
        <v>402</v>
      </c>
      <c r="CR721" s="603"/>
      <c r="CS721" s="65"/>
      <c r="CT721" s="65"/>
      <c r="CV721" s="603"/>
      <c r="CW721" s="65"/>
      <c r="CX721" s="65"/>
      <c r="CZ721" s="603"/>
      <c r="DA721" s="65"/>
      <c r="DB721" s="65"/>
      <c r="DD721" s="603"/>
      <c r="DE721" s="65"/>
      <c r="DF721" s="65"/>
      <c r="DH721" s="65"/>
      <c r="DI721" s="65"/>
      <c r="DJ721" s="65"/>
      <c r="DL721" s="65"/>
      <c r="DM721" s="65"/>
      <c r="DN721" s="65"/>
      <c r="DP721" s="65"/>
      <c r="DQ721" s="65"/>
      <c r="DR721" s="65"/>
      <c r="DV721" s="25"/>
    </row>
    <row r="722" spans="1:128" s="20" customFormat="1" ht="13.8">
      <c r="A722" s="20" t="s">
        <v>853</v>
      </c>
      <c r="B722" s="49"/>
      <c r="BH722" s="49"/>
      <c r="BI722" s="49"/>
      <c r="BJ722" s="49"/>
      <c r="BK722" s="49"/>
      <c r="BL722" s="603">
        <v>-4</v>
      </c>
      <c r="BM722" s="603">
        <v>-17</v>
      </c>
      <c r="BN722" s="65">
        <f>+BM722+BL722</f>
        <v>-21</v>
      </c>
      <c r="BO722" s="49"/>
      <c r="BP722" s="603">
        <v>-56</v>
      </c>
      <c r="BQ722" s="603">
        <v>58</v>
      </c>
      <c r="BR722" s="65">
        <f>+BQ722+BP722</f>
        <v>2</v>
      </c>
      <c r="BT722" s="603">
        <v>-35</v>
      </c>
      <c r="BU722" s="603">
        <v>-67</v>
      </c>
      <c r="BV722" s="65">
        <f>+BU722+BT722</f>
        <v>-102</v>
      </c>
      <c r="BX722" s="603">
        <v>0</v>
      </c>
      <c r="BY722" s="603">
        <v>0</v>
      </c>
      <c r="BZ722" s="65">
        <f>+BY722+BX722</f>
        <v>0</v>
      </c>
      <c r="CB722" s="603">
        <v>0</v>
      </c>
      <c r="CC722" s="603">
        <v>0</v>
      </c>
      <c r="CD722" s="65">
        <f>+CC722+CB722</f>
        <v>0</v>
      </c>
      <c r="CF722" s="603">
        <v>0</v>
      </c>
      <c r="CG722" s="603">
        <v>0</v>
      </c>
      <c r="CH722" s="65">
        <f>+CG722+CF722</f>
        <v>0</v>
      </c>
      <c r="CJ722" s="603">
        <v>0</v>
      </c>
      <c r="CK722" s="603">
        <v>0</v>
      </c>
      <c r="CL722" s="65">
        <f>+CK722+CJ722</f>
        <v>0</v>
      </c>
      <c r="CN722" s="603">
        <v>0</v>
      </c>
      <c r="CO722" s="603"/>
      <c r="CP722" s="65">
        <f>+CO722+CN722</f>
        <v>0</v>
      </c>
      <c r="CR722" s="603"/>
      <c r="CS722" s="603"/>
      <c r="CT722" s="65"/>
      <c r="CV722" s="603"/>
      <c r="CW722" s="603"/>
      <c r="CX722" s="65"/>
      <c r="CZ722" s="603"/>
      <c r="DA722" s="603"/>
      <c r="DB722" s="65"/>
      <c r="DD722" s="603"/>
      <c r="DE722" s="603"/>
      <c r="DF722" s="65"/>
      <c r="DH722" s="603"/>
      <c r="DI722" s="603"/>
      <c r="DJ722" s="65"/>
      <c r="DL722" s="603"/>
      <c r="DM722" s="603"/>
      <c r="DN722" s="65"/>
      <c r="DP722" s="603"/>
      <c r="DQ722" s="603"/>
      <c r="DR722" s="65"/>
    </row>
    <row r="723" spans="1:128" s="20" customFormat="1" ht="13.8">
      <c r="A723" s="21" t="s">
        <v>854</v>
      </c>
      <c r="B723" s="49"/>
      <c r="BH723" s="49"/>
      <c r="BI723" s="49"/>
      <c r="BJ723" s="49"/>
      <c r="BK723" s="49"/>
      <c r="BL723" s="72">
        <f>SUM(BL719:BL722)</f>
        <v>1186</v>
      </c>
      <c r="BM723" s="72">
        <f>SUM(BM719:BM722)</f>
        <v>1021</v>
      </c>
      <c r="BN723" s="72">
        <f>SUM(BN719:BN722)</f>
        <v>2207</v>
      </c>
      <c r="BO723" s="49"/>
      <c r="BP723" s="72">
        <f>SUM(BP719:BP722)</f>
        <v>1182</v>
      </c>
      <c r="BQ723" s="72">
        <f>SUM(BQ719:BQ722)</f>
        <v>988</v>
      </c>
      <c r="BR723" s="72">
        <f>SUM(BR719:BR722)</f>
        <v>2170</v>
      </c>
      <c r="BT723" s="72">
        <f>SUM(BT719:BT722)</f>
        <v>961</v>
      </c>
      <c r="BU723" s="72">
        <f>SUM(BU719:BU722)</f>
        <v>1074</v>
      </c>
      <c r="BV723" s="72">
        <f>SUM(BV719:BV722)</f>
        <v>2035</v>
      </c>
      <c r="BX723" s="72">
        <f>SUM(BX719:BX722)</f>
        <v>1364</v>
      </c>
      <c r="BY723" s="72">
        <f>SUM(BY719:BY722)</f>
        <v>992</v>
      </c>
      <c r="BZ723" s="72">
        <f>SUM(BZ719:BZ722)</f>
        <v>2356</v>
      </c>
      <c r="CB723" s="72">
        <f>SUM(CB719:CB722)</f>
        <v>907</v>
      </c>
      <c r="CC723" s="72">
        <f>SUM(CC719:CC722)</f>
        <v>880</v>
      </c>
      <c r="CD723" s="72">
        <f>SUM(CD719:CD722)</f>
        <v>1787</v>
      </c>
      <c r="CF723" s="72">
        <f>SUM(CF719:CF722)</f>
        <v>947</v>
      </c>
      <c r="CG723" s="72">
        <f>SUM(CG719:CG722)</f>
        <v>830</v>
      </c>
      <c r="CH723" s="72">
        <f>SUM(CH719:CH722)</f>
        <v>1777</v>
      </c>
      <c r="CJ723" s="72">
        <f>SUM(CJ719:CJ722)</f>
        <v>1164</v>
      </c>
      <c r="CK723" s="72">
        <f>SUM(CK719:CK722)</f>
        <v>1490</v>
      </c>
      <c r="CL723" s="72">
        <f>SUM(CL719:CL722)</f>
        <v>2654</v>
      </c>
      <c r="CN723" s="72">
        <f>SUM(CN719:CN722)</f>
        <v>1040</v>
      </c>
      <c r="CO723" s="72">
        <f>CO711</f>
        <v>931</v>
      </c>
      <c r="CP723" s="72">
        <f>CP711</f>
        <v>1971</v>
      </c>
      <c r="CR723" s="72">
        <f>CR711</f>
        <v>812</v>
      </c>
      <c r="CS723" s="72">
        <f>CS711</f>
        <v>755</v>
      </c>
      <c r="CT723" s="72">
        <f>CT711</f>
        <v>1567</v>
      </c>
      <c r="CV723" s="72">
        <f>CV711</f>
        <v>1149</v>
      </c>
      <c r="CW723" s="72">
        <f>CW711</f>
        <v>958</v>
      </c>
      <c r="CX723" s="72">
        <f>CX711</f>
        <v>2107</v>
      </c>
      <c r="CZ723" s="72">
        <f>CZ711</f>
        <v>1212</v>
      </c>
      <c r="DA723" s="72">
        <f>DA711</f>
        <v>972</v>
      </c>
      <c r="DB723" s="72">
        <f>DB711</f>
        <v>2184</v>
      </c>
      <c r="DD723" s="72">
        <f>DD711</f>
        <v>1073</v>
      </c>
      <c r="DE723" s="72">
        <f>DE711</f>
        <v>1066</v>
      </c>
      <c r="DF723" s="72">
        <f>DF711</f>
        <v>2139</v>
      </c>
      <c r="DH723" s="72">
        <f t="shared" ref="DH723:DJ723" si="1141">DH711</f>
        <v>1106.46</v>
      </c>
      <c r="DI723" s="72">
        <f t="shared" si="1141"/>
        <v>1014.93</v>
      </c>
      <c r="DJ723" s="72">
        <f t="shared" si="1141"/>
        <v>2121.3900000000003</v>
      </c>
      <c r="DL723" s="72">
        <f t="shared" ref="DL723:DN723" si="1142">DL711</f>
        <v>1136.7642000000001</v>
      </c>
      <c r="DM723" s="72">
        <f t="shared" si="1142"/>
        <v>1042.4391000000001</v>
      </c>
      <c r="DN723" s="72">
        <f t="shared" si="1142"/>
        <v>2179.2033000000001</v>
      </c>
      <c r="DP723" s="72">
        <f t="shared" ref="DP723:DR723" si="1143">DP711</f>
        <v>1167.9197340000001</v>
      </c>
      <c r="DQ723" s="72">
        <f t="shared" si="1143"/>
        <v>1070.7146970000001</v>
      </c>
      <c r="DR723" s="72">
        <f t="shared" si="1143"/>
        <v>2238.6344309999999</v>
      </c>
      <c r="DV723" s="72"/>
    </row>
    <row r="724" spans="1:128" s="20" customFormat="1" ht="13.8">
      <c r="A724" s="20" t="s">
        <v>852</v>
      </c>
      <c r="B724" s="49"/>
      <c r="BH724" s="49"/>
      <c r="BI724" s="49"/>
      <c r="BJ724" s="49"/>
      <c r="BK724" s="49"/>
      <c r="BL724" s="603">
        <v>0</v>
      </c>
      <c r="BM724" s="603">
        <v>0</v>
      </c>
      <c r="BN724" s="65">
        <f>+BM724+BL724</f>
        <v>0</v>
      </c>
      <c r="BO724" s="49"/>
      <c r="BP724" s="603">
        <v>0</v>
      </c>
      <c r="BQ724" s="603">
        <v>0</v>
      </c>
      <c r="BR724" s="65">
        <f>+BQ724+BP724</f>
        <v>0</v>
      </c>
      <c r="BT724" s="603">
        <v>0</v>
      </c>
      <c r="BU724" s="603">
        <v>-237</v>
      </c>
      <c r="BV724" s="65">
        <f>+BU724+BT724</f>
        <v>-237</v>
      </c>
      <c r="BX724" s="603">
        <v>0</v>
      </c>
      <c r="BY724" s="603">
        <v>0</v>
      </c>
      <c r="BZ724" s="65">
        <f>+BY724+BX724</f>
        <v>0</v>
      </c>
      <c r="CB724" s="603">
        <v>0</v>
      </c>
      <c r="CC724" s="603">
        <v>0</v>
      </c>
      <c r="CD724" s="65">
        <f>+CC724+CB724</f>
        <v>0</v>
      </c>
      <c r="CF724" s="603">
        <v>0</v>
      </c>
      <c r="CG724" s="603">
        <v>0</v>
      </c>
      <c r="CH724" s="65">
        <f>+CG724+CF724</f>
        <v>0</v>
      </c>
      <c r="CJ724" s="603">
        <v>0</v>
      </c>
      <c r="CK724" s="603">
        <v>0</v>
      </c>
      <c r="CL724" s="65">
        <f>+CK724+CJ724</f>
        <v>0</v>
      </c>
      <c r="CN724" s="603">
        <v>0</v>
      </c>
      <c r="CO724" s="603">
        <v>0</v>
      </c>
      <c r="CP724" s="65">
        <f>+CO724+CN724</f>
        <v>0</v>
      </c>
      <c r="CR724" s="603">
        <v>0</v>
      </c>
      <c r="CS724" s="603">
        <v>0</v>
      </c>
      <c r="CT724" s="65">
        <f>+CS724+CR724</f>
        <v>0</v>
      </c>
      <c r="CV724" s="603">
        <v>0</v>
      </c>
      <c r="CW724" s="603">
        <v>0</v>
      </c>
      <c r="CX724" s="65">
        <f>+CW724+CV724</f>
        <v>0</v>
      </c>
      <c r="CZ724" s="603">
        <v>0</v>
      </c>
      <c r="DA724" s="603">
        <v>0</v>
      </c>
      <c r="DB724" s="65">
        <f>+DA724+CZ724</f>
        <v>0</v>
      </c>
      <c r="DD724" s="603">
        <v>0</v>
      </c>
      <c r="DE724" s="603">
        <v>0</v>
      </c>
      <c r="DF724" s="65">
        <f>+DE724+DD724</f>
        <v>0</v>
      </c>
      <c r="DH724" s="603">
        <v>0</v>
      </c>
      <c r="DI724" s="603">
        <v>0</v>
      </c>
      <c r="DJ724" s="65">
        <f>+DH724+DI724</f>
        <v>0</v>
      </c>
      <c r="DL724" s="603">
        <v>0</v>
      </c>
      <c r="DM724" s="603">
        <v>0</v>
      </c>
      <c r="DN724" s="65">
        <f>+DL724+DM724</f>
        <v>0</v>
      </c>
      <c r="DP724" s="603">
        <v>0</v>
      </c>
      <c r="DQ724" s="603">
        <v>0</v>
      </c>
      <c r="DR724" s="65">
        <f>+DP724+DQ724</f>
        <v>0</v>
      </c>
    </row>
    <row r="725" spans="1:128" s="20" customFormat="1" ht="13.8">
      <c r="A725" s="21" t="s">
        <v>529</v>
      </c>
      <c r="B725" s="27"/>
      <c r="C725" s="21"/>
      <c r="D725" s="21"/>
      <c r="E725" s="21"/>
      <c r="F725" s="21"/>
      <c r="G725" s="21"/>
      <c r="H725" s="21"/>
      <c r="I725" s="21"/>
      <c r="J725" s="21"/>
      <c r="K725" s="21"/>
      <c r="L725" s="21"/>
      <c r="M725" s="21"/>
      <c r="N725" s="21"/>
      <c r="O725" s="21"/>
      <c r="P725" s="21"/>
      <c r="Q725" s="21"/>
      <c r="R725" s="21"/>
      <c r="S725" s="21"/>
      <c r="T725" s="21"/>
      <c r="U725" s="21"/>
      <c r="V725" s="21"/>
      <c r="W725" s="21"/>
      <c r="X725" s="21"/>
      <c r="Y725" s="21"/>
      <c r="Z725" s="21"/>
      <c r="AA725" s="21"/>
      <c r="AB725" s="21"/>
      <c r="AC725" s="21"/>
      <c r="AD725" s="21"/>
      <c r="AE725" s="21"/>
      <c r="AF725" s="21"/>
      <c r="AG725" s="21"/>
      <c r="AH725" s="21"/>
      <c r="AI725" s="21"/>
      <c r="AJ725" s="21"/>
      <c r="AK725" s="21"/>
      <c r="AL725" s="21"/>
      <c r="AM725" s="21"/>
      <c r="AN725" s="21"/>
      <c r="AO725" s="21"/>
      <c r="AP725" s="21"/>
      <c r="AQ725" s="21"/>
      <c r="AR725" s="21"/>
      <c r="AS725" s="21"/>
      <c r="AT725" s="21"/>
      <c r="AU725" s="21"/>
      <c r="AV725" s="21"/>
      <c r="AW725" s="21"/>
      <c r="AX725" s="21"/>
      <c r="AY725" s="21"/>
      <c r="AZ725" s="21"/>
      <c r="BA725" s="21"/>
      <c r="BB725" s="21"/>
      <c r="BC725" s="21"/>
      <c r="BD725" s="21"/>
      <c r="BE725" s="21"/>
      <c r="BF725" s="21"/>
      <c r="BG725" s="21"/>
      <c r="BH725" s="27"/>
      <c r="BI725" s="27"/>
      <c r="BJ725" s="27"/>
      <c r="BK725" s="27"/>
      <c r="BL725" s="72">
        <f>SUM(BL719:BL722)</f>
        <v>1186</v>
      </c>
      <c r="BM725" s="72">
        <f>SUM(BM719:BM722)</f>
        <v>1021</v>
      </c>
      <c r="BN725" s="72">
        <f>SUM(BN719:BN722)</f>
        <v>2207</v>
      </c>
      <c r="BO725" s="27"/>
      <c r="BP725" s="72">
        <f>SUM(BP723:BP724)</f>
        <v>1182</v>
      </c>
      <c r="BQ725" s="72">
        <f>SUM(BQ723:BQ724)</f>
        <v>988</v>
      </c>
      <c r="BR725" s="72">
        <f>SUM(BR723:BR724)</f>
        <v>2170</v>
      </c>
      <c r="BS725" s="21"/>
      <c r="BT725" s="72">
        <f>SUM(BT723:BT724)</f>
        <v>961</v>
      </c>
      <c r="BU725" s="72">
        <f>SUM(BU723:BU724)</f>
        <v>837</v>
      </c>
      <c r="BV725" s="72">
        <f>SUM(BV723:BV724)</f>
        <v>1798</v>
      </c>
      <c r="BW725" s="21"/>
      <c r="BX725" s="72">
        <f>SUM(BX723:BX724)</f>
        <v>1364</v>
      </c>
      <c r="BY725" s="72">
        <f>SUM(BY723:BY724)</f>
        <v>992</v>
      </c>
      <c r="BZ725" s="72">
        <f>SUM(BZ723:BZ724)</f>
        <v>2356</v>
      </c>
      <c r="CA725" s="21"/>
      <c r="CB725" s="72">
        <f>SUM(CB723:CB724)</f>
        <v>907</v>
      </c>
      <c r="CC725" s="72">
        <f>SUM(CC723:CC724)</f>
        <v>880</v>
      </c>
      <c r="CD725" s="72">
        <f>SUM(CD723:CD724)</f>
        <v>1787</v>
      </c>
      <c r="CE725" s="21"/>
      <c r="CF725" s="72">
        <f>SUM(CF723:CF724)</f>
        <v>947</v>
      </c>
      <c r="CG725" s="72">
        <f>SUM(CG723:CG724)</f>
        <v>830</v>
      </c>
      <c r="CH725" s="72">
        <f>SUM(CH723:CH724)</f>
        <v>1777</v>
      </c>
      <c r="CI725" s="21"/>
      <c r="CJ725" s="72">
        <f>SUM(CJ723:CJ724)</f>
        <v>1164</v>
      </c>
      <c r="CK725" s="72">
        <f>SUM(CK723:CK724)</f>
        <v>1490</v>
      </c>
      <c r="CL725" s="72">
        <f>SUM(CL723:CL724)</f>
        <v>2654</v>
      </c>
      <c r="CM725" s="21"/>
      <c r="CN725" s="72">
        <f>SUM(CN723:CN724)</f>
        <v>1040</v>
      </c>
      <c r="CO725" s="72">
        <f>SUM(CO723:CO724)</f>
        <v>931</v>
      </c>
      <c r="CP725" s="72">
        <f>SUM(CP723:CP724)</f>
        <v>1971</v>
      </c>
      <c r="CQ725" s="21"/>
      <c r="CR725" s="72">
        <f>SUM(CR723:CR724)</f>
        <v>812</v>
      </c>
      <c r="CS725" s="72">
        <f>SUM(CS723:CS724)</f>
        <v>755</v>
      </c>
      <c r="CT725" s="72">
        <f>SUM(CT723:CT724)</f>
        <v>1567</v>
      </c>
      <c r="CU725" s="21"/>
      <c r="CV725" s="72">
        <f>SUM(CV723:CV724)</f>
        <v>1149</v>
      </c>
      <c r="CW725" s="72">
        <f>SUM(CW723:CW724)</f>
        <v>958</v>
      </c>
      <c r="CX725" s="72">
        <f>SUM(CX723:CX724)</f>
        <v>2107</v>
      </c>
      <c r="CY725" s="21"/>
      <c r="CZ725" s="72">
        <f>SUM(CZ723:CZ724)</f>
        <v>1212</v>
      </c>
      <c r="DA725" s="72">
        <f>SUM(DA723:DA724)</f>
        <v>972</v>
      </c>
      <c r="DB725" s="72">
        <f>SUM(DB723:DB724)</f>
        <v>2184</v>
      </c>
      <c r="DC725" s="21"/>
      <c r="DD725" s="72">
        <f>SUM(DD723:DD724)</f>
        <v>1073</v>
      </c>
      <c r="DE725" s="72">
        <f>SUM(DE723:DE724)</f>
        <v>1066</v>
      </c>
      <c r="DF725" s="72">
        <f>SUM(DF723:DF724)</f>
        <v>2139</v>
      </c>
      <c r="DG725" s="21"/>
      <c r="DH725" s="72">
        <f>SUM(DH723:DH724)</f>
        <v>1106.46</v>
      </c>
      <c r="DI725" s="72">
        <f>SUM(DI723:DI724)</f>
        <v>1014.93</v>
      </c>
      <c r="DJ725" s="72">
        <f>SUM(DJ723:DJ724)</f>
        <v>2121.3900000000003</v>
      </c>
      <c r="DK725" s="21"/>
      <c r="DL725" s="72">
        <f>SUM(DL723:DL724)</f>
        <v>1136.7642000000001</v>
      </c>
      <c r="DM725" s="72">
        <f>SUM(DM723:DM724)</f>
        <v>1042.4391000000001</v>
      </c>
      <c r="DN725" s="72">
        <f>SUM(DN723:DN724)</f>
        <v>2179.2033000000001</v>
      </c>
      <c r="DO725" s="21"/>
      <c r="DP725" s="72">
        <f>SUM(DP723:DP724)</f>
        <v>1167.9197340000001</v>
      </c>
      <c r="DQ725" s="72">
        <f>SUM(DQ723:DQ724)</f>
        <v>1070.7146970000001</v>
      </c>
      <c r="DR725" s="72">
        <f>SUM(DR723:DR724)</f>
        <v>2238.6344309999999</v>
      </c>
      <c r="DS725" s="21"/>
      <c r="DT725" s="21"/>
      <c r="DU725" s="21"/>
      <c r="DV725" s="21"/>
      <c r="DW725" s="21"/>
      <c r="DX725" s="21"/>
    </row>
    <row r="726" spans="1:128" s="20" customFormat="1" ht="13.8">
      <c r="A726" s="21"/>
      <c r="B726" s="27"/>
      <c r="C726" s="21"/>
      <c r="D726" s="21"/>
      <c r="E726" s="21"/>
      <c r="F726" s="21"/>
      <c r="G726" s="21"/>
      <c r="H726" s="21"/>
      <c r="I726" s="21"/>
      <c r="J726" s="21"/>
      <c r="K726" s="21"/>
      <c r="L726" s="21"/>
      <c r="M726" s="21"/>
      <c r="N726" s="21"/>
      <c r="O726" s="21"/>
      <c r="P726" s="21"/>
      <c r="Q726" s="21"/>
      <c r="R726" s="21"/>
      <c r="S726" s="21"/>
      <c r="T726" s="21"/>
      <c r="U726" s="21"/>
      <c r="V726" s="21"/>
      <c r="W726" s="21"/>
      <c r="X726" s="21"/>
      <c r="Y726" s="21"/>
      <c r="Z726" s="21"/>
      <c r="AA726" s="21"/>
      <c r="AB726" s="21"/>
      <c r="AC726" s="21"/>
      <c r="AD726" s="21"/>
      <c r="AE726" s="21"/>
      <c r="AF726" s="21"/>
      <c r="AG726" s="21"/>
      <c r="AH726" s="21"/>
      <c r="AI726" s="21"/>
      <c r="AJ726" s="21"/>
      <c r="AK726" s="21"/>
      <c r="AL726" s="21"/>
      <c r="AM726" s="21"/>
      <c r="AN726" s="21"/>
      <c r="AO726" s="21"/>
      <c r="AP726" s="21"/>
      <c r="AQ726" s="21"/>
      <c r="AR726" s="21"/>
      <c r="AS726" s="21"/>
      <c r="AT726" s="21"/>
      <c r="AU726" s="21"/>
      <c r="AV726" s="21"/>
      <c r="AW726" s="21"/>
      <c r="AX726" s="21"/>
      <c r="AY726" s="21"/>
      <c r="AZ726" s="21"/>
      <c r="BA726" s="21"/>
      <c r="BB726" s="21"/>
      <c r="BC726" s="21"/>
      <c r="BD726" s="21"/>
      <c r="BE726" s="21"/>
      <c r="BF726" s="21"/>
      <c r="BG726" s="21"/>
      <c r="BH726" s="27"/>
      <c r="BI726" s="27"/>
      <c r="BJ726" s="27"/>
      <c r="BK726" s="27"/>
      <c r="BL726" s="72"/>
      <c r="BM726" s="72"/>
      <c r="BN726" s="72"/>
      <c r="BO726" s="27"/>
      <c r="BP726" s="72"/>
      <c r="BQ726" s="72"/>
      <c r="BR726" s="72"/>
      <c r="BS726" s="21"/>
      <c r="BT726" s="72"/>
      <c r="BU726" s="72"/>
      <c r="BV726" s="72"/>
      <c r="BW726" s="21"/>
      <c r="BX726" s="72"/>
      <c r="BY726" s="72"/>
      <c r="BZ726" s="72"/>
      <c r="CA726" s="21"/>
      <c r="CB726" s="72"/>
      <c r="CC726" s="72"/>
      <c r="CD726" s="72"/>
      <c r="CE726" s="21"/>
      <c r="CF726" s="72"/>
      <c r="CG726" s="72"/>
      <c r="CH726" s="72"/>
      <c r="CI726" s="21"/>
      <c r="CJ726" s="72"/>
      <c r="CK726" s="72"/>
      <c r="CL726" s="72"/>
      <c r="CM726" s="21"/>
      <c r="CN726" s="72"/>
      <c r="CO726" s="72"/>
      <c r="CP726" s="72"/>
      <c r="CQ726" s="21"/>
      <c r="CR726" s="72"/>
      <c r="CS726" s="72"/>
      <c r="CT726" s="72"/>
      <c r="CU726" s="21"/>
      <c r="CV726" s="72"/>
      <c r="CW726" s="72"/>
      <c r="CX726" s="72"/>
      <c r="CY726" s="21"/>
      <c r="CZ726" s="72"/>
      <c r="DA726" s="72"/>
      <c r="DB726" s="72"/>
      <c r="DC726" s="21"/>
      <c r="DD726" s="72"/>
      <c r="DE726" s="72"/>
      <c r="DF726" s="72"/>
      <c r="DG726" s="21"/>
      <c r="DH726" s="72"/>
      <c r="DI726" s="72"/>
      <c r="DJ726" s="72"/>
      <c r="DK726" s="21"/>
      <c r="DL726" s="72"/>
      <c r="DM726" s="72"/>
      <c r="DN726" s="72"/>
      <c r="DO726" s="21"/>
      <c r="DP726" s="72"/>
      <c r="DQ726" s="72"/>
      <c r="DR726" s="72"/>
      <c r="DS726" s="21"/>
      <c r="DT726" s="21"/>
      <c r="DU726" s="21"/>
      <c r="DV726" s="21"/>
      <c r="DW726" s="21"/>
      <c r="DX726" s="21"/>
    </row>
    <row r="727" spans="1:128" s="20" customFormat="1" ht="13.8">
      <c r="A727" s="533" t="s">
        <v>918</v>
      </c>
      <c r="B727" s="610"/>
      <c r="C727" s="609"/>
      <c r="D727" s="609"/>
      <c r="E727" s="609"/>
      <c r="F727" s="609"/>
      <c r="G727" s="609"/>
      <c r="H727" s="609"/>
      <c r="I727" s="609"/>
      <c r="J727" s="609"/>
      <c r="K727" s="609"/>
      <c r="L727" s="609"/>
      <c r="M727" s="609"/>
      <c r="N727" s="609"/>
      <c r="O727" s="609"/>
      <c r="P727" s="609"/>
      <c r="Q727" s="609"/>
      <c r="R727" s="609"/>
      <c r="S727" s="609"/>
      <c r="T727" s="609"/>
      <c r="U727" s="609"/>
      <c r="V727" s="609"/>
      <c r="W727" s="609"/>
      <c r="X727" s="609"/>
      <c r="Y727" s="609"/>
      <c r="Z727" s="609"/>
      <c r="AA727" s="609"/>
      <c r="AB727" s="609"/>
      <c r="AC727" s="609"/>
      <c r="AD727" s="609"/>
      <c r="AE727" s="609"/>
      <c r="AF727" s="609"/>
      <c r="AG727" s="609"/>
      <c r="AH727" s="609"/>
      <c r="AI727" s="609"/>
      <c r="AJ727" s="609"/>
      <c r="AK727" s="609"/>
      <c r="AL727" s="609"/>
      <c r="AM727" s="609"/>
      <c r="AN727" s="609"/>
      <c r="AO727" s="609"/>
      <c r="AP727" s="609"/>
      <c r="AQ727" s="609"/>
      <c r="AR727" s="609"/>
      <c r="AS727" s="609"/>
      <c r="AT727" s="609"/>
      <c r="AU727" s="609"/>
      <c r="AV727" s="609"/>
      <c r="AW727" s="609"/>
      <c r="AX727" s="609"/>
      <c r="AY727" s="609"/>
      <c r="AZ727" s="609"/>
      <c r="BA727" s="609"/>
      <c r="BB727" s="609"/>
      <c r="BC727" s="609"/>
      <c r="BD727" s="609"/>
      <c r="BE727" s="609"/>
      <c r="BF727" s="609"/>
      <c r="BG727" s="609"/>
      <c r="BH727" s="610"/>
      <c r="BI727" s="610"/>
      <c r="BJ727" s="610"/>
      <c r="BK727" s="610"/>
      <c r="BL727" s="580"/>
      <c r="BM727" s="580"/>
      <c r="BN727" s="580"/>
      <c r="BO727" s="610"/>
      <c r="BP727" s="580"/>
      <c r="BQ727" s="580"/>
      <c r="BR727" s="580"/>
      <c r="BS727" s="609"/>
      <c r="BT727" s="952"/>
      <c r="BU727" s="701">
        <v>35</v>
      </c>
      <c r="BV727" s="583">
        <f>+BU727+BT727</f>
        <v>35</v>
      </c>
      <c r="BW727" s="609"/>
      <c r="BX727" s="701">
        <v>162</v>
      </c>
      <c r="BY727" s="701">
        <v>67</v>
      </c>
      <c r="BZ727" s="583">
        <f>+BY727+BX727</f>
        <v>229</v>
      </c>
      <c r="CA727" s="609"/>
      <c r="CB727" s="701">
        <v>11</v>
      </c>
      <c r="CC727" s="701">
        <v>52</v>
      </c>
      <c r="CD727" s="583">
        <f>+CC727+CB727</f>
        <v>63</v>
      </c>
      <c r="CE727" s="609"/>
      <c r="CF727" s="701">
        <v>-10</v>
      </c>
      <c r="CG727" s="701">
        <f>52-4</f>
        <v>48</v>
      </c>
      <c r="CH727" s="583">
        <f>+CG727+CF727</f>
        <v>38</v>
      </c>
      <c r="CI727" s="609"/>
      <c r="CJ727" s="701">
        <v>24</v>
      </c>
      <c r="CK727" s="701">
        <v>131</v>
      </c>
      <c r="CL727" s="583">
        <f>+CK727+CJ727</f>
        <v>155</v>
      </c>
      <c r="CM727" s="609"/>
      <c r="CN727" s="701">
        <v>21</v>
      </c>
      <c r="CO727" s="701">
        <v>7</v>
      </c>
      <c r="CP727" s="583">
        <f>+CO727+CN727</f>
        <v>28</v>
      </c>
      <c r="CQ727" s="609"/>
      <c r="CR727" s="701">
        <v>-1</v>
      </c>
      <c r="CS727" s="701">
        <v>-26</v>
      </c>
      <c r="CT727" s="583">
        <f>+CS727+CR727</f>
        <v>-27</v>
      </c>
      <c r="CU727" s="609"/>
      <c r="CV727" s="701">
        <v>36</v>
      </c>
      <c r="CW727" s="701">
        <v>18</v>
      </c>
      <c r="CX727" s="583">
        <f>+CW727+CV727</f>
        <v>54</v>
      </c>
      <c r="CY727" s="609"/>
      <c r="CZ727" s="701">
        <v>59</v>
      </c>
      <c r="DA727" s="701">
        <v>44</v>
      </c>
      <c r="DB727" s="583">
        <f>+DA727+CZ727</f>
        <v>103</v>
      </c>
      <c r="DC727" s="609"/>
      <c r="DD727" s="701">
        <v>22</v>
      </c>
      <c r="DE727" s="701">
        <v>-9</v>
      </c>
      <c r="DF727" s="583">
        <f>+DE727+DD727</f>
        <v>13</v>
      </c>
      <c r="DG727" s="609"/>
      <c r="DH727" s="701">
        <v>0</v>
      </c>
      <c r="DI727" s="701">
        <v>0</v>
      </c>
      <c r="DJ727" s="583">
        <f>+DI727+DH727</f>
        <v>0</v>
      </c>
      <c r="DK727" s="609"/>
      <c r="DL727" s="701">
        <v>0</v>
      </c>
      <c r="DM727" s="701">
        <v>0</v>
      </c>
      <c r="DN727" s="583">
        <f>+DM727+DL727</f>
        <v>0</v>
      </c>
      <c r="DO727" s="609"/>
      <c r="DP727" s="701">
        <v>0</v>
      </c>
      <c r="DQ727" s="701">
        <v>0</v>
      </c>
      <c r="DR727" s="583">
        <f>+DQ727+DP727</f>
        <v>0</v>
      </c>
      <c r="DS727" s="609"/>
      <c r="DT727" s="609"/>
      <c r="DU727" s="609"/>
      <c r="DV727" s="609"/>
      <c r="DW727" s="21"/>
      <c r="DX727" s="21"/>
    </row>
    <row r="728" spans="1:128" s="21" customFormat="1" ht="13.8">
      <c r="A728" s="21" t="s">
        <v>919</v>
      </c>
      <c r="B728" s="27"/>
      <c r="BH728" s="27"/>
      <c r="BI728" s="27"/>
      <c r="BJ728" s="27"/>
      <c r="BK728" s="27"/>
      <c r="BL728" s="72"/>
      <c r="BM728" s="72"/>
      <c r="BN728" s="72"/>
      <c r="BO728" s="27"/>
      <c r="BP728" s="72"/>
      <c r="BQ728" s="72"/>
      <c r="BR728" s="72"/>
      <c r="BT728" s="72">
        <f>+BT723-BT727</f>
        <v>961</v>
      </c>
      <c r="BU728" s="72">
        <f>+BU723-BU727</f>
        <v>1039</v>
      </c>
      <c r="BV728" s="72">
        <f>+BV723-BV727</f>
        <v>2000</v>
      </c>
      <c r="BX728" s="72">
        <f>+BX723-BX727</f>
        <v>1202</v>
      </c>
      <c r="BY728" s="72">
        <f>+BY723-BY727</f>
        <v>925</v>
      </c>
      <c r="BZ728" s="72">
        <f>+BZ723-BZ727</f>
        <v>2127</v>
      </c>
      <c r="CB728" s="72">
        <f>+CB723-CB727</f>
        <v>896</v>
      </c>
      <c r="CC728" s="72">
        <f>+CC723-CC727</f>
        <v>828</v>
      </c>
      <c r="CD728" s="72">
        <f>+CD723-CD727</f>
        <v>1724</v>
      </c>
      <c r="CF728" s="72">
        <f>+CF723-CF727</f>
        <v>957</v>
      </c>
      <c r="CG728" s="72">
        <f>+CG723-CG727</f>
        <v>782</v>
      </c>
      <c r="CH728" s="72">
        <f>+CH723-CH727</f>
        <v>1739</v>
      </c>
      <c r="CJ728" s="72">
        <f>+CJ723-CJ727</f>
        <v>1140</v>
      </c>
      <c r="CK728" s="72">
        <f>+CK723-CK727</f>
        <v>1359</v>
      </c>
      <c r="CL728" s="72">
        <f>+CL723-CL727</f>
        <v>2499</v>
      </c>
      <c r="CN728" s="72">
        <f>+CN723-CN727</f>
        <v>1019</v>
      </c>
      <c r="CO728" s="72">
        <f>+CO723-CO727</f>
        <v>924</v>
      </c>
      <c r="CP728" s="72">
        <f>+CP723-CP727</f>
        <v>1943</v>
      </c>
      <c r="CR728" s="72">
        <f>+CR723-CR727</f>
        <v>813</v>
      </c>
      <c r="CS728" s="72">
        <f>+CS723-CS727</f>
        <v>781</v>
      </c>
      <c r="CT728" s="72">
        <f>+CT723-CT727</f>
        <v>1594</v>
      </c>
      <c r="CV728" s="72">
        <f>+CV723-CV727</f>
        <v>1113</v>
      </c>
      <c r="CW728" s="72">
        <f>+CW723-CW727</f>
        <v>940</v>
      </c>
      <c r="CX728" s="72">
        <f>+CX723-CX727</f>
        <v>2053</v>
      </c>
      <c r="CZ728" s="72">
        <f>+CZ723-CZ727</f>
        <v>1153</v>
      </c>
      <c r="DA728" s="72">
        <f>+DA723-DA727</f>
        <v>928</v>
      </c>
      <c r="DB728" s="72">
        <f>+DB723-DB727</f>
        <v>2081</v>
      </c>
      <c r="DD728" s="72">
        <f>+DD723-DD727</f>
        <v>1051</v>
      </c>
      <c r="DE728" s="72">
        <f>+DE723-DE727</f>
        <v>1075</v>
      </c>
      <c r="DF728" s="72">
        <f>+DF723-DF727</f>
        <v>2126</v>
      </c>
      <c r="DH728" s="72">
        <f>+DH723-DH727</f>
        <v>1106.46</v>
      </c>
      <c r="DI728" s="72">
        <f>+DI723-DI727</f>
        <v>1014.93</v>
      </c>
      <c r="DJ728" s="72">
        <f>+DJ723-DJ727</f>
        <v>2121.3900000000003</v>
      </c>
      <c r="DL728" s="72">
        <f>+DL723-DL727</f>
        <v>1136.7642000000001</v>
      </c>
      <c r="DM728" s="72">
        <f>+DM723-DM727</f>
        <v>1042.4391000000001</v>
      </c>
      <c r="DN728" s="72">
        <f>+DN723-DN727</f>
        <v>2179.2033000000001</v>
      </c>
      <c r="DP728" s="72">
        <f>+DP723-DP727</f>
        <v>1167.9197340000001</v>
      </c>
      <c r="DQ728" s="72">
        <f>+DQ723-DQ727</f>
        <v>1070.7146970000001</v>
      </c>
      <c r="DR728" s="72">
        <f>+DR723-DR727</f>
        <v>2238.6344309999999</v>
      </c>
    </row>
    <row r="729" spans="1:128" s="20" customFormat="1" ht="13.8">
      <c r="A729" s="21"/>
      <c r="B729" s="27"/>
      <c r="C729" s="21"/>
      <c r="D729" s="21"/>
      <c r="E729" s="21"/>
      <c r="F729" s="21"/>
      <c r="G729" s="21"/>
      <c r="H729" s="21"/>
      <c r="I729" s="21"/>
      <c r="J729" s="21"/>
      <c r="K729" s="21"/>
      <c r="L729" s="21"/>
      <c r="M729" s="21"/>
      <c r="N729" s="21"/>
      <c r="O729" s="21"/>
      <c r="P729" s="21"/>
      <c r="Q729" s="21"/>
      <c r="R729" s="21"/>
      <c r="S729" s="21"/>
      <c r="T729" s="21"/>
      <c r="U729" s="21"/>
      <c r="V729" s="21"/>
      <c r="W729" s="21"/>
      <c r="X729" s="21"/>
      <c r="Y729" s="21"/>
      <c r="Z729" s="21"/>
      <c r="AA729" s="21"/>
      <c r="AB729" s="21"/>
      <c r="AC729" s="21"/>
      <c r="AD729" s="21"/>
      <c r="AE729" s="21"/>
      <c r="AF729" s="21"/>
      <c r="AG729" s="21"/>
      <c r="AH729" s="21"/>
      <c r="AI729" s="21"/>
      <c r="AJ729" s="21"/>
      <c r="AK729" s="21"/>
      <c r="AL729" s="21"/>
      <c r="AM729" s="21"/>
      <c r="AN729" s="21"/>
      <c r="AO729" s="21"/>
      <c r="AP729" s="21"/>
      <c r="AQ729" s="21"/>
      <c r="AR729" s="21"/>
      <c r="AS729" s="21"/>
      <c r="AT729" s="21"/>
      <c r="AU729" s="21"/>
      <c r="AV729" s="21"/>
      <c r="AW729" s="21"/>
      <c r="AX729" s="21"/>
      <c r="AY729" s="21"/>
      <c r="AZ729" s="21"/>
      <c r="BA729" s="21"/>
      <c r="BB729" s="21"/>
      <c r="BC729" s="21"/>
      <c r="BD729" s="21"/>
      <c r="BE729" s="21"/>
      <c r="BF729" s="21"/>
      <c r="BG729" s="21"/>
      <c r="BH729" s="27"/>
      <c r="BI729" s="27"/>
      <c r="BJ729" s="27"/>
      <c r="BK729" s="27"/>
      <c r="BL729" s="72"/>
      <c r="BM729" s="72"/>
      <c r="BN729" s="72"/>
      <c r="BO729" s="27"/>
      <c r="BP729" s="72"/>
      <c r="BQ729" s="72"/>
      <c r="BR729" s="72"/>
      <c r="BS729" s="21"/>
      <c r="BT729" s="72"/>
      <c r="BU729" s="72"/>
      <c r="BV729" s="72"/>
      <c r="BW729" s="21"/>
      <c r="BX729" s="72"/>
      <c r="BY729" s="72"/>
      <c r="BZ729" s="72"/>
      <c r="CA729" s="21"/>
      <c r="CB729" s="72"/>
      <c r="CC729" s="72"/>
      <c r="CD729" s="72"/>
      <c r="CE729" s="21"/>
      <c r="CF729" s="72"/>
      <c r="CG729" s="72"/>
      <c r="CH729" s="72"/>
      <c r="CI729" s="21"/>
      <c r="CJ729" s="72"/>
      <c r="CK729" s="72"/>
      <c r="CL729" s="72"/>
      <c r="CM729" s="21"/>
      <c r="CN729" s="72"/>
      <c r="CO729" s="72"/>
      <c r="CP729" s="72"/>
      <c r="CQ729" s="21"/>
      <c r="CR729" s="72"/>
      <c r="CS729" s="72"/>
      <c r="CT729" s="72"/>
      <c r="CU729" s="21"/>
      <c r="CV729" s="72"/>
      <c r="CW729" s="72"/>
      <c r="CX729" s="72"/>
      <c r="CY729" s="21"/>
      <c r="CZ729" s="72"/>
      <c r="DA729" s="72"/>
      <c r="DB729" s="72"/>
      <c r="DC729" s="21"/>
      <c r="DD729" s="72"/>
      <c r="DE729" s="72"/>
      <c r="DF729" s="72"/>
      <c r="DG729" s="21"/>
      <c r="DH729" s="72"/>
      <c r="DI729" s="72"/>
      <c r="DJ729" s="72"/>
      <c r="DK729" s="21"/>
      <c r="DL729" s="72"/>
      <c r="DM729" s="72"/>
      <c r="DN729" s="72"/>
      <c r="DO729" s="21"/>
      <c r="DP729" s="72"/>
      <c r="DQ729" s="72"/>
      <c r="DR729" s="72"/>
      <c r="DS729" s="21"/>
      <c r="DT729" s="21"/>
      <c r="DU729" s="21"/>
      <c r="DV729" s="21"/>
      <c r="DW729" s="21"/>
      <c r="DX729" s="21"/>
    </row>
    <row r="730" spans="1:128" s="21" customFormat="1" ht="13.8">
      <c r="A730" s="78" t="s">
        <v>127</v>
      </c>
      <c r="B730" s="27"/>
      <c r="BH730" s="27"/>
      <c r="BI730" s="27"/>
      <c r="BJ730" s="27"/>
      <c r="BK730" s="27"/>
      <c r="BL730" s="440"/>
      <c r="BM730" s="440"/>
      <c r="BN730" s="72"/>
      <c r="BO730" s="27"/>
      <c r="BP730" s="440"/>
      <c r="BQ730" s="440"/>
      <c r="BR730" s="72"/>
      <c r="BS730" s="79"/>
      <c r="BT730" s="440"/>
      <c r="BU730" s="440"/>
      <c r="BV730" s="72"/>
      <c r="BW730" s="79"/>
      <c r="BX730" s="440"/>
      <c r="BY730" s="440"/>
      <c r="BZ730" s="72"/>
      <c r="CA730" s="79"/>
      <c r="CB730" s="440"/>
      <c r="CC730" s="440"/>
      <c r="CD730" s="72"/>
      <c r="CE730" s="79"/>
      <c r="CF730" s="383"/>
      <c r="CG730" s="440"/>
      <c r="CH730" s="72"/>
      <c r="CI730" s="79"/>
      <c r="CJ730" s="383"/>
      <c r="CK730" s="383"/>
      <c r="CL730" s="383"/>
      <c r="CM730" s="79"/>
      <c r="CN730" s="383"/>
      <c r="CO730" s="383"/>
      <c r="CP730" s="383"/>
      <c r="CQ730" s="79"/>
      <c r="CR730" s="383"/>
      <c r="CS730" s="383"/>
      <c r="CT730" s="383"/>
      <c r="CU730" s="79"/>
      <c r="CV730" s="383"/>
      <c r="CW730" s="383"/>
      <c r="CX730" s="383"/>
      <c r="CY730" s="79"/>
      <c r="CZ730" s="383"/>
      <c r="DA730" s="383"/>
      <c r="DB730" s="383"/>
      <c r="DC730" s="79"/>
      <c r="DD730" s="383"/>
      <c r="DE730" s="383"/>
      <c r="DF730" s="383"/>
      <c r="DG730" s="79"/>
      <c r="DH730" s="383"/>
      <c r="DI730" s="383"/>
      <c r="DJ730" s="383"/>
      <c r="DK730" s="79"/>
      <c r="DL730" s="383"/>
      <c r="DM730" s="383"/>
      <c r="DN730" s="383"/>
      <c r="DO730" s="79"/>
      <c r="DP730" s="383"/>
      <c r="DQ730" s="383"/>
      <c r="DR730" s="383"/>
      <c r="DS730" s="79"/>
      <c r="DT730" s="79"/>
      <c r="DU730" s="79"/>
      <c r="DV730" s="79"/>
    </row>
    <row r="731" spans="1:128" s="20" customFormat="1" ht="13.8">
      <c r="A731" s="47" t="str">
        <f>A719</f>
        <v>Sales</v>
      </c>
      <c r="B731" s="49"/>
      <c r="BH731" s="49"/>
      <c r="BI731" s="49"/>
      <c r="BJ731" s="49"/>
      <c r="BK731" s="49"/>
      <c r="BL731" s="441"/>
      <c r="BM731" s="441"/>
      <c r="BN731" s="49"/>
      <c r="BO731" s="49"/>
      <c r="BP731" s="96">
        <f t="shared" ref="BP731:BR732" si="1144">+BP719/BL719-1</f>
        <v>6.1120543293718077E-2</v>
      </c>
      <c r="BQ731" s="96">
        <f t="shared" si="1144"/>
        <v>2.2598870056497189E-2</v>
      </c>
      <c r="BR731" s="96">
        <f t="shared" si="1144"/>
        <v>4.2857142857142927E-2</v>
      </c>
      <c r="BT731" s="96">
        <f t="shared" ref="BT731:BV732" si="1145">+BT719/BP719-1</f>
        <v>-0.13280000000000003</v>
      </c>
      <c r="BU731" s="96">
        <f t="shared" si="1145"/>
        <v>-1.8416206261510082E-3</v>
      </c>
      <c r="BV731" s="96">
        <f t="shared" si="1145"/>
        <v>-7.1917808219178037E-2</v>
      </c>
      <c r="BX731" s="96">
        <f t="shared" ref="BX731:BZ732" si="1146">+BX719/BT719-1</f>
        <v>-0.10885608856088558</v>
      </c>
      <c r="BY731" s="96">
        <f t="shared" si="1146"/>
        <v>-0.16789667896678961</v>
      </c>
      <c r="BZ731" s="96">
        <f t="shared" si="1146"/>
        <v>-0.13837638376383765</v>
      </c>
      <c r="CB731" s="96">
        <f t="shared" ref="CB731:CF732" si="1147">+CB719/BX719-1</f>
        <v>-9.3167701863353991E-2</v>
      </c>
      <c r="CC731" s="96">
        <f t="shared" si="1147"/>
        <v>8.8691796008868451E-3</v>
      </c>
      <c r="CD731" s="96">
        <f t="shared" si="1147"/>
        <v>-4.3897216274089934E-2</v>
      </c>
      <c r="CF731" s="96">
        <f t="shared" si="1147"/>
        <v>6.164383561643838E-2</v>
      </c>
      <c r="CG731" s="96">
        <f t="shared" ref="CG731:CH732" si="1148">+CG719/CC719-1</f>
        <v>2.637362637362628E-2</v>
      </c>
      <c r="CH731" s="96">
        <f t="shared" si="1148"/>
        <v>4.3673012318029114E-2</v>
      </c>
      <c r="CJ731" s="96">
        <f t="shared" ref="CJ731:CN732" si="1149">+CJ719/CF719-1</f>
        <v>0.10322580645161294</v>
      </c>
      <c r="CK731" s="96">
        <f t="shared" si="1149"/>
        <v>8.565310492505418E-3</v>
      </c>
      <c r="CL731" s="96">
        <f t="shared" si="1149"/>
        <v>5.579399141630903E-2</v>
      </c>
      <c r="CN731" s="96">
        <f t="shared" si="1149"/>
        <v>-0.18323586744639375</v>
      </c>
      <c r="CO731" s="96"/>
      <c r="CP731" s="96"/>
      <c r="CR731" s="96">
        <f t="shared" ref="CR731:CR732" si="1150">+CR719/CN719-1</f>
        <v>-1</v>
      </c>
      <c r="CS731" s="96"/>
      <c r="CT731" s="96"/>
      <c r="CV731" s="96"/>
      <c r="CW731" s="96"/>
      <c r="CX731" s="96"/>
      <c r="CZ731" s="96"/>
      <c r="DA731" s="96"/>
      <c r="DB731" s="96"/>
      <c r="DD731" s="96"/>
      <c r="DE731" s="96"/>
      <c r="DF731" s="96"/>
      <c r="DH731" s="1064"/>
      <c r="DI731" s="1064"/>
      <c r="DJ731" s="96"/>
      <c r="DL731" s="1064"/>
      <c r="DM731" s="1064"/>
      <c r="DN731" s="96"/>
      <c r="DP731" s="1064"/>
      <c r="DQ731" s="1064"/>
      <c r="DR731" s="96"/>
    </row>
    <row r="732" spans="1:128" s="20" customFormat="1" ht="13.8">
      <c r="A732" s="47" t="str">
        <f>A720</f>
        <v>Trading</v>
      </c>
      <c r="B732" s="49"/>
      <c r="BH732" s="49"/>
      <c r="BI732" s="49"/>
      <c r="BJ732" s="49"/>
      <c r="BK732" s="49"/>
      <c r="BL732" s="441"/>
      <c r="BM732" s="441"/>
      <c r="BN732" s="49"/>
      <c r="BO732" s="49"/>
      <c r="BP732" s="96">
        <f t="shared" si="1144"/>
        <v>6.3091482649842323E-2</v>
      </c>
      <c r="BQ732" s="96">
        <f t="shared" si="1144"/>
        <v>0.20361990950226239</v>
      </c>
      <c r="BR732" s="96">
        <f t="shared" si="1144"/>
        <v>0.12081784386617089</v>
      </c>
      <c r="BT732" s="96">
        <f t="shared" si="1145"/>
        <v>-0.10385756676557867</v>
      </c>
      <c r="BU732" s="96">
        <f t="shared" si="1145"/>
        <v>0.35714285714285721</v>
      </c>
      <c r="BV732" s="96">
        <f t="shared" si="1145"/>
        <v>9.9502487562189046E-2</v>
      </c>
      <c r="BX732" s="96">
        <f t="shared" si="1146"/>
        <v>0.73841059602649017</v>
      </c>
      <c r="BY732" s="96">
        <f t="shared" si="1146"/>
        <v>-0.27146814404432129</v>
      </c>
      <c r="BZ732" s="96">
        <f t="shared" si="1146"/>
        <v>0.18853695324283559</v>
      </c>
      <c r="CB732" s="96">
        <f t="shared" si="1147"/>
        <v>-0.66285714285714281</v>
      </c>
      <c r="CC732" s="96">
        <f t="shared" si="1147"/>
        <v>-0.42585551330798477</v>
      </c>
      <c r="CD732" s="96">
        <f t="shared" si="1147"/>
        <v>-0.58375634517766495</v>
      </c>
      <c r="CF732" s="96">
        <f t="shared" si="1147"/>
        <v>0.2768361581920904</v>
      </c>
      <c r="CG732" s="96">
        <f t="shared" si="1148"/>
        <v>0.14569536423841067</v>
      </c>
      <c r="CH732" s="96">
        <f t="shared" si="1148"/>
        <v>0.21646341463414642</v>
      </c>
      <c r="CJ732" s="96">
        <f t="shared" si="1149"/>
        <v>0.82743362831858414</v>
      </c>
      <c r="CK732" s="96">
        <f t="shared" si="1149"/>
        <v>2.1849710982658959</v>
      </c>
      <c r="CL732" s="96">
        <f t="shared" si="1149"/>
        <v>1.4160401002506267</v>
      </c>
      <c r="CN732" s="96">
        <f t="shared" si="1149"/>
        <v>-0.46973365617433416</v>
      </c>
      <c r="CO732" s="96"/>
      <c r="CP732" s="96"/>
      <c r="CR732" s="96">
        <f t="shared" si="1150"/>
        <v>-1</v>
      </c>
      <c r="CS732" s="96"/>
      <c r="CT732" s="96"/>
      <c r="CV732" s="96"/>
      <c r="CW732" s="96"/>
      <c r="CX732" s="96"/>
      <c r="CZ732" s="96"/>
      <c r="DA732" s="96"/>
      <c r="DB732" s="96"/>
      <c r="DD732" s="96"/>
      <c r="DE732" s="96"/>
      <c r="DF732" s="96"/>
      <c r="DH732" s="1064"/>
      <c r="DI732" s="1064"/>
      <c r="DJ732" s="96"/>
      <c r="DL732" s="1064"/>
      <c r="DM732" s="1064"/>
      <c r="DN732" s="96"/>
      <c r="DP732" s="1064"/>
      <c r="DQ732" s="1064"/>
      <c r="DR732" s="96"/>
    </row>
    <row r="733" spans="1:128" s="20" customFormat="1" ht="13.8">
      <c r="A733" s="47" t="str">
        <f>A721</f>
        <v>Balance Sheet</v>
      </c>
      <c r="B733" s="49"/>
      <c r="BH733" s="49"/>
      <c r="BI733" s="49"/>
      <c r="BJ733" s="49"/>
      <c r="BK733" s="49"/>
      <c r="BL733" s="441"/>
      <c r="BM733" s="441"/>
      <c r="BN733" s="49"/>
      <c r="BO733" s="49"/>
      <c r="BP733" s="96">
        <f>+BP721/BL721-1</f>
        <v>-2.8169014084507005E-2</v>
      </c>
      <c r="BQ733" s="96">
        <f>+BQ721/BM721-1</f>
        <v>-0.57692307692307687</v>
      </c>
      <c r="BR733" s="96">
        <f>+BR721/BN721-1</f>
        <v>-0.30350877192982462</v>
      </c>
      <c r="BT733" s="96">
        <f>+BT721/BP721-1</f>
        <v>-0.44927536231884058</v>
      </c>
      <c r="BU733" s="96">
        <f>+BU721/BQ721-1</f>
        <v>0.96694214876033069</v>
      </c>
      <c r="BV733" s="96">
        <f>+BV721/BR721-1</f>
        <v>-1.7632241813602012E-2</v>
      </c>
      <c r="BX733" s="96">
        <f>+BX721/BT721-1</f>
        <v>1.3421052631578947</v>
      </c>
      <c r="BY733" s="96">
        <f>+BY721/BU721-1</f>
        <v>0.16806722689075637</v>
      </c>
      <c r="BZ733" s="96">
        <f>+BZ721/BV721-1</f>
        <v>0.62564102564102564</v>
      </c>
      <c r="CB733" s="96">
        <f>+CB721/BX721-1</f>
        <v>-0.1797752808988764</v>
      </c>
      <c r="CC733" s="96">
        <f>+CC721/BY721-1</f>
        <v>-1.4388489208633115E-2</v>
      </c>
      <c r="CD733" s="96">
        <f>+CD721/BZ721-1</f>
        <v>-0.10725552050473186</v>
      </c>
      <c r="CF733" s="96">
        <f>+CF721/CB721-1</f>
        <v>-0.12328767123287676</v>
      </c>
      <c r="CG733" s="96">
        <f>+CG721/CC721-1</f>
        <v>-0.30656934306569339</v>
      </c>
      <c r="CH733" s="96">
        <f>+CH721/CD721-1</f>
        <v>-0.21201413427561833</v>
      </c>
      <c r="CJ733" s="96">
        <f>+CJ721/CF721-1</f>
        <v>-7.03125E-2</v>
      </c>
      <c r="CK733" s="96">
        <f>+CK721/CG721-1</f>
        <v>1.4631578947368422</v>
      </c>
      <c r="CL733" s="96">
        <f>+CL721/CH721-1</f>
        <v>0.58295964125560529</v>
      </c>
      <c r="CN733" s="96">
        <f>+CN721/CJ721-1</f>
        <v>0.68907563025210083</v>
      </c>
      <c r="CO733" s="96"/>
      <c r="CP733" s="96"/>
      <c r="CR733" s="96">
        <f>+CR721/CN721-1</f>
        <v>-1</v>
      </c>
      <c r="CS733" s="96"/>
      <c r="CT733" s="96"/>
      <c r="CV733" s="96"/>
      <c r="CW733" s="96"/>
      <c r="CX733" s="96"/>
      <c r="CZ733" s="96"/>
      <c r="DA733" s="96"/>
      <c r="DB733" s="96"/>
      <c r="DD733" s="96"/>
      <c r="DE733" s="96"/>
      <c r="DF733" s="96"/>
      <c r="DH733" s="1064"/>
      <c r="DI733" s="1064"/>
      <c r="DJ733" s="96"/>
      <c r="DL733" s="1064"/>
      <c r="DM733" s="1064"/>
      <c r="DN733" s="96"/>
      <c r="DP733" s="1064"/>
      <c r="DQ733" s="1064"/>
      <c r="DR733" s="96"/>
    </row>
    <row r="734" spans="1:128" s="20" customFormat="1" ht="13.8">
      <c r="A734" s="47" t="s">
        <v>855</v>
      </c>
      <c r="B734" s="49"/>
      <c r="BH734" s="49"/>
      <c r="BI734" s="49"/>
      <c r="BJ734" s="49"/>
      <c r="BK734" s="49"/>
      <c r="BL734" s="441"/>
      <c r="BM734" s="441"/>
      <c r="BN734" s="49"/>
      <c r="BO734" s="49"/>
      <c r="BP734" s="96">
        <f>+BP723/BL723-1</f>
        <v>-3.3726812816189389E-3</v>
      </c>
      <c r="BQ734" s="96">
        <f>+BQ723/BM723-1</f>
        <v>-3.2321253672869754E-2</v>
      </c>
      <c r="BR734" s="96">
        <f>+BR723/BN723-1</f>
        <v>-1.6764839148164956E-2</v>
      </c>
      <c r="BT734" s="96">
        <f>+BT723/BP723-1</f>
        <v>-0.18697123519458547</v>
      </c>
      <c r="BU734" s="96">
        <f>+BU723/BQ723-1</f>
        <v>8.7044534412955565E-2</v>
      </c>
      <c r="BV734" s="96">
        <f>+BV723/BR723-1</f>
        <v>-6.2211981566820285E-2</v>
      </c>
      <c r="BX734" s="96">
        <f>+BX723/BT723-1</f>
        <v>0.41935483870967749</v>
      </c>
      <c r="BY734" s="96">
        <f>+BY723/BU723-1</f>
        <v>-7.6350093109869621E-2</v>
      </c>
      <c r="BZ734" s="96">
        <f>+BZ723/BV723-1</f>
        <v>0.15773955773955772</v>
      </c>
      <c r="CB734" s="96">
        <f>+CB723/BX723-1</f>
        <v>-0.33504398826979476</v>
      </c>
      <c r="CC734" s="96">
        <f>+CC723/BY723-1</f>
        <v>-0.11290322580645162</v>
      </c>
      <c r="CD734" s="96">
        <f>+CD723/BZ723-1</f>
        <v>-0.24151103565365029</v>
      </c>
      <c r="CF734" s="96">
        <f>+CF723/CB723-1</f>
        <v>4.4101433296582115E-2</v>
      </c>
      <c r="CG734" s="96">
        <f>+CG723/CC723-1</f>
        <v>-5.6818181818181768E-2</v>
      </c>
      <c r="CH734" s="96">
        <f>+CH723/CD723-1</f>
        <v>-5.5959709009513192E-3</v>
      </c>
      <c r="CJ734" s="96">
        <f>+CJ723/CF723-1</f>
        <v>0.2291446673706441</v>
      </c>
      <c r="CK734" s="96">
        <f>+CK723/CG723-1</f>
        <v>0.79518072289156616</v>
      </c>
      <c r="CL734" s="96">
        <f>+CL723/CH723-1</f>
        <v>0.49352841868317388</v>
      </c>
      <c r="CN734" s="96">
        <f>+CN723/CJ723-1</f>
        <v>-0.10652920962199308</v>
      </c>
      <c r="CO734" s="96">
        <f>+CO723/CK723-1</f>
        <v>-0.37516778523489935</v>
      </c>
      <c r="CP734" s="96">
        <f>+CP723/CL723-1</f>
        <v>-0.25734740015071589</v>
      </c>
      <c r="CR734" s="96">
        <f>+CR723/CN723-1</f>
        <v>-0.21923076923076923</v>
      </c>
      <c r="CS734" s="96">
        <f>+CS723/CO723-1</f>
        <v>-0.18904403866809882</v>
      </c>
      <c r="CT734" s="96">
        <f>+CT723/CP723-1</f>
        <v>-0.20497209538305428</v>
      </c>
      <c r="CV734" s="96">
        <f>+CV723/CR723-1</f>
        <v>0.41502463054187189</v>
      </c>
      <c r="CW734" s="96">
        <f>+CW723/CS723-1</f>
        <v>0.26887417218543042</v>
      </c>
      <c r="CX734" s="96">
        <f>+CX723/CT723-1</f>
        <v>0.34460753031269942</v>
      </c>
      <c r="CZ734" s="96">
        <f>+CZ723/CV723-1</f>
        <v>5.4830287206266259E-2</v>
      </c>
      <c r="DA734" s="96">
        <f>+DA723/CW723-1</f>
        <v>1.4613778705636848E-2</v>
      </c>
      <c r="DB734" s="96">
        <f>+DB723/CX723-1</f>
        <v>3.6544850498338777E-2</v>
      </c>
      <c r="DD734" s="96">
        <f>+DD723/CZ723-1</f>
        <v>-0.11468646864686471</v>
      </c>
      <c r="DE734" s="96">
        <f>+DE723/DA723-1</f>
        <v>9.6707818930041212E-2</v>
      </c>
      <c r="DF734" s="96">
        <f>+DF723/DB723-1</f>
        <v>-2.0604395604395642E-2</v>
      </c>
      <c r="DH734" s="96">
        <f>+DH723/DD723-1</f>
        <v>3.1183597390493922E-2</v>
      </c>
      <c r="DI734" s="96">
        <f>+DI723/DE723-1</f>
        <v>-4.7908067542213884E-2</v>
      </c>
      <c r="DJ734" s="96">
        <f>+DJ723/DF723-1</f>
        <v>-8.2328190743335972E-3</v>
      </c>
      <c r="DL734" s="96">
        <f>+DL723/DH723-1</f>
        <v>2.73884279594383E-2</v>
      </c>
      <c r="DM734" s="96">
        <f>+DM723/DI723-1</f>
        <v>2.7104430847447736E-2</v>
      </c>
      <c r="DN734" s="96">
        <f>+DN723/DJ723-1</f>
        <v>2.7252556107080661E-2</v>
      </c>
      <c r="DP734" s="96">
        <f>+DP723/DL723-1</f>
        <v>2.7407208988460496E-2</v>
      </c>
      <c r="DQ734" s="96">
        <f>+DQ723/DM723-1</f>
        <v>2.7124459356906439E-2</v>
      </c>
      <c r="DR734" s="96">
        <f>+DR723/DN723-1</f>
        <v>2.7271953470334731E-2</v>
      </c>
    </row>
    <row r="735" spans="1:128" s="21" customFormat="1" ht="13.8">
      <c r="A735" s="78" t="str">
        <f>A725</f>
        <v>Total</v>
      </c>
      <c r="B735" s="27"/>
      <c r="BH735" s="27"/>
      <c r="BI735" s="27"/>
      <c r="BJ735" s="27"/>
      <c r="BK735" s="27"/>
      <c r="BL735" s="704"/>
      <c r="BM735" s="704"/>
      <c r="BN735" s="27"/>
      <c r="BO735" s="27"/>
      <c r="BP735" s="97">
        <f>+BP725/BL725-1</f>
        <v>-3.3726812816189389E-3</v>
      </c>
      <c r="BQ735" s="97">
        <f>+BQ725/BM725-1</f>
        <v>-3.2321253672869754E-2</v>
      </c>
      <c r="BR735" s="97">
        <f>+BR725/BN725-1</f>
        <v>-1.6764839148164956E-2</v>
      </c>
      <c r="BT735" s="97">
        <f>+BT725/BP725-1</f>
        <v>-0.18697123519458547</v>
      </c>
      <c r="BU735" s="97">
        <f>+BU725/BQ725-1</f>
        <v>-0.15283400809716596</v>
      </c>
      <c r="BV735" s="97">
        <f>+BV725/BR725-1</f>
        <v>-0.17142857142857137</v>
      </c>
      <c r="BX735" s="97">
        <f>+BX725/BT725-1</f>
        <v>0.41935483870967749</v>
      </c>
      <c r="BY735" s="97">
        <f>+BY725/BU725-1</f>
        <v>0.18518518518518512</v>
      </c>
      <c r="BZ735" s="97">
        <f>+BZ725/BV725-1</f>
        <v>0.31034482758620685</v>
      </c>
      <c r="CB735" s="97">
        <f>+CB725/BX725-1</f>
        <v>-0.33504398826979476</v>
      </c>
      <c r="CC735" s="97">
        <f>+CC725/BY725-1</f>
        <v>-0.11290322580645162</v>
      </c>
      <c r="CD735" s="97">
        <f>+CD725/BZ725-1</f>
        <v>-0.24151103565365029</v>
      </c>
      <c r="CF735" s="97">
        <f>+CF725/CB725-1</f>
        <v>4.4101433296582115E-2</v>
      </c>
      <c r="CG735" s="97">
        <f>+CG725/CC725-1</f>
        <v>-5.6818181818181768E-2</v>
      </c>
      <c r="CH735" s="97">
        <f>+CH725/CD725-1</f>
        <v>-5.5959709009513192E-3</v>
      </c>
      <c r="CJ735" s="97">
        <f>+CJ725/CF725-1</f>
        <v>0.2291446673706441</v>
      </c>
      <c r="CK735" s="97">
        <f>+CK725/CG725-1</f>
        <v>0.79518072289156616</v>
      </c>
      <c r="CL735" s="97">
        <f>+CL725/CH725-1</f>
        <v>0.49352841868317388</v>
      </c>
      <c r="CN735" s="97">
        <f>+CN725/CJ725-1</f>
        <v>-0.10652920962199308</v>
      </c>
      <c r="CO735" s="97">
        <f>+CO725/CK725-1</f>
        <v>-0.37516778523489935</v>
      </c>
      <c r="CP735" s="97">
        <f>+CP725/CL725-1</f>
        <v>-0.25734740015071589</v>
      </c>
      <c r="CR735" s="97">
        <f>+CR725/CN725-1</f>
        <v>-0.21923076923076923</v>
      </c>
      <c r="CS735" s="97">
        <f>+CS725/CO725-1</f>
        <v>-0.18904403866809882</v>
      </c>
      <c r="CT735" s="97">
        <f>+CT725/CP725-1</f>
        <v>-0.20497209538305428</v>
      </c>
      <c r="CV735" s="97">
        <f>+CV725/CR725-1</f>
        <v>0.41502463054187189</v>
      </c>
      <c r="CW735" s="97">
        <f>+CW725/CS725-1</f>
        <v>0.26887417218543042</v>
      </c>
      <c r="CX735" s="97">
        <f>+CX725/CT725-1</f>
        <v>0.34460753031269942</v>
      </c>
      <c r="CZ735" s="97">
        <f>+CZ725/CV725-1</f>
        <v>5.4830287206266259E-2</v>
      </c>
      <c r="DA735" s="97">
        <f>+DA725/CW725-1</f>
        <v>1.4613778705636848E-2</v>
      </c>
      <c r="DB735" s="97">
        <f>+DB725/CX725-1</f>
        <v>3.6544850498338777E-2</v>
      </c>
      <c r="DD735" s="97">
        <f>+DD725/CZ725-1</f>
        <v>-0.11468646864686471</v>
      </c>
      <c r="DE735" s="97">
        <f>+DE725/DA725-1</f>
        <v>9.6707818930041212E-2</v>
      </c>
      <c r="DF735" s="97">
        <f>+DF725/DB725-1</f>
        <v>-2.0604395604395642E-2</v>
      </c>
      <c r="DH735" s="97">
        <f>+DH725/DD725-1</f>
        <v>3.1183597390493922E-2</v>
      </c>
      <c r="DI735" s="97">
        <f>+DI725/DE725-1</f>
        <v>-4.7908067542213884E-2</v>
      </c>
      <c r="DJ735" s="97">
        <f>+DJ725/DF725-1</f>
        <v>-8.2328190743335972E-3</v>
      </c>
      <c r="DL735" s="97">
        <f>+DL725/DH725-1</f>
        <v>2.73884279594383E-2</v>
      </c>
      <c r="DM735" s="97">
        <f>+DM725/DI725-1</f>
        <v>2.7104430847447736E-2</v>
      </c>
      <c r="DN735" s="97">
        <f>+DN725/DJ725-1</f>
        <v>2.7252556107080661E-2</v>
      </c>
      <c r="DP735" s="97">
        <f>+DP725/DL725-1</f>
        <v>2.7407208988460496E-2</v>
      </c>
      <c r="DQ735" s="97">
        <f>+DQ725/DM725-1</f>
        <v>2.7124459356906439E-2</v>
      </c>
      <c r="DR735" s="97">
        <f>+DR725/DN725-1</f>
        <v>2.7271953470334731E-2</v>
      </c>
    </row>
    <row r="736" spans="1:128" s="21" customFormat="1" ht="13.8">
      <c r="A736" s="78" t="str">
        <f>A728</f>
        <v>Underlying ex DVA</v>
      </c>
      <c r="B736" s="27"/>
      <c r="BH736" s="27"/>
      <c r="BI736" s="27"/>
      <c r="BJ736" s="27"/>
      <c r="BK736" s="27"/>
      <c r="BL736" s="704"/>
      <c r="BM736" s="704"/>
      <c r="BN736" s="27"/>
      <c r="BO736" s="27"/>
      <c r="BP736" s="97"/>
      <c r="BQ736" s="97"/>
      <c r="BR736" s="97"/>
      <c r="BT736" s="97"/>
      <c r="BU736" s="97"/>
      <c r="BV736" s="97"/>
      <c r="BX736" s="97">
        <f>+BX728/BT728-1</f>
        <v>0.25078043704474506</v>
      </c>
      <c r="BY736" s="97">
        <f>+BY728/BU728-1</f>
        <v>-0.10972088546679504</v>
      </c>
      <c r="BZ736" s="97">
        <f>+BZ728/BV728-1</f>
        <v>6.349999999999989E-2</v>
      </c>
      <c r="CB736" s="97">
        <f>+CB728/BX728-1</f>
        <v>-0.25457570715474209</v>
      </c>
      <c r="CC736" s="97">
        <f>+CC728/BY728-1</f>
        <v>-0.1048648648648649</v>
      </c>
      <c r="CD736" s="97">
        <f>+CD728/BZ728-1</f>
        <v>-0.1894687353079455</v>
      </c>
      <c r="CF736" s="97">
        <f>+CF728/CB728-1</f>
        <v>6.8080357142857206E-2</v>
      </c>
      <c r="CG736" s="97">
        <f>+CG728/CC728-1</f>
        <v>-5.555555555555558E-2</v>
      </c>
      <c r="CH736" s="97">
        <f>+CH728/CD728-1</f>
        <v>8.7006960556843538E-3</v>
      </c>
      <c r="CJ736" s="97">
        <f>+CJ728/CF728-1</f>
        <v>0.19122257053291536</v>
      </c>
      <c r="CK736" s="97">
        <f>+CK728/CG728-1</f>
        <v>0.73785166240409206</v>
      </c>
      <c r="CL736" s="97">
        <f>+CL728/CH728-1</f>
        <v>0.43703277745830937</v>
      </c>
      <c r="CN736" s="97">
        <f>+CN728/CJ728-1</f>
        <v>-0.10614035087719298</v>
      </c>
      <c r="CO736" s="97">
        <f>+CO728/CK728-1</f>
        <v>-0.32008830022075052</v>
      </c>
      <c r="CP736" s="97">
        <f>+CP728/CL728-1</f>
        <v>-0.22248899559823931</v>
      </c>
      <c r="CR736" s="97">
        <f>+CR728/CN728-1</f>
        <v>-0.20215897939156036</v>
      </c>
      <c r="CS736" s="97">
        <f>+CS728/CO728-1</f>
        <v>-0.15476190476190477</v>
      </c>
      <c r="CT736" s="97">
        <f>+CT728/CP728-1</f>
        <v>-0.17961914565105508</v>
      </c>
      <c r="CV736" s="97">
        <f>+CV728/CR728-1</f>
        <v>0.36900369003690048</v>
      </c>
      <c r="CW736" s="97">
        <f>+CW728/CS728-1</f>
        <v>0.20358514724711907</v>
      </c>
      <c r="CX736" s="97">
        <f>+CX728/CT728-1</f>
        <v>0.28795483061480542</v>
      </c>
      <c r="CZ736" s="97">
        <f>+CZ728/CV728-1</f>
        <v>3.5938903863432126E-2</v>
      </c>
      <c r="DA736" s="97">
        <f>+DA728/CW728-1</f>
        <v>-1.2765957446808529E-2</v>
      </c>
      <c r="DB736" s="97">
        <f>+DB728/CX728-1</f>
        <v>1.3638577691183595E-2</v>
      </c>
      <c r="DD736" s="97">
        <f>+DD728/CZ728-1</f>
        <v>-8.8464874241110159E-2</v>
      </c>
      <c r="DE736" s="97">
        <f>+DE728/DA728-1</f>
        <v>0.15840517241379315</v>
      </c>
      <c r="DF736" s="97">
        <f>+DF728/DB728-1</f>
        <v>2.1624219125420563E-2</v>
      </c>
      <c r="DH736" s="97">
        <f>+DH728/DD728-1</f>
        <v>5.276879162702186E-2</v>
      </c>
      <c r="DI736" s="97">
        <f>+DI728/DE728-1</f>
        <v>-5.5879069767441947E-2</v>
      </c>
      <c r="DJ736" s="97">
        <f>+DJ728/DF728-1</f>
        <v>-2.1683913452491543E-3</v>
      </c>
      <c r="DL736" s="97">
        <f>+DL728/DH728-1</f>
        <v>2.73884279594383E-2</v>
      </c>
      <c r="DM736" s="97">
        <f>+DM728/DI728-1</f>
        <v>2.7104430847447736E-2</v>
      </c>
      <c r="DN736" s="97">
        <f>+DN728/DJ728-1</f>
        <v>2.7252556107080661E-2</v>
      </c>
      <c r="DP736" s="97">
        <f>+DP728/DL728-1</f>
        <v>2.7407208988460496E-2</v>
      </c>
      <c r="DQ736" s="97">
        <f>+DQ728/DM728-1</f>
        <v>2.7124459356906439E-2</v>
      </c>
      <c r="DR736" s="97">
        <f>+DR728/DN728-1</f>
        <v>2.7271953470334731E-2</v>
      </c>
    </row>
    <row r="737" spans="1:128" s="21" customFormat="1" ht="13.8">
      <c r="A737" s="78"/>
      <c r="B737" s="27"/>
      <c r="BH737" s="27"/>
      <c r="BI737" s="27"/>
      <c r="BJ737" s="27"/>
      <c r="BK737" s="27"/>
      <c r="BL737" s="704"/>
      <c r="BM737" s="704"/>
      <c r="BN737" s="27"/>
      <c r="BO737" s="27"/>
      <c r="BP737" s="97"/>
      <c r="BQ737" s="97"/>
      <c r="BR737" s="97"/>
      <c r="BT737" s="97"/>
      <c r="BU737" s="97"/>
      <c r="BV737" s="97"/>
      <c r="BX737" s="97"/>
      <c r="BY737" s="97"/>
      <c r="BZ737" s="97"/>
      <c r="CB737" s="97"/>
      <c r="CC737" s="97"/>
      <c r="CD737" s="97"/>
      <c r="CF737" s="97"/>
      <c r="CG737" s="97"/>
      <c r="CH737" s="97"/>
      <c r="CJ737" s="97"/>
      <c r="CK737" s="97"/>
      <c r="CL737" s="97"/>
      <c r="CN737" s="97"/>
      <c r="CO737" s="97"/>
      <c r="CP737" s="97"/>
      <c r="CR737" s="97"/>
      <c r="CS737" s="97"/>
      <c r="CT737" s="97"/>
      <c r="CV737" s="97"/>
      <c r="CW737" s="97"/>
      <c r="CX737" s="97"/>
      <c r="CZ737" s="97"/>
      <c r="DA737" s="97"/>
      <c r="DB737" s="97"/>
      <c r="DD737" s="97"/>
      <c r="DE737" s="97"/>
      <c r="DF737" s="97"/>
      <c r="DH737" s="97"/>
      <c r="DI737" s="97"/>
      <c r="DJ737" s="97"/>
      <c r="DL737" s="97"/>
      <c r="DM737" s="97"/>
      <c r="DN737" s="97"/>
      <c r="DP737" s="97"/>
      <c r="DQ737" s="97"/>
      <c r="DR737" s="97"/>
    </row>
    <row r="738" spans="1:128" s="20" customFormat="1" ht="13.8">
      <c r="B738" s="49"/>
      <c r="BH738" s="49"/>
      <c r="BI738" s="49"/>
      <c r="BJ738" s="49"/>
      <c r="BK738" s="49"/>
      <c r="BL738" s="49"/>
      <c r="BM738" s="49"/>
      <c r="BN738" s="49"/>
      <c r="BO738" s="49"/>
      <c r="BP738" s="56"/>
      <c r="BQ738" s="49"/>
      <c r="BR738" s="49"/>
      <c r="BT738" s="56"/>
      <c r="BX738" s="56"/>
      <c r="CB738" s="56"/>
      <c r="CF738" s="49"/>
      <c r="CJ738" s="49"/>
      <c r="CN738" s="49"/>
      <c r="CR738" s="49"/>
      <c r="CV738" s="49"/>
      <c r="CZ738" s="49"/>
      <c r="DD738" s="49"/>
      <c r="DH738" s="49"/>
      <c r="DL738" s="49"/>
      <c r="DP738" s="49"/>
    </row>
    <row r="739" spans="1:128" s="20" customFormat="1" ht="13.8">
      <c r="A739" s="21" t="s">
        <v>811</v>
      </c>
      <c r="B739" s="49"/>
      <c r="BH739" s="49"/>
      <c r="BI739" s="49"/>
      <c r="BJ739" s="49"/>
      <c r="BK739" s="49"/>
      <c r="BL739" s="49"/>
      <c r="BM739" s="49"/>
      <c r="BN739" s="49"/>
      <c r="BO739" s="49"/>
      <c r="BP739" s="56"/>
      <c r="BQ739" s="49"/>
      <c r="BR739" s="49"/>
      <c r="BT739" s="56"/>
      <c r="BX739" s="56"/>
      <c r="CB739" s="56"/>
      <c r="CF739" s="49"/>
      <c r="CJ739" s="49"/>
      <c r="CN739" s="49"/>
      <c r="CR739" s="49"/>
      <c r="CV739" s="49"/>
      <c r="CZ739" s="49"/>
      <c r="DD739" s="49"/>
      <c r="DH739" s="49"/>
      <c r="DL739" s="49"/>
      <c r="DP739" s="49"/>
    </row>
    <row r="740" spans="1:128" s="20" customFormat="1" ht="13.8">
      <c r="A740" s="20" t="s">
        <v>812</v>
      </c>
      <c r="B740" s="49"/>
      <c r="BH740" s="49"/>
      <c r="BI740" s="49"/>
      <c r="BJ740" s="49"/>
      <c r="BK740" s="49"/>
      <c r="BL740" s="65">
        <f>BL665</f>
        <v>138</v>
      </c>
      <c r="BM740" s="65">
        <f>BM665</f>
        <v>201</v>
      </c>
      <c r="BN740" s="65">
        <f>BN665</f>
        <v>339</v>
      </c>
      <c r="BO740" s="49"/>
      <c r="BP740" s="65">
        <f>BP665</f>
        <v>83</v>
      </c>
      <c r="BQ740" s="65">
        <f>BQ665</f>
        <v>126</v>
      </c>
      <c r="BR740" s="65">
        <f>BR665</f>
        <v>209</v>
      </c>
      <c r="BT740" s="65">
        <f>BT665</f>
        <v>48</v>
      </c>
      <c r="BU740" s="65">
        <f>BU665</f>
        <v>186</v>
      </c>
      <c r="BV740" s="65">
        <f>BV665</f>
        <v>234</v>
      </c>
      <c r="BX740" s="65">
        <f>BX665</f>
        <v>-24</v>
      </c>
      <c r="BY740" s="65">
        <f>BY665</f>
        <v>199</v>
      </c>
      <c r="BZ740" s="65">
        <f>BZ665</f>
        <v>175</v>
      </c>
      <c r="CB740" s="65">
        <f>CB665</f>
        <v>419</v>
      </c>
      <c r="CC740" s="65">
        <f>CC665</f>
        <v>245</v>
      </c>
      <c r="CD740" s="65">
        <f>CD665</f>
        <v>664</v>
      </c>
      <c r="CF740" s="65">
        <f>CF665</f>
        <v>361</v>
      </c>
      <c r="CG740" s="65">
        <f>CG665</f>
        <v>169</v>
      </c>
      <c r="CH740" s="65">
        <f>CH665</f>
        <v>530</v>
      </c>
      <c r="CJ740" s="65">
        <f>CJ665</f>
        <v>-724</v>
      </c>
      <c r="CK740" s="65">
        <f>CK665</f>
        <v>95</v>
      </c>
      <c r="CL740" s="65">
        <f>CL665</f>
        <v>-629</v>
      </c>
      <c r="CN740" s="65">
        <f>CN665</f>
        <v>-22</v>
      </c>
      <c r="CO740" s="65">
        <f>CO665</f>
        <v>181</v>
      </c>
      <c r="CP740" s="65">
        <f>CP665</f>
        <v>159</v>
      </c>
      <c r="CR740" s="65">
        <f>CR665</f>
        <v>370</v>
      </c>
      <c r="CS740" s="65">
        <f>CS665</f>
        <v>219</v>
      </c>
      <c r="CT740" s="65">
        <f>CT665</f>
        <v>589</v>
      </c>
      <c r="CV740" s="65">
        <f>CV665</f>
        <v>9</v>
      </c>
      <c r="CW740" s="65">
        <f>CW665</f>
        <v>208</v>
      </c>
      <c r="CX740" s="65">
        <f>CX665</f>
        <v>217</v>
      </c>
      <c r="CZ740" s="65">
        <f>CZ665</f>
        <v>121</v>
      </c>
      <c r="DA740" s="65">
        <f>DA665</f>
        <v>202</v>
      </c>
      <c r="DB740" s="65">
        <f>DB665</f>
        <v>323</v>
      </c>
      <c r="DD740" s="65">
        <f>DD665</f>
        <v>196</v>
      </c>
      <c r="DE740" s="65">
        <f>DE665</f>
        <v>-93</v>
      </c>
      <c r="DF740" s="65">
        <f>DF665</f>
        <v>103</v>
      </c>
      <c r="DH740" s="65">
        <f>SUM(DH741:DH744)</f>
        <v>195.84</v>
      </c>
      <c r="DI740" s="65">
        <f>SUM(DI741:DI744)</f>
        <v>199.7568</v>
      </c>
      <c r="DJ740" s="65">
        <f>+DI740+DH740</f>
        <v>395.59680000000003</v>
      </c>
      <c r="DL740" s="65">
        <f>SUM(DL741:DL744)</f>
        <v>203.751936</v>
      </c>
      <c r="DM740" s="65">
        <f>SUM(DM741:DM744)</f>
        <v>207.82697472000001</v>
      </c>
      <c r="DN740" s="65">
        <f>+DM740+DL740</f>
        <v>411.57891072000001</v>
      </c>
      <c r="DP740" s="65">
        <f>SUM(DP741:DP744)</f>
        <v>211.9835142144</v>
      </c>
      <c r="DQ740" s="65">
        <f>SUM(DQ741:DQ744)</f>
        <v>216.223184498688</v>
      </c>
      <c r="DR740" s="65">
        <f>+DQ740+DP740</f>
        <v>428.20669871308803</v>
      </c>
    </row>
    <row r="741" spans="1:128" s="20" customFormat="1" ht="13.8">
      <c r="A741" s="533" t="s">
        <v>921</v>
      </c>
      <c r="B741" s="547"/>
      <c r="C741" s="533"/>
      <c r="D741" s="533"/>
      <c r="E741" s="533"/>
      <c r="F741" s="533"/>
      <c r="G741" s="533"/>
      <c r="H741" s="533"/>
      <c r="I741" s="533"/>
      <c r="J741" s="533"/>
      <c r="K741" s="533"/>
      <c r="L741" s="533"/>
      <c r="M741" s="533"/>
      <c r="N741" s="533"/>
      <c r="O741" s="533"/>
      <c r="P741" s="533"/>
      <c r="Q741" s="533"/>
      <c r="R741" s="533"/>
      <c r="S741" s="533"/>
      <c r="T741" s="533"/>
      <c r="U741" s="533"/>
      <c r="V741" s="533"/>
      <c r="W741" s="533"/>
      <c r="X741" s="533"/>
      <c r="Y741" s="533"/>
      <c r="Z741" s="533"/>
      <c r="AA741" s="533"/>
      <c r="AB741" s="533"/>
      <c r="AC741" s="533"/>
      <c r="AD741" s="533"/>
      <c r="AE741" s="533"/>
      <c r="AF741" s="533"/>
      <c r="AG741" s="533"/>
      <c r="AH741" s="533"/>
      <c r="AI741" s="533"/>
      <c r="AJ741" s="533"/>
      <c r="AK741" s="533"/>
      <c r="AL741" s="533"/>
      <c r="AM741" s="533"/>
      <c r="AN741" s="533"/>
      <c r="AO741" s="533"/>
      <c r="AP741" s="533"/>
      <c r="AQ741" s="533"/>
      <c r="AR741" s="533"/>
      <c r="AS741" s="533"/>
      <c r="AT741" s="533"/>
      <c r="AU741" s="533"/>
      <c r="AV741" s="533"/>
      <c r="AW741" s="533"/>
      <c r="AX741" s="533"/>
      <c r="AY741" s="533"/>
      <c r="AZ741" s="533"/>
      <c r="BA741" s="533"/>
      <c r="BB741" s="533"/>
      <c r="BC741" s="533"/>
      <c r="BD741" s="533"/>
      <c r="BE741" s="533"/>
      <c r="BF741" s="533"/>
      <c r="BG741" s="533"/>
      <c r="BH741" s="547"/>
      <c r="BI741" s="547"/>
      <c r="BJ741" s="547"/>
      <c r="BK741" s="547"/>
      <c r="BL741" s="599">
        <v>0</v>
      </c>
      <c r="BM741" s="599">
        <f>125-21</f>
        <v>104</v>
      </c>
      <c r="BN741" s="583">
        <f>+BM741+BL741</f>
        <v>104</v>
      </c>
      <c r="BO741" s="547"/>
      <c r="BP741" s="599">
        <v>0</v>
      </c>
      <c r="BQ741" s="599">
        <v>0</v>
      </c>
      <c r="BR741" s="583">
        <f>+BQ741+BP741</f>
        <v>0</v>
      </c>
      <c r="BS741" s="533"/>
      <c r="BT741" s="599">
        <v>66</v>
      </c>
      <c r="BU741" s="599">
        <v>0</v>
      </c>
      <c r="BV741" s="583">
        <f>+BU741+BT741</f>
        <v>66</v>
      </c>
      <c r="BW741" s="533"/>
      <c r="BX741" s="701">
        <v>114</v>
      </c>
      <c r="BY741" s="701">
        <v>0</v>
      </c>
      <c r="BZ741" s="583">
        <f>+BY741+BX741</f>
        <v>114</v>
      </c>
      <c r="CA741" s="533"/>
      <c r="CB741" s="599">
        <f>99+18</f>
        <v>117</v>
      </c>
      <c r="CC741" s="701">
        <f>-7-42-3-19</f>
        <v>-71</v>
      </c>
      <c r="CD741" s="583">
        <f>+CC741+CB741</f>
        <v>46</v>
      </c>
      <c r="CE741" s="599"/>
      <c r="CF741" s="701">
        <f>197+37</f>
        <v>234</v>
      </c>
      <c r="CG741" s="701">
        <f>10+7+1</f>
        <v>18</v>
      </c>
      <c r="CH741" s="583">
        <f>+CG741+CF741</f>
        <v>252</v>
      </c>
      <c r="CI741" s="533"/>
      <c r="CJ741" s="701">
        <v>0</v>
      </c>
      <c r="CK741" s="701">
        <v>-38</v>
      </c>
      <c r="CL741" s="583">
        <f>+CK741+CJ741</f>
        <v>-38</v>
      </c>
      <c r="CM741" s="533"/>
      <c r="CN741" s="599">
        <v>-238</v>
      </c>
      <c r="CO741" s="599">
        <v>0</v>
      </c>
      <c r="CP741" s="583">
        <f>+CO741+CN741</f>
        <v>-238</v>
      </c>
      <c r="CQ741" s="533"/>
      <c r="CR741" s="599">
        <v>294</v>
      </c>
      <c r="CS741" s="599">
        <f>4+23</f>
        <v>27</v>
      </c>
      <c r="CT741" s="583">
        <f>+CS741+CR741</f>
        <v>321</v>
      </c>
      <c r="CU741" s="533"/>
      <c r="CV741" s="599">
        <v>-43</v>
      </c>
      <c r="CW741" s="599">
        <v>66</v>
      </c>
      <c r="CX741" s="583">
        <f>+CW741+CV741</f>
        <v>23</v>
      </c>
      <c r="CY741" s="533"/>
      <c r="CZ741" s="599">
        <v>0</v>
      </c>
      <c r="DA741" s="599">
        <v>0</v>
      </c>
      <c r="DB741" s="583">
        <f>+DA741+CZ741</f>
        <v>0</v>
      </c>
      <c r="DC741" s="533"/>
      <c r="DD741" s="599">
        <v>0</v>
      </c>
      <c r="DE741" s="599">
        <v>0</v>
      </c>
      <c r="DF741" s="583">
        <f>+DE741+DD741</f>
        <v>0</v>
      </c>
      <c r="DG741" s="533"/>
      <c r="DH741" s="599">
        <v>0</v>
      </c>
      <c r="DI741" s="599">
        <v>0</v>
      </c>
      <c r="DJ741" s="583">
        <f>+DI741+DH741</f>
        <v>0</v>
      </c>
      <c r="DK741" s="533"/>
      <c r="DL741" s="599">
        <v>0</v>
      </c>
      <c r="DM741" s="599">
        <v>0</v>
      </c>
      <c r="DN741" s="583">
        <f>+DM741+DL741</f>
        <v>0</v>
      </c>
      <c r="DO741" s="533"/>
      <c r="DP741" s="599">
        <v>0</v>
      </c>
      <c r="DQ741" s="599">
        <v>0</v>
      </c>
      <c r="DR741" s="583">
        <f>+DQ741+DP741</f>
        <v>0</v>
      </c>
      <c r="DS741" s="533"/>
      <c r="DT741" s="533"/>
      <c r="DU741" s="533"/>
      <c r="DV741" s="533"/>
    </row>
    <row r="742" spans="1:128" s="20" customFormat="1" ht="13.8">
      <c r="A742" s="533" t="s">
        <v>920</v>
      </c>
      <c r="B742" s="547"/>
      <c r="C742" s="533"/>
      <c r="D742" s="533"/>
      <c r="E742" s="533"/>
      <c r="F742" s="533"/>
      <c r="G742" s="533"/>
      <c r="H742" s="533"/>
      <c r="I742" s="533"/>
      <c r="J742" s="533"/>
      <c r="K742" s="533"/>
      <c r="L742" s="533"/>
      <c r="M742" s="533"/>
      <c r="N742" s="533"/>
      <c r="O742" s="533"/>
      <c r="P742" s="533"/>
      <c r="Q742" s="533"/>
      <c r="R742" s="533"/>
      <c r="S742" s="533"/>
      <c r="T742" s="533"/>
      <c r="U742" s="533"/>
      <c r="V742" s="533"/>
      <c r="W742" s="533"/>
      <c r="X742" s="533"/>
      <c r="Y742" s="533"/>
      <c r="Z742" s="533"/>
      <c r="AA742" s="533"/>
      <c r="AB742" s="533"/>
      <c r="AC742" s="533"/>
      <c r="AD742" s="533"/>
      <c r="AE742" s="533"/>
      <c r="AF742" s="533"/>
      <c r="AG742" s="533"/>
      <c r="AH742" s="533"/>
      <c r="AI742" s="533"/>
      <c r="AJ742" s="533"/>
      <c r="AK742" s="533"/>
      <c r="AL742" s="533"/>
      <c r="AM742" s="533"/>
      <c r="AN742" s="533"/>
      <c r="AO742" s="533"/>
      <c r="AP742" s="533"/>
      <c r="AQ742" s="533"/>
      <c r="AR742" s="533"/>
      <c r="AS742" s="533"/>
      <c r="AT742" s="533"/>
      <c r="AU742" s="533"/>
      <c r="AV742" s="533"/>
      <c r="AW742" s="533"/>
      <c r="AX742" s="533"/>
      <c r="AY742" s="533"/>
      <c r="AZ742" s="533"/>
      <c r="BA742" s="533"/>
      <c r="BB742" s="533"/>
      <c r="BC742" s="533"/>
      <c r="BD742" s="533"/>
      <c r="BE742" s="533"/>
      <c r="BF742" s="533"/>
      <c r="BG742" s="533"/>
      <c r="BH742" s="547"/>
      <c r="BI742" s="547"/>
      <c r="BJ742" s="547"/>
      <c r="BK742" s="547"/>
      <c r="BL742" s="599">
        <v>0</v>
      </c>
      <c r="BM742" s="599">
        <v>0</v>
      </c>
      <c r="BN742" s="583">
        <f>+BM742+BL742</f>
        <v>0</v>
      </c>
      <c r="BO742" s="547"/>
      <c r="BP742" s="599">
        <v>0</v>
      </c>
      <c r="BQ742" s="599">
        <v>0</v>
      </c>
      <c r="BR742" s="583">
        <f>+BQ742+BP742</f>
        <v>0</v>
      </c>
      <c r="BS742" s="533"/>
      <c r="BT742" s="701">
        <f>29-260</f>
        <v>-231</v>
      </c>
      <c r="BU742" s="599">
        <v>0</v>
      </c>
      <c r="BV742" s="583">
        <f>+BU742+BT742</f>
        <v>-231</v>
      </c>
      <c r="BW742" s="533"/>
      <c r="BX742" s="701">
        <v>-324</v>
      </c>
      <c r="BY742" s="701">
        <v>14</v>
      </c>
      <c r="BZ742" s="583">
        <f>+BY742+BX742</f>
        <v>-310</v>
      </c>
      <c r="CA742" s="533"/>
      <c r="CB742" s="701">
        <f>2+119</f>
        <v>121</v>
      </c>
      <c r="CC742" s="701">
        <f>121+10</f>
        <v>131</v>
      </c>
      <c r="CD742" s="583">
        <f>+CC742+CB742</f>
        <v>252</v>
      </c>
      <c r="CE742" s="533"/>
      <c r="CF742" s="701">
        <f>0</f>
        <v>0</v>
      </c>
      <c r="CG742" s="701">
        <f>0</f>
        <v>0</v>
      </c>
      <c r="CH742" s="583">
        <f>+CG742+CF742</f>
        <v>0</v>
      </c>
      <c r="CI742" s="533"/>
      <c r="CJ742" s="701">
        <v>-815</v>
      </c>
      <c r="CK742" s="701">
        <v>0</v>
      </c>
      <c r="CL742" s="583">
        <f>+CK742+CJ742</f>
        <v>-815</v>
      </c>
      <c r="CM742" s="533"/>
      <c r="CN742" s="599">
        <v>0</v>
      </c>
      <c r="CO742" s="701">
        <v>0</v>
      </c>
      <c r="CP742" s="583">
        <f>+CO742+CN742</f>
        <v>0</v>
      </c>
      <c r="CQ742" s="533"/>
      <c r="CR742" s="599">
        <v>0</v>
      </c>
      <c r="CS742" s="599">
        <v>0</v>
      </c>
      <c r="CT742" s="583">
        <f>+CS742+CR742</f>
        <v>0</v>
      </c>
      <c r="CU742" s="533"/>
      <c r="CV742" s="599">
        <v>0</v>
      </c>
      <c r="CW742" s="599">
        <v>0</v>
      </c>
      <c r="CX742" s="583">
        <f>+CW742+CV742</f>
        <v>0</v>
      </c>
      <c r="CY742" s="533"/>
      <c r="CZ742" s="599">
        <v>-21</v>
      </c>
      <c r="DA742" s="599">
        <v>0</v>
      </c>
      <c r="DB742" s="583">
        <f>+DA742+CZ742</f>
        <v>-21</v>
      </c>
      <c r="DC742" s="533"/>
      <c r="DD742" s="599">
        <v>0</v>
      </c>
      <c r="DE742" s="701">
        <v>-285</v>
      </c>
      <c r="DF742" s="583">
        <f>+DE742+DD742</f>
        <v>-285</v>
      </c>
      <c r="DG742" s="533"/>
      <c r="DH742" s="599">
        <v>0</v>
      </c>
      <c r="DI742" s="599">
        <v>0</v>
      </c>
      <c r="DJ742" s="583">
        <f>+DI742+DH742</f>
        <v>0</v>
      </c>
      <c r="DK742" s="533"/>
      <c r="DL742" s="599">
        <v>0</v>
      </c>
      <c r="DM742" s="599">
        <v>0</v>
      </c>
      <c r="DN742" s="583">
        <f>+DM742+DL742</f>
        <v>0</v>
      </c>
      <c r="DO742" s="533"/>
      <c r="DP742" s="599">
        <v>0</v>
      </c>
      <c r="DQ742" s="599">
        <v>0</v>
      </c>
      <c r="DR742" s="583">
        <f>+DQ742+DP742</f>
        <v>0</v>
      </c>
      <c r="DS742" s="533"/>
      <c r="DT742" s="533"/>
      <c r="DU742" s="533"/>
      <c r="DV742" s="533"/>
    </row>
    <row r="743" spans="1:128" s="20" customFormat="1" ht="13.8">
      <c r="A743" s="533" t="s">
        <v>926</v>
      </c>
      <c r="B743" s="547"/>
      <c r="C743" s="533"/>
      <c r="D743" s="533"/>
      <c r="E743" s="533"/>
      <c r="F743" s="533"/>
      <c r="G743" s="533"/>
      <c r="H743" s="533"/>
      <c r="I743" s="533"/>
      <c r="J743" s="533"/>
      <c r="K743" s="533"/>
      <c r="L743" s="533"/>
      <c r="M743" s="533"/>
      <c r="N743" s="533"/>
      <c r="O743" s="533"/>
      <c r="P743" s="533"/>
      <c r="Q743" s="533"/>
      <c r="R743" s="533"/>
      <c r="S743" s="533"/>
      <c r="T743" s="533"/>
      <c r="U743" s="533"/>
      <c r="V743" s="533"/>
      <c r="W743" s="533"/>
      <c r="X743" s="533"/>
      <c r="Y743" s="533"/>
      <c r="Z743" s="533"/>
      <c r="AA743" s="533"/>
      <c r="AB743" s="533"/>
      <c r="AC743" s="533"/>
      <c r="AD743" s="533"/>
      <c r="AE743" s="533"/>
      <c r="AF743" s="533"/>
      <c r="AG743" s="533"/>
      <c r="AH743" s="533"/>
      <c r="AI743" s="533"/>
      <c r="AJ743" s="533"/>
      <c r="AK743" s="533"/>
      <c r="AL743" s="533"/>
      <c r="AM743" s="533"/>
      <c r="AN743" s="533"/>
      <c r="AO743" s="533"/>
      <c r="AP743" s="533"/>
      <c r="AQ743" s="533"/>
      <c r="AR743" s="533"/>
      <c r="AS743" s="533"/>
      <c r="AT743" s="533"/>
      <c r="AU743" s="533"/>
      <c r="AV743" s="533"/>
      <c r="AW743" s="533"/>
      <c r="AX743" s="533"/>
      <c r="AY743" s="533"/>
      <c r="AZ743" s="533"/>
      <c r="BA743" s="533"/>
      <c r="BB743" s="533"/>
      <c r="BC743" s="533"/>
      <c r="BD743" s="533"/>
      <c r="BE743" s="533"/>
      <c r="BF743" s="533"/>
      <c r="BG743" s="533"/>
      <c r="BH743" s="547"/>
      <c r="BI743" s="547"/>
      <c r="BJ743" s="547"/>
      <c r="BK743" s="547"/>
      <c r="BL743" s="599">
        <v>0</v>
      </c>
      <c r="BM743" s="599">
        <v>0</v>
      </c>
      <c r="BN743" s="583">
        <f>+BM743+BL743</f>
        <v>0</v>
      </c>
      <c r="BO743" s="547"/>
      <c r="BP743" s="599">
        <v>0</v>
      </c>
      <c r="BQ743" s="599">
        <v>0</v>
      </c>
      <c r="BR743" s="583">
        <f>+BQ743+BP743</f>
        <v>0</v>
      </c>
      <c r="BS743" s="533"/>
      <c r="BT743" s="599">
        <v>0</v>
      </c>
      <c r="BU743" s="599">
        <v>0</v>
      </c>
      <c r="BV743" s="583">
        <f>+BU743+BT743</f>
        <v>0</v>
      </c>
      <c r="BW743" s="533"/>
      <c r="BX743" s="701">
        <v>0</v>
      </c>
      <c r="BY743" s="579">
        <f>-34-BY791</f>
        <v>-34</v>
      </c>
      <c r="BZ743" s="583">
        <f>+BY743+BX743</f>
        <v>-34</v>
      </c>
      <c r="CA743" s="533"/>
      <c r="CB743" s="579">
        <f>-13-CB791</f>
        <v>-13</v>
      </c>
      <c r="CC743" s="579">
        <f>-110-CC791</f>
        <v>-81</v>
      </c>
      <c r="CD743" s="583">
        <f>+CC743+CB743</f>
        <v>-94</v>
      </c>
      <c r="CE743" s="533"/>
      <c r="CF743" s="579">
        <f>-42-CF791</f>
        <v>-34</v>
      </c>
      <c r="CG743" s="579">
        <f>-29-CG791</f>
        <v>-29</v>
      </c>
      <c r="CH743" s="583">
        <f>+CG743+CF743</f>
        <v>-63</v>
      </c>
      <c r="CI743" s="533"/>
      <c r="CJ743" s="579">
        <f>-36-CJ791</f>
        <v>-36</v>
      </c>
      <c r="CK743" s="579">
        <v>-32</v>
      </c>
      <c r="CL743" s="583">
        <f>+CK743+CJ743</f>
        <v>-68</v>
      </c>
      <c r="CM743" s="533"/>
      <c r="CN743" s="599">
        <v>-18</v>
      </c>
      <c r="CO743" s="579">
        <v>-38</v>
      </c>
      <c r="CP743" s="583">
        <f>+CO743+CN743</f>
        <v>-56</v>
      </c>
      <c r="CQ743" s="533"/>
      <c r="CR743" s="599">
        <v>-22</v>
      </c>
      <c r="CS743" s="547">
        <v>-12</v>
      </c>
      <c r="CT743" s="583">
        <f>+CS743+CR743</f>
        <v>-34</v>
      </c>
      <c r="CU743" s="533"/>
      <c r="CV743" s="599">
        <v>-7</v>
      </c>
      <c r="CW743" s="701">
        <v>-23</v>
      </c>
      <c r="CX743" s="583">
        <f>+CW743+CV743</f>
        <v>-30</v>
      </c>
      <c r="CY743" s="533"/>
      <c r="CZ743" s="599">
        <v>0</v>
      </c>
      <c r="DA743" s="701">
        <v>0</v>
      </c>
      <c r="DB743" s="583">
        <f>+DA743+CZ743</f>
        <v>0</v>
      </c>
      <c r="DC743" s="533"/>
      <c r="DD743" s="599">
        <v>0</v>
      </c>
      <c r="DE743" s="701">
        <v>0</v>
      </c>
      <c r="DF743" s="583">
        <f>+DE743+DD743</f>
        <v>0</v>
      </c>
      <c r="DG743" s="533"/>
      <c r="DH743" s="599">
        <v>0</v>
      </c>
      <c r="DI743" s="599">
        <v>0</v>
      </c>
      <c r="DJ743" s="583">
        <f>+DI743+DH743</f>
        <v>0</v>
      </c>
      <c r="DK743" s="533"/>
      <c r="DL743" s="599">
        <v>0</v>
      </c>
      <c r="DM743" s="599">
        <v>0</v>
      </c>
      <c r="DN743" s="583">
        <f>+DM743+DL743</f>
        <v>0</v>
      </c>
      <c r="DO743" s="533"/>
      <c r="DP743" s="599">
        <v>0</v>
      </c>
      <c r="DQ743" s="599">
        <v>0</v>
      </c>
      <c r="DR743" s="583">
        <f>+DQ743+DP743</f>
        <v>0</v>
      </c>
      <c r="DS743" s="533"/>
      <c r="DT743" s="533"/>
      <c r="DU743" s="533"/>
      <c r="DV743" s="533"/>
    </row>
    <row r="744" spans="1:128" s="21" customFormat="1" ht="13.8">
      <c r="A744" s="21" t="s">
        <v>813</v>
      </c>
      <c r="B744" s="27"/>
      <c r="BH744" s="27"/>
      <c r="BI744" s="27"/>
      <c r="BJ744" s="27"/>
      <c r="BK744" s="27"/>
      <c r="BL744" s="72">
        <f>BL740-BL743-BL741-BL742</f>
        <v>138</v>
      </c>
      <c r="BM744" s="72">
        <f>BM740-BM743-BM741-BM742</f>
        <v>97</v>
      </c>
      <c r="BN744" s="72">
        <f>BN740-BN743-BN741-BN742</f>
        <v>235</v>
      </c>
      <c r="BO744" s="27"/>
      <c r="BP744" s="72">
        <f>BP740-BP743-BP741-BP742</f>
        <v>83</v>
      </c>
      <c r="BQ744" s="72">
        <f>BQ740-BQ743-BQ741-BQ742</f>
        <v>126</v>
      </c>
      <c r="BR744" s="72">
        <f>BR740-BR743-BR741-BR742</f>
        <v>209</v>
      </c>
      <c r="BT744" s="72">
        <f>BT740-BT743-BT741-BT742</f>
        <v>213</v>
      </c>
      <c r="BU744" s="72">
        <f>BU740-BU743-BU741-BU742</f>
        <v>186</v>
      </c>
      <c r="BV744" s="72">
        <f>BV740-BV743-BV741-BV742</f>
        <v>399</v>
      </c>
      <c r="BX744" s="72">
        <f>BX740-BX743-BX741-BX742</f>
        <v>186</v>
      </c>
      <c r="BY744" s="72">
        <f>BY740-BY743-BY741-BY742</f>
        <v>219</v>
      </c>
      <c r="BZ744" s="72">
        <f>BZ740-BZ743-BZ741-BZ742</f>
        <v>405</v>
      </c>
      <c r="CB744" s="72">
        <f>CB740-CB743-CB741-CB742</f>
        <v>194</v>
      </c>
      <c r="CC744" s="72">
        <f>CC740-CC743-CC741-CC742</f>
        <v>266</v>
      </c>
      <c r="CD744" s="72">
        <f>CD740-CD743-CD741-CD742</f>
        <v>460</v>
      </c>
      <c r="CF744" s="72">
        <f>CF740-CF743-CF741-CF742</f>
        <v>161</v>
      </c>
      <c r="CG744" s="72">
        <f>CG740-CG743-CG741-CG742</f>
        <v>180</v>
      </c>
      <c r="CH744" s="72">
        <f>CH740-CH743-CH741-CH742</f>
        <v>341</v>
      </c>
      <c r="CJ744" s="72">
        <f>CJ740-CJ743-CJ741-CJ742</f>
        <v>127</v>
      </c>
      <c r="CK744" s="72">
        <f>CK740-CK743-CK741-CK742</f>
        <v>165</v>
      </c>
      <c r="CL744" s="72">
        <f>CL740-CL743-CL741-CL742</f>
        <v>292</v>
      </c>
      <c r="CN744" s="72">
        <f>CN740-CN743-CN741-CN742</f>
        <v>234</v>
      </c>
      <c r="CO744" s="72">
        <f>CO740-CO743-CO741-CO742</f>
        <v>219</v>
      </c>
      <c r="CP744" s="72">
        <f>CP740-CP743-CP741-CP742</f>
        <v>453</v>
      </c>
      <c r="CR744" s="72">
        <f>CR740-CR743-CR741-CR742</f>
        <v>98</v>
      </c>
      <c r="CS744" s="72">
        <f>CS740-CS743-CS741-CS742</f>
        <v>204</v>
      </c>
      <c r="CT744" s="72">
        <f>CT740-CT743-CT741-CT742</f>
        <v>302</v>
      </c>
      <c r="CV744" s="72">
        <f>CV740-CV743-CV741-CV742</f>
        <v>59</v>
      </c>
      <c r="CW744" s="72">
        <f>CW740-CW743-CW741-CW742</f>
        <v>165</v>
      </c>
      <c r="CX744" s="72">
        <f>CX740-CX743-CX741-CX742</f>
        <v>224</v>
      </c>
      <c r="CZ744" s="72">
        <f>CZ740-CZ743-CZ741-CZ742</f>
        <v>142</v>
      </c>
      <c r="DA744" s="72">
        <f>DA740-DA743-DA741-DA742</f>
        <v>202</v>
      </c>
      <c r="DB744" s="72">
        <f>DB740-DB743-DB741-DB742</f>
        <v>344</v>
      </c>
      <c r="DD744" s="72">
        <f>DD740-DD743-DD741-DD742</f>
        <v>196</v>
      </c>
      <c r="DE744" s="72">
        <f>DE740-DE743-DE741-DE742</f>
        <v>192</v>
      </c>
      <c r="DF744" s="72">
        <f>DF740-DF743-DF741-DF742</f>
        <v>388</v>
      </c>
      <c r="DH744" s="606">
        <f>+DE744*(1+DH745)</f>
        <v>195.84</v>
      </c>
      <c r="DI744" s="72">
        <f>+DH744*(1+DI745)</f>
        <v>199.7568</v>
      </c>
      <c r="DJ744" s="72">
        <f>+DI744+DH744</f>
        <v>395.59680000000003</v>
      </c>
      <c r="DL744" s="606">
        <f>+DI744*(1+DL745)</f>
        <v>203.751936</v>
      </c>
      <c r="DM744" s="72">
        <f>+DL744*(1+DM745)</f>
        <v>207.82697472000001</v>
      </c>
      <c r="DN744" s="72">
        <f>+DM744+DL744</f>
        <v>411.57891072000001</v>
      </c>
      <c r="DP744" s="606">
        <f>+DM744*(1+DP745)</f>
        <v>211.9835142144</v>
      </c>
      <c r="DQ744" s="72">
        <f>+DP744*(1+DQ745)</f>
        <v>216.223184498688</v>
      </c>
      <c r="DR744" s="72">
        <f>+DQ744+DP744</f>
        <v>428.20669871308803</v>
      </c>
    </row>
    <row r="745" spans="1:128" s="325" customFormat="1" ht="13.8">
      <c r="A745" s="335" t="s">
        <v>217</v>
      </c>
      <c r="B745" s="430"/>
      <c r="BH745" s="324"/>
      <c r="BI745" s="345"/>
      <c r="BJ745" s="324"/>
      <c r="BK745" s="324"/>
      <c r="BL745" s="345"/>
      <c r="BM745" s="345">
        <f>+BM744/BL744-1</f>
        <v>-0.29710144927536231</v>
      </c>
      <c r="BN745" s="324"/>
      <c r="BO745" s="324"/>
      <c r="BP745" s="345">
        <f>+BP744/BM744-1</f>
        <v>-0.14432989690721654</v>
      </c>
      <c r="BQ745" s="345">
        <f>+BQ744/BP744-1</f>
        <v>0.51807228915662651</v>
      </c>
      <c r="BR745" s="324"/>
      <c r="BT745" s="345">
        <f>+BT744/BQ744-1</f>
        <v>0.69047619047619047</v>
      </c>
      <c r="BU745" s="345">
        <f>+BU744/BT744-1</f>
        <v>-0.12676056338028174</v>
      </c>
      <c r="BV745" s="324"/>
      <c r="BX745" s="345">
        <f>+BX744/BU744-1</f>
        <v>0</v>
      </c>
      <c r="BY745" s="345">
        <f>+BY744/BX744-1</f>
        <v>0.17741935483870974</v>
      </c>
      <c r="BZ745" s="324"/>
      <c r="CB745" s="345">
        <f>+CB744/BY744-1</f>
        <v>-0.11415525114155256</v>
      </c>
      <c r="CC745" s="345">
        <f>+CC744/CB744-1</f>
        <v>0.37113402061855671</v>
      </c>
      <c r="CD745" s="324"/>
      <c r="CF745" s="345">
        <f>+CF744/CC744-1</f>
        <v>-0.39473684210526316</v>
      </c>
      <c r="CG745" s="345">
        <f>+CG744/CF744-1</f>
        <v>0.11801242236024834</v>
      </c>
      <c r="CH745" s="324"/>
      <c r="CJ745" s="345">
        <f>+CJ744/CG744-1</f>
        <v>-0.2944444444444444</v>
      </c>
      <c r="CK745" s="345">
        <f>+CK744/CJ744-1</f>
        <v>0.29921259842519676</v>
      </c>
      <c r="CL745" s="324"/>
      <c r="CN745" s="345">
        <f>+CN744/CK744-1</f>
        <v>0.41818181818181821</v>
      </c>
      <c r="CO745" s="345">
        <f>+CO744/CN744-1</f>
        <v>-6.4102564102564097E-2</v>
      </c>
      <c r="CP745" s="324"/>
      <c r="CR745" s="345">
        <f>+CR744/CO744-1</f>
        <v>-0.55251141552511418</v>
      </c>
      <c r="CS745" s="577">
        <f>+CS744/CR744-1</f>
        <v>1.0816326530612246</v>
      </c>
      <c r="CV745" s="345">
        <f>+CV744/CS744-1</f>
        <v>-0.71078431372549011</v>
      </c>
      <c r="CW745" s="577">
        <f>+CW744/CV744-1</f>
        <v>1.7966101694915255</v>
      </c>
      <c r="CZ745" s="345">
        <f>+CZ744/CW744-1</f>
        <v>-0.1393939393939394</v>
      </c>
      <c r="DA745" s="577">
        <f>+DA744/CZ744-1</f>
        <v>0.42253521126760574</v>
      </c>
      <c r="DD745" s="345">
        <f>+DD744/DA744-1</f>
        <v>-2.9702970297029729E-2</v>
      </c>
      <c r="DE745" s="577">
        <f>+DE744/DD744-1</f>
        <v>-2.0408163265306145E-2</v>
      </c>
      <c r="DH745" s="346">
        <v>0.02</v>
      </c>
      <c r="DI745" s="346">
        <v>0.02</v>
      </c>
      <c r="DL745" s="346">
        <v>0.02</v>
      </c>
      <c r="DM745" s="346">
        <v>0.02</v>
      </c>
      <c r="DP745" s="346">
        <v>0.02</v>
      </c>
      <c r="DQ745" s="346">
        <v>0.02</v>
      </c>
      <c r="DW745" s="20"/>
      <c r="DX745" s="20"/>
    </row>
    <row r="746" spans="1:128" s="20" customFormat="1" ht="13.8">
      <c r="A746" s="47" t="s">
        <v>127</v>
      </c>
      <c r="B746" s="420"/>
      <c r="BH746" s="49"/>
      <c r="BI746" s="96"/>
      <c r="BJ746" s="49"/>
      <c r="BK746" s="49"/>
      <c r="BL746" s="96"/>
      <c r="BM746" s="96"/>
      <c r="BN746" s="49"/>
      <c r="BO746" s="49"/>
      <c r="BP746" s="96"/>
      <c r="BQ746" s="96"/>
      <c r="BR746" s="49"/>
      <c r="BT746" s="96"/>
      <c r="BU746" s="96"/>
      <c r="BV746" s="49"/>
      <c r="BX746" s="96"/>
      <c r="BY746" s="96"/>
      <c r="BZ746" s="49"/>
      <c r="CB746" s="96"/>
      <c r="CC746" s="96"/>
      <c r="CD746" s="49"/>
      <c r="CF746" s="96">
        <f>+CF744/CB744-1</f>
        <v>-0.17010309278350511</v>
      </c>
      <c r="CG746" s="96"/>
      <c r="CH746" s="49"/>
      <c r="CJ746" s="96">
        <f>+CJ744/CF744-1</f>
        <v>-0.21118012422360244</v>
      </c>
      <c r="CK746" s="96"/>
      <c r="CL746" s="49"/>
      <c r="CN746" s="96">
        <f>+CN744/CJ744-1</f>
        <v>0.84251968503937014</v>
      </c>
      <c r="CO746" s="96"/>
      <c r="CP746" s="49"/>
      <c r="CR746" s="96">
        <f>+CR744/CN744-1</f>
        <v>-0.58119658119658113</v>
      </c>
      <c r="CS746" s="96">
        <f>+CS744/CO744-1</f>
        <v>-6.8493150684931559E-2</v>
      </c>
      <c r="CT746" s="96">
        <f>+CT744/CP744-1</f>
        <v>-0.33333333333333337</v>
      </c>
      <c r="CV746" s="96">
        <f>+CV744/CR744-1</f>
        <v>-0.39795918367346939</v>
      </c>
      <c r="CW746" s="96">
        <f>+CW744/CS744-1</f>
        <v>-0.19117647058823528</v>
      </c>
      <c r="CX746" s="96">
        <f>+CX744/CT744-1</f>
        <v>-0.25827814569536423</v>
      </c>
      <c r="CZ746" s="96">
        <f>+CZ744/CV744-1</f>
        <v>1.406779661016949</v>
      </c>
      <c r="DA746" s="96">
        <f>+DA744/CW744-1</f>
        <v>0.22424242424242413</v>
      </c>
      <c r="DB746" s="96">
        <f>+DB744/CX744-1</f>
        <v>0.53571428571428581</v>
      </c>
      <c r="DD746" s="96">
        <f>+DD744/CZ744-1</f>
        <v>0.38028169014084501</v>
      </c>
      <c r="DE746" s="96">
        <f>+DE744/DA744-1</f>
        <v>-4.9504950495049549E-2</v>
      </c>
      <c r="DF746" s="96">
        <f>+DF744/DB744-1</f>
        <v>0.12790697674418605</v>
      </c>
      <c r="DH746" s="96">
        <f>+DH744/DD744-1</f>
        <v>-8.1632653061225469E-4</v>
      </c>
      <c r="DI746" s="96">
        <f>+DI744/DE744-1</f>
        <v>4.0399999999999991E-2</v>
      </c>
      <c r="DJ746" s="96">
        <f>+DJ744/DF744-1</f>
        <v>1.957938144329896E-2</v>
      </c>
      <c r="DL746" s="96">
        <f>+DL744/DH744-1</f>
        <v>4.0399999999999991E-2</v>
      </c>
      <c r="DM746" s="96">
        <f>+DM744/DI744-1</f>
        <v>4.0399999999999991E-2</v>
      </c>
      <c r="DN746" s="96">
        <f>+DN744/DJ744-1</f>
        <v>4.0399999999999991E-2</v>
      </c>
      <c r="DP746" s="96">
        <f>+DP744/DL744-1</f>
        <v>4.0399999999999991E-2</v>
      </c>
      <c r="DQ746" s="96">
        <f>+DQ744/DM744-1</f>
        <v>4.0399999999999991E-2</v>
      </c>
      <c r="DR746" s="96">
        <f>+DR744/DN744-1</f>
        <v>4.0399999999999991E-2</v>
      </c>
    </row>
    <row r="747" spans="1:128" s="20" customFormat="1" ht="13.8">
      <c r="B747" s="49"/>
      <c r="BH747" s="49"/>
      <c r="BI747" s="49"/>
      <c r="BJ747" s="49"/>
      <c r="BK747" s="49"/>
      <c r="BL747" s="49"/>
      <c r="BM747" s="49"/>
      <c r="BN747" s="49"/>
      <c r="BO747" s="49"/>
      <c r="BP747" s="56"/>
      <c r="BQ747" s="49"/>
      <c r="BR747" s="49"/>
      <c r="BT747" s="56"/>
      <c r="BX747" s="56"/>
      <c r="CB747" s="56"/>
      <c r="CF747" s="56"/>
      <c r="CJ747" s="56"/>
      <c r="CN747" s="56"/>
      <c r="CR747" s="49"/>
      <c r="CV747" s="49"/>
      <c r="CZ747" s="49"/>
      <c r="DD747" s="49"/>
      <c r="DH747" s="49"/>
      <c r="DL747" s="49"/>
      <c r="DP747" s="49"/>
    </row>
    <row r="748" spans="1:128" s="20" customFormat="1" ht="13.8">
      <c r="A748" s="20" t="s">
        <v>346</v>
      </c>
      <c r="B748" s="49"/>
      <c r="BH748" s="49"/>
      <c r="BI748" s="49"/>
      <c r="BJ748" s="49"/>
      <c r="BK748" s="49"/>
      <c r="BL748" s="49"/>
      <c r="BM748" s="49"/>
      <c r="BN748" s="49"/>
      <c r="BO748" s="49"/>
      <c r="BP748" s="56"/>
      <c r="BQ748" s="49"/>
      <c r="BR748" s="49"/>
      <c r="BT748" s="56"/>
      <c r="BX748" s="56"/>
      <c r="CB748" s="56"/>
      <c r="CF748" s="56"/>
      <c r="CJ748" s="56"/>
      <c r="CN748" s="65">
        <f t="shared" ref="CN748:CP748" si="1151">CN740</f>
        <v>-22</v>
      </c>
      <c r="CO748" s="65">
        <f t="shared" si="1151"/>
        <v>181</v>
      </c>
      <c r="CP748" s="65">
        <f t="shared" si="1151"/>
        <v>159</v>
      </c>
      <c r="CR748" s="65">
        <f>CR740</f>
        <v>370</v>
      </c>
      <c r="CS748" s="65">
        <f t="shared" ref="CS748:CT748" si="1152">CS740</f>
        <v>219</v>
      </c>
      <c r="CT748" s="65">
        <f t="shared" si="1152"/>
        <v>589</v>
      </c>
      <c r="CV748" s="65">
        <f>CV740</f>
        <v>9</v>
      </c>
      <c r="CW748" s="65">
        <f t="shared" ref="CW748:CX748" si="1153">CW740</f>
        <v>208</v>
      </c>
      <c r="CX748" s="65">
        <f t="shared" si="1153"/>
        <v>217</v>
      </c>
      <c r="CZ748" s="65">
        <f>CZ740</f>
        <v>121</v>
      </c>
      <c r="DA748" s="65">
        <f t="shared" ref="DA748:DB748" si="1154">DA740</f>
        <v>202</v>
      </c>
      <c r="DB748" s="65">
        <f t="shared" si="1154"/>
        <v>323</v>
      </c>
      <c r="DD748" s="65">
        <f>DD740</f>
        <v>196</v>
      </c>
      <c r="DE748" s="65">
        <f t="shared" ref="DE748:DF748" si="1155">DE740</f>
        <v>-93</v>
      </c>
      <c r="DF748" s="65">
        <f t="shared" si="1155"/>
        <v>103</v>
      </c>
      <c r="DH748" s="65">
        <f>DH740</f>
        <v>195.84</v>
      </c>
      <c r="DI748" s="65">
        <f t="shared" ref="DI748:DJ748" si="1156">DI740</f>
        <v>199.7568</v>
      </c>
      <c r="DJ748" s="65">
        <f t="shared" si="1156"/>
        <v>395.59680000000003</v>
      </c>
      <c r="DL748" s="65">
        <f>DL740</f>
        <v>203.751936</v>
      </c>
      <c r="DM748" s="65">
        <f t="shared" ref="DM748:DN748" si="1157">DM740</f>
        <v>207.82697472000001</v>
      </c>
      <c r="DN748" s="65">
        <f t="shared" si="1157"/>
        <v>411.57891072000001</v>
      </c>
      <c r="DP748" s="65">
        <f>DP740</f>
        <v>211.9835142144</v>
      </c>
      <c r="DQ748" s="65">
        <f t="shared" ref="DQ748:DR748" si="1158">DQ740</f>
        <v>216.223184498688</v>
      </c>
      <c r="DR748" s="65">
        <f t="shared" si="1158"/>
        <v>428.20669871308803</v>
      </c>
    </row>
    <row r="749" spans="1:128" s="20" customFormat="1" ht="13.8">
      <c r="A749" s="20" t="s">
        <v>746</v>
      </c>
      <c r="B749" s="49"/>
      <c r="BH749" s="49"/>
      <c r="BI749" s="49"/>
      <c r="BJ749" s="49"/>
      <c r="BK749" s="49"/>
      <c r="BL749" s="49"/>
      <c r="BM749" s="49"/>
      <c r="BN749" s="49"/>
      <c r="BO749" s="49"/>
      <c r="BP749" s="56"/>
      <c r="BQ749" s="49"/>
      <c r="BR749" s="49"/>
      <c r="BT749" s="56"/>
      <c r="BX749" s="56"/>
      <c r="CB749" s="56"/>
      <c r="CF749" s="56"/>
      <c r="CJ749" s="56"/>
      <c r="CN749" s="65">
        <f t="shared" ref="CN749:CP749" si="1159">CN793</f>
        <v>52</v>
      </c>
      <c r="CO749" s="65">
        <f t="shared" si="1159"/>
        <v>58</v>
      </c>
      <c r="CP749" s="65">
        <f t="shared" si="1159"/>
        <v>110</v>
      </c>
      <c r="CR749" s="65">
        <f>CR793</f>
        <v>55</v>
      </c>
      <c r="CS749" s="65">
        <f t="shared" ref="CS749:CT749" si="1160">CS793</f>
        <v>85</v>
      </c>
      <c r="CT749" s="65">
        <f t="shared" si="1160"/>
        <v>140</v>
      </c>
      <c r="CV749" s="65">
        <f>CV793</f>
        <v>55</v>
      </c>
      <c r="CW749" s="65">
        <f t="shared" ref="CW749:CX749" si="1161">CW793</f>
        <v>53</v>
      </c>
      <c r="CX749" s="65">
        <f t="shared" si="1161"/>
        <v>108</v>
      </c>
      <c r="CZ749" s="65">
        <f>CZ793</f>
        <v>48</v>
      </c>
      <c r="DA749" s="65">
        <f t="shared" ref="DA749:DB749" si="1162">DA793</f>
        <v>74</v>
      </c>
      <c r="DB749" s="65">
        <f t="shared" si="1162"/>
        <v>122</v>
      </c>
      <c r="DD749" s="65">
        <f>DD793</f>
        <v>46</v>
      </c>
      <c r="DE749" s="65">
        <f t="shared" ref="DE749:DF749" si="1163">DE793</f>
        <v>49</v>
      </c>
      <c r="DF749" s="65">
        <f t="shared" si="1163"/>
        <v>95</v>
      </c>
      <c r="DH749" s="65">
        <f>DH793</f>
        <v>49.49</v>
      </c>
      <c r="DI749" s="65">
        <f t="shared" ref="DI749:DJ749" si="1164">DI793</f>
        <v>49.984900000000003</v>
      </c>
      <c r="DJ749" s="65">
        <f t="shared" si="1164"/>
        <v>99.474900000000005</v>
      </c>
      <c r="DL749" s="65">
        <f>DL793</f>
        <v>50.484749000000001</v>
      </c>
      <c r="DM749" s="65">
        <f t="shared" ref="DM749:DN749" si="1165">DM793</f>
        <v>50.989596490000004</v>
      </c>
      <c r="DN749" s="65">
        <f t="shared" si="1165"/>
        <v>101.47434549</v>
      </c>
      <c r="DP749" s="65">
        <f>DP793</f>
        <v>51.499492454900007</v>
      </c>
      <c r="DQ749" s="65">
        <f t="shared" ref="DQ749:DR749" si="1166">DQ793</f>
        <v>52.014487379449008</v>
      </c>
      <c r="DR749" s="65">
        <f t="shared" si="1166"/>
        <v>103.51397983434902</v>
      </c>
    </row>
    <row r="750" spans="1:128" s="21" customFormat="1" ht="13.8">
      <c r="A750" s="21" t="s">
        <v>1106</v>
      </c>
      <c r="B750" s="27"/>
      <c r="BH750" s="27"/>
      <c r="BI750" s="27"/>
      <c r="BJ750" s="27"/>
      <c r="BK750" s="27"/>
      <c r="BL750" s="27"/>
      <c r="BM750" s="27"/>
      <c r="BN750" s="27"/>
      <c r="BO750" s="27"/>
      <c r="BP750" s="708"/>
      <c r="BQ750" s="27"/>
      <c r="BR750" s="27"/>
      <c r="BT750" s="708"/>
      <c r="BX750" s="708"/>
      <c r="CB750" s="708"/>
      <c r="CF750" s="708"/>
      <c r="CJ750" s="708"/>
      <c r="CN750" s="72">
        <f t="shared" ref="CN750:CP750" si="1167">SUM(CN748:CN749)</f>
        <v>30</v>
      </c>
      <c r="CO750" s="72">
        <f t="shared" si="1167"/>
        <v>239</v>
      </c>
      <c r="CP750" s="72">
        <f t="shared" si="1167"/>
        <v>269</v>
      </c>
      <c r="CR750" s="72">
        <f>SUM(CR748:CR749)</f>
        <v>425</v>
      </c>
      <c r="CS750" s="72">
        <f t="shared" ref="CS750:CT750" si="1168">SUM(CS748:CS749)</f>
        <v>304</v>
      </c>
      <c r="CT750" s="72">
        <f t="shared" si="1168"/>
        <v>729</v>
      </c>
      <c r="CV750" s="72">
        <f>SUM(CV748:CV749)</f>
        <v>64</v>
      </c>
      <c r="CW750" s="72">
        <f t="shared" ref="CW750:CX750" si="1169">SUM(CW748:CW749)</f>
        <v>261</v>
      </c>
      <c r="CX750" s="72">
        <f t="shared" si="1169"/>
        <v>325</v>
      </c>
      <c r="CZ750" s="72">
        <f>SUM(CZ748:CZ749)</f>
        <v>169</v>
      </c>
      <c r="DA750" s="72">
        <f t="shared" ref="DA750:DB750" si="1170">SUM(DA748:DA749)</f>
        <v>276</v>
      </c>
      <c r="DB750" s="72">
        <f t="shared" si="1170"/>
        <v>445</v>
      </c>
      <c r="DD750" s="72">
        <f>SUM(DD748:DD749)</f>
        <v>242</v>
      </c>
      <c r="DE750" s="72">
        <f t="shared" ref="DE750:DF750" si="1171">SUM(DE748:DE749)</f>
        <v>-44</v>
      </c>
      <c r="DF750" s="72">
        <f t="shared" si="1171"/>
        <v>198</v>
      </c>
      <c r="DH750" s="72">
        <f>SUM(DH748:DH749)</f>
        <v>245.33</v>
      </c>
      <c r="DI750" s="72">
        <f t="shared" ref="DI750" si="1172">SUM(DI748:DI749)</f>
        <v>249.74170000000001</v>
      </c>
      <c r="DJ750" s="72">
        <f t="shared" ref="DJ750" si="1173">SUM(DJ748:DJ749)</f>
        <v>495.07170000000002</v>
      </c>
      <c r="DL750" s="72">
        <f>SUM(DL748:DL749)</f>
        <v>254.23668499999999</v>
      </c>
      <c r="DM750" s="72">
        <f t="shared" ref="DM750" si="1174">SUM(DM748:DM749)</f>
        <v>258.81657121000001</v>
      </c>
      <c r="DN750" s="72">
        <f t="shared" ref="DN750" si="1175">SUM(DN748:DN749)</f>
        <v>513.05325620999997</v>
      </c>
      <c r="DP750" s="72">
        <f>SUM(DP748:DP749)</f>
        <v>263.48300666930004</v>
      </c>
      <c r="DQ750" s="72">
        <f t="shared" ref="DQ750:DR750" si="1176">SUM(DQ748:DQ749)</f>
        <v>268.23767187813701</v>
      </c>
      <c r="DR750" s="72">
        <f t="shared" si="1176"/>
        <v>531.72067854743705</v>
      </c>
    </row>
    <row r="751" spans="1:128" s="21" customFormat="1" ht="13.8">
      <c r="B751" s="27"/>
      <c r="BH751" s="27"/>
      <c r="BI751" s="27"/>
      <c r="BJ751" s="27"/>
      <c r="BK751" s="27"/>
      <c r="BL751" s="27"/>
      <c r="BM751" s="27"/>
      <c r="BN751" s="27"/>
      <c r="BO751" s="27"/>
      <c r="BP751" s="708"/>
      <c r="BQ751" s="27"/>
      <c r="BR751" s="27"/>
      <c r="BT751" s="708"/>
      <c r="BX751" s="708"/>
      <c r="CB751" s="708"/>
      <c r="CF751" s="708"/>
      <c r="CJ751" s="708"/>
      <c r="CN751" s="1082">
        <v>30</v>
      </c>
      <c r="CO751" s="1082">
        <v>239</v>
      </c>
      <c r="CR751" s="1082">
        <v>425</v>
      </c>
      <c r="CS751" s="1082">
        <v>304</v>
      </c>
      <c r="CV751" s="1082">
        <v>64</v>
      </c>
      <c r="CW751" s="1082">
        <v>261</v>
      </c>
      <c r="CZ751" s="1082">
        <v>169</v>
      </c>
      <c r="DA751" s="1082">
        <v>276</v>
      </c>
      <c r="DD751" s="1082">
        <f>280-38</f>
        <v>242</v>
      </c>
      <c r="DE751" s="1082">
        <f>279-285-38</f>
        <v>-44</v>
      </c>
      <c r="DH751" s="27"/>
      <c r="DL751" s="27"/>
      <c r="DP751" s="27"/>
    </row>
    <row r="752" spans="1:128" s="21" customFormat="1" ht="13.8">
      <c r="B752" s="27"/>
      <c r="BH752" s="27"/>
      <c r="BI752" s="27"/>
      <c r="BJ752" s="27"/>
      <c r="BK752" s="27"/>
      <c r="BL752" s="27"/>
      <c r="BM752" s="27"/>
      <c r="BN752" s="27"/>
      <c r="BO752" s="27"/>
      <c r="BP752" s="708"/>
      <c r="BQ752" s="27"/>
      <c r="BR752" s="27"/>
      <c r="BT752" s="708"/>
      <c r="BX752" s="708"/>
      <c r="CB752" s="708"/>
      <c r="CF752" s="708"/>
      <c r="CJ752" s="708"/>
      <c r="CN752" s="1082"/>
      <c r="CO752" s="1082"/>
      <c r="CR752" s="1082"/>
      <c r="CS752" s="1082"/>
      <c r="CV752" s="1082"/>
      <c r="CW752" s="1082"/>
      <c r="CZ752" s="1082"/>
      <c r="DA752" s="1082"/>
      <c r="DD752" s="1082"/>
      <c r="DE752" s="1082"/>
      <c r="DH752" s="27"/>
      <c r="DL752" s="27"/>
      <c r="DP752" s="27"/>
    </row>
    <row r="753" spans="1:126" s="20" customFormat="1" ht="13.8">
      <c r="A753" s="21" t="s">
        <v>1173</v>
      </c>
      <c r="B753" s="49"/>
      <c r="BH753" s="49"/>
      <c r="BI753" s="49"/>
      <c r="BJ753" s="49"/>
      <c r="BK753" s="49"/>
      <c r="BL753" s="49"/>
      <c r="BM753" s="49"/>
      <c r="BN753" s="49"/>
      <c r="BO753" s="49"/>
      <c r="BP753" s="56"/>
      <c r="BQ753" s="49"/>
      <c r="BR753" s="49"/>
      <c r="BT753" s="56"/>
      <c r="BX753" s="56"/>
      <c r="CB753" s="56"/>
      <c r="CF753" s="56"/>
      <c r="CJ753" s="56"/>
      <c r="CN753" s="56"/>
      <c r="CR753" s="49"/>
      <c r="CV753" s="49"/>
      <c r="CZ753" s="49"/>
      <c r="DD753" s="49"/>
      <c r="DH753" s="49"/>
      <c r="DL753" s="49"/>
      <c r="DP753" s="49"/>
    </row>
    <row r="754" spans="1:126" s="20" customFormat="1" ht="13.8">
      <c r="A754" s="20" t="s">
        <v>282</v>
      </c>
      <c r="B754" s="49"/>
      <c r="BH754" s="49"/>
      <c r="BI754" s="49"/>
      <c r="BJ754" s="49"/>
      <c r="BK754" s="49"/>
      <c r="BL754" s="65">
        <f>+BL691</f>
        <v>508</v>
      </c>
      <c r="BM754" s="65">
        <f>+BM691</f>
        <v>535</v>
      </c>
      <c r="BN754" s="65">
        <f>+BN691</f>
        <v>1043</v>
      </c>
      <c r="BO754" s="49"/>
      <c r="BP754" s="65">
        <f>+BP691</f>
        <v>507</v>
      </c>
      <c r="BQ754" s="65">
        <f>+BQ691</f>
        <v>600</v>
      </c>
      <c r="BR754" s="65">
        <f>+BR691</f>
        <v>1107</v>
      </c>
      <c r="BT754" s="65">
        <f>+BT691</f>
        <v>560</v>
      </c>
      <c r="BU754" s="65">
        <f>+BU691</f>
        <v>472</v>
      </c>
      <c r="BV754" s="65">
        <f>+BV691</f>
        <v>1032</v>
      </c>
      <c r="BX754" s="65">
        <f>+BX691</f>
        <v>478</v>
      </c>
      <c r="BY754" s="65">
        <f>+BY691</f>
        <v>442</v>
      </c>
      <c r="BZ754" s="65">
        <f>+BZ691</f>
        <v>920</v>
      </c>
      <c r="CB754" s="65">
        <f>+CB691</f>
        <v>355</v>
      </c>
      <c r="CC754" s="65">
        <f>+CC691</f>
        <v>303</v>
      </c>
      <c r="CD754" s="65">
        <f>+CD691</f>
        <v>658</v>
      </c>
      <c r="CF754" s="65">
        <f>+CF691</f>
        <v>280</v>
      </c>
      <c r="CG754" s="65">
        <f>+CG691</f>
        <v>211</v>
      </c>
      <c r="CH754" s="65">
        <f>+CH691</f>
        <v>491</v>
      </c>
      <c r="CJ754" s="65">
        <f>+CJ691</f>
        <v>400</v>
      </c>
      <c r="CK754" s="65">
        <f>+CK691</f>
        <v>370</v>
      </c>
      <c r="CL754" s="65">
        <f>+CL691</f>
        <v>770</v>
      </c>
      <c r="CN754" s="65">
        <f>+CN691</f>
        <v>402</v>
      </c>
      <c r="CO754" s="65">
        <f>+CO691</f>
        <v>439</v>
      </c>
      <c r="CP754" s="65">
        <f>+CP691</f>
        <v>841</v>
      </c>
      <c r="CR754" s="65">
        <f>+CR691</f>
        <v>416</v>
      </c>
      <c r="CS754" s="65">
        <f>+CS691</f>
        <v>291</v>
      </c>
      <c r="CT754" s="65">
        <f>+CT691</f>
        <v>707</v>
      </c>
      <c r="CV754" s="65">
        <f>+CV691</f>
        <v>164</v>
      </c>
      <c r="CW754" s="65">
        <f>+CW691</f>
        <v>20</v>
      </c>
      <c r="CX754" s="65">
        <f>+CX691</f>
        <v>184</v>
      </c>
      <c r="CZ754" s="65">
        <f>+CZ691</f>
        <v>-64</v>
      </c>
      <c r="DA754" s="65">
        <f>+DA691</f>
        <v>-67</v>
      </c>
      <c r="DB754" s="65">
        <f>+DB691</f>
        <v>-131</v>
      </c>
      <c r="DD754" s="65">
        <f>+DD691</f>
        <v>82</v>
      </c>
      <c r="DE754" s="65">
        <f>+DE691</f>
        <v>196</v>
      </c>
      <c r="DF754" s="65">
        <f>+DF691</f>
        <v>278</v>
      </c>
      <c r="DH754" s="65">
        <f>+DH691</f>
        <v>192.70000000000002</v>
      </c>
      <c r="DI754" s="65">
        <f>+DI691</f>
        <v>196</v>
      </c>
      <c r="DJ754" s="65">
        <f>+DJ691</f>
        <v>388.70000000000005</v>
      </c>
      <c r="DL754" s="65">
        <f>+DL691</f>
        <v>196.55400000000003</v>
      </c>
      <c r="DM754" s="65">
        <f>+DM691</f>
        <v>199.92000000000002</v>
      </c>
      <c r="DN754" s="65">
        <f>+DN691</f>
        <v>396.47400000000005</v>
      </c>
      <c r="DP754" s="65">
        <f>+DP691</f>
        <v>200.48508000000004</v>
      </c>
      <c r="DQ754" s="65">
        <f>+DQ691</f>
        <v>203.91840000000002</v>
      </c>
      <c r="DR754" s="65">
        <f>+DR691</f>
        <v>404.40348000000006</v>
      </c>
    </row>
    <row r="755" spans="1:126" s="20" customFormat="1" ht="13.8">
      <c r="A755" s="20" t="s">
        <v>1243</v>
      </c>
      <c r="B755" s="49"/>
      <c r="BH755" s="49"/>
      <c r="BI755" s="49"/>
      <c r="BJ755" s="49"/>
      <c r="BK755" s="49"/>
      <c r="BL755" s="65"/>
      <c r="BM755" s="65"/>
      <c r="BN755" s="65"/>
      <c r="BO755" s="49"/>
      <c r="BP755" s="65"/>
      <c r="BQ755" s="65"/>
      <c r="BR755" s="65"/>
      <c r="BT755" s="65"/>
      <c r="BU755" s="65"/>
      <c r="BV755" s="65"/>
      <c r="BX755" s="65"/>
      <c r="BY755" s="65"/>
      <c r="BZ755" s="65"/>
      <c r="CB755" s="65"/>
      <c r="CC755" s="65"/>
      <c r="CD755" s="65"/>
      <c r="CF755" s="65"/>
      <c r="CG755" s="65"/>
      <c r="CH755" s="65"/>
      <c r="CJ755" s="65"/>
      <c r="CK755" s="65"/>
      <c r="CL755" s="65"/>
      <c r="CN755" s="65"/>
      <c r="CO755" s="65"/>
      <c r="CP755" s="65"/>
      <c r="CR755" s="65"/>
      <c r="CS755" s="65"/>
      <c r="CT755" s="65"/>
      <c r="CV755" s="65"/>
      <c r="CW755" s="65"/>
      <c r="CX755" s="65"/>
      <c r="CZ755" s="65">
        <f>AVERAGE(CZ179,CW179)</f>
        <v>45150</v>
      </c>
      <c r="DA755" s="65">
        <f>AVERAGE(DA179,CZ179)</f>
        <v>46356.5</v>
      </c>
      <c r="DB755" s="65">
        <f>AVERAGE(CZ755:DA755)</f>
        <v>45753.25</v>
      </c>
      <c r="DD755" s="65">
        <f>AVERAGE(DD179,DA179)</f>
        <v>44252.5</v>
      </c>
      <c r="DE755" s="65">
        <f>AVERAGE(DE179,DD179)</f>
        <v>44308.5</v>
      </c>
      <c r="DF755" s="65">
        <f>AVERAGE(DD755:DE755)</f>
        <v>44280.5</v>
      </c>
      <c r="DH755" s="65">
        <f>AVERAGE(DH179,DE179)</f>
        <v>47913.375</v>
      </c>
      <c r="DI755" s="65">
        <f>AVERAGE(DI179,DH179)</f>
        <v>48392.508750000001</v>
      </c>
      <c r="DJ755" s="65">
        <f>AVERAGE(DH755:DI755)</f>
        <v>48152.941875000004</v>
      </c>
      <c r="DL755" s="65">
        <f>AVERAGE(DL179,DI179)</f>
        <v>48876.433837500001</v>
      </c>
      <c r="DM755" s="65">
        <f>AVERAGE(DM179,DL179)</f>
        <v>49365.198175875004</v>
      </c>
      <c r="DN755" s="65">
        <f>AVERAGE(DL755:DM755)</f>
        <v>49120.816006687499</v>
      </c>
      <c r="DP755" s="65">
        <f>AVERAGE(DP179,DM179)</f>
        <v>49858.850157633751</v>
      </c>
      <c r="DQ755" s="65">
        <f>AVERAGE(DQ179,DP179)</f>
        <v>50357.438659210093</v>
      </c>
      <c r="DR755" s="65">
        <f>AVERAGE(DP755:DQ755)</f>
        <v>50108.144408421926</v>
      </c>
    </row>
    <row r="756" spans="1:126" s="20" customFormat="1" ht="13.8">
      <c r="A756" s="20" t="s">
        <v>1244</v>
      </c>
      <c r="B756" s="49"/>
      <c r="BH756" s="49"/>
      <c r="BI756" s="49"/>
      <c r="BJ756" s="49"/>
      <c r="BK756" s="49"/>
      <c r="BL756" s="65"/>
      <c r="BM756" s="65"/>
      <c r="BN756" s="65"/>
      <c r="BO756" s="49"/>
      <c r="BP756" s="65"/>
      <c r="BQ756" s="65"/>
      <c r="BR756" s="65"/>
      <c r="BT756" s="65"/>
      <c r="BU756" s="65"/>
      <c r="BV756" s="65"/>
      <c r="BX756" s="65"/>
      <c r="BY756" s="65"/>
      <c r="BZ756" s="65"/>
      <c r="CB756" s="65"/>
      <c r="CC756" s="65"/>
      <c r="CD756" s="65"/>
      <c r="CF756" s="65"/>
      <c r="CG756" s="65"/>
      <c r="CH756" s="65"/>
      <c r="CJ756" s="65"/>
      <c r="CK756" s="65"/>
      <c r="CL756" s="65"/>
      <c r="CN756" s="65"/>
      <c r="CO756" s="65"/>
      <c r="CP756" s="65"/>
      <c r="CR756" s="65"/>
      <c r="CS756" s="65"/>
      <c r="CT756" s="65"/>
      <c r="CV756" s="65"/>
      <c r="CW756" s="65"/>
      <c r="CX756" s="65"/>
      <c r="CZ756" s="65">
        <f>+CZ757-CZ755</f>
        <v>285845</v>
      </c>
      <c r="DA756" s="65">
        <f>+DA757-DA755</f>
        <v>293858.5</v>
      </c>
      <c r="DB756" s="65">
        <f>+DB757-DB755</f>
        <v>289851.75</v>
      </c>
      <c r="DD756" s="65">
        <f>+DD757-DD755</f>
        <v>319415.5</v>
      </c>
      <c r="DE756" s="65">
        <f>+DE757-DE755</f>
        <v>348443.5</v>
      </c>
      <c r="DF756" s="65">
        <f>+DF757-DF755</f>
        <v>333977</v>
      </c>
      <c r="DH756" s="65">
        <f>DE756*(1+DH761)</f>
        <v>351651.106121869</v>
      </c>
      <c r="DI756" s="65">
        <f>DH756*(1+DI761)</f>
        <v>356710.28551155771</v>
      </c>
      <c r="DJ756" s="65">
        <f>AVERAGE(DH756:DI756)</f>
        <v>354180.69581671339</v>
      </c>
      <c r="DL756" s="65">
        <f>DI756*(1+DL761)</f>
        <v>364557.21861431183</v>
      </c>
      <c r="DM756" s="65">
        <f>DL756*(1+DM761)</f>
        <v>373042.81664608885</v>
      </c>
      <c r="DN756" s="65">
        <f>AVERAGE(DL756:DM756)</f>
        <v>368800.01763020037</v>
      </c>
      <c r="DP756" s="65">
        <f>DM756*(1+DP761)</f>
        <v>381313.23107793956</v>
      </c>
      <c r="DQ756" s="65">
        <f>DP756*(1+DQ761)</f>
        <v>389286.14648662339</v>
      </c>
      <c r="DR756" s="65">
        <f>AVERAGE(DP756:DQ756)</f>
        <v>385299.68878228148</v>
      </c>
    </row>
    <row r="757" spans="1:126" s="20" customFormat="1" ht="13.8">
      <c r="A757" s="20" t="s">
        <v>598</v>
      </c>
      <c r="B757" s="49"/>
      <c r="BH757" s="49"/>
      <c r="BI757" s="49"/>
      <c r="BJ757" s="49"/>
      <c r="BK757" s="49"/>
      <c r="BL757" s="65">
        <f>+BL605-BL771</f>
        <v>139800</v>
      </c>
      <c r="BM757" s="65">
        <f>+BM605-BM771</f>
        <v>152231</v>
      </c>
      <c r="BN757" s="65">
        <f>AVERAGE(BL757:BM757)</f>
        <v>146015.5</v>
      </c>
      <c r="BO757" s="49"/>
      <c r="BP757" s="65">
        <f>+BP605-BP771</f>
        <v>172496</v>
      </c>
      <c r="BQ757" s="65">
        <f>+BQ605-BQ771</f>
        <v>185732</v>
      </c>
      <c r="BR757" s="65">
        <f>AVERAGE(BP757:BQ757)</f>
        <v>179114</v>
      </c>
      <c r="BT757" s="65">
        <f>+BT605-BT771</f>
        <v>198284</v>
      </c>
      <c r="BU757" s="65">
        <f>+BU605-BU771</f>
        <v>196493</v>
      </c>
      <c r="BV757" s="65">
        <f>AVERAGE(BT757:BU757)</f>
        <v>197388.5</v>
      </c>
      <c r="BX757" s="65">
        <f>+BX605-BX771</f>
        <v>205308</v>
      </c>
      <c r="BY757" s="65">
        <f>+BY605-BY771</f>
        <v>215134</v>
      </c>
      <c r="BZ757" s="65">
        <f>AVERAGE(BX757:BY757)</f>
        <v>210221</v>
      </c>
      <c r="CB757" s="65">
        <f>+CB605-CB771</f>
        <v>226218</v>
      </c>
      <c r="CC757" s="65">
        <f>+CC605-CC771</f>
        <v>235103</v>
      </c>
      <c r="CD757" s="65">
        <f>AVERAGE(CB757:CC757)</f>
        <v>230660.5</v>
      </c>
      <c r="CF757" s="65">
        <f>+CF605-CF771</f>
        <v>247949</v>
      </c>
      <c r="CG757" s="65">
        <f>+CG605-CG771</f>
        <v>247924</v>
      </c>
      <c r="CH757" s="65">
        <f>AVERAGE(CF757:CG757)</f>
        <v>247936.5</v>
      </c>
      <c r="CJ757" s="65">
        <f>+CJ605-CJ771</f>
        <v>280157</v>
      </c>
      <c r="CK757" s="65">
        <f>+CK605-CK771</f>
        <v>288578</v>
      </c>
      <c r="CL757" s="65">
        <f>AVERAGE(CJ757:CK757)</f>
        <v>284367.5</v>
      </c>
      <c r="CN757" s="65">
        <f>+CN605-CN771</f>
        <v>276553</v>
      </c>
      <c r="CO757" s="65">
        <f>+CO605-CO771</f>
        <v>250921</v>
      </c>
      <c r="CP757" s="65">
        <f>AVERAGE(CN757:CO757)</f>
        <v>263737</v>
      </c>
      <c r="CR757" s="65">
        <f>+CR605-CR771</f>
        <v>254211</v>
      </c>
      <c r="CS757" s="65">
        <f>+CS605-CS771</f>
        <v>260940</v>
      </c>
      <c r="CT757" s="65">
        <f>AVERAGE(CR757:CS757)</f>
        <v>257575.5</v>
      </c>
      <c r="CV757" s="65">
        <f>+CV605-CV771</f>
        <v>285409</v>
      </c>
      <c r="CW757" s="65">
        <f>+CW605-CW771</f>
        <v>293287</v>
      </c>
      <c r="CX757" s="65">
        <f>AVERAGE(CV757:CW757)</f>
        <v>289348</v>
      </c>
      <c r="CZ757" s="65">
        <f>+CZ605-CZ771</f>
        <v>330995</v>
      </c>
      <c r="DA757" s="65">
        <f>+DA605-DA771</f>
        <v>340215</v>
      </c>
      <c r="DB757" s="65">
        <f>+DB605-DB771</f>
        <v>335605</v>
      </c>
      <c r="DD757" s="65">
        <f>+DD605-DD771</f>
        <v>363668</v>
      </c>
      <c r="DE757" s="65">
        <f>+DE605-DE771</f>
        <v>392752</v>
      </c>
      <c r="DF757" s="65">
        <f>+DF605-DF771</f>
        <v>378257.5</v>
      </c>
      <c r="DH757" s="65">
        <f t="shared" ref="DH757:DI757" si="1177">SUM(DH755:DH756)</f>
        <v>399564.481121869</v>
      </c>
      <c r="DI757" s="65">
        <f t="shared" si="1177"/>
        <v>405102.79426155769</v>
      </c>
      <c r="DJ757" s="65">
        <f>AVERAGE(DH757:DI757)</f>
        <v>402333.63769171335</v>
      </c>
      <c r="DL757" s="65">
        <f t="shared" ref="DL757" si="1178">SUM(DL755:DL756)</f>
        <v>413433.65245181182</v>
      </c>
      <c r="DM757" s="65">
        <f t="shared" ref="DM757" si="1179">SUM(DM755:DM756)</f>
        <v>422408.01482196385</v>
      </c>
      <c r="DN757" s="65">
        <f>AVERAGE(DL757:DM757)</f>
        <v>417920.83363688784</v>
      </c>
      <c r="DP757" s="65">
        <f t="shared" ref="DP757:DQ757" si="1180">SUM(DP755:DP756)</f>
        <v>431172.08123557334</v>
      </c>
      <c r="DQ757" s="65">
        <f t="shared" si="1180"/>
        <v>439643.58514583349</v>
      </c>
      <c r="DR757" s="65">
        <f>AVERAGE(DP757:DQ757)</f>
        <v>435407.83319070342</v>
      </c>
    </row>
    <row r="758" spans="1:126" s="20" customFormat="1" ht="13.8">
      <c r="A758" s="335" t="s">
        <v>127</v>
      </c>
      <c r="B758" s="324"/>
      <c r="C758" s="325"/>
      <c r="D758" s="325"/>
      <c r="E758" s="325"/>
      <c r="F758" s="325"/>
      <c r="G758" s="325"/>
      <c r="H758" s="325"/>
      <c r="I758" s="325"/>
      <c r="J758" s="325"/>
      <c r="K758" s="325"/>
      <c r="L758" s="325"/>
      <c r="M758" s="325"/>
      <c r="N758" s="325"/>
      <c r="O758" s="325"/>
      <c r="P758" s="325"/>
      <c r="Q758" s="325"/>
      <c r="R758" s="325"/>
      <c r="S758" s="325"/>
      <c r="T758" s="325"/>
      <c r="U758" s="325"/>
      <c r="V758" s="325"/>
      <c r="W758" s="325"/>
      <c r="X758" s="325"/>
      <c r="Y758" s="325"/>
      <c r="Z758" s="325"/>
      <c r="AA758" s="325"/>
      <c r="AB758" s="325"/>
      <c r="AC758" s="325"/>
      <c r="AD758" s="325"/>
      <c r="AE758" s="325"/>
      <c r="AF758" s="325"/>
      <c r="AG758" s="325"/>
      <c r="AH758" s="325"/>
      <c r="AI758" s="325"/>
      <c r="AJ758" s="325"/>
      <c r="AK758" s="325"/>
      <c r="AL758" s="325"/>
      <c r="AM758" s="325"/>
      <c r="AN758" s="325"/>
      <c r="AO758" s="325"/>
      <c r="AP758" s="325"/>
      <c r="AQ758" s="325"/>
      <c r="AR758" s="325"/>
      <c r="AS758" s="325"/>
      <c r="AT758" s="325"/>
      <c r="AU758" s="325"/>
      <c r="AV758" s="325"/>
      <c r="AW758" s="325"/>
      <c r="AX758" s="325"/>
      <c r="AY758" s="325"/>
      <c r="AZ758" s="325"/>
      <c r="BA758" s="325"/>
      <c r="BB758" s="325"/>
      <c r="BC758" s="325"/>
      <c r="BD758" s="325"/>
      <c r="BE758" s="325"/>
      <c r="BF758" s="325"/>
      <c r="BG758" s="325"/>
      <c r="BH758" s="324"/>
      <c r="BI758" s="324"/>
      <c r="BJ758" s="324"/>
      <c r="BK758" s="324"/>
      <c r="BL758" s="395"/>
      <c r="BM758" s="395"/>
      <c r="BN758" s="324"/>
      <c r="BO758" s="324"/>
      <c r="BP758" s="345">
        <f>+BP757/BL757-1</f>
        <v>0.23387696709585115</v>
      </c>
      <c r="BQ758" s="345">
        <f>+BQ757/BM757-1</f>
        <v>0.22006687205628284</v>
      </c>
      <c r="BR758" s="324"/>
      <c r="BS758" s="325"/>
      <c r="BT758" s="345">
        <f>+BT757/BP757-1</f>
        <v>0.14949911882014666</v>
      </c>
      <c r="BU758" s="345">
        <f>+BU757/BQ757-1</f>
        <v>5.7938319729502696E-2</v>
      </c>
      <c r="BV758" s="324"/>
      <c r="BW758" s="325"/>
      <c r="BX758" s="345">
        <f>+BX757/BT757-1</f>
        <v>3.5423937382743853E-2</v>
      </c>
      <c r="BY758" s="345">
        <f>+BY757/BU757-1</f>
        <v>9.4868519489243797E-2</v>
      </c>
      <c r="BZ758" s="324"/>
      <c r="CA758" s="325"/>
      <c r="CB758" s="345">
        <f>+CB757/BX757-1</f>
        <v>0.1018469811210474</v>
      </c>
      <c r="CC758" s="345">
        <f>+CC757/BY757-1</f>
        <v>9.2821218403413619E-2</v>
      </c>
      <c r="CD758" s="324"/>
      <c r="CE758" s="325"/>
      <c r="CF758" s="345">
        <f>+CF757/CB757-1</f>
        <v>9.6062205483206542E-2</v>
      </c>
      <c r="CG758" s="345">
        <f>+CG757/CC757-1</f>
        <v>5.4533544871822048E-2</v>
      </c>
      <c r="CH758" s="324"/>
      <c r="CI758" s="325"/>
      <c r="CJ758" s="345">
        <f>+CJ757/CF757-1</f>
        <v>0.12989768057140783</v>
      </c>
      <c r="CK758" s="345">
        <f>+CK757/CG757-1</f>
        <v>0.16397767057646706</v>
      </c>
      <c r="CL758" s="324"/>
      <c r="CM758" s="325"/>
      <c r="CN758" s="345">
        <f>+CN757/CJ757-1</f>
        <v>-1.2864215422066949E-2</v>
      </c>
      <c r="CO758" s="345">
        <f>+CO757/CK757-1</f>
        <v>-0.13049158286494467</v>
      </c>
      <c r="CP758" s="324"/>
      <c r="CQ758" s="325"/>
      <c r="CR758" s="345">
        <f>+CR757/CN757-1</f>
        <v>-8.0787407838642133E-2</v>
      </c>
      <c r="CS758" s="345">
        <f>+CS757/CO757-1</f>
        <v>3.992890192530707E-2</v>
      </c>
      <c r="CT758" s="324"/>
      <c r="CU758" s="325"/>
      <c r="CV758" s="345">
        <f>+CV757/CR757-1</f>
        <v>0.12272482308003974</v>
      </c>
      <c r="CW758" s="345">
        <f>+CW757/CS757-1</f>
        <v>0.12396336322526258</v>
      </c>
      <c r="CX758" s="324"/>
      <c r="CY758" s="325"/>
      <c r="CZ758" s="345">
        <f>+CZ757/CV757-1</f>
        <v>0.15972166259648435</v>
      </c>
      <c r="DA758" s="345">
        <f>+DA757/CW757-1</f>
        <v>0.16000709202930907</v>
      </c>
      <c r="DB758" s="324"/>
      <c r="DC758" s="325"/>
      <c r="DD758" s="345">
        <f>+DD757/CZ757-1</f>
        <v>9.8711460898200931E-2</v>
      </c>
      <c r="DE758" s="345">
        <f>+DE757/DA757-1</f>
        <v>0.15442293843598898</v>
      </c>
      <c r="DF758" s="324"/>
      <c r="DG758" s="325"/>
      <c r="DH758" s="345">
        <f>+DH757/DD757-1</f>
        <v>9.870673559914267E-2</v>
      </c>
      <c r="DI758" s="345">
        <f>+DI757/DE757-1</f>
        <v>3.1446801700711013E-2</v>
      </c>
      <c r="DJ758" s="324"/>
      <c r="DK758" s="325"/>
      <c r="DL758" s="345">
        <f>+DL757/DH757-1</f>
        <v>3.4710721260813537E-2</v>
      </c>
      <c r="DM758" s="345">
        <f>+DM757/DI757-1</f>
        <v>4.271809724727027E-2</v>
      </c>
      <c r="DN758" s="324"/>
      <c r="DO758" s="325"/>
      <c r="DP758" s="345">
        <f>+DP757/DL757-1</f>
        <v>4.2905140107889483E-2</v>
      </c>
      <c r="DQ758" s="345">
        <f>+DQ757/DM757-1</f>
        <v>4.0803132798354014E-2</v>
      </c>
      <c r="DR758" s="324"/>
      <c r="DS758" s="325"/>
      <c r="DT758" s="325"/>
      <c r="DU758" s="325"/>
      <c r="DV758" s="325"/>
    </row>
    <row r="759" spans="1:126" s="20" customFormat="1" ht="13.8">
      <c r="A759" s="335" t="s">
        <v>217</v>
      </c>
      <c r="B759" s="324"/>
      <c r="C759" s="325"/>
      <c r="D759" s="325"/>
      <c r="E759" s="325"/>
      <c r="F759" s="325"/>
      <c r="G759" s="325"/>
      <c r="H759" s="325"/>
      <c r="I759" s="325"/>
      <c r="J759" s="325"/>
      <c r="K759" s="325"/>
      <c r="L759" s="325"/>
      <c r="M759" s="325"/>
      <c r="N759" s="325"/>
      <c r="O759" s="325"/>
      <c r="P759" s="325"/>
      <c r="Q759" s="325"/>
      <c r="R759" s="325"/>
      <c r="S759" s="325"/>
      <c r="T759" s="325"/>
      <c r="U759" s="325"/>
      <c r="V759" s="325"/>
      <c r="W759" s="325"/>
      <c r="X759" s="325"/>
      <c r="Y759" s="325"/>
      <c r="Z759" s="325"/>
      <c r="AA759" s="325"/>
      <c r="AB759" s="325"/>
      <c r="AC759" s="325"/>
      <c r="AD759" s="325"/>
      <c r="AE759" s="325"/>
      <c r="AF759" s="325"/>
      <c r="AG759" s="325"/>
      <c r="AH759" s="325"/>
      <c r="AI759" s="325"/>
      <c r="AJ759" s="325"/>
      <c r="AK759" s="325"/>
      <c r="AL759" s="325"/>
      <c r="AM759" s="325"/>
      <c r="AN759" s="325"/>
      <c r="AO759" s="325"/>
      <c r="AP759" s="325"/>
      <c r="AQ759" s="325"/>
      <c r="AR759" s="325"/>
      <c r="AS759" s="325"/>
      <c r="AT759" s="325"/>
      <c r="AU759" s="325"/>
      <c r="AV759" s="325"/>
      <c r="AW759" s="325"/>
      <c r="AX759" s="325"/>
      <c r="AY759" s="325"/>
      <c r="AZ759" s="325"/>
      <c r="BA759" s="325"/>
      <c r="BB759" s="325"/>
      <c r="BC759" s="325"/>
      <c r="BD759" s="325"/>
      <c r="BE759" s="325"/>
      <c r="BF759" s="325"/>
      <c r="BG759" s="325"/>
      <c r="BH759" s="324"/>
      <c r="BI759" s="324"/>
      <c r="BJ759" s="324"/>
      <c r="BK759" s="324"/>
      <c r="BL759" s="395"/>
      <c r="BM759" s="395"/>
      <c r="BN759" s="324"/>
      <c r="BO759" s="324"/>
      <c r="BP759" s="345"/>
      <c r="BQ759" s="345">
        <f>+BQ757/BP757-1</f>
        <v>7.67322140803266E-2</v>
      </c>
      <c r="BR759" s="324"/>
      <c r="BS759" s="325"/>
      <c r="BT759" s="345">
        <f>+BT757/BQ757-1</f>
        <v>6.758124609652616E-2</v>
      </c>
      <c r="BU759" s="345">
        <f>+BU757/BT757-1</f>
        <v>-9.0324988400476425E-3</v>
      </c>
      <c r="BV759" s="324"/>
      <c r="BW759" s="325"/>
      <c r="BX759" s="345">
        <f>+BX757/BU757-1</f>
        <v>4.4861649015486504E-2</v>
      </c>
      <c r="BY759" s="345">
        <f>+BY757/BX757-1</f>
        <v>4.7859800884524795E-2</v>
      </c>
      <c r="BZ759" s="324"/>
      <c r="CA759" s="325"/>
      <c r="CB759" s="345">
        <f>+CB757/BY757-1</f>
        <v>5.1521377374101673E-2</v>
      </c>
      <c r="CC759" s="345">
        <f>+CC757/CB757-1</f>
        <v>3.927627332926642E-2</v>
      </c>
      <c r="CD759" s="324"/>
      <c r="CE759" s="797"/>
      <c r="CF759" s="345">
        <f>+CF757/CC757-1</f>
        <v>5.4639881243540023E-2</v>
      </c>
      <c r="CG759" s="345">
        <f>+CG757/CF757-1</f>
        <v>-1.0082718623583009E-4</v>
      </c>
      <c r="CH759" s="324"/>
      <c r="CI759" s="797"/>
      <c r="CJ759" s="345">
        <f>+CJ757/CG757-1</f>
        <v>0.13001161646310977</v>
      </c>
      <c r="CK759" s="345">
        <f>+CK757/CJ757-1</f>
        <v>3.0058145968153482E-2</v>
      </c>
      <c r="CL759" s="324"/>
      <c r="CM759" s="797"/>
      <c r="CN759" s="345">
        <f>+CN757/CK757-1</f>
        <v>-4.1669843161987408E-2</v>
      </c>
      <c r="CO759" s="345">
        <f>+CO757/CN757-1</f>
        <v>-9.2683861682932411E-2</v>
      </c>
      <c r="CP759" s="324"/>
      <c r="CQ759" s="797"/>
      <c r="CR759" s="345">
        <f>+CR757/CO757-1</f>
        <v>1.3111696510057058E-2</v>
      </c>
      <c r="CS759" s="345">
        <f>+CS757/CR757-1</f>
        <v>2.6470137012167161E-2</v>
      </c>
      <c r="CT759" s="324"/>
      <c r="CU759" s="325"/>
      <c r="CV759" s="345">
        <f>+CV757/CS757-1</f>
        <v>9.3772514754349556E-2</v>
      </c>
      <c r="CW759" s="345">
        <f>+CW757/CV757-1</f>
        <v>2.7602493264052619E-2</v>
      </c>
      <c r="CX759" s="324"/>
      <c r="CY759" s="325"/>
      <c r="CZ759" s="345">
        <f>+CZ757/CW757-1</f>
        <v>0.12857030826460081</v>
      </c>
      <c r="DA759" s="345">
        <f>+DA757/CZ757-1</f>
        <v>2.7855405670780486E-2</v>
      </c>
      <c r="DB759" s="324"/>
      <c r="DC759" s="325"/>
      <c r="DD759" s="345">
        <f>+DD757/DA757-1</f>
        <v>6.8935819996178926E-2</v>
      </c>
      <c r="DE759" s="345">
        <f>+DE757/DD757-1</f>
        <v>7.9974042258323497E-2</v>
      </c>
      <c r="DF759" s="324"/>
      <c r="DG759" s="325"/>
      <c r="DH759" s="345">
        <f>+DH757/DE757-1</f>
        <v>1.7345503324920131E-2</v>
      </c>
      <c r="DI759" s="345">
        <f>+DI757/DH757-1</f>
        <v>1.3860874530535305E-2</v>
      </c>
      <c r="DJ759" s="796"/>
      <c r="DK759" s="325"/>
      <c r="DL759" s="345">
        <f>+DL757/DI757-1</f>
        <v>2.0564800609287559E-2</v>
      </c>
      <c r="DM759" s="345">
        <f>+DM757/DL757-1</f>
        <v>2.170689859649988E-2</v>
      </c>
      <c r="DN759" s="796"/>
      <c r="DO759" s="325"/>
      <c r="DP759" s="345">
        <f>+DP757/DM757-1</f>
        <v>2.0747869609679004E-2</v>
      </c>
      <c r="DQ759" s="345">
        <f>+DQ757/DP757-1</f>
        <v>1.9647616993159867E-2</v>
      </c>
      <c r="DR759" s="796"/>
      <c r="DS759" s="325"/>
      <c r="DT759" s="325"/>
      <c r="DU759" s="325"/>
      <c r="DV759" s="325"/>
    </row>
    <row r="760" spans="1:126" s="20" customFormat="1" ht="13.8">
      <c r="A760" s="20" t="s">
        <v>340</v>
      </c>
      <c r="B760" s="49"/>
      <c r="BH760" s="49"/>
      <c r="BI760" s="49"/>
      <c r="BJ760" s="49"/>
      <c r="BK760" s="49"/>
      <c r="BL760" s="74">
        <f>+BL754*(BL$4/BL$3)/BL757</f>
        <v>7.2874907638856134E-3</v>
      </c>
      <c r="BM760" s="74">
        <f>+BM754*(BM$4/BM$3)/BM757</f>
        <v>7.0095874213021029E-3</v>
      </c>
      <c r="BN760" s="74">
        <f>+BN754*(BN$4/BN$3)/BN757</f>
        <v>7.1430772760426118E-3</v>
      </c>
      <c r="BO760" s="49"/>
      <c r="BP760" s="74">
        <f>+BP754*(BP$4/BP$3)/BP757</f>
        <v>5.894546623027283E-3</v>
      </c>
      <c r="BQ760" s="74">
        <f>+BQ754*(BQ$4/BQ$3)/BQ757</f>
        <v>6.4432693960944252E-3</v>
      </c>
      <c r="BR760" s="74">
        <f>+BR754*(BR$4/BR$3)/BR757</f>
        <v>6.1804214075951627E-3</v>
      </c>
      <c r="BT760" s="74">
        <f>+BT754*(BT$4/BT$3)/BT757</f>
        <v>5.6484638195719271E-3</v>
      </c>
      <c r="BU760" s="74">
        <f>+BU754*(BU$4/BU$3)/BU757</f>
        <v>4.8042423903141588E-3</v>
      </c>
      <c r="BV760" s="74">
        <f>+BV754*(BV$4/BV$3)/BV757</f>
        <v>5.2282681108575223E-3</v>
      </c>
      <c r="BX760" s="74">
        <f>+BX754*(BX$4/BX$3)/BX757</f>
        <v>4.669211007980077E-3</v>
      </c>
      <c r="BY760" s="74">
        <f>+BY754*(BY$4/BY$3)/BY757</f>
        <v>4.0978399483742782E-3</v>
      </c>
      <c r="BZ760" s="74">
        <f>+BZ754*(BZ$4/BZ$3)/BZ757</f>
        <v>4.3763467969422654E-3</v>
      </c>
      <c r="CB760" s="74">
        <f>+CB754*(CB$4/CB$3)/CB757</f>
        <v>3.1471878871290062E-3</v>
      </c>
      <c r="CC760" s="74">
        <f>+CC754*(CC$4/CC$3)/CC757</f>
        <v>2.5705510448402699E-3</v>
      </c>
      <c r="CD760" s="74">
        <f>+CD754*(CD$4/CD$3)/CD757</f>
        <v>2.8526774198443165E-3</v>
      </c>
      <c r="CF760" s="74">
        <f>+CF754*(CF$4/CF$3)/CF757</f>
        <v>2.264733721605901E-3</v>
      </c>
      <c r="CG760" s="74">
        <f>+CG754*(CG$4/CG$3)/CG757</f>
        <v>1.6974838843174485E-3</v>
      </c>
      <c r="CH760" s="74">
        <f>+CH754*(CH$4/CH$3)/CH757</f>
        <v>1.9803457740187507E-3</v>
      </c>
      <c r="CJ760" s="74">
        <f>+CJ754*(CJ$4/CJ$3)/CJ757</f>
        <v>2.8555417141103026E-3</v>
      </c>
      <c r="CK760" s="74">
        <f>+CK754*(CK$4/CK$3)/CK757</f>
        <v>2.5642980407376862E-3</v>
      </c>
      <c r="CL760" s="74">
        <f>+CL754*(CL$4/CL$3)/CL757</f>
        <v>2.7077637212409998E-3</v>
      </c>
      <c r="CN760" s="74">
        <f>+CN754*(CN$4/CN$3)/CN757</f>
        <v>2.9152053718773299E-3</v>
      </c>
      <c r="CO760" s="74">
        <f>+CO754*(CO$4/CO$3)/CO757</f>
        <v>3.4895488735345978E-3</v>
      </c>
      <c r="CP760" s="74">
        <f>+CP754*(CP$4/CP$3)/CP757</f>
        <v>3.1887827646481155E-3</v>
      </c>
      <c r="CR760" s="74">
        <f>+CR754*(CR$4/CR$3)/CR757</f>
        <v>3.2818631541739508E-3</v>
      </c>
      <c r="CS760" s="74">
        <f>+CS754*(CS$4/CS$3)/CS757</f>
        <v>2.2243038095561196E-3</v>
      </c>
      <c r="CT760" s="74">
        <f>+CT754*(CT$4/CT$3)/CT757</f>
        <v>2.7448262742380391E-3</v>
      </c>
      <c r="CV760" s="74">
        <f>+CV754*(CV$4/CV$3)/CV757</f>
        <v>1.1523851697076788E-3</v>
      </c>
      <c r="CW760" s="74">
        <f>+CW754*(CW$4/CW$3)/CW757</f>
        <v>1.3601254192144099E-4</v>
      </c>
      <c r="CX760" s="74">
        <f>+CX754*(CX$4/CX$3)/CX757</f>
        <v>6.3591246526673766E-4</v>
      </c>
      <c r="CZ760" s="74">
        <f>+CZ754*(CZ$4/CZ$3)/CZ757</f>
        <v>-3.8671279022341729E-4</v>
      </c>
      <c r="DA760" s="74">
        <f>+DA754*(DA$4/DA$3)/DA757</f>
        <v>-3.9386858310186206E-4</v>
      </c>
      <c r="DB760" s="74">
        <f>+DB754*(DB$4/DB$3)/DB757</f>
        <v>-3.9033983403107821E-4</v>
      </c>
      <c r="DD760" s="74">
        <f>+DD754*(DD$4/DD$3)/DD757</f>
        <v>4.5219966961775428E-4</v>
      </c>
      <c r="DE760" s="74">
        <f>+DE754*(DE$4/DE$3)/DE757</f>
        <v>9.9535829670793232E-4</v>
      </c>
      <c r="DF760" s="74">
        <f>+DF754*(DF$4/DF$3)/DF757</f>
        <v>7.349490756957892E-4</v>
      </c>
      <c r="DH760" s="74">
        <f>+DH754*(DH$4/DH$3)/DH757</f>
        <v>9.6720006273760741E-4</v>
      </c>
      <c r="DI760" s="74">
        <f>+DI754*(DI$4/DI$3)/DI757</f>
        <v>9.6501176315320013E-4</v>
      </c>
      <c r="DJ760" s="74">
        <f>+DJ754*(DJ$4/DJ$3)/DJ757</f>
        <v>9.6611360220852317E-4</v>
      </c>
      <c r="DL760" s="74">
        <f>+DL754*(DL$4/DL$3)/DL757</f>
        <v>9.53449156098661E-4</v>
      </c>
      <c r="DM760" s="74">
        <f>+DM754*(DM$4/DM$3)/DM757</f>
        <v>9.4398668347159644E-4</v>
      </c>
      <c r="DN760" s="74">
        <f>+DN754*(DN$4/DN$3)/DN757</f>
        <v>9.4868206628932511E-4</v>
      </c>
      <c r="DP760" s="74">
        <f>+DP754*(DP$4/DP$3)/DP757</f>
        <v>9.2995390344146082E-4</v>
      </c>
      <c r="DQ760" s="74">
        <f>+DQ754*(DQ$4/DQ$3)/DQ757</f>
        <v>9.2765324863029026E-4</v>
      </c>
      <c r="DR760" s="74">
        <f>+DR754*(DR$4/DR$3)/DR757</f>
        <v>9.2879238537464757E-4</v>
      </c>
    </row>
    <row r="761" spans="1:126" s="20" customFormat="1" ht="13.8">
      <c r="A761" s="335" t="s">
        <v>1258</v>
      </c>
      <c r="B761" s="324"/>
      <c r="C761" s="325"/>
      <c r="D761" s="325"/>
      <c r="E761" s="325"/>
      <c r="F761" s="325"/>
      <c r="G761" s="325"/>
      <c r="H761" s="325"/>
      <c r="I761" s="325"/>
      <c r="J761" s="325"/>
      <c r="K761" s="325"/>
      <c r="L761" s="325"/>
      <c r="M761" s="325"/>
      <c r="N761" s="325"/>
      <c r="O761" s="325"/>
      <c r="P761" s="325"/>
      <c r="Q761" s="325"/>
      <c r="R761" s="325"/>
      <c r="S761" s="325"/>
      <c r="T761" s="325"/>
      <c r="U761" s="325"/>
      <c r="V761" s="325"/>
      <c r="W761" s="325"/>
      <c r="X761" s="325"/>
      <c r="Y761" s="325"/>
      <c r="Z761" s="325"/>
      <c r="AA761" s="325"/>
      <c r="AB761" s="325"/>
      <c r="AC761" s="325"/>
      <c r="AD761" s="325"/>
      <c r="AE761" s="325"/>
      <c r="AF761" s="325"/>
      <c r="AG761" s="325"/>
      <c r="AH761" s="325"/>
      <c r="AI761" s="325"/>
      <c r="AJ761" s="325"/>
      <c r="AK761" s="325"/>
      <c r="AL761" s="325"/>
      <c r="AM761" s="325"/>
      <c r="AN761" s="325"/>
      <c r="AO761" s="325"/>
      <c r="AP761" s="325"/>
      <c r="AQ761" s="325"/>
      <c r="AR761" s="325"/>
      <c r="AS761" s="325"/>
      <c r="AT761" s="325"/>
      <c r="AU761" s="325"/>
      <c r="AV761" s="325"/>
      <c r="AW761" s="325"/>
      <c r="AX761" s="325"/>
      <c r="AY761" s="325"/>
      <c r="AZ761" s="325"/>
      <c r="BA761" s="325"/>
      <c r="BB761" s="325"/>
      <c r="BC761" s="325"/>
      <c r="BD761" s="325"/>
      <c r="BE761" s="325"/>
      <c r="BF761" s="325"/>
      <c r="BG761" s="325"/>
      <c r="BH761" s="324"/>
      <c r="BI761" s="324"/>
      <c r="BJ761" s="324"/>
      <c r="BK761" s="324"/>
      <c r="BL761" s="395"/>
      <c r="BM761" s="395"/>
      <c r="BN761" s="324"/>
      <c r="BO761" s="324"/>
      <c r="BP761" s="345"/>
      <c r="BQ761" s="345"/>
      <c r="BR761" s="324"/>
      <c r="BS761" s="325"/>
      <c r="BT761" s="345"/>
      <c r="BU761" s="345"/>
      <c r="BV761" s="324"/>
      <c r="BW761" s="325"/>
      <c r="BX761" s="345"/>
      <c r="BY761" s="345"/>
      <c r="BZ761" s="324"/>
      <c r="CA761" s="325"/>
      <c r="CB761" s="345"/>
      <c r="CC761" s="345"/>
      <c r="CD761" s="324"/>
      <c r="CE761" s="325"/>
      <c r="CF761" s="345"/>
      <c r="CG761" s="345"/>
      <c r="CH761" s="324"/>
      <c r="CI761" s="325"/>
      <c r="CJ761" s="345"/>
      <c r="CK761" s="345"/>
      <c r="CL761" s="324"/>
      <c r="CM761" s="325"/>
      <c r="CN761" s="345"/>
      <c r="CO761" s="345"/>
      <c r="CP761" s="324"/>
      <c r="CQ761" s="325"/>
      <c r="CR761" s="345"/>
      <c r="CS761" s="345"/>
      <c r="CT761" s="324"/>
      <c r="CU761" s="325"/>
      <c r="CV761" s="345"/>
      <c r="CW761" s="345"/>
      <c r="CX761" s="324"/>
      <c r="CY761" s="325"/>
      <c r="CZ761" s="345"/>
      <c r="DA761" s="345"/>
      <c r="DB761" s="324"/>
      <c r="DC761" s="325"/>
      <c r="DD761" s="345"/>
      <c r="DE761" s="345"/>
      <c r="DF761" s="324"/>
      <c r="DG761" s="325"/>
      <c r="DH761" s="345">
        <f t="shared" ref="DH761:DI761" si="1181">DH480</f>
        <v>9.2055272142226308E-3</v>
      </c>
      <c r="DI761" s="345">
        <f t="shared" si="1181"/>
        <v>1.4386928696124679E-2</v>
      </c>
      <c r="DJ761" s="324"/>
      <c r="DK761" s="325"/>
      <c r="DL761" s="345">
        <f t="shared" ref="DL761:DM761" si="1182">DL480</f>
        <v>2.1998056746529882E-2</v>
      </c>
      <c r="DM761" s="345">
        <f t="shared" si="1182"/>
        <v>2.3276450440429919E-2</v>
      </c>
      <c r="DN761" s="324"/>
      <c r="DO761" s="325"/>
      <c r="DP761" s="345">
        <f t="shared" ref="DP761:DQ761" si="1183">DP480</f>
        <v>2.2170147936924289E-2</v>
      </c>
      <c r="DQ761" s="345">
        <f t="shared" si="1183"/>
        <v>2.0909097190635384E-2</v>
      </c>
      <c r="DR761" s="324"/>
      <c r="DS761" s="325"/>
      <c r="DT761" s="325"/>
      <c r="DU761" s="325"/>
      <c r="DV761" s="325"/>
    </row>
    <row r="762" spans="1:126" s="20" customFormat="1" ht="13.8">
      <c r="B762" s="49"/>
      <c r="BH762" s="49"/>
      <c r="BI762" s="49"/>
      <c r="BJ762" s="49"/>
      <c r="BK762" s="49"/>
      <c r="BL762" s="74"/>
      <c r="BM762" s="74"/>
      <c r="BN762" s="74"/>
      <c r="BO762" s="49"/>
      <c r="BP762" s="74"/>
      <c r="BQ762" s="74"/>
      <c r="BR762" s="74"/>
      <c r="BT762" s="74"/>
      <c r="BU762" s="74"/>
      <c r="BV762" s="74"/>
      <c r="BX762" s="74"/>
      <c r="BY762" s="74"/>
      <c r="BZ762" s="74"/>
      <c r="CB762" s="74"/>
      <c r="CC762" s="74"/>
      <c r="CD762" s="74"/>
      <c r="CF762" s="74"/>
      <c r="CG762" s="74"/>
      <c r="CH762" s="74"/>
      <c r="CJ762" s="74"/>
      <c r="CK762" s="74"/>
      <c r="CL762" s="74"/>
      <c r="CN762" s="74"/>
      <c r="CO762" s="74"/>
      <c r="CP762" s="74"/>
      <c r="CR762" s="74"/>
      <c r="CS762" s="74"/>
      <c r="CT762" s="74"/>
      <c r="CV762" s="74"/>
      <c r="CW762" s="74"/>
      <c r="CX762" s="74"/>
      <c r="CZ762" s="74"/>
      <c r="DA762" s="74"/>
      <c r="DB762" s="74"/>
      <c r="DD762" s="74"/>
      <c r="DE762" s="74"/>
      <c r="DF762" s="74"/>
      <c r="DH762" s="74"/>
      <c r="DI762" s="74"/>
      <c r="DJ762" s="74"/>
      <c r="DL762" s="74"/>
      <c r="DM762" s="74"/>
      <c r="DN762" s="74"/>
      <c r="DP762" s="74"/>
      <c r="DQ762" s="74"/>
      <c r="DR762" s="74"/>
    </row>
    <row r="763" spans="1:126" s="20" customFormat="1" ht="13.8">
      <c r="A763" s="20" t="s">
        <v>1213</v>
      </c>
      <c r="B763" s="49"/>
      <c r="BH763" s="49"/>
      <c r="BI763" s="49"/>
      <c r="BJ763" s="49"/>
      <c r="BK763" s="49"/>
      <c r="BL763" s="74"/>
      <c r="BM763" s="74"/>
      <c r="BN763" s="74"/>
      <c r="BO763" s="49"/>
      <c r="BP763" s="74"/>
      <c r="BQ763" s="74"/>
      <c r="BR763" s="74"/>
      <c r="BT763" s="74"/>
      <c r="BU763" s="74"/>
      <c r="BV763" s="74"/>
      <c r="BX763" s="74"/>
      <c r="BY763" s="74"/>
      <c r="BZ763" s="74"/>
      <c r="CB763" s="74"/>
      <c r="CC763" s="74"/>
      <c r="CD763" s="74"/>
      <c r="CF763" s="70"/>
      <c r="CG763" s="70"/>
      <c r="CH763" s="74"/>
      <c r="CJ763" s="70"/>
      <c r="CK763" s="70"/>
      <c r="CL763" s="74"/>
      <c r="CN763" s="70">
        <f>CN605/CK605-1</f>
        <v>-1.3330878715007266E-2</v>
      </c>
      <c r="CO763" s="70">
        <f>CO605/CN605-1</f>
        <v>1.4344788017594867E-2</v>
      </c>
      <c r="CP763" s="74"/>
      <c r="CR763" s="70">
        <f>CR605/CO605-1</f>
        <v>3.4320696691863217E-2</v>
      </c>
      <c r="CS763" s="70">
        <f>CS605/CR605-1</f>
        <v>2.2965994500254494E-2</v>
      </c>
      <c r="CT763" s="74"/>
      <c r="CV763" s="70">
        <f>CV605/CS605-1</f>
        <v>5.7187561118716923E-2</v>
      </c>
      <c r="CW763" s="70">
        <f>CW605/CV605-1</f>
        <v>4.3197543197543986E-3</v>
      </c>
      <c r="CX763" s="74"/>
      <c r="CZ763" s="70">
        <f>CZ605/CW605-1</f>
        <v>3.9344027425998407E-2</v>
      </c>
      <c r="DA763" s="70">
        <f>DA605/CZ605-1</f>
        <v>1.5744062007382764E-2</v>
      </c>
      <c r="DB763" s="74"/>
      <c r="DD763" s="70">
        <f>DD605/DA605-1</f>
        <v>0.10713049783300099</v>
      </c>
      <c r="DE763" s="70">
        <f>DE605/DD605-1</f>
        <v>3.0666440188840571E-2</v>
      </c>
      <c r="DF763" s="74"/>
      <c r="DH763" s="70">
        <f>DH605/DE605-1</f>
        <v>9.2055272142228528E-3</v>
      </c>
      <c r="DI763" s="70">
        <f>DI605/DH605-1</f>
        <v>1.4386928696124679E-2</v>
      </c>
      <c r="DJ763" s="74"/>
      <c r="DL763" s="70">
        <f>DL605/DI605-1</f>
        <v>2.1998056746529659E-2</v>
      </c>
      <c r="DM763" s="70">
        <f>DM605/DL605-1</f>
        <v>2.3276450440430141E-2</v>
      </c>
      <c r="DN763" s="74"/>
      <c r="DP763" s="70">
        <f>DP605/DM605-1</f>
        <v>2.2170147936924067E-2</v>
      </c>
      <c r="DQ763" s="70">
        <f>DQ605/DP605-1</f>
        <v>2.0909097190635384E-2</v>
      </c>
      <c r="DR763" s="74"/>
    </row>
    <row r="764" spans="1:126" s="20" customFormat="1" ht="13.8">
      <c r="A764" s="20" t="s">
        <v>1212</v>
      </c>
      <c r="B764" s="49"/>
      <c r="BH764" s="49"/>
      <c r="BI764" s="49"/>
      <c r="BJ764" s="49"/>
      <c r="BK764" s="49"/>
      <c r="BL764" s="74"/>
      <c r="BM764" s="74"/>
      <c r="BN764" s="74"/>
      <c r="BO764" s="49"/>
      <c r="BP764" s="74"/>
      <c r="BQ764" s="74"/>
      <c r="BR764" s="74"/>
      <c r="BT764" s="74"/>
      <c r="BU764" s="74"/>
      <c r="BV764" s="74"/>
      <c r="BX764" s="74"/>
      <c r="BY764" s="74"/>
      <c r="BZ764" s="74"/>
      <c r="CB764" s="74"/>
      <c r="CC764" s="74"/>
      <c r="CD764" s="74"/>
      <c r="CF764" s="70"/>
      <c r="CG764" s="70"/>
      <c r="CH764" s="74"/>
      <c r="CJ764" s="70"/>
      <c r="CK764" s="70"/>
      <c r="CL764" s="74"/>
      <c r="CN764" s="70">
        <f>+CN759</f>
        <v>-4.1669843161987408E-2</v>
      </c>
      <c r="CO764" s="70">
        <f>+CO759</f>
        <v>-9.2683861682932411E-2</v>
      </c>
      <c r="CP764" s="74"/>
      <c r="CR764" s="70">
        <f>+CR759</f>
        <v>1.3111696510057058E-2</v>
      </c>
      <c r="CS764" s="70">
        <f>+CS759</f>
        <v>2.6470137012167161E-2</v>
      </c>
      <c r="CT764" s="74"/>
      <c r="CV764" s="70">
        <f>+CV759</f>
        <v>9.3772514754349556E-2</v>
      </c>
      <c r="CW764" s="70">
        <f>+CW759</f>
        <v>2.7602493264052619E-2</v>
      </c>
      <c r="CX764" s="74"/>
      <c r="CZ764" s="70">
        <f>+CZ759</f>
        <v>0.12857030826460081</v>
      </c>
      <c r="DA764" s="70">
        <f>+DA759</f>
        <v>2.7855405670780486E-2</v>
      </c>
      <c r="DB764" s="74"/>
      <c r="DD764" s="70">
        <f>+DD759</f>
        <v>6.8935819996178926E-2</v>
      </c>
      <c r="DE764" s="70">
        <f>+DE759</f>
        <v>7.9974042258323497E-2</v>
      </c>
      <c r="DF764" s="74"/>
      <c r="DH764" s="70">
        <f>+DH759</f>
        <v>1.7345503324920131E-2</v>
      </c>
      <c r="DI764" s="70">
        <f>+DI759</f>
        <v>1.3860874530535305E-2</v>
      </c>
      <c r="DJ764" s="74"/>
      <c r="DL764" s="70">
        <f>+DL759</f>
        <v>2.0564800609287559E-2</v>
      </c>
      <c r="DM764" s="70">
        <f>+DM759</f>
        <v>2.170689859649988E-2</v>
      </c>
      <c r="DN764" s="74"/>
      <c r="DP764" s="70">
        <f>+DP759</f>
        <v>2.0747869609679004E-2</v>
      </c>
      <c r="DQ764" s="70">
        <f>+DQ759</f>
        <v>1.9647616993159867E-2</v>
      </c>
      <c r="DR764" s="74"/>
    </row>
    <row r="765" spans="1:126" s="20" customFormat="1" ht="13.8">
      <c r="A765" s="20" t="s">
        <v>1215</v>
      </c>
      <c r="B765" s="49"/>
      <c r="BH765" s="49"/>
      <c r="BI765" s="49"/>
      <c r="BJ765" s="49"/>
      <c r="BK765" s="49"/>
      <c r="BL765" s="49"/>
      <c r="BM765" s="49"/>
      <c r="BN765" s="49"/>
      <c r="BO765" s="49"/>
      <c r="BP765" s="49"/>
      <c r="BQ765" s="49"/>
      <c r="BR765" s="49"/>
      <c r="BT765" s="49"/>
      <c r="BX765" s="49"/>
      <c r="CB765" s="49"/>
      <c r="CF765" s="68"/>
      <c r="CG765" s="68"/>
      <c r="CJ765" s="68"/>
      <c r="CK765" s="68"/>
      <c r="CN765" s="68">
        <f>+CN757/CN617</f>
        <v>0.32250176088366039</v>
      </c>
      <c r="CO765" s="68">
        <f>+CO757/CO617</f>
        <v>0.28847296870060068</v>
      </c>
      <c r="CR765" s="68">
        <f>+CR757/CR617</f>
        <v>0.28255775955397378</v>
      </c>
      <c r="CS765" s="68">
        <f>+CS757/CS617</f>
        <v>0.28352565356281373</v>
      </c>
      <c r="CV765" s="68">
        <f>+CV757/CV617</f>
        <v>0.29333732111509891</v>
      </c>
      <c r="CW765" s="68">
        <f>+CW757/CW617</f>
        <v>0.30013764167114387</v>
      </c>
      <c r="CX765" s="45"/>
      <c r="CY765" s="45"/>
      <c r="CZ765" s="68">
        <f>+CZ757/CZ617</f>
        <v>0.32590405279134638</v>
      </c>
      <c r="DA765" s="68">
        <f>+DA757/DA617</f>
        <v>0.32979000805536196</v>
      </c>
      <c r="DB765" s="45"/>
      <c r="DC765" s="45"/>
      <c r="DD765" s="68">
        <f>+DD757/DD617</f>
        <v>0.31841264726895757</v>
      </c>
      <c r="DE765" s="68">
        <f>+DE757/DE617</f>
        <v>0.33364566882979529</v>
      </c>
      <c r="DF765" s="45"/>
      <c r="DH765" s="68">
        <f>+DH757/DH617</f>
        <v>0.33633676365684101</v>
      </c>
      <c r="DI765" s="68">
        <f>+DI757/DI617</f>
        <v>0.33616234169756959</v>
      </c>
      <c r="DL765" s="68">
        <f>+DL757/DL617</f>
        <v>0.33569090563546827</v>
      </c>
      <c r="DM765" s="68">
        <f>+DM757/DM617</f>
        <v>0.33517600638248146</v>
      </c>
      <c r="DP765" s="68">
        <f>+DP757/DP617</f>
        <v>0.33470963239312901</v>
      </c>
      <c r="DQ765" s="68">
        <f>+DQ757/DQ617</f>
        <v>0.33429605044510818</v>
      </c>
    </row>
    <row r="766" spans="1:126" s="20" customFormat="1" ht="13.8">
      <c r="A766" s="20" t="s">
        <v>1216</v>
      </c>
      <c r="B766" s="49"/>
      <c r="BH766" s="49"/>
      <c r="BI766" s="49"/>
      <c r="BJ766" s="49"/>
      <c r="BK766" s="49"/>
      <c r="BL766" s="49"/>
      <c r="BM766" s="49"/>
      <c r="BN766" s="49"/>
      <c r="BO766" s="49"/>
      <c r="BP766" s="49"/>
      <c r="BQ766" s="49"/>
      <c r="BR766" s="49"/>
      <c r="BT766" s="49"/>
      <c r="BX766" s="49"/>
      <c r="CB766" s="49"/>
      <c r="CF766" s="66"/>
      <c r="CG766" s="66"/>
      <c r="CJ766" s="66"/>
      <c r="CK766" s="66"/>
      <c r="CN766" s="66">
        <f t="shared" ref="CN766:CO766" si="1184">CN619</f>
        <v>6.1258347071903654E-4</v>
      </c>
      <c r="CO766" s="66">
        <f t="shared" si="1184"/>
        <v>-1.4345790547404258E-5</v>
      </c>
      <c r="CR766" s="66">
        <f t="shared" ref="CR766:CS766" si="1185">CR619</f>
        <v>-6.0848915250040839E-4</v>
      </c>
      <c r="CS766" s="66">
        <f t="shared" si="1185"/>
        <v>1.3042928736708582E-3</v>
      </c>
      <c r="CV766" s="66">
        <f t="shared" ref="CV766:CW766" si="1186">CV619</f>
        <v>9.9236468054498053E-4</v>
      </c>
      <c r="CW766" s="66">
        <f t="shared" si="1186"/>
        <v>-7.4727169479588823E-4</v>
      </c>
      <c r="CZ766" s="66">
        <f t="shared" ref="CZ766:DA766" si="1187">CZ619</f>
        <v>-7.7449675248390804E-4</v>
      </c>
      <c r="DA766" s="66">
        <f t="shared" si="1187"/>
        <v>2.8815131718295389E-4</v>
      </c>
      <c r="DD766" s="66">
        <f t="shared" ref="DD766:DE766" si="1188">DD619</f>
        <v>-5.3985858110530346E-4</v>
      </c>
      <c r="DE766" s="66">
        <f t="shared" si="1188"/>
        <v>-3.5620250212930679E-4</v>
      </c>
      <c r="DH766" s="66">
        <f t="shared" ref="DH766:DI766" ca="1" si="1189">DH619</f>
        <v>1.0717860583747858E-4</v>
      </c>
      <c r="DI766" s="66">
        <f t="shared" ca="1" si="1189"/>
        <v>-1.0258909873109637E-4</v>
      </c>
      <c r="DL766" s="66">
        <f t="shared" ref="DL766:DM766" ca="1" si="1190">DL619</f>
        <v>3.4669900811287735E-6</v>
      </c>
      <c r="DM766" s="66">
        <f t="shared" ca="1" si="1190"/>
        <v>-9.8227291782219256E-5</v>
      </c>
      <c r="DP766" s="66">
        <f t="shared" ref="DP766:DQ766" ca="1" si="1191">DP619</f>
        <v>6.6805769069564619E-6</v>
      </c>
      <c r="DQ766" s="66">
        <f t="shared" ca="1" si="1191"/>
        <v>-2.0267812626366399E-6</v>
      </c>
    </row>
    <row r="767" spans="1:126" s="20" customFormat="1" ht="13.8">
      <c r="A767" s="20" t="s">
        <v>1214</v>
      </c>
      <c r="B767" s="49"/>
      <c r="BH767" s="49"/>
      <c r="BI767" s="49"/>
      <c r="BJ767" s="49"/>
      <c r="BK767" s="49"/>
      <c r="BL767" s="49"/>
      <c r="BM767" s="49"/>
      <c r="BN767" s="49"/>
      <c r="BO767" s="49"/>
      <c r="BP767" s="49"/>
      <c r="BQ767" s="49"/>
      <c r="BR767" s="49"/>
      <c r="BT767" s="49"/>
      <c r="BX767" s="49"/>
      <c r="CB767" s="49"/>
      <c r="CF767" s="66"/>
      <c r="CG767" s="66"/>
      <c r="CJ767" s="66"/>
      <c r="CK767" s="66"/>
      <c r="CN767" s="66">
        <f>CN622</f>
        <v>4.8265785989927076E-4</v>
      </c>
      <c r="CO767" s="66">
        <f>CO622</f>
        <v>-1.0197334373129099E-3</v>
      </c>
      <c r="CR767" s="66">
        <f>CR622</f>
        <v>-9.4055402197410279E-4</v>
      </c>
      <c r="CS767" s="66">
        <f>CS622</f>
        <v>1.8668951580743734E-3</v>
      </c>
      <c r="CV767" s="66">
        <f>CV622</f>
        <v>1.6801964357176027E-3</v>
      </c>
      <c r="CW767" s="66">
        <f>CW622</f>
        <v>-8.253647721270449E-4</v>
      </c>
      <c r="CZ767" s="66">
        <f>CZ622</f>
        <v>-2.2687439311159727E-4</v>
      </c>
      <c r="DA767" s="66">
        <f>DA622</f>
        <v>5.6481956178253828E-4</v>
      </c>
      <c r="DD767" s="66">
        <f>DD622</f>
        <v>-1.1897942683737894E-3</v>
      </c>
      <c r="DE767" s="66">
        <f>DE622</f>
        <v>-1.7058627768441748E-5</v>
      </c>
      <c r="DH767" s="66">
        <f ca="1">DH622</f>
        <v>2.5321876509393215E-4</v>
      </c>
      <c r="DI767" s="66">
        <f ca="1">DI622</f>
        <v>-1.6054940814177326E-4</v>
      </c>
      <c r="DL767" s="66">
        <f ca="1">DL622</f>
        <v>-1.0899630965972157E-5</v>
      </c>
      <c r="DM767" s="66">
        <f ca="1">DM622</f>
        <v>-1.6533183657373857E-4</v>
      </c>
      <c r="DP767" s="66">
        <f ca="1">DP622</f>
        <v>-5.7568436995641958E-6</v>
      </c>
      <c r="DQ767" s="66">
        <f ca="1">DQ622</f>
        <v>-1.7042394560524976E-5</v>
      </c>
    </row>
    <row r="768" spans="1:126" s="20" customFormat="1" ht="13.8">
      <c r="B768" s="49"/>
      <c r="BH768" s="49"/>
      <c r="BI768" s="49"/>
      <c r="BJ768" s="49"/>
      <c r="BK768" s="49"/>
      <c r="BL768" s="49"/>
      <c r="BM768" s="49"/>
      <c r="BN768" s="49"/>
      <c r="BO768" s="49"/>
      <c r="BP768" s="49"/>
      <c r="BQ768" s="49"/>
      <c r="BR768" s="49"/>
      <c r="BT768" s="49"/>
      <c r="BX768" s="49"/>
      <c r="CB768" s="49"/>
      <c r="CF768" s="49"/>
      <c r="CJ768" s="49"/>
      <c r="CN768" s="49"/>
      <c r="CR768" s="49"/>
      <c r="CV768" s="49"/>
      <c r="CW768" s="56"/>
      <c r="CZ768" s="56"/>
      <c r="DA768" s="56"/>
      <c r="DD768" s="56"/>
      <c r="DE768" s="56"/>
      <c r="DH768" s="49"/>
      <c r="DL768" s="49"/>
      <c r="DP768" s="49"/>
    </row>
    <row r="769" spans="1:128" s="20" customFormat="1" ht="13.8">
      <c r="A769" s="21" t="s">
        <v>142</v>
      </c>
      <c r="B769" s="49"/>
      <c r="BH769" s="49"/>
      <c r="BI769" s="49"/>
      <c r="BJ769" s="49"/>
      <c r="BK769" s="49"/>
      <c r="BL769" s="49"/>
      <c r="BM769" s="49"/>
      <c r="BN769" s="49"/>
      <c r="BO769" s="49"/>
      <c r="BP769" s="49"/>
      <c r="BQ769" s="49"/>
      <c r="BR769" s="49"/>
      <c r="BT769" s="49"/>
      <c r="BX769" s="49"/>
      <c r="CB769" s="49"/>
      <c r="CF769" s="49"/>
      <c r="CJ769" s="49"/>
      <c r="CN769" s="49"/>
      <c r="CR769" s="49"/>
      <c r="CV769" s="49"/>
      <c r="CZ769" s="49"/>
      <c r="DA769" s="28"/>
      <c r="DD769" s="49"/>
      <c r="DE769" s="28"/>
      <c r="DH769" s="49"/>
      <c r="DL769" s="49"/>
      <c r="DP769" s="49"/>
    </row>
    <row r="770" spans="1:128" s="20" customFormat="1" ht="13.8">
      <c r="A770" s="20" t="s">
        <v>1165</v>
      </c>
      <c r="B770" s="49"/>
      <c r="BH770" s="49"/>
      <c r="BI770" s="49"/>
      <c r="BJ770" s="49"/>
      <c r="BK770" s="49"/>
      <c r="BL770" s="65">
        <f>+BL598-BL754</f>
        <v>6256</v>
      </c>
      <c r="BM770" s="65">
        <f>+BM598-BM754</f>
        <v>6498</v>
      </c>
      <c r="BN770" s="65">
        <f>+BN598-BN754</f>
        <v>12754</v>
      </c>
      <c r="BO770" s="49"/>
      <c r="BP770" s="65">
        <f>+BP598-BP754</f>
        <v>6631</v>
      </c>
      <c r="BQ770" s="65">
        <f>+BQ598-BQ754</f>
        <v>6878</v>
      </c>
      <c r="BR770" s="65">
        <f>+BR598-BR754</f>
        <v>13509</v>
      </c>
      <c r="BT770" s="65">
        <f>+BT598-BT754</f>
        <v>7008</v>
      </c>
      <c r="BU770" s="65">
        <f>+BU598-BU754</f>
        <v>7055</v>
      </c>
      <c r="BV770" s="65">
        <f>+BV598-BV754</f>
        <v>14063</v>
      </c>
      <c r="BX770" s="65">
        <f>+BX598-BX754</f>
        <v>6941</v>
      </c>
      <c r="BY770" s="65">
        <f>+BY598-BY754</f>
        <v>7014</v>
      </c>
      <c r="BZ770" s="65">
        <f>+BZ598-BZ754</f>
        <v>13955</v>
      </c>
      <c r="CB770" s="65">
        <f>+CB598-CB754</f>
        <v>6995</v>
      </c>
      <c r="CC770" s="65">
        <f>+CC598-CC754</f>
        <v>6861</v>
      </c>
      <c r="CD770" s="65">
        <f>+CD598-CD754</f>
        <v>13856</v>
      </c>
      <c r="CF770" s="65">
        <f>+CF598-CF754</f>
        <v>7019</v>
      </c>
      <c r="CG770" s="65">
        <f>+CG598-CG754</f>
        <v>6829</v>
      </c>
      <c r="CH770" s="65">
        <f>+CH598-CH754</f>
        <v>13848</v>
      </c>
      <c r="CJ770" s="65">
        <f>+CJ598-CJ754</f>
        <v>6822</v>
      </c>
      <c r="CK770" s="65">
        <f>+CK598-CK754</f>
        <v>6457</v>
      </c>
      <c r="CL770" s="65">
        <f>+CL598-CL754</f>
        <v>13279</v>
      </c>
      <c r="CN770" s="65">
        <f>+CN598-CN754</f>
        <v>6584</v>
      </c>
      <c r="CO770" s="65">
        <f>+CO598-CO754</f>
        <v>6736</v>
      </c>
      <c r="CP770" s="65">
        <f>+CP598-CP754</f>
        <v>13320</v>
      </c>
      <c r="CR770" s="65">
        <f>+CR598-CR754</f>
        <v>6684</v>
      </c>
      <c r="CS770" s="65">
        <f>+CS598-CS754</f>
        <v>7483</v>
      </c>
      <c r="CT770" s="65">
        <f>+CT598-CT754</f>
        <v>14167</v>
      </c>
      <c r="CV770" s="65">
        <f>+CV598-CV754</f>
        <v>8336</v>
      </c>
      <c r="CW770" s="65">
        <f>+CW598-CW754</f>
        <v>8054</v>
      </c>
      <c r="CX770" s="65">
        <f>+CX598-CX754</f>
        <v>16390</v>
      </c>
      <c r="CZ770" s="65">
        <f>+CZ598-CZ754</f>
        <v>7963</v>
      </c>
      <c r="DA770" s="65">
        <f>+DA598-DA754</f>
        <v>8237</v>
      </c>
      <c r="DB770" s="65">
        <f>+DB598-DB754</f>
        <v>16200</v>
      </c>
      <c r="DD770" s="65">
        <f>+DD598-DD754</f>
        <v>8787</v>
      </c>
      <c r="DE770" s="65">
        <f>+DE598-DE754</f>
        <v>8896</v>
      </c>
      <c r="DF770" s="65">
        <f>+DF598-DF754</f>
        <v>17683</v>
      </c>
      <c r="DH770" s="65">
        <f ca="1">+DH598-DH754</f>
        <v>8992.3219475600017</v>
      </c>
      <c r="DI770" s="65">
        <f ca="1">+DI598-DI754</f>
        <v>9109.8296073262482</v>
      </c>
      <c r="DJ770" s="65">
        <f ca="1">+DJ598-DJ754</f>
        <v>18102.151554886248</v>
      </c>
      <c r="DL770" s="65">
        <f ca="1">+DL598-DL754</f>
        <v>9261.4816987137292</v>
      </c>
      <c r="DM770" s="65">
        <f ca="1">+DM598-DM754</f>
        <v>9467.0624461304396</v>
      </c>
      <c r="DN770" s="65">
        <f ca="1">+DN598-DN754</f>
        <v>18728.544144844171</v>
      </c>
      <c r="DP770" s="65">
        <f ca="1">+DP598-DP754</f>
        <v>9654.8118216896801</v>
      </c>
      <c r="DQ770" s="65">
        <f ca="1">+DQ598-DQ754</f>
        <v>9855.3524775189762</v>
      </c>
      <c r="DR770" s="65">
        <f ca="1">+DR598-DR754</f>
        <v>19510.164299208656</v>
      </c>
    </row>
    <row r="771" spans="1:128" s="20" customFormat="1" ht="13.8">
      <c r="A771" s="20" t="s">
        <v>842</v>
      </c>
      <c r="B771" s="49"/>
      <c r="BH771" s="49"/>
      <c r="BI771" s="49"/>
      <c r="BJ771" s="49"/>
      <c r="BK771" s="49"/>
      <c r="BL771" s="439">
        <v>492600</v>
      </c>
      <c r="BM771" s="439">
        <v>509284</v>
      </c>
      <c r="BN771" s="65">
        <f>AVERAGE(BL771:BM771)</f>
        <v>500942</v>
      </c>
      <c r="BO771" s="439"/>
      <c r="BP771" s="439">
        <v>529707</v>
      </c>
      <c r="BQ771" s="439">
        <v>546007</v>
      </c>
      <c r="BR771" s="65">
        <f>AVERAGE(BP771:BQ771)</f>
        <v>537857</v>
      </c>
      <c r="BT771" s="439">
        <v>533111</v>
      </c>
      <c r="BU771" s="439">
        <v>533782</v>
      </c>
      <c r="BV771" s="65">
        <f>AVERAGE(BT771:BU771)</f>
        <v>533446.5</v>
      </c>
      <c r="BX771" s="439">
        <v>538598</v>
      </c>
      <c r="BY771" s="439">
        <v>536939</v>
      </c>
      <c r="BZ771" s="65">
        <f>AVERAGE(BX771:BY771)</f>
        <v>537768.5</v>
      </c>
      <c r="CB771" s="439">
        <v>538968</v>
      </c>
      <c r="CC771" s="439">
        <v>549398</v>
      </c>
      <c r="CD771" s="65">
        <f>AVERAGE(CB771:CC771)</f>
        <v>544183</v>
      </c>
      <c r="CF771" s="439">
        <v>563579</v>
      </c>
      <c r="CG771" s="439">
        <v>566907</v>
      </c>
      <c r="CH771" s="65">
        <f>AVERAGE(CF771:CG771)</f>
        <v>565243</v>
      </c>
      <c r="CJ771" s="439">
        <v>576494</v>
      </c>
      <c r="CK771" s="439">
        <v>580532</v>
      </c>
      <c r="CL771" s="65">
        <f>AVERAGE(CJ771:CK771)</f>
        <v>578513</v>
      </c>
      <c r="CN771" s="439">
        <v>580971</v>
      </c>
      <c r="CO771" s="439">
        <v>618904</v>
      </c>
      <c r="CP771" s="65">
        <f>AVERAGE(CN771:CO771)</f>
        <v>599937.5</v>
      </c>
      <c r="CR771" s="439">
        <v>645467</v>
      </c>
      <c r="CS771" s="439">
        <v>659400</v>
      </c>
      <c r="CT771" s="65">
        <f>AVERAGE(CR771:CS771)</f>
        <v>652433.5</v>
      </c>
      <c r="CV771" s="439">
        <v>687563</v>
      </c>
      <c r="CW771" s="439">
        <v>683888</v>
      </c>
      <c r="CX771" s="65">
        <f>AVERAGE(CV771:CW771)</f>
        <v>685725.5</v>
      </c>
      <c r="CZ771" s="439">
        <v>684626</v>
      </c>
      <c r="DA771" s="439">
        <v>691396</v>
      </c>
      <c r="DB771" s="65">
        <f>AVERAGE(CZ771:DA771)</f>
        <v>688011</v>
      </c>
      <c r="DD771" s="439">
        <v>778460</v>
      </c>
      <c r="DE771" s="439">
        <v>784401</v>
      </c>
      <c r="DF771" s="65">
        <f>AVERAGE(DD771:DE771)</f>
        <v>781430.5</v>
      </c>
      <c r="DH771" s="65">
        <f>+DH605-DH757</f>
        <v>788424.83285493497</v>
      </c>
      <c r="DI771" s="65">
        <f>+DI605-DI757</f>
        <v>799978.03726718854</v>
      </c>
      <c r="DJ771" s="65">
        <f>AVERAGE(DH771:DI771)</f>
        <v>794201.43506106175</v>
      </c>
      <c r="DL771" s="65">
        <f>+DL605-DL757</f>
        <v>818156.61559305899</v>
      </c>
      <c r="DM771" s="65">
        <f>+DM605-DM757</f>
        <v>837849.30305996956</v>
      </c>
      <c r="DN771" s="65">
        <f>AVERAGE(DL771:DM771)</f>
        <v>828002.95932651428</v>
      </c>
      <c r="DP771" s="65">
        <f>+DP605-DP757</f>
        <v>857025.3278223935</v>
      </c>
      <c r="DQ771" s="65">
        <f>+DQ605-DQ757</f>
        <v>875488.86873885128</v>
      </c>
      <c r="DR771" s="65">
        <f>AVERAGE(DP771:DQ771)</f>
        <v>866257.09828062239</v>
      </c>
    </row>
    <row r="772" spans="1:128" s="20" customFormat="1" ht="13.8">
      <c r="A772" s="47" t="s">
        <v>127</v>
      </c>
      <c r="B772" s="49"/>
      <c r="BH772" s="49"/>
      <c r="BI772" s="49"/>
      <c r="BJ772" s="49"/>
      <c r="BK772" s="49"/>
      <c r="BL772" s="441"/>
      <c r="BM772" s="441"/>
      <c r="BN772" s="49"/>
      <c r="BO772" s="49"/>
      <c r="BP772" s="96">
        <f>+BP771/BL771-1</f>
        <v>7.5328867235079144E-2</v>
      </c>
      <c r="BQ772" s="96">
        <f>+BQ771/BM771-1</f>
        <v>7.2107115087063356E-2</v>
      </c>
      <c r="BR772" s="49"/>
      <c r="BT772" s="96">
        <f>+BT771/BP771-1</f>
        <v>6.4261941035326231E-3</v>
      </c>
      <c r="BU772" s="96">
        <f>+BU771/BQ771-1</f>
        <v>-2.2389822841099138E-2</v>
      </c>
      <c r="BV772" s="49"/>
      <c r="BX772" s="96">
        <f>+BX771/BT771-1</f>
        <v>1.0292415650774434E-2</v>
      </c>
      <c r="BY772" s="96">
        <f>+BY771/BU771-1</f>
        <v>5.9143995114110393E-3</v>
      </c>
      <c r="BZ772" s="49"/>
      <c r="CB772" s="96">
        <f>+CB771/BX771-1</f>
        <v>6.8696875963158988E-4</v>
      </c>
      <c r="CC772" s="96">
        <f>+CC771/BY771-1</f>
        <v>2.3203753126519011E-2</v>
      </c>
      <c r="CD772" s="49"/>
      <c r="CF772" s="96">
        <f>+CF771/CB771-1</f>
        <v>4.5663193362129206E-2</v>
      </c>
      <c r="CG772" s="96">
        <f>+CG771/CC771-1</f>
        <v>3.1869427992093247E-2</v>
      </c>
      <c r="CH772" s="49"/>
      <c r="CJ772" s="96">
        <f>+CJ771/CF771-1</f>
        <v>2.2916041939107012E-2</v>
      </c>
      <c r="CK772" s="96">
        <f>+CK771/CG771-1</f>
        <v>2.4033924435577614E-2</v>
      </c>
      <c r="CL772" s="49"/>
      <c r="CN772" s="96">
        <f>+CN771/CJ771-1</f>
        <v>7.7659090987938217E-3</v>
      </c>
      <c r="CO772" s="96">
        <f>+CO771/CK771-1</f>
        <v>6.6097992875500333E-2</v>
      </c>
      <c r="CP772" s="49"/>
      <c r="CR772" s="96">
        <f>+CR771/CN771-1</f>
        <v>0.11101414700561651</v>
      </c>
      <c r="CS772" s="96">
        <f>+CS771/CO771-1</f>
        <v>6.5431795561185613E-2</v>
      </c>
      <c r="CT772" s="49"/>
      <c r="CV772" s="96">
        <f>+CV771/CR771-1</f>
        <v>6.5217896499743633E-2</v>
      </c>
      <c r="CW772" s="96">
        <f>+CW771/CS771-1</f>
        <v>3.7136791022141402E-2</v>
      </c>
      <c r="CX772" s="49"/>
      <c r="CZ772" s="96">
        <f>+CZ771/CV771-1</f>
        <v>-4.2716085653241587E-3</v>
      </c>
      <c r="DA772" s="96">
        <f>+DA771/CW771-1</f>
        <v>1.0978405820836201E-2</v>
      </c>
      <c r="DB772" s="49"/>
      <c r="DD772" s="96">
        <f>+DD771/CZ771-1</f>
        <v>0.13705877369541919</v>
      </c>
      <c r="DE772" s="96">
        <f>+DE771/DA771-1</f>
        <v>0.13451770042059841</v>
      </c>
      <c r="DF772" s="49"/>
      <c r="DH772" s="96">
        <f>+DH771/DD771-1</f>
        <v>1.2800699913849023E-2</v>
      </c>
      <c r="DI772" s="96">
        <f>+DI771/DE771-1</f>
        <v>1.9858512759657998E-2</v>
      </c>
      <c r="DJ772" s="49"/>
      <c r="DL772" s="96">
        <f>+DL771/DH771-1</f>
        <v>3.7710358044486414E-2</v>
      </c>
      <c r="DM772" s="96">
        <f>+DM771/DI771-1</f>
        <v>4.7340381896174843E-2</v>
      </c>
      <c r="DN772" s="49"/>
      <c r="DP772" s="96">
        <f>+DP771/DL771-1</f>
        <v>4.7507667222319805E-2</v>
      </c>
      <c r="DQ772" s="96">
        <f>+DQ771/DM771-1</f>
        <v>4.492402815329144E-2</v>
      </c>
      <c r="DR772" s="49"/>
    </row>
    <row r="773" spans="1:128" s="20" customFormat="1" ht="13.8">
      <c r="A773" s="47" t="s">
        <v>217</v>
      </c>
      <c r="B773" s="49"/>
      <c r="BH773" s="49"/>
      <c r="BI773" s="49"/>
      <c r="BJ773" s="49"/>
      <c r="BK773" s="49"/>
      <c r="BL773" s="441"/>
      <c r="BM773" s="441"/>
      <c r="BN773" s="49"/>
      <c r="BO773" s="49"/>
      <c r="BP773" s="96">
        <f>+BP771/BM771-1</f>
        <v>4.0101397255755122E-2</v>
      </c>
      <c r="BQ773" s="96">
        <f>+BQ771/BP771-1</f>
        <v>3.0771728521616692E-2</v>
      </c>
      <c r="BR773" s="49"/>
      <c r="BT773" s="96">
        <f>+BT771/BQ771-1</f>
        <v>-2.3618744814626891E-2</v>
      </c>
      <c r="BU773" s="96">
        <f>+BU771/BT771-1</f>
        <v>1.2586496995934393E-3</v>
      </c>
      <c r="BV773" s="49"/>
      <c r="BX773" s="96">
        <f>+BX771/BU771-1</f>
        <v>9.0224098976736666E-3</v>
      </c>
      <c r="BY773" s="96">
        <f>+BY771/BX771-1</f>
        <v>-3.0802193844017278E-3</v>
      </c>
      <c r="BZ773" s="49"/>
      <c r="CB773" s="96">
        <f>+CB771/BY771-1</f>
        <v>3.7788277625576683E-3</v>
      </c>
      <c r="CC773" s="96">
        <f>+CC771/CB771-1</f>
        <v>1.9351798251473262E-2</v>
      </c>
      <c r="CD773" s="49"/>
      <c r="CF773" s="96">
        <f>+CF771/CC771-1</f>
        <v>2.581188864903039E-2</v>
      </c>
      <c r="CG773" s="96">
        <f>+CG771/CF771-1</f>
        <v>5.9051171175648065E-3</v>
      </c>
      <c r="CH773" s="49"/>
      <c r="CJ773" s="96">
        <f>+CJ771/CG771-1</f>
        <v>1.6911063013862915E-2</v>
      </c>
      <c r="CK773" s="96">
        <f>+CK771/CJ771-1</f>
        <v>7.0044094127605927E-3</v>
      </c>
      <c r="CL773" s="49"/>
      <c r="CN773" s="96">
        <f>+CN771/CK771-1</f>
        <v>7.5620293110456593E-4</v>
      </c>
      <c r="CO773" s="96">
        <f>+CO771/CN771-1</f>
        <v>6.5292415628318778E-2</v>
      </c>
      <c r="CP773" s="49"/>
      <c r="CR773" s="96">
        <f>+CR771/CO771-1</f>
        <v>4.2919418843633261E-2</v>
      </c>
      <c r="CS773" s="96">
        <f>+CS771/CR771-1</f>
        <v>2.1585921511092065E-2</v>
      </c>
      <c r="CT773" s="49"/>
      <c r="CV773" s="96">
        <f>+CV771/CS771-1</f>
        <v>4.2710039429784574E-2</v>
      </c>
      <c r="CW773" s="96">
        <f>+CW771/CV771-1</f>
        <v>-5.3449647523208244E-3</v>
      </c>
      <c r="CX773" s="49"/>
      <c r="CZ773" s="96">
        <f>+CZ771/CW771-1</f>
        <v>1.0791240670986468E-3</v>
      </c>
      <c r="DA773" s="96">
        <f>+DA771/CZ771-1</f>
        <v>9.8886107159237291E-3</v>
      </c>
      <c r="DB773" s="49"/>
      <c r="DD773" s="96">
        <f>+DD771/DA771-1</f>
        <v>0.12592494026578116</v>
      </c>
      <c r="DE773" s="96">
        <f>+DE771/DD771-1</f>
        <v>7.6317344500680395E-3</v>
      </c>
      <c r="DF773" s="49"/>
      <c r="DH773" s="96">
        <f>+DH771/DE771-1</f>
        <v>5.1298160697588191E-3</v>
      </c>
      <c r="DI773" s="96">
        <f>+DI771/DH771-1</f>
        <v>1.4653526792679505E-2</v>
      </c>
      <c r="DJ773" s="49"/>
      <c r="DL773" s="96">
        <f>+DL771/DI771-1</f>
        <v>2.272384675455652E-2</v>
      </c>
      <c r="DM773" s="96">
        <f>+DM771/DL771-1</f>
        <v>2.406958165660722E-2</v>
      </c>
      <c r="DN773" s="49"/>
      <c r="DP773" s="96">
        <f>+DP771/DM771-1</f>
        <v>2.2887200230864657E-2</v>
      </c>
      <c r="DQ773" s="96">
        <f>+DQ771/DP771-1</f>
        <v>2.1543751762123087E-2</v>
      </c>
      <c r="DR773" s="49"/>
    </row>
    <row r="774" spans="1:128" s="20" customFormat="1" ht="13.8">
      <c r="A774" s="20" t="s">
        <v>340</v>
      </c>
      <c r="B774" s="49"/>
      <c r="BH774" s="49"/>
      <c r="BI774" s="49"/>
      <c r="BJ774" s="49"/>
      <c r="BK774" s="49"/>
      <c r="BL774" s="74">
        <f>+BL770*(BL$4/BL$3)/BL771</f>
        <v>2.5469698794911951E-2</v>
      </c>
      <c r="BM774" s="74">
        <f>+BM770*(BM$4/BM$3)/BM771</f>
        <v>2.5448456663234441E-2</v>
      </c>
      <c r="BN774" s="74">
        <f>+BN770*(BN$4/BN$3)/BN771</f>
        <v>2.5460033297267946E-2</v>
      </c>
      <c r="BO774" s="49"/>
      <c r="BP774" s="74">
        <f>+BP770*(BP$4/BP$3)/BP771</f>
        <v>2.5105263977886011E-2</v>
      </c>
      <c r="BQ774" s="74">
        <f>+BQ770*(BQ$4/BQ$3)/BQ771</f>
        <v>2.5124980633117248E-2</v>
      </c>
      <c r="BR774" s="74">
        <f>+BR770*(BR$4/BR$3)/BR771</f>
        <v>2.5116341332361576E-2</v>
      </c>
      <c r="BT774" s="74">
        <f>+BT770*(BT$4/BT$3)/BT771</f>
        <v>2.6290960043968328E-2</v>
      </c>
      <c r="BU774" s="74">
        <f>+BU770*(BU$4/BU$3)/BU771</f>
        <v>2.6434012387079368E-2</v>
      </c>
      <c r="BV774" s="74">
        <f>+BV770*(BV$4/BV$3)/BV771</f>
        <v>2.6362531200410912E-2</v>
      </c>
      <c r="BX774" s="74">
        <f>+BX770*(BX$4/BX$3)/BX771</f>
        <v>2.5845133778137613E-2</v>
      </c>
      <c r="BY774" s="74">
        <f>+BY770*(BY$4/BY$3)/BY771</f>
        <v>2.6054490605352826E-2</v>
      </c>
      <c r="BZ774" s="74">
        <f>+BZ770*(BZ$4/BZ$3)/BZ771</f>
        <v>2.5949827853435074E-2</v>
      </c>
      <c r="CB774" s="74">
        <f>+CB770*(CB$4/CB$3)/CB771</f>
        <v>2.6028324623974086E-2</v>
      </c>
      <c r="CC774" s="74">
        <f>+CC770*(CC$4/CC$3)/CC771</f>
        <v>2.4908187137050574E-2</v>
      </c>
      <c r="CD774" s="74">
        <f>+CD770*(CD$4/CD$3)/CD771</f>
        <v>2.5462022885683677E-2</v>
      </c>
      <c r="CF774" s="74">
        <f>+CF770*(CF$4/CF$3)/CF771</f>
        <v>2.4977094487313993E-2</v>
      </c>
      <c r="CG774" s="74">
        <f>+CG770*(CG$4/CG$3)/CG771</f>
        <v>2.4026309535972019E-2</v>
      </c>
      <c r="CH774" s="74">
        <f>+CH770*(CH$4/CH$3)/CH771</f>
        <v>2.4499197690196959E-2</v>
      </c>
      <c r="CJ774" s="74">
        <f>+CJ770*(CJ$4/CJ$3)/CJ771</f>
        <v>2.3667202087098913E-2</v>
      </c>
      <c r="CK774" s="74">
        <f>+CK770*(CK$4/CK$3)/CK771</f>
        <v>2.224511310315366E-2</v>
      </c>
      <c r="CL774" s="74">
        <f>+CL770*(CL$4/CL$3)/CL771</f>
        <v>2.2953676062594963E-2</v>
      </c>
      <c r="CN774" s="74">
        <f>+CN770*(CN$4/CN$3)/CN771</f>
        <v>2.272777096305293E-2</v>
      </c>
      <c r="CO774" s="74">
        <f>+CO770*(CO$4/CO$3)/CO771</f>
        <v>2.170803752574002E-2</v>
      </c>
      <c r="CP774" s="74">
        <f>+CP770*(CP$4/CP$3)/CP771</f>
        <v>2.2202312740910512E-2</v>
      </c>
      <c r="CR774" s="74">
        <f>+CR770*(CR$4/CR$3)/CR771</f>
        <v>2.0767483503765918E-2</v>
      </c>
      <c r="CS774" s="74">
        <f>+CS770*(CS$4/CS$3)/CS771</f>
        <v>2.2634378661840291E-2</v>
      </c>
      <c r="CT774" s="74">
        <f>+CT770*(CT$4/CT$3)/CT771</f>
        <v>2.1714090401550503E-2</v>
      </c>
      <c r="CV774" s="74">
        <f>+CV770*(CV$4/CV$3)/CV771</f>
        <v>2.4314575097557894E-2</v>
      </c>
      <c r="CW774" s="74">
        <f>+CW770*(CW$4/CW$3)/CW771</f>
        <v>2.3489210325430849E-2</v>
      </c>
      <c r="CX774" s="74">
        <f>+CX770*(CX$4/CX$3)/CX771</f>
        <v>2.3901692441071536E-2</v>
      </c>
      <c r="CZ774" s="74">
        <f>+CZ770*(CZ$4/CZ$3)/CZ771</f>
        <v>2.3262335932319252E-2</v>
      </c>
      <c r="DA774" s="74">
        <f>+DA770*(DA$4/DA$3)/DA771</f>
        <v>2.382715549410179E-2</v>
      </c>
      <c r="DB774" s="74">
        <f>+DB770*(DB$4/DB$3)/DB771</f>
        <v>2.3546135163536628E-2</v>
      </c>
      <c r="DD774" s="74">
        <f>+DD770*(DD$4/DD$3)/DD771</f>
        <v>2.2637361225728E-2</v>
      </c>
      <c r="DE774" s="74">
        <f>+DE770*(DE$4/DE$3)/DE771</f>
        <v>2.2620302597959559E-2</v>
      </c>
      <c r="DF774" s="74">
        <f>+DF770*(DF$4/DF$3)/DF771</f>
        <v>2.2629011793115317E-2</v>
      </c>
      <c r="DH774" s="74">
        <f ca="1">+DH770*(DH$4/DH$3)/DH771</f>
        <v>2.2873521363053491E-2</v>
      </c>
      <c r="DI774" s="74">
        <f ca="1">+DI770*(DI$4/DI$3)/DI771</f>
        <v>2.2712971954911718E-2</v>
      </c>
      <c r="DJ774" s="74">
        <f ca="1">+DJ770*(DJ$4/DJ$3)/DJ771</f>
        <v>2.2792897060799788E-2</v>
      </c>
      <c r="DL774" s="74">
        <f ca="1">+DL770*(DL$4/DL$3)/DL771</f>
        <v>2.2702072323945745E-2</v>
      </c>
      <c r="DM774" s="74">
        <f ca="1">+DM770*(DM$4/DM$3)/DM771</f>
        <v>2.2536740487372007E-2</v>
      </c>
      <c r="DN774" s="74">
        <f ca="1">+DN770*(DN$4/DN$3)/DN771</f>
        <v>2.2618933826127504E-2</v>
      </c>
      <c r="DP774" s="74">
        <f ca="1">+DP770*(DP$4/DP$3)/DP771</f>
        <v>2.2530983643672443E-2</v>
      </c>
      <c r="DQ774" s="74">
        <f ca="1">+DQ770*(DQ$4/DQ$3)/DQ771</f>
        <v>2.2513941249111918E-2</v>
      </c>
      <c r="DR774" s="74">
        <f ca="1">+DR770*(DR$4/DR$3)/DR771</f>
        <v>2.2522371635318335E-2</v>
      </c>
    </row>
    <row r="775" spans="1:128" s="78" customFormat="1" ht="13.8">
      <c r="A775" s="1065" t="s">
        <v>78</v>
      </c>
      <c r="B775" s="1066"/>
      <c r="C775" s="1065"/>
      <c r="D775" s="1065"/>
      <c r="E775" s="1065"/>
      <c r="F775" s="1065"/>
      <c r="G775" s="1065"/>
      <c r="H775" s="1065"/>
      <c r="I775" s="1065"/>
      <c r="J775" s="1065"/>
      <c r="K775" s="1065"/>
      <c r="L775" s="1065"/>
      <c r="M775" s="1065"/>
      <c r="N775" s="1065"/>
      <c r="O775" s="1065"/>
      <c r="P775" s="1065"/>
      <c r="Q775" s="1065"/>
      <c r="R775" s="1065"/>
      <c r="S775" s="1065"/>
      <c r="T775" s="1065"/>
      <c r="U775" s="1065"/>
      <c r="V775" s="1065"/>
      <c r="W775" s="1065"/>
      <c r="X775" s="1065"/>
      <c r="Y775" s="1065"/>
      <c r="Z775" s="1065"/>
      <c r="AA775" s="1065"/>
      <c r="AB775" s="1065"/>
      <c r="AC775" s="1065"/>
      <c r="AD775" s="1065"/>
      <c r="AE775" s="1065"/>
      <c r="AF775" s="1065"/>
      <c r="AG775" s="1065"/>
      <c r="AH775" s="1065"/>
      <c r="AI775" s="1065"/>
      <c r="AJ775" s="1065"/>
      <c r="AK775" s="1065"/>
      <c r="AL775" s="1065"/>
      <c r="AM775" s="1065"/>
      <c r="AN775" s="1065"/>
      <c r="AO775" s="1065"/>
      <c r="AP775" s="1065"/>
      <c r="AQ775" s="1065"/>
      <c r="AR775" s="1065"/>
      <c r="AS775" s="1065"/>
      <c r="AT775" s="1065"/>
      <c r="AU775" s="1065"/>
      <c r="AV775" s="1065"/>
      <c r="AW775" s="1065"/>
      <c r="AX775" s="1065"/>
      <c r="AY775" s="1065"/>
      <c r="AZ775" s="1065"/>
      <c r="BA775" s="1065"/>
      <c r="BB775" s="1065"/>
      <c r="BC775" s="1065"/>
      <c r="BD775" s="1065"/>
      <c r="BE775" s="1065"/>
      <c r="BF775" s="1065"/>
      <c r="BG775" s="1065"/>
      <c r="BH775" s="1066"/>
      <c r="BI775" s="1066"/>
      <c r="BJ775" s="1066"/>
      <c r="BK775" s="1066"/>
      <c r="BL775" s="1067"/>
      <c r="BM775" s="1067"/>
      <c r="BN775" s="1067"/>
      <c r="BO775" s="1066"/>
      <c r="BP775" s="1067"/>
      <c r="BQ775" s="1067"/>
      <c r="BR775" s="1067"/>
      <c r="BS775" s="1065"/>
      <c r="BT775" s="1067">
        <f>+BT774-BQ774</f>
        <v>1.1659794108510799E-3</v>
      </c>
      <c r="BU775" s="1067">
        <f>+BU774-BT774</f>
        <v>1.4305234311104073E-4</v>
      </c>
      <c r="BV775" s="1067"/>
      <c r="BW775" s="1065"/>
      <c r="BX775" s="1067">
        <f>+BX774-BU774</f>
        <v>-5.8887860894175567E-4</v>
      </c>
      <c r="BY775" s="1067">
        <f>+BY774-BX774</f>
        <v>2.0935682721521381E-4</v>
      </c>
      <c r="BZ775" s="1067"/>
      <c r="CA775" s="1065"/>
      <c r="CB775" s="1067">
        <f>+CB774-BY774</f>
        <v>-2.6165981378740294E-5</v>
      </c>
      <c r="CC775" s="1067">
        <f>+CC774-CB774</f>
        <v>-1.1201374869235121E-3</v>
      </c>
      <c r="CD775" s="1067"/>
      <c r="CE775" s="1065"/>
      <c r="CF775" s="1067">
        <f>+CF774-CC774</f>
        <v>6.8907350263418959E-5</v>
      </c>
      <c r="CG775" s="1067">
        <f>+CG774-CF774</f>
        <v>-9.5078495134197361E-4</v>
      </c>
      <c r="CH775" s="1067"/>
      <c r="CI775" s="1065"/>
      <c r="CJ775" s="1067">
        <f>+CJ774-CG774</f>
        <v>-3.5910744887310622E-4</v>
      </c>
      <c r="CK775" s="1067">
        <f>+CK774-CJ774</f>
        <v>-1.4220889839452536E-3</v>
      </c>
      <c r="CL775" s="1067"/>
      <c r="CM775" s="1065"/>
      <c r="CN775" s="1067">
        <f>+CN774-CK774</f>
        <v>4.8265785989927076E-4</v>
      </c>
      <c r="CO775" s="1067">
        <f>+CO774-CN774</f>
        <v>-1.0197334373129099E-3</v>
      </c>
      <c r="CP775" s="1067"/>
      <c r="CQ775" s="1065"/>
      <c r="CR775" s="1067">
        <f>+CR774-CO774</f>
        <v>-9.4055402197410279E-4</v>
      </c>
      <c r="CS775" s="1067">
        <f>+CS774-CR774</f>
        <v>1.8668951580743734E-3</v>
      </c>
      <c r="CT775" s="1067"/>
      <c r="CU775" s="1065"/>
      <c r="CV775" s="1067">
        <f>+CV774-CS774</f>
        <v>1.6801964357176027E-3</v>
      </c>
      <c r="CW775" s="1067">
        <f>+CW774-CV774</f>
        <v>-8.253647721270449E-4</v>
      </c>
      <c r="CX775" s="1067"/>
      <c r="CY775" s="1065"/>
      <c r="CZ775" s="1067">
        <f>+CZ774-CW774</f>
        <v>-2.2687439311159727E-4</v>
      </c>
      <c r="DA775" s="1067">
        <f>+DA774-CZ774</f>
        <v>5.6481956178253828E-4</v>
      </c>
      <c r="DB775" s="1067"/>
      <c r="DC775" s="1065"/>
      <c r="DD775" s="1067">
        <f>+DD774-DA774</f>
        <v>-1.1897942683737894E-3</v>
      </c>
      <c r="DE775" s="1067">
        <f>+DE774-DD774</f>
        <v>-1.7058627768441748E-5</v>
      </c>
      <c r="DF775" s="1067"/>
      <c r="DG775" s="1065"/>
      <c r="DH775" s="1067">
        <f ca="1">+DH774-DE774</f>
        <v>2.5321876509393215E-4</v>
      </c>
      <c r="DI775" s="1067">
        <f ca="1">+DI774-DH774</f>
        <v>-1.6054940814177326E-4</v>
      </c>
      <c r="DJ775" s="1067"/>
      <c r="DK775" s="1065"/>
      <c r="DL775" s="1067">
        <f ca="1">+DL774-DI774</f>
        <v>-1.0899630965972157E-5</v>
      </c>
      <c r="DM775" s="1067">
        <f ca="1">+DM774-DL774</f>
        <v>-1.6533183657373857E-4</v>
      </c>
      <c r="DN775" s="1067"/>
      <c r="DO775" s="1065"/>
      <c r="DP775" s="1067">
        <f ca="1">+DP774-DM774</f>
        <v>-5.7568436995641958E-6</v>
      </c>
      <c r="DQ775" s="1067">
        <f ca="1">+DQ774-DP774</f>
        <v>-1.7042394560524976E-5</v>
      </c>
      <c r="DR775" s="1067"/>
      <c r="DS775" s="1065"/>
      <c r="DT775" s="1065"/>
      <c r="DU775" s="1065"/>
      <c r="DV775" s="1065"/>
    </row>
    <row r="776" spans="1:128" s="47" customFormat="1" ht="13.8">
      <c r="A776" s="47" t="s">
        <v>79</v>
      </c>
      <c r="B776" s="92"/>
      <c r="BH776" s="92"/>
      <c r="BI776" s="92"/>
      <c r="BJ776" s="92"/>
      <c r="BK776" s="92"/>
      <c r="BL776" s="76"/>
      <c r="BM776" s="92"/>
      <c r="BN776" s="92"/>
      <c r="BO776" s="92"/>
      <c r="BP776" s="76"/>
      <c r="BQ776" s="76"/>
      <c r="BR776" s="76"/>
      <c r="BT776" s="76">
        <f>+BT774-BP774</f>
        <v>1.1856960660823167E-3</v>
      </c>
      <c r="BU776" s="76">
        <f>+BU774-BQ774</f>
        <v>1.3090317539621206E-3</v>
      </c>
      <c r="BV776" s="76">
        <f>+BV774-BR774</f>
        <v>1.2461898680493355E-3</v>
      </c>
      <c r="BX776" s="76">
        <f>+BX774-BT774</f>
        <v>-4.4582626583071494E-4</v>
      </c>
      <c r="BY776" s="76">
        <f>+BY774-BU774</f>
        <v>-3.7952178172654186E-4</v>
      </c>
      <c r="BZ776" s="76">
        <f>+BZ774-BV774</f>
        <v>-4.1270334697583733E-4</v>
      </c>
      <c r="CB776" s="76">
        <f>+CB774-BX774</f>
        <v>1.8319084583647352E-4</v>
      </c>
      <c r="CC776" s="76">
        <f>+CC774-BY774</f>
        <v>-1.1463034683022524E-3</v>
      </c>
      <c r="CD776" s="76">
        <f>+CD774-BZ774</f>
        <v>-4.8780496775139778E-4</v>
      </c>
      <c r="CF776" s="76">
        <f>+CF774-CB774</f>
        <v>-1.0512301366600932E-3</v>
      </c>
      <c r="CG776" s="76">
        <f>+CG774-CC774</f>
        <v>-8.8187760107855465E-4</v>
      </c>
      <c r="CH776" s="76">
        <f>+CH774-CD774</f>
        <v>-9.6282519548671758E-4</v>
      </c>
      <c r="CJ776" s="76">
        <f>+CJ774-CF774</f>
        <v>-1.3098924002150798E-3</v>
      </c>
      <c r="CK776" s="76">
        <f>+CK774-CG774</f>
        <v>-1.7811964328183598E-3</v>
      </c>
      <c r="CL776" s="76">
        <f>+CL774-CH774</f>
        <v>-1.5455216276019958E-3</v>
      </c>
      <c r="CN776" s="76">
        <f>+CN774-CJ774</f>
        <v>-9.3943112404598281E-4</v>
      </c>
      <c r="CO776" s="76">
        <f>+CO774-CK774</f>
        <v>-5.3707557741363918E-4</v>
      </c>
      <c r="CP776" s="76">
        <f>+CP774-CL774</f>
        <v>-7.5136332168445133E-4</v>
      </c>
      <c r="CR776" s="76">
        <f>+CR774-CN774</f>
        <v>-1.9602874592870127E-3</v>
      </c>
      <c r="CS776" s="76">
        <f>+CS774-CO774</f>
        <v>9.2634113610027061E-4</v>
      </c>
      <c r="CT776" s="76">
        <f>+CT774-CP774</f>
        <v>-4.8822233936000881E-4</v>
      </c>
      <c r="CV776" s="76">
        <f>+CV774-CR774</f>
        <v>3.5470915937919761E-3</v>
      </c>
      <c r="CW776" s="76">
        <f>+CW774-CS774</f>
        <v>8.5483166359055784E-4</v>
      </c>
      <c r="CX776" s="76">
        <f>+CX774-CT774</f>
        <v>2.1876020395210326E-3</v>
      </c>
      <c r="CZ776" s="76">
        <f>+CZ774-CV774</f>
        <v>-1.0522391652386422E-3</v>
      </c>
      <c r="DA776" s="76">
        <f>+DA774-CW774</f>
        <v>3.3794516867094102E-4</v>
      </c>
      <c r="DB776" s="76">
        <f>+DB774-CX774</f>
        <v>-3.5555727753490765E-4</v>
      </c>
      <c r="DD776" s="76">
        <f>+DD774-CZ774</f>
        <v>-6.2497470659125115E-4</v>
      </c>
      <c r="DE776" s="76">
        <f>+DE774-DA774</f>
        <v>-1.2068528961422312E-3</v>
      </c>
      <c r="DF776" s="76">
        <f>+DF774-DB774</f>
        <v>-9.1712337042131054E-4</v>
      </c>
      <c r="DH776" s="76">
        <f ca="1">+DH774-DD774</f>
        <v>2.361601373254904E-4</v>
      </c>
      <c r="DI776" s="76">
        <f ca="1">+DI774-DE774</f>
        <v>9.2669356952158888E-5</v>
      </c>
      <c r="DJ776" s="76">
        <f ca="1">+DJ774-DF774</f>
        <v>1.6388526768447084E-4</v>
      </c>
      <c r="DL776" s="76">
        <f ca="1">+DL774-DH774</f>
        <v>-1.7144903910774542E-4</v>
      </c>
      <c r="DM776" s="76">
        <f ca="1">+DM774-DI774</f>
        <v>-1.7623146753971072E-4</v>
      </c>
      <c r="DN776" s="76">
        <f ca="1">+DN774-DJ774</f>
        <v>-1.7396323467228428E-4</v>
      </c>
      <c r="DP776" s="76">
        <f ca="1">+DP774-DL774</f>
        <v>-1.7108868027330276E-4</v>
      </c>
      <c r="DQ776" s="76">
        <f ca="1">+DQ774-DM774</f>
        <v>-2.2799238260089172E-5</v>
      </c>
      <c r="DR776" s="76">
        <f ca="1">+DR774-DN774</f>
        <v>-9.6562190809168502E-5</v>
      </c>
      <c r="DW776" s="20"/>
      <c r="DX776" s="20"/>
    </row>
    <row r="778" spans="1:128" s="20" customFormat="1" ht="13.8">
      <c r="A778" s="21" t="s">
        <v>1164</v>
      </c>
      <c r="B778" s="49"/>
      <c r="BH778" s="49"/>
      <c r="BI778" s="49"/>
      <c r="BJ778" s="49"/>
      <c r="BK778" s="49"/>
      <c r="BL778" s="49"/>
      <c r="BM778" s="49"/>
      <c r="BN778" s="49"/>
      <c r="BO778" s="49"/>
      <c r="BP778" s="49"/>
      <c r="BQ778" s="49"/>
      <c r="BR778" s="49"/>
      <c r="BT778" s="49"/>
      <c r="BX778" s="49"/>
      <c r="CB778" s="49"/>
      <c r="CF778" s="49"/>
      <c r="CJ778" s="49"/>
      <c r="CN778" s="49"/>
      <c r="CR778" s="49"/>
      <c r="CV778" s="49"/>
      <c r="CZ778" s="49"/>
      <c r="DD778" s="49"/>
      <c r="DH778" s="49"/>
      <c r="DL778" s="49"/>
      <c r="DP778" s="49"/>
    </row>
    <row r="779" spans="1:128" s="20" customFormat="1" ht="13.8">
      <c r="A779" s="20" t="s">
        <v>1165</v>
      </c>
      <c r="B779" s="49"/>
      <c r="BH779" s="49"/>
      <c r="BI779" s="49"/>
      <c r="BJ779" s="49"/>
      <c r="BK779" s="49"/>
      <c r="BL779" s="65">
        <f>BL770</f>
        <v>6256</v>
      </c>
      <c r="BM779" s="65">
        <f>BM770</f>
        <v>6498</v>
      </c>
      <c r="BN779" s="65">
        <f>BN770</f>
        <v>12754</v>
      </c>
      <c r="BO779" s="49"/>
      <c r="BP779" s="65">
        <f>BP770</f>
        <v>6631</v>
      </c>
      <c r="BQ779" s="65">
        <f>BQ770</f>
        <v>6878</v>
      </c>
      <c r="BR779" s="65">
        <f>BR770</f>
        <v>13509</v>
      </c>
      <c r="BT779" s="65">
        <f>BT770</f>
        <v>7008</v>
      </c>
      <c r="BU779" s="65">
        <f>BU770</f>
        <v>7055</v>
      </c>
      <c r="BV779" s="65">
        <f>BV770</f>
        <v>14063</v>
      </c>
      <c r="BX779" s="65">
        <f>BX770</f>
        <v>6941</v>
      </c>
      <c r="BY779" s="65">
        <f>BY770</f>
        <v>7014</v>
      </c>
      <c r="BZ779" s="65">
        <f>BZ770</f>
        <v>13955</v>
      </c>
      <c r="CB779" s="65">
        <f>CB770</f>
        <v>6995</v>
      </c>
      <c r="CC779" s="65">
        <f>CC770</f>
        <v>6861</v>
      </c>
      <c r="CD779" s="65">
        <f>CD770</f>
        <v>13856</v>
      </c>
      <c r="CF779" s="65">
        <f>CF770</f>
        <v>7019</v>
      </c>
      <c r="CG779" s="65">
        <f>CG770</f>
        <v>6829</v>
      </c>
      <c r="CH779" s="65">
        <f>CH770</f>
        <v>13848</v>
      </c>
      <c r="CJ779" s="65">
        <f>CJ770</f>
        <v>6822</v>
      </c>
      <c r="CK779" s="65">
        <f>CK770</f>
        <v>6457</v>
      </c>
      <c r="CL779" s="65">
        <f>CL770</f>
        <v>13279</v>
      </c>
      <c r="CN779" s="65">
        <f>CN770</f>
        <v>6584</v>
      </c>
      <c r="CO779" s="65">
        <f>CO770</f>
        <v>6736</v>
      </c>
      <c r="CP779" s="65">
        <f>CP770</f>
        <v>13320</v>
      </c>
      <c r="CR779" s="65">
        <f>CR770</f>
        <v>6684</v>
      </c>
      <c r="CS779" s="65">
        <f>CS770</f>
        <v>7483</v>
      </c>
      <c r="CT779" s="65">
        <f>CT770</f>
        <v>14167</v>
      </c>
      <c r="CV779" s="65">
        <f>CV770</f>
        <v>8336</v>
      </c>
      <c r="CW779" s="65">
        <f>CW770</f>
        <v>8054</v>
      </c>
      <c r="CX779" s="65">
        <f>CX770</f>
        <v>16390</v>
      </c>
      <c r="CZ779" s="65">
        <f>CZ770</f>
        <v>7963</v>
      </c>
      <c r="DA779" s="65">
        <f>DA770</f>
        <v>8237</v>
      </c>
      <c r="DB779" s="65">
        <f>DB770</f>
        <v>16200</v>
      </c>
      <c r="DD779" s="65">
        <f>DD770</f>
        <v>8787</v>
      </c>
      <c r="DE779" s="65">
        <f>DE770</f>
        <v>8896</v>
      </c>
      <c r="DF779" s="65">
        <f>DF770</f>
        <v>17683</v>
      </c>
      <c r="DH779" s="65">
        <f ca="1">DH770</f>
        <v>8992.3219475600017</v>
      </c>
      <c r="DI779" s="65">
        <f ca="1">DI770</f>
        <v>9109.8296073262482</v>
      </c>
      <c r="DJ779" s="65">
        <f ca="1">DJ770</f>
        <v>18102.151554886248</v>
      </c>
      <c r="DL779" s="65">
        <f ca="1">DL770</f>
        <v>9261.4816987137292</v>
      </c>
      <c r="DM779" s="65">
        <f ca="1">DM770</f>
        <v>9467.0624461304396</v>
      </c>
      <c r="DN779" s="65">
        <f ca="1">DN770</f>
        <v>18728.544144844171</v>
      </c>
      <c r="DP779" s="65">
        <f ca="1">DP770</f>
        <v>9654.8118216896801</v>
      </c>
      <c r="DQ779" s="65">
        <f ca="1">DQ770</f>
        <v>9855.3524775189762</v>
      </c>
      <c r="DR779" s="65">
        <f ca="1">DR770</f>
        <v>19510.164299208656</v>
      </c>
    </row>
    <row r="780" spans="1:128" s="20" customFormat="1" ht="13.8">
      <c r="A780" s="20" t="s">
        <v>1083</v>
      </c>
      <c r="B780" s="49"/>
      <c r="BH780" s="49"/>
      <c r="BI780" s="49"/>
      <c r="BJ780" s="49"/>
      <c r="BK780" s="49"/>
      <c r="BL780" s="65">
        <f>BL605</f>
        <v>632400</v>
      </c>
      <c r="BM780" s="65">
        <f>BM605</f>
        <v>661515</v>
      </c>
      <c r="BN780" s="65">
        <f>BN605</f>
        <v>646997</v>
      </c>
      <c r="BO780" s="439"/>
      <c r="BP780" s="65">
        <f>BP605</f>
        <v>702203</v>
      </c>
      <c r="BQ780" s="65">
        <f>BQ605</f>
        <v>731739</v>
      </c>
      <c r="BR780" s="65">
        <f>BR605</f>
        <v>716971</v>
      </c>
      <c r="BT780" s="65">
        <f>BT605</f>
        <v>731395</v>
      </c>
      <c r="BU780" s="65">
        <f>BU605</f>
        <v>730275</v>
      </c>
      <c r="BV780" s="65">
        <f>BV605</f>
        <v>730835</v>
      </c>
      <c r="BX780" s="65">
        <f>BX605</f>
        <v>743906</v>
      </c>
      <c r="BY780" s="65">
        <f>BY605</f>
        <v>752073</v>
      </c>
      <c r="BZ780" s="65">
        <f>BZ605</f>
        <v>747989.5</v>
      </c>
      <c r="CB780" s="65">
        <f>CB605</f>
        <v>765186</v>
      </c>
      <c r="CC780" s="65">
        <f>CC605</f>
        <v>784501</v>
      </c>
      <c r="CD780" s="65">
        <f>CD605</f>
        <v>774884</v>
      </c>
      <c r="CF780" s="65">
        <f>CF605</f>
        <v>811528</v>
      </c>
      <c r="CG780" s="65">
        <f>CG605</f>
        <v>814831</v>
      </c>
      <c r="CH780" s="65">
        <f>CH605</f>
        <v>813219</v>
      </c>
      <c r="CJ780" s="65">
        <f>CJ605</f>
        <v>856651</v>
      </c>
      <c r="CK780" s="65">
        <f>CK605</f>
        <v>869110</v>
      </c>
      <c r="CL780" s="65">
        <f>CL605</f>
        <v>862882</v>
      </c>
      <c r="CN780" s="65">
        <f>CN605</f>
        <v>857524</v>
      </c>
      <c r="CO780" s="65">
        <f>CO605</f>
        <v>869825</v>
      </c>
      <c r="CP780" s="65">
        <f>CP605</f>
        <v>863691</v>
      </c>
      <c r="CR780" s="65">
        <f>CR605</f>
        <v>899678</v>
      </c>
      <c r="CS780" s="65">
        <f>CS605</f>
        <v>920340</v>
      </c>
      <c r="CT780" s="65">
        <f>CT605</f>
        <v>910037</v>
      </c>
      <c r="CV780" s="65">
        <f>CV605</f>
        <v>972972</v>
      </c>
      <c r="CW780" s="65">
        <f>CW605</f>
        <v>977175</v>
      </c>
      <c r="CX780" s="65">
        <f>CX605</f>
        <v>975079</v>
      </c>
      <c r="CZ780" s="65">
        <f>CZ605</f>
        <v>1015621</v>
      </c>
      <c r="DA780" s="65">
        <f>DA605</f>
        <v>1031611</v>
      </c>
      <c r="DB780" s="65">
        <f>DB605</f>
        <v>1023616</v>
      </c>
      <c r="DD780" s="65">
        <f>DD605</f>
        <v>1142128</v>
      </c>
      <c r="DE780" s="65">
        <f>DE605</f>
        <v>1177153</v>
      </c>
      <c r="DF780" s="65">
        <f>DF605</f>
        <v>1159688</v>
      </c>
      <c r="DH780" s="65">
        <f>DH605</f>
        <v>1187989.313976804</v>
      </c>
      <c r="DI780" s="65">
        <f>DI605</f>
        <v>1205080.8315287463</v>
      </c>
      <c r="DJ780" s="65">
        <f>DJ605</f>
        <v>1196535.0727527752</v>
      </c>
      <c r="DL780" s="65">
        <f>DL605</f>
        <v>1231590.2680448708</v>
      </c>
      <c r="DM780" s="65">
        <f>DM605</f>
        <v>1260257.3178819334</v>
      </c>
      <c r="DN780" s="65">
        <f>DN605</f>
        <v>1245923.7929634021</v>
      </c>
      <c r="DP780" s="65">
        <f>DP605</f>
        <v>1288197.4090579669</v>
      </c>
      <c r="DQ780" s="65">
        <f>DQ605</f>
        <v>1315132.4538846847</v>
      </c>
      <c r="DR780" s="65">
        <f>DR605</f>
        <v>1301664.9314713259</v>
      </c>
    </row>
    <row r="781" spans="1:128" s="20" customFormat="1" ht="13.8">
      <c r="A781" s="47" t="s">
        <v>127</v>
      </c>
      <c r="B781" s="49"/>
      <c r="BH781" s="49"/>
      <c r="BI781" s="49"/>
      <c r="BJ781" s="49"/>
      <c r="BK781" s="49"/>
      <c r="BL781" s="441"/>
      <c r="BM781" s="441"/>
      <c r="BN781" s="49"/>
      <c r="BO781" s="49"/>
      <c r="BP781" s="96">
        <f>+BP780/BL780-1</f>
        <v>0.11037792536369384</v>
      </c>
      <c r="BQ781" s="96">
        <f>+BQ780/BM780-1</f>
        <v>0.1061563229858733</v>
      </c>
      <c r="BR781" s="49"/>
      <c r="BT781" s="96">
        <f>+BT780/BP780-1</f>
        <v>4.1572024044329137E-2</v>
      </c>
      <c r="BU781" s="96">
        <f>+BU780/BQ780-1</f>
        <v>-2.0007133691111179E-3</v>
      </c>
      <c r="BV781" s="49"/>
      <c r="BX781" s="96">
        <f>+BX780/BT780-1</f>
        <v>1.7105667935930713E-2</v>
      </c>
      <c r="BY781" s="96">
        <f>+BY780/BU780-1</f>
        <v>2.984902947519763E-2</v>
      </c>
      <c r="BZ781" s="49"/>
      <c r="CB781" s="96">
        <f>+CB780/BX780-1</f>
        <v>2.8605764706831183E-2</v>
      </c>
      <c r="CC781" s="96">
        <f>+CC780/BY780-1</f>
        <v>4.3118154753594373E-2</v>
      </c>
      <c r="CD781" s="49"/>
      <c r="CF781" s="96">
        <f>+CF780/CB780-1</f>
        <v>6.0563052643409554E-2</v>
      </c>
      <c r="CG781" s="96">
        <f>+CG780/CC780-1</f>
        <v>3.8661518595897171E-2</v>
      </c>
      <c r="CH781" s="49"/>
      <c r="CJ781" s="96">
        <f>+CJ780/CF780-1</f>
        <v>5.5602517719659739E-2</v>
      </c>
      <c r="CK781" s="96">
        <f>+CK780/CG780-1</f>
        <v>6.6613813171074732E-2</v>
      </c>
      <c r="CL781" s="49"/>
      <c r="CN781" s="96">
        <f>+CN780/CJ780-1</f>
        <v>1.0190847848190465E-3</v>
      </c>
      <c r="CO781" s="96">
        <f>+CO780/CK780-1</f>
        <v>8.2268067333246542E-4</v>
      </c>
      <c r="CP781" s="49"/>
      <c r="CR781" s="96">
        <f>+CR780/CN780-1</f>
        <v>4.9157807828119182E-2</v>
      </c>
      <c r="CS781" s="96">
        <f>+CS780/CO780-1</f>
        <v>5.8074900123588069E-2</v>
      </c>
      <c r="CT781" s="49"/>
      <c r="CV781" s="96">
        <f>+CV780/CR780-1</f>
        <v>8.1466924833107024E-2</v>
      </c>
      <c r="CW781" s="96">
        <f>+CW780/CS780-1</f>
        <v>6.1754351652650197E-2</v>
      </c>
      <c r="CX781" s="49"/>
      <c r="CZ781" s="96">
        <f>+CZ780/CV780-1</f>
        <v>4.3833738278182821E-2</v>
      </c>
      <c r="DA781" s="96">
        <f>+DA780/CW780-1</f>
        <v>5.570752424079628E-2</v>
      </c>
      <c r="DB781" s="49"/>
      <c r="DD781" s="96">
        <f>+DD780/CZ780-1</f>
        <v>0.12456122904114819</v>
      </c>
      <c r="DE781" s="96">
        <f>+DE780/DA780-1</f>
        <v>0.14108224902603794</v>
      </c>
      <c r="DF781" s="49"/>
      <c r="DH781" s="96">
        <f>+DH780/DD780-1</f>
        <v>4.0154268152785111E-2</v>
      </c>
      <c r="DI781" s="96">
        <f>+DI780/DE780-1</f>
        <v>2.3724895173988569E-2</v>
      </c>
      <c r="DJ781" s="49"/>
      <c r="DL781" s="96">
        <f>+DL780/DH780-1</f>
        <v>3.6701469916519791E-2</v>
      </c>
      <c r="DM781" s="96">
        <f>+DM780/DI780-1</f>
        <v>4.5786543864606344E-2</v>
      </c>
      <c r="DN781" s="49"/>
      <c r="DP781" s="96">
        <f>+DP780/DL780-1</f>
        <v>4.5962640727065018E-2</v>
      </c>
      <c r="DQ781" s="96">
        <f>+DQ780/DM780-1</f>
        <v>4.3542802905503386E-2</v>
      </c>
      <c r="DR781" s="49"/>
    </row>
    <row r="782" spans="1:128" s="20" customFormat="1" ht="13.8">
      <c r="A782" s="20" t="s">
        <v>340</v>
      </c>
      <c r="B782" s="49"/>
      <c r="BH782" s="49"/>
      <c r="BI782" s="49"/>
      <c r="BJ782" s="49"/>
      <c r="BK782" s="49"/>
      <c r="BL782" s="74">
        <f>+BL779*(BL$4/BL$3)/BL780</f>
        <v>1.9839300484461773E-2</v>
      </c>
      <c r="BM782" s="74">
        <f>+BM779*(BM$4/BM$3)/BM780</f>
        <v>1.9592135935358516E-2</v>
      </c>
      <c r="BN782" s="74">
        <f>+BN779*(BN$4/BN$3)/BN780</f>
        <v>1.9712610723079088E-2</v>
      </c>
      <c r="BO782" s="49"/>
      <c r="BP782" s="74">
        <f>+BP779*(BP$4/BP$3)/BP780</f>
        <v>1.893816185053904E-2</v>
      </c>
      <c r="BQ782" s="74">
        <f>+BQ779*(BQ$4/BQ$3)/BQ780</f>
        <v>1.8747689135807231E-2</v>
      </c>
      <c r="BR782" s="74">
        <f>+BR779*(BR$4/BR$3)/BR780</f>
        <v>1.8841766263907465E-2</v>
      </c>
      <c r="BT782" s="74">
        <f>+BT779*(BT$4/BT$3)/BT780</f>
        <v>1.9163379569179444E-2</v>
      </c>
      <c r="BU782" s="74">
        <f>+BU779*(BU$4/BU$3)/BU780</f>
        <v>1.9321488480366984E-2</v>
      </c>
      <c r="BV782" s="74">
        <f>+BV779*(BV$4/BV$3)/BV780</f>
        <v>1.9242373449547434E-2</v>
      </c>
      <c r="BX782" s="74">
        <f>+BX779*(BX$4/BX$3)/BX780</f>
        <v>1.8712226225675505E-2</v>
      </c>
      <c r="BY782" s="74">
        <f>+BY779*(BY$4/BY$3)/BY780</f>
        <v>1.8601481679501247E-2</v>
      </c>
      <c r="BZ782" s="74">
        <f>+BZ779*(BZ$4/BZ$3)/BZ780</f>
        <v>1.8656679004183881E-2</v>
      </c>
      <c r="CB782" s="74">
        <f>+CB779*(CB$4/CB$3)/CB780</f>
        <v>1.8333364784423743E-2</v>
      </c>
      <c r="CC782" s="74">
        <f>+CC779*(CC$4/CC$3)/CC780</f>
        <v>1.7443582859322439E-2</v>
      </c>
      <c r="CD782" s="74">
        <f>+CD779*(CD$4/CD$3)/CD780</f>
        <v>1.7881386117147857E-2</v>
      </c>
      <c r="CF782" s="74">
        <f>+CF779*(CF$4/CF$3)/CF780</f>
        <v>1.7345755086781888E-2</v>
      </c>
      <c r="CG782" s="74">
        <f>+CG779*(CG$4/CG$3)/CG780</f>
        <v>1.671596080673083E-2</v>
      </c>
      <c r="CH782" s="74">
        <f>+CH779*(CH$4/CH$3)/CH780</f>
        <v>1.7028623285978317E-2</v>
      </c>
      <c r="CJ782" s="74">
        <f>+CJ779*(CJ$4/CJ$3)/CJ780</f>
        <v>1.5927139523563272E-2</v>
      </c>
      <c r="CK782" s="74">
        <f>+CK779*(CK$4/CK$3)/CK780</f>
        <v>1.4858878622959119E-2</v>
      </c>
      <c r="CL782" s="74">
        <f>+CL779*(CL$4/CL$3)/CL780</f>
        <v>1.538912620729138E-2</v>
      </c>
      <c r="CN782" s="74">
        <f>+CN779*(CN$4/CN$3)/CN780</f>
        <v>1.5398024806507834E-2</v>
      </c>
      <c r="CO782" s="74">
        <f>+CO779*(CO$4/CO$3)/CO780</f>
        <v>1.5445855496025755E-2</v>
      </c>
      <c r="CP782" s="74">
        <f>+CP779*(CP$4/CP$3)/CP780</f>
        <v>1.5422182238786789E-2</v>
      </c>
      <c r="CR782" s="74">
        <f>+CR779*(CR$4/CR$3)/CR780</f>
        <v>1.489946989336771E-2</v>
      </c>
      <c r="CS782" s="74">
        <f>+CS779*(CS$4/CS$3)/CS780</f>
        <v>1.6216951658753816E-2</v>
      </c>
      <c r="CT782" s="74">
        <f>+CT779*(CT$4/CT$3)/CT780</f>
        <v>1.5567498903890722E-2</v>
      </c>
      <c r="CV782" s="74">
        <f>+CV779*(CV$4/CV$3)/CV780</f>
        <v>1.7182202774388367E-2</v>
      </c>
      <c r="CW782" s="74">
        <f>+CW779*(CW$4/CW$3)/CW780</f>
        <v>1.6439214133638552E-2</v>
      </c>
      <c r="CX782" s="74">
        <f>+CX779*(CX$4/CX$3)/CX780</f>
        <v>1.6808894458807951E-2</v>
      </c>
      <c r="CZ782" s="74">
        <f>+CZ779*(CZ$4/CZ$3)/CZ780</f>
        <v>1.5681046374582643E-2</v>
      </c>
      <c r="DA782" s="74">
        <f>+DA779*(DA$4/DA$3)/DA780</f>
        <v>1.5969197691765597E-2</v>
      </c>
      <c r="DB782" s="74">
        <f>+DB779*(DB$4/DB$3)/DB780</f>
        <v>1.5826247342753532E-2</v>
      </c>
      <c r="DD782" s="74">
        <f>+DD779*(DD$4/DD$3)/DD780</f>
        <v>1.5429339110660294E-2</v>
      </c>
      <c r="DE782" s="74">
        <f>+DE779*(DE$4/DE$3)/DE780</f>
        <v>1.5073136608530987E-2</v>
      </c>
      <c r="DF782" s="74">
        <f>+DF779*(DF$4/DF$3)/DF780</f>
        <v>1.5248066721394031E-2</v>
      </c>
      <c r="DH782" s="74">
        <f ca="1">+DH779*(DH$4/DH$3)/DH780</f>
        <v>1.5180315214368465E-2</v>
      </c>
      <c r="DI782" s="74">
        <f ca="1">+DI779*(DI$4/DI$3)/DI780</f>
        <v>1.5077726115637369E-2</v>
      </c>
      <c r="DJ782" s="74">
        <f ca="1">+DJ779*(DJ$4/DJ$3)/DJ780</f>
        <v>1.5128809816865657E-2</v>
      </c>
      <c r="DL782" s="74">
        <f ca="1">+DL779*(DL$4/DL$3)/DL780</f>
        <v>1.5081193105718498E-2</v>
      </c>
      <c r="DM782" s="74">
        <f ca="1">+DM779*(DM$4/DM$3)/DM780</f>
        <v>1.4982965813936279E-2</v>
      </c>
      <c r="DN782" s="74">
        <f ca="1">+DN779*(DN$4/DN$3)/DN780</f>
        <v>1.5031853674050757E-2</v>
      </c>
      <c r="DP782" s="74">
        <f ca="1">+DP779*(DP$4/DP$3)/DP780</f>
        <v>1.4989646390843235E-2</v>
      </c>
      <c r="DQ782" s="74">
        <f ca="1">+DQ779*(DQ$4/DQ$3)/DQ780</f>
        <v>1.4987619609580598E-2</v>
      </c>
      <c r="DR782" s="74">
        <f ca="1">+DR779*(DR$4/DR$3)/DR780</f>
        <v>1.4988622515285486E-2</v>
      </c>
    </row>
    <row r="783" spans="1:128" s="78" customFormat="1" ht="13.8">
      <c r="A783" s="1065" t="s">
        <v>78</v>
      </c>
      <c r="B783" s="1066"/>
      <c r="C783" s="1065"/>
      <c r="D783" s="1065"/>
      <c r="E783" s="1065"/>
      <c r="F783" s="1065"/>
      <c r="G783" s="1065"/>
      <c r="H783" s="1065"/>
      <c r="I783" s="1065"/>
      <c r="J783" s="1065"/>
      <c r="K783" s="1065"/>
      <c r="L783" s="1065"/>
      <c r="M783" s="1065"/>
      <c r="N783" s="1065"/>
      <c r="O783" s="1065"/>
      <c r="P783" s="1065"/>
      <c r="Q783" s="1065"/>
      <c r="R783" s="1065"/>
      <c r="S783" s="1065"/>
      <c r="T783" s="1065"/>
      <c r="U783" s="1065"/>
      <c r="V783" s="1065"/>
      <c r="W783" s="1065"/>
      <c r="X783" s="1065"/>
      <c r="Y783" s="1065"/>
      <c r="Z783" s="1065"/>
      <c r="AA783" s="1065"/>
      <c r="AB783" s="1065"/>
      <c r="AC783" s="1065"/>
      <c r="AD783" s="1065"/>
      <c r="AE783" s="1065"/>
      <c r="AF783" s="1065"/>
      <c r="AG783" s="1065"/>
      <c r="AH783" s="1065"/>
      <c r="AI783" s="1065"/>
      <c r="AJ783" s="1065"/>
      <c r="AK783" s="1065"/>
      <c r="AL783" s="1065"/>
      <c r="AM783" s="1065"/>
      <c r="AN783" s="1065"/>
      <c r="AO783" s="1065"/>
      <c r="AP783" s="1065"/>
      <c r="AQ783" s="1065"/>
      <c r="AR783" s="1065"/>
      <c r="AS783" s="1065"/>
      <c r="AT783" s="1065"/>
      <c r="AU783" s="1065"/>
      <c r="AV783" s="1065"/>
      <c r="AW783" s="1065"/>
      <c r="AX783" s="1065"/>
      <c r="AY783" s="1065"/>
      <c r="AZ783" s="1065"/>
      <c r="BA783" s="1065"/>
      <c r="BB783" s="1065"/>
      <c r="BC783" s="1065"/>
      <c r="BD783" s="1065"/>
      <c r="BE783" s="1065"/>
      <c r="BF783" s="1065"/>
      <c r="BG783" s="1065"/>
      <c r="BH783" s="1066"/>
      <c r="BI783" s="1066"/>
      <c r="BJ783" s="1066"/>
      <c r="BK783" s="1066"/>
      <c r="BL783" s="1067"/>
      <c r="BM783" s="1067"/>
      <c r="BN783" s="1067"/>
      <c r="BO783" s="1066"/>
      <c r="BP783" s="1067"/>
      <c r="BQ783" s="1067"/>
      <c r="BR783" s="1067"/>
      <c r="BS783" s="1065"/>
      <c r="BT783" s="1067">
        <f>+BT782-BQ782</f>
        <v>4.1569043337221293E-4</v>
      </c>
      <c r="BU783" s="1067">
        <f>+BU782-BT782</f>
        <v>1.5810891118753917E-4</v>
      </c>
      <c r="BV783" s="1067"/>
      <c r="BW783" s="1065"/>
      <c r="BX783" s="1067">
        <f>+BX782-BU782</f>
        <v>-6.0926225469147902E-4</v>
      </c>
      <c r="BY783" s="1067">
        <f>+BY782-BX782</f>
        <v>-1.1074454617425802E-4</v>
      </c>
      <c r="BZ783" s="1067"/>
      <c r="CA783" s="1065"/>
      <c r="CB783" s="1067">
        <f>+CB782-BY782</f>
        <v>-2.6811689507750397E-4</v>
      </c>
      <c r="CC783" s="1067">
        <f>+CC782-CB782</f>
        <v>-8.897819251013038E-4</v>
      </c>
      <c r="CD783" s="1067"/>
      <c r="CE783" s="1065"/>
      <c r="CF783" s="1067">
        <f>+CF782-CC782</f>
        <v>-9.7827772540550612E-5</v>
      </c>
      <c r="CG783" s="1067">
        <f>+CG782-CF782</f>
        <v>-6.2979428005105823E-4</v>
      </c>
      <c r="CH783" s="1067"/>
      <c r="CI783" s="1065"/>
      <c r="CJ783" s="1067">
        <f>+CJ782-CG782</f>
        <v>-7.8882128316755742E-4</v>
      </c>
      <c r="CK783" s="1067">
        <f>+CK782-CJ782</f>
        <v>-1.0682609006041534E-3</v>
      </c>
      <c r="CL783" s="1067"/>
      <c r="CM783" s="1065"/>
      <c r="CN783" s="1067">
        <f>+CN782-CK782</f>
        <v>5.3914618354871519E-4</v>
      </c>
      <c r="CO783" s="1067">
        <f>+CO782-CN782</f>
        <v>4.7830689517920633E-5</v>
      </c>
      <c r="CP783" s="1067"/>
      <c r="CQ783" s="1065"/>
      <c r="CR783" s="1067">
        <f>+CR782-CO782</f>
        <v>-5.4638560265804492E-4</v>
      </c>
      <c r="CS783" s="1067">
        <f>+CS782-CR782</f>
        <v>1.3174817653861057E-3</v>
      </c>
      <c r="CT783" s="1067"/>
      <c r="CU783" s="1065"/>
      <c r="CV783" s="1067">
        <f>+CV782-CS782</f>
        <v>9.6525111563455085E-4</v>
      </c>
      <c r="CW783" s="1067">
        <f>+CW782-CV782</f>
        <v>-7.429886407498143E-4</v>
      </c>
      <c r="CX783" s="1067"/>
      <c r="CY783" s="1065"/>
      <c r="CZ783" s="1067">
        <f>+CZ782-CW782</f>
        <v>-7.5816775905590897E-4</v>
      </c>
      <c r="DA783" s="1067">
        <f>+DA782-CZ782</f>
        <v>2.8815131718295389E-4</v>
      </c>
      <c r="DB783" s="1067"/>
      <c r="DC783" s="1065"/>
      <c r="DD783" s="1067">
        <f>+DD782-DA782</f>
        <v>-5.3985858110530346E-4</v>
      </c>
      <c r="DE783" s="1067">
        <f>+DE782-DD782</f>
        <v>-3.5620250212930679E-4</v>
      </c>
      <c r="DF783" s="1067"/>
      <c r="DG783" s="1065"/>
      <c r="DH783" s="1067">
        <f ca="1">+DH782-DE782</f>
        <v>1.0717860583747858E-4</v>
      </c>
      <c r="DI783" s="1067">
        <f ca="1">+DI782-DH782</f>
        <v>-1.0258909873109637E-4</v>
      </c>
      <c r="DJ783" s="1067"/>
      <c r="DK783" s="1065"/>
      <c r="DL783" s="1067">
        <f ca="1">+DL782-DI782</f>
        <v>3.4669900811287735E-6</v>
      </c>
      <c r="DM783" s="1067">
        <f ca="1">+DM782-DL782</f>
        <v>-9.8227291782219256E-5</v>
      </c>
      <c r="DN783" s="1067"/>
      <c r="DO783" s="1065"/>
      <c r="DP783" s="1067">
        <f ca="1">+DP782-DM782</f>
        <v>6.6805769069564619E-6</v>
      </c>
      <c r="DQ783" s="1067">
        <f ca="1">+DQ782-DP782</f>
        <v>-2.0267812626366399E-6</v>
      </c>
      <c r="DR783" s="1067"/>
      <c r="DS783" s="1065"/>
      <c r="DT783" s="1065"/>
      <c r="DU783" s="1065"/>
      <c r="DV783" s="1065"/>
    </row>
    <row r="784" spans="1:128" s="47" customFormat="1" ht="13.8">
      <c r="A784" s="47" t="s">
        <v>79</v>
      </c>
      <c r="B784" s="92"/>
      <c r="BH784" s="92"/>
      <c r="BI784" s="92"/>
      <c r="BJ784" s="92"/>
      <c r="BK784" s="92"/>
      <c r="BL784" s="76"/>
      <c r="BM784" s="92"/>
      <c r="BN784" s="92"/>
      <c r="BO784" s="92"/>
      <c r="BP784" s="76"/>
      <c r="BQ784" s="76"/>
      <c r="BR784" s="76"/>
      <c r="BT784" s="76">
        <f>+BT782-BP782</f>
        <v>2.2521771864040391E-4</v>
      </c>
      <c r="BU784" s="76">
        <f>+BU782-BQ782</f>
        <v>5.7379934455975209E-4</v>
      </c>
      <c r="BV784" s="76">
        <f>+BV782-BR782</f>
        <v>4.0060718563996942E-4</v>
      </c>
      <c r="BX784" s="76">
        <f>+BX782-BT782</f>
        <v>-4.5115334350393985E-4</v>
      </c>
      <c r="BY784" s="76">
        <f>+BY782-BU782</f>
        <v>-7.2000680086573704E-4</v>
      </c>
      <c r="BZ784" s="76">
        <f>+BZ782-BV782</f>
        <v>-5.8569444536355278E-4</v>
      </c>
      <c r="CB784" s="76">
        <f>+CB782-BX782</f>
        <v>-3.7886144125176199E-4</v>
      </c>
      <c r="CC784" s="76">
        <f>+CC782-BY782</f>
        <v>-1.1578988201788078E-3</v>
      </c>
      <c r="CD784" s="76">
        <f>+CD782-BZ782</f>
        <v>-7.7529288703602484E-4</v>
      </c>
      <c r="CF784" s="76">
        <f>+CF782-CB782</f>
        <v>-9.8760969764185441E-4</v>
      </c>
      <c r="CG784" s="76">
        <f>+CG782-CC782</f>
        <v>-7.2762205259160884E-4</v>
      </c>
      <c r="CH784" s="76">
        <f>+CH782-CD782</f>
        <v>-8.5276283116953941E-4</v>
      </c>
      <c r="CJ784" s="76">
        <f>+CJ782-CF782</f>
        <v>-1.4186155632186156E-3</v>
      </c>
      <c r="CK784" s="76">
        <f>+CK782-CG782</f>
        <v>-1.8570821837717109E-3</v>
      </c>
      <c r="CL784" s="76">
        <f>+CL782-CH782</f>
        <v>-1.6394970786869374E-3</v>
      </c>
      <c r="CN784" s="76">
        <f>+CN782-CJ782</f>
        <v>-5.2911471705543826E-4</v>
      </c>
      <c r="CO784" s="76">
        <f>+CO782-CK782</f>
        <v>5.8697687306663582E-4</v>
      </c>
      <c r="CP784" s="76">
        <f>+CP782-CL782</f>
        <v>3.3056031495408769E-5</v>
      </c>
      <c r="CR784" s="76">
        <f>+CR782-CN782</f>
        <v>-4.9855491314012429E-4</v>
      </c>
      <c r="CS784" s="76">
        <f>+CS782-CO782</f>
        <v>7.7109616272806082E-4</v>
      </c>
      <c r="CT784" s="76">
        <f>+CT782-CP782</f>
        <v>1.4531666510393323E-4</v>
      </c>
      <c r="CV784" s="76">
        <f>+CV782-CR782</f>
        <v>2.2827328810206566E-3</v>
      </c>
      <c r="CW784" s="76">
        <f>+CW782-CS782</f>
        <v>2.2226247488473655E-4</v>
      </c>
      <c r="CX784" s="76">
        <f>+CX782-CT782</f>
        <v>1.2413955549172295E-3</v>
      </c>
      <c r="CZ784" s="76">
        <f>+CZ782-CV782</f>
        <v>-1.5011563998057233E-3</v>
      </c>
      <c r="DA784" s="76">
        <f>+DA782-CW782</f>
        <v>-4.7001644187295508E-4</v>
      </c>
      <c r="DB784" s="76">
        <f>+DB782-CX782</f>
        <v>-9.8264711605441923E-4</v>
      </c>
      <c r="DD784" s="76">
        <f>+DD782-CZ782</f>
        <v>-2.5170726392234957E-4</v>
      </c>
      <c r="DE784" s="76">
        <f>+DE782-DA782</f>
        <v>-8.9606108323461026E-4</v>
      </c>
      <c r="DF784" s="76">
        <f>+DF782-DB782</f>
        <v>-5.7818062135950136E-4</v>
      </c>
      <c r="DH784" s="76">
        <f ca="1">+DH782-DD782</f>
        <v>-2.4902389629182821E-4</v>
      </c>
      <c r="DI784" s="76">
        <f ca="1">+DI782-DE782</f>
        <v>4.5895071063822152E-6</v>
      </c>
      <c r="DJ784" s="76">
        <f ca="1">+DJ782-DF782</f>
        <v>-1.1925690452837395E-4</v>
      </c>
      <c r="DL784" s="76">
        <f ca="1">+DL782-DH782</f>
        <v>-9.9122108649967594E-5</v>
      </c>
      <c r="DM784" s="76">
        <f ca="1">+DM782-DI782</f>
        <v>-9.4760301701090482E-5</v>
      </c>
      <c r="DN784" s="76">
        <f ca="1">+DN782-DJ782</f>
        <v>-9.6956142814899268E-5</v>
      </c>
      <c r="DP784" s="76">
        <f ca="1">+DP782-DL782</f>
        <v>-9.1546714875262794E-5</v>
      </c>
      <c r="DQ784" s="76">
        <f ca="1">+DQ782-DM782</f>
        <v>4.653795644319822E-6</v>
      </c>
      <c r="DR784" s="76">
        <f ca="1">+DR782-DN782</f>
        <v>-4.3231158765271241E-5</v>
      </c>
      <c r="DW784" s="20"/>
      <c r="DX784" s="20"/>
    </row>
    <row r="785" spans="1:128" s="47" customFormat="1" ht="13.8">
      <c r="B785" s="92"/>
      <c r="BH785" s="92"/>
      <c r="BI785" s="92"/>
      <c r="BJ785" s="92"/>
      <c r="BK785" s="92"/>
      <c r="BL785" s="76"/>
      <c r="BM785" s="92"/>
      <c r="BN785" s="92"/>
      <c r="BO785" s="92"/>
      <c r="BP785" s="76"/>
      <c r="BQ785" s="76"/>
      <c r="BR785" s="76"/>
      <c r="BT785" s="76"/>
      <c r="BU785" s="76"/>
      <c r="BV785" s="76"/>
      <c r="BX785" s="76"/>
      <c r="BY785" s="76"/>
      <c r="BZ785" s="76"/>
      <c r="CB785" s="76"/>
      <c r="CC785" s="76"/>
      <c r="CD785" s="76"/>
      <c r="CF785" s="76"/>
      <c r="CG785" s="76"/>
      <c r="CH785" s="76"/>
      <c r="CJ785" s="76"/>
      <c r="CK785" s="76"/>
      <c r="CL785" s="76"/>
      <c r="CN785" s="76"/>
      <c r="CO785" s="76"/>
      <c r="CP785" s="76"/>
      <c r="CR785" s="76"/>
      <c r="CS785" s="76"/>
      <c r="CT785" s="76"/>
      <c r="CV785" s="76"/>
      <c r="CW785" s="76"/>
      <c r="CX785" s="76"/>
      <c r="CZ785" s="76"/>
      <c r="DA785" s="76"/>
      <c r="DB785" s="76"/>
      <c r="DD785" s="76"/>
      <c r="DE785" s="76"/>
      <c r="DF785" s="76"/>
      <c r="DH785" s="76"/>
      <c r="DI785" s="76"/>
      <c r="DJ785" s="76"/>
      <c r="DL785" s="76"/>
      <c r="DM785" s="76"/>
      <c r="DN785" s="76"/>
      <c r="DP785" s="76"/>
      <c r="DQ785" s="76"/>
      <c r="DR785" s="76"/>
      <c r="DW785" s="20"/>
      <c r="DX785" s="20"/>
    </row>
    <row r="786" spans="1:128" s="359" customFormat="1" ht="13.8">
      <c r="A786" s="359" t="s">
        <v>96</v>
      </c>
      <c r="B786" s="360"/>
      <c r="BH786" s="360"/>
      <c r="BI786" s="360"/>
      <c r="BJ786" s="360"/>
      <c r="BK786" s="360"/>
      <c r="BL786" s="360"/>
      <c r="BM786" s="360"/>
      <c r="BN786" s="360"/>
      <c r="BO786" s="360"/>
      <c r="BP786" s="360"/>
      <c r="BT786" s="360"/>
      <c r="BX786" s="360"/>
      <c r="CB786" s="360"/>
      <c r="CF786" s="360"/>
      <c r="CJ786" s="360"/>
      <c r="CN786" s="360"/>
      <c r="CR786" s="360"/>
      <c r="CV786" s="360"/>
      <c r="CZ786" s="360"/>
      <c r="DD786" s="360"/>
      <c r="DH786" s="360"/>
      <c r="DL786" s="360"/>
      <c r="DP786" s="360"/>
      <c r="DT786" s="744"/>
      <c r="DU786" s="744"/>
      <c r="DV786" s="744"/>
      <c r="DW786" s="20"/>
      <c r="DX786" s="20"/>
    </row>
    <row r="787" spans="1:128" s="20" customFormat="1" ht="13.8">
      <c r="B787" s="49"/>
      <c r="BH787" s="49"/>
      <c r="BI787" s="49"/>
      <c r="BJ787" s="49"/>
      <c r="BK787" s="49"/>
      <c r="BL787" s="49"/>
      <c r="BM787" s="49"/>
      <c r="BN787" s="49"/>
      <c r="BO787" s="49"/>
      <c r="BP787" s="49"/>
      <c r="BT787" s="49"/>
      <c r="BX787" s="49"/>
      <c r="CB787" s="49"/>
      <c r="CF787" s="770"/>
      <c r="CJ787" s="49"/>
      <c r="CN787" s="49"/>
      <c r="CR787" s="49"/>
      <c r="CV787" s="49"/>
      <c r="CZ787" s="49"/>
      <c r="DD787" s="49"/>
      <c r="DH787" s="49"/>
      <c r="DL787" s="49"/>
      <c r="DP787" s="49"/>
    </row>
    <row r="788" spans="1:128" s="20" customFormat="1" ht="13.8">
      <c r="A788" s="61" t="str">
        <f>A21</f>
        <v>Funds Management Income</v>
      </c>
      <c r="B788" s="49"/>
      <c r="BH788" s="65">
        <f t="shared" ref="BH788:BI790" si="1192">BH21</f>
        <v>257</v>
      </c>
      <c r="BI788" s="65">
        <f t="shared" si="1192"/>
        <v>268</v>
      </c>
      <c r="BJ788" s="65">
        <f>+BH788+BI788</f>
        <v>525</v>
      </c>
      <c r="BK788" s="49"/>
      <c r="BL788" s="65">
        <f t="shared" ref="BL788:BM790" si="1193">BL21</f>
        <v>272</v>
      </c>
      <c r="BM788" s="65">
        <f t="shared" si="1193"/>
        <v>267</v>
      </c>
      <c r="BN788" s="65">
        <f>+BL788+BM788</f>
        <v>539</v>
      </c>
      <c r="BO788" s="49"/>
      <c r="BP788" s="65">
        <f t="shared" ref="BP788:BQ790" si="1194">BP21</f>
        <v>284</v>
      </c>
      <c r="BQ788" s="65">
        <f t="shared" si="1194"/>
        <v>290</v>
      </c>
      <c r="BR788" s="65">
        <f>+BP788+BQ788</f>
        <v>574</v>
      </c>
      <c r="BT788" s="65">
        <f t="shared" ref="BT788:BU790" si="1195">BT21</f>
        <v>235</v>
      </c>
      <c r="BU788" s="65">
        <f t="shared" si="1195"/>
        <v>221</v>
      </c>
      <c r="BV788" s="65">
        <f>+BT788+BU788</f>
        <v>456</v>
      </c>
      <c r="BX788" s="65">
        <f t="shared" ref="BX788:BY790" si="1196">BX21</f>
        <v>0</v>
      </c>
      <c r="BY788" s="65">
        <f t="shared" si="1196"/>
        <v>0</v>
      </c>
      <c r="BZ788" s="65">
        <f>+BX788+BY788</f>
        <v>0</v>
      </c>
      <c r="CB788" s="65">
        <f t="shared" ref="CB788:CC790" si="1197">CB21</f>
        <v>0</v>
      </c>
      <c r="CC788" s="65">
        <f t="shared" si="1197"/>
        <v>0</v>
      </c>
      <c r="CD788" s="65">
        <f>+CB788+CC788</f>
        <v>0</v>
      </c>
      <c r="CF788" s="65">
        <f t="shared" ref="CF788:CG790" si="1198">CF21</f>
        <v>0</v>
      </c>
      <c r="CG788" s="65">
        <f t="shared" si="1198"/>
        <v>0</v>
      </c>
      <c r="CH788" s="65">
        <f>+CF788+CG788</f>
        <v>0</v>
      </c>
      <c r="CI788" s="28"/>
      <c r="CJ788" s="65">
        <f t="shared" ref="CJ788:CK790" si="1199">CJ21</f>
        <v>0</v>
      </c>
      <c r="CK788" s="65">
        <f t="shared" si="1199"/>
        <v>0</v>
      </c>
      <c r="CL788" s="65">
        <f>+CJ788+CK788</f>
        <v>0</v>
      </c>
      <c r="CN788" s="65">
        <f t="shared" ref="CN788:CO790" si="1200">CN21</f>
        <v>0</v>
      </c>
      <c r="CO788" s="65">
        <f t="shared" si="1200"/>
        <v>0</v>
      </c>
      <c r="CP788" s="65">
        <f>+CN788+CO788</f>
        <v>0</v>
      </c>
      <c r="CR788" s="65">
        <f t="shared" ref="CR788:CS790" si="1201">CR21</f>
        <v>0</v>
      </c>
      <c r="CS788" s="65">
        <f t="shared" si="1201"/>
        <v>0</v>
      </c>
      <c r="CT788" s="65">
        <f>+CR788+CS788</f>
        <v>0</v>
      </c>
      <c r="CV788" s="65">
        <f t="shared" ref="CV788:CW790" si="1202">CV21</f>
        <v>0</v>
      </c>
      <c r="CW788" s="65">
        <f t="shared" si="1202"/>
        <v>0</v>
      </c>
      <c r="CX788" s="65">
        <f>+CV788+CW788</f>
        <v>0</v>
      </c>
      <c r="CZ788" s="65">
        <f t="shared" ref="CZ788:DA790" si="1203">CZ21</f>
        <v>0</v>
      </c>
      <c r="DA788" s="65">
        <f t="shared" si="1203"/>
        <v>0</v>
      </c>
      <c r="DB788" s="65">
        <f>+CZ788+DA788</f>
        <v>0</v>
      </c>
      <c r="DD788" s="65">
        <f>DD21</f>
        <v>0</v>
      </c>
      <c r="DE788" s="65">
        <f t="shared" ref="DE788" si="1204">DE21</f>
        <v>0</v>
      </c>
      <c r="DF788" s="65">
        <f>+DD788+DE788</f>
        <v>0</v>
      </c>
      <c r="DH788" s="573">
        <v>0</v>
      </c>
      <c r="DI788" s="573">
        <v>0</v>
      </c>
      <c r="DJ788" s="65">
        <f>+DI788+DH788</f>
        <v>0</v>
      </c>
      <c r="DL788" s="573">
        <v>0</v>
      </c>
      <c r="DM788" s="573">
        <v>0</v>
      </c>
      <c r="DN788" s="65">
        <f>+DM788+DL788</f>
        <v>0</v>
      </c>
      <c r="DP788" s="573">
        <v>0</v>
      </c>
      <c r="DQ788" s="573">
        <v>0</v>
      </c>
      <c r="DR788" s="65">
        <f>+DQ788+DP788</f>
        <v>0</v>
      </c>
    </row>
    <row r="789" spans="1:128" s="20" customFormat="1" ht="13.8">
      <c r="A789" s="61" t="str">
        <f>A22</f>
        <v>Insurance Income</v>
      </c>
      <c r="B789" s="49"/>
      <c r="BH789" s="65">
        <f t="shared" si="1192"/>
        <v>272</v>
      </c>
      <c r="BI789" s="65">
        <f t="shared" si="1192"/>
        <v>284</v>
      </c>
      <c r="BJ789" s="65">
        <f>+BH789+BI789</f>
        <v>556</v>
      </c>
      <c r="BK789" s="49"/>
      <c r="BL789" s="65">
        <f t="shared" si="1193"/>
        <v>270</v>
      </c>
      <c r="BM789" s="65">
        <f t="shared" si="1193"/>
        <v>307</v>
      </c>
      <c r="BN789" s="65">
        <f>+BL789+BM789</f>
        <v>577</v>
      </c>
      <c r="BO789" s="49"/>
      <c r="BP789" s="65">
        <f t="shared" si="1194"/>
        <v>332</v>
      </c>
      <c r="BQ789" s="65">
        <f t="shared" si="1194"/>
        <v>348</v>
      </c>
      <c r="BR789" s="65">
        <f>+BP789+BQ789</f>
        <v>680</v>
      </c>
      <c r="BT789" s="65">
        <f t="shared" si="1195"/>
        <v>295</v>
      </c>
      <c r="BU789" s="65">
        <f t="shared" si="1195"/>
        <v>286</v>
      </c>
      <c r="BV789" s="65">
        <f>+BT789+BU789</f>
        <v>581</v>
      </c>
      <c r="BX789" s="65">
        <f t="shared" si="1196"/>
        <v>0</v>
      </c>
      <c r="BY789" s="65">
        <f t="shared" si="1196"/>
        <v>0</v>
      </c>
      <c r="BZ789" s="65">
        <f>+BX789+BY789</f>
        <v>0</v>
      </c>
      <c r="CB789" s="65">
        <f t="shared" si="1197"/>
        <v>0</v>
      </c>
      <c r="CC789" s="65">
        <f t="shared" si="1197"/>
        <v>0</v>
      </c>
      <c r="CD789" s="65">
        <f>+CB789+CC789</f>
        <v>0</v>
      </c>
      <c r="CF789" s="65">
        <f t="shared" si="1198"/>
        <v>0</v>
      </c>
      <c r="CG789" s="65">
        <f t="shared" si="1198"/>
        <v>0</v>
      </c>
      <c r="CH789" s="65">
        <f>+CF789+CG789</f>
        <v>0</v>
      </c>
      <c r="CJ789" s="65">
        <f t="shared" si="1199"/>
        <v>0</v>
      </c>
      <c r="CK789" s="65">
        <f t="shared" si="1199"/>
        <v>0</v>
      </c>
      <c r="CL789" s="65">
        <f>+CJ789+CK789</f>
        <v>0</v>
      </c>
      <c r="CN789" s="65">
        <f t="shared" si="1200"/>
        <v>0</v>
      </c>
      <c r="CO789" s="65">
        <f t="shared" si="1200"/>
        <v>0</v>
      </c>
      <c r="CP789" s="65">
        <f>+CN789+CO789</f>
        <v>0</v>
      </c>
      <c r="CR789" s="65">
        <f t="shared" si="1201"/>
        <v>0</v>
      </c>
      <c r="CS789" s="65">
        <f t="shared" si="1201"/>
        <v>0</v>
      </c>
      <c r="CT789" s="65">
        <f>+CR789+CS789</f>
        <v>0</v>
      </c>
      <c r="CV789" s="65">
        <f t="shared" si="1202"/>
        <v>0</v>
      </c>
      <c r="CW789" s="65">
        <f t="shared" si="1202"/>
        <v>0</v>
      </c>
      <c r="CX789" s="65">
        <f>+CV789+CW789</f>
        <v>0</v>
      </c>
      <c r="CZ789" s="65">
        <f t="shared" si="1203"/>
        <v>0</v>
      </c>
      <c r="DA789" s="65">
        <f t="shared" si="1203"/>
        <v>0</v>
      </c>
      <c r="DB789" s="65">
        <f>+CZ789+DA789</f>
        <v>0</v>
      </c>
      <c r="DD789" s="65">
        <f>DD22</f>
        <v>0</v>
      </c>
      <c r="DE789" s="65">
        <f t="shared" ref="DE789" si="1205">DE22</f>
        <v>0</v>
      </c>
      <c r="DF789" s="65">
        <f>+DD789+DE789</f>
        <v>0</v>
      </c>
      <c r="DH789" s="573">
        <v>0</v>
      </c>
      <c r="DI789" s="573">
        <v>0</v>
      </c>
      <c r="DJ789" s="65">
        <f>+DI789+DH789</f>
        <v>0</v>
      </c>
      <c r="DL789" s="573">
        <v>0</v>
      </c>
      <c r="DM789" s="573">
        <v>0</v>
      </c>
      <c r="DN789" s="65">
        <f>+DM789+DL789</f>
        <v>0</v>
      </c>
      <c r="DP789" s="573">
        <v>0</v>
      </c>
      <c r="DQ789" s="573">
        <v>0</v>
      </c>
      <c r="DR789" s="65">
        <f>+DQ789+DP789</f>
        <v>0</v>
      </c>
    </row>
    <row r="790" spans="1:128" s="20" customFormat="1" ht="13.8">
      <c r="A790" s="61" t="str">
        <f>A23</f>
        <v>Other Wealth Income</v>
      </c>
      <c r="B790" s="49"/>
      <c r="BH790" s="65">
        <f t="shared" si="1192"/>
        <v>65</v>
      </c>
      <c r="BI790" s="65">
        <f t="shared" si="1192"/>
        <v>70</v>
      </c>
      <c r="BJ790" s="65">
        <f>+BH790+BI790</f>
        <v>135</v>
      </c>
      <c r="BK790" s="49"/>
      <c r="BL790" s="65">
        <f t="shared" si="1193"/>
        <v>75</v>
      </c>
      <c r="BM790" s="65">
        <f t="shared" si="1193"/>
        <v>92</v>
      </c>
      <c r="BN790" s="65">
        <f>+BL790+BM790</f>
        <v>167</v>
      </c>
      <c r="BO790" s="49"/>
      <c r="BP790" s="65">
        <f t="shared" si="1194"/>
        <v>116</v>
      </c>
      <c r="BQ790" s="65">
        <f t="shared" si="1194"/>
        <v>134</v>
      </c>
      <c r="BR790" s="65">
        <f>+BP790+BQ790</f>
        <v>250</v>
      </c>
      <c r="BT790" s="65">
        <f t="shared" si="1195"/>
        <v>241</v>
      </c>
      <c r="BU790" s="65">
        <f t="shared" si="1195"/>
        <v>240</v>
      </c>
      <c r="BV790" s="65">
        <f>+BT790+BU790</f>
        <v>481</v>
      </c>
      <c r="BX790" s="65">
        <f t="shared" si="1196"/>
        <v>0</v>
      </c>
      <c r="BY790" s="65">
        <f t="shared" si="1196"/>
        <v>0</v>
      </c>
      <c r="BZ790" s="65">
        <f>+BX790+BY790</f>
        <v>0</v>
      </c>
      <c r="CB790" s="65">
        <f t="shared" si="1197"/>
        <v>0</v>
      </c>
      <c r="CC790" s="65">
        <f t="shared" si="1197"/>
        <v>0</v>
      </c>
      <c r="CD790" s="65">
        <f>+CB790+CC790</f>
        <v>0</v>
      </c>
      <c r="CF790" s="65">
        <f t="shared" si="1198"/>
        <v>0</v>
      </c>
      <c r="CG790" s="65">
        <f t="shared" si="1198"/>
        <v>0</v>
      </c>
      <c r="CH790" s="65">
        <f>+CF790+CG790</f>
        <v>0</v>
      </c>
      <c r="CJ790" s="65">
        <f t="shared" si="1199"/>
        <v>0</v>
      </c>
      <c r="CK790" s="65">
        <f t="shared" si="1199"/>
        <v>0</v>
      </c>
      <c r="CL790" s="65">
        <f>+CJ790+CK790</f>
        <v>0</v>
      </c>
      <c r="CN790" s="65">
        <f t="shared" si="1200"/>
        <v>0</v>
      </c>
      <c r="CO790" s="65">
        <f t="shared" si="1200"/>
        <v>0</v>
      </c>
      <c r="CP790" s="65">
        <f>+CN790+CO790</f>
        <v>0</v>
      </c>
      <c r="CR790" s="65">
        <f t="shared" si="1201"/>
        <v>0</v>
      </c>
      <c r="CS790" s="65">
        <f t="shared" si="1201"/>
        <v>0</v>
      </c>
      <c r="CT790" s="65">
        <f>+CR790+CS790</f>
        <v>0</v>
      </c>
      <c r="CV790" s="65">
        <f t="shared" si="1202"/>
        <v>0</v>
      </c>
      <c r="CW790" s="65">
        <f t="shared" si="1202"/>
        <v>0</v>
      </c>
      <c r="CX790" s="65">
        <f>+CV790+CW790</f>
        <v>0</v>
      </c>
      <c r="CZ790" s="65">
        <f t="shared" si="1203"/>
        <v>0</v>
      </c>
      <c r="DA790" s="65">
        <f t="shared" si="1203"/>
        <v>0</v>
      </c>
      <c r="DB790" s="65">
        <f>+CZ790+DA790</f>
        <v>0</v>
      </c>
      <c r="DD790" s="65">
        <f>DD23</f>
        <v>0</v>
      </c>
      <c r="DE790" s="65">
        <f t="shared" ref="DE790" si="1206">DE23</f>
        <v>0</v>
      </c>
      <c r="DF790" s="65">
        <f>+DD790+DE790</f>
        <v>0</v>
      </c>
      <c r="DH790" s="573">
        <v>0</v>
      </c>
      <c r="DI790" s="573">
        <v>0</v>
      </c>
      <c r="DJ790" s="65">
        <f>+DI790+DH790</f>
        <v>0</v>
      </c>
      <c r="DL790" s="573">
        <v>0</v>
      </c>
      <c r="DM790" s="573">
        <v>0</v>
      </c>
      <c r="DN790" s="65">
        <f>+DM790+DL790</f>
        <v>0</v>
      </c>
      <c r="DP790" s="573">
        <v>0</v>
      </c>
      <c r="DQ790" s="573">
        <v>0</v>
      </c>
      <c r="DR790" s="65">
        <f>+DQ790+DP790</f>
        <v>0</v>
      </c>
    </row>
    <row r="791" spans="1:128" s="20" customFormat="1" ht="13.8">
      <c r="A791" s="61" t="s">
        <v>916</v>
      </c>
      <c r="B791" s="49"/>
      <c r="BH791" s="65"/>
      <c r="BI791" s="65"/>
      <c r="BJ791" s="65"/>
      <c r="BK791" s="49"/>
      <c r="BL791" s="65"/>
      <c r="BM791" s="65"/>
      <c r="BN791" s="65"/>
      <c r="BO791" s="49"/>
      <c r="BP791" s="65"/>
      <c r="BQ791" s="65"/>
      <c r="BR791" s="65"/>
      <c r="BT791" s="65"/>
      <c r="BU791" s="65"/>
      <c r="BV791" s="65"/>
      <c r="BX791" s="65"/>
      <c r="BY791" s="65"/>
      <c r="BZ791" s="65"/>
      <c r="CB791" s="573">
        <v>0</v>
      </c>
      <c r="CC791" s="573">
        <v>-29</v>
      </c>
      <c r="CD791" s="65">
        <f>+CB791+CC791</f>
        <v>-29</v>
      </c>
      <c r="CF791" s="573">
        <v>-8</v>
      </c>
      <c r="CG791" s="573">
        <v>0</v>
      </c>
      <c r="CH791" s="65">
        <f>+CF791+CG791</f>
        <v>-8</v>
      </c>
      <c r="CJ791" s="573">
        <v>0</v>
      </c>
      <c r="CK791" s="573">
        <v>0</v>
      </c>
      <c r="CL791" s="65">
        <f>+CJ791+CK791</f>
        <v>0</v>
      </c>
      <c r="CN791" s="573">
        <v>0</v>
      </c>
      <c r="CO791" s="573">
        <v>0</v>
      </c>
      <c r="CP791" s="65">
        <f>+CN791+CO791</f>
        <v>0</v>
      </c>
      <c r="CR791" s="573">
        <v>0</v>
      </c>
      <c r="CS791" s="573">
        <v>0</v>
      </c>
      <c r="CT791" s="65">
        <f>+CR791+CS791</f>
        <v>0</v>
      </c>
      <c r="CV791" s="573">
        <v>0</v>
      </c>
      <c r="CW791" s="573">
        <v>0</v>
      </c>
      <c r="CX791" s="65">
        <f>+CV791+CW791</f>
        <v>0</v>
      </c>
      <c r="CZ791" s="573">
        <v>0</v>
      </c>
      <c r="DA791" s="573">
        <v>0</v>
      </c>
      <c r="DB791" s="65">
        <f>+CZ791+DA791</f>
        <v>0</v>
      </c>
      <c r="DD791" s="573">
        <v>0</v>
      </c>
      <c r="DE791" s="573">
        <v>0</v>
      </c>
      <c r="DF791" s="65">
        <f>+DD791+DE791</f>
        <v>0</v>
      </c>
      <c r="DH791" s="573">
        <v>0</v>
      </c>
      <c r="DI791" s="573">
        <v>0</v>
      </c>
      <c r="DJ791" s="65">
        <f>+DI791+DH791</f>
        <v>0</v>
      </c>
      <c r="DL791" s="573">
        <v>0</v>
      </c>
      <c r="DM791" s="573">
        <v>0</v>
      </c>
      <c r="DN791" s="65">
        <f>+DM791+DL791</f>
        <v>0</v>
      </c>
      <c r="DP791" s="573">
        <v>0</v>
      </c>
      <c r="DQ791" s="573">
        <v>0</v>
      </c>
      <c r="DR791" s="65">
        <f>+DQ791+DP791</f>
        <v>0</v>
      </c>
    </row>
    <row r="792" spans="1:128" s="20" customFormat="1" ht="13.8">
      <c r="A792" s="61" t="str">
        <f>A24</f>
        <v>Retained Wealth Business</v>
      </c>
      <c r="B792" s="49"/>
      <c r="BH792" s="65"/>
      <c r="BI792" s="65"/>
      <c r="BJ792" s="65"/>
      <c r="BK792" s="49"/>
      <c r="BL792" s="65"/>
      <c r="BM792" s="65"/>
      <c r="BN792" s="65"/>
      <c r="BO792" s="49"/>
      <c r="BP792" s="65"/>
      <c r="BQ792" s="65"/>
      <c r="BR792" s="65"/>
      <c r="BT792" s="65"/>
      <c r="BU792" s="65"/>
      <c r="BV792" s="65"/>
      <c r="BX792" s="65">
        <f>BX24</f>
        <v>345</v>
      </c>
      <c r="BY792" s="65">
        <f>BY24</f>
        <v>323</v>
      </c>
      <c r="BZ792" s="65">
        <f>+BX792+BY792</f>
        <v>668</v>
      </c>
      <c r="CB792" s="65">
        <f>CB24-CB791</f>
        <v>126</v>
      </c>
      <c r="CC792" s="65">
        <f>CC24-CC791</f>
        <v>156</v>
      </c>
      <c r="CD792" s="65">
        <f>+CB792+CC792</f>
        <v>282</v>
      </c>
      <c r="CF792" s="65">
        <f>CF24-CF791</f>
        <v>78</v>
      </c>
      <c r="CG792" s="65">
        <f>CG24-CG791</f>
        <v>49</v>
      </c>
      <c r="CH792" s="65">
        <f>+CF792+CG792</f>
        <v>127</v>
      </c>
      <c r="CJ792" s="65">
        <f>CJ24-CJ791</f>
        <v>47</v>
      </c>
      <c r="CK792" s="65">
        <f>CK24-CK791</f>
        <v>31</v>
      </c>
      <c r="CL792" s="65">
        <f>+CJ792+CK792</f>
        <v>78</v>
      </c>
      <c r="CN792" s="65">
        <f>CN24-CN791</f>
        <v>52</v>
      </c>
      <c r="CO792" s="65">
        <f>CO24-CO791</f>
        <v>58</v>
      </c>
      <c r="CP792" s="65">
        <f>+CN792+CO792</f>
        <v>110</v>
      </c>
      <c r="CR792" s="65">
        <f>CR24-CR791</f>
        <v>55</v>
      </c>
      <c r="CS792" s="65">
        <f>CS24-CS791</f>
        <v>85</v>
      </c>
      <c r="CT792" s="65">
        <f>+CR792+CS792</f>
        <v>140</v>
      </c>
      <c r="CV792" s="65">
        <f>CV24-CV791</f>
        <v>55</v>
      </c>
      <c r="CW792" s="65">
        <f>CW24-CW791</f>
        <v>53</v>
      </c>
      <c r="CX792" s="65">
        <f>+CV792+CW792</f>
        <v>108</v>
      </c>
      <c r="CZ792" s="65">
        <f>CZ24-CZ791</f>
        <v>48</v>
      </c>
      <c r="DA792" s="65">
        <f>DA24-DA791</f>
        <v>74</v>
      </c>
      <c r="DB792" s="65">
        <f>+CZ792+DA792</f>
        <v>122</v>
      </c>
      <c r="DD792" s="65">
        <f>DD24-DD791</f>
        <v>46</v>
      </c>
      <c r="DE792" s="65">
        <f>DE24-DE791</f>
        <v>49</v>
      </c>
      <c r="DF792" s="65">
        <f>+DD792+DE792</f>
        <v>95</v>
      </c>
      <c r="DH792" s="65">
        <f>+DE792*(1+DH798)</f>
        <v>49.49</v>
      </c>
      <c r="DI792" s="65">
        <f>+DH792*(1+DI798)</f>
        <v>49.984900000000003</v>
      </c>
      <c r="DJ792" s="65">
        <f>+DH792+DI792</f>
        <v>99.474900000000005</v>
      </c>
      <c r="DL792" s="65">
        <f>+DI792*(1+DL798)</f>
        <v>50.484749000000001</v>
      </c>
      <c r="DM792" s="65">
        <f>+DL792*(1+DM798)</f>
        <v>50.989596490000004</v>
      </c>
      <c r="DN792" s="65">
        <f>+DL792+DM792</f>
        <v>101.47434549</v>
      </c>
      <c r="DP792" s="65">
        <f>+DM792*(1+DP798)</f>
        <v>51.499492454900007</v>
      </c>
      <c r="DQ792" s="65">
        <f>+DP792*(1+DQ798)</f>
        <v>52.014487379449008</v>
      </c>
      <c r="DR792" s="65">
        <f>+DP792+DQ792</f>
        <v>103.51397983434902</v>
      </c>
    </row>
    <row r="793" spans="1:128" s="21" customFormat="1" ht="13.8">
      <c r="A793" s="60" t="s">
        <v>97</v>
      </c>
      <c r="B793" s="27"/>
      <c r="BH793" s="72">
        <f>SUM(BH788:BH790)</f>
        <v>594</v>
      </c>
      <c r="BI793" s="72">
        <f>SUM(BI788:BI790)</f>
        <v>622</v>
      </c>
      <c r="BJ793" s="72">
        <f>SUM(BJ788:BJ790)</f>
        <v>1216</v>
      </c>
      <c r="BK793" s="27"/>
      <c r="BL793" s="72">
        <f>SUM(BL788:BL790)</f>
        <v>617</v>
      </c>
      <c r="BM793" s="72">
        <f>SUM(BM788:BM790)</f>
        <v>666</v>
      </c>
      <c r="BN793" s="72">
        <f>SUM(BN788:BN790)</f>
        <v>1283</v>
      </c>
      <c r="BO793" s="27"/>
      <c r="BP793" s="72">
        <f>SUM(BP788:BP790)</f>
        <v>732</v>
      </c>
      <c r="BQ793" s="72">
        <f>SUM(BQ788:BQ790)</f>
        <v>772</v>
      </c>
      <c r="BR793" s="72">
        <f>SUM(BR788:BR790)</f>
        <v>1504</v>
      </c>
      <c r="BT793" s="72">
        <f>SUM(BT788:BT790)</f>
        <v>771</v>
      </c>
      <c r="BU793" s="72">
        <f>SUM(BU788:BU790)</f>
        <v>747</v>
      </c>
      <c r="BV793" s="72">
        <f>SUM(BV788:BV790)</f>
        <v>1518</v>
      </c>
      <c r="BX793" s="72">
        <f>SUM(BX788:BX792)</f>
        <v>345</v>
      </c>
      <c r="BY793" s="72">
        <f>SUM(BY788:BY792)</f>
        <v>323</v>
      </c>
      <c r="BZ793" s="72">
        <f>SUM(BZ788:BZ792)</f>
        <v>668</v>
      </c>
      <c r="CB793" s="72">
        <f>SUM(CB788:CB792)</f>
        <v>126</v>
      </c>
      <c r="CC793" s="72">
        <f>SUM(CC788:CC792)</f>
        <v>127</v>
      </c>
      <c r="CD793" s="72">
        <f>SUM(CD788:CD792)</f>
        <v>253</v>
      </c>
      <c r="CF793" s="72">
        <f>SUM(CF788:CF792)</f>
        <v>70</v>
      </c>
      <c r="CG793" s="72">
        <f>SUM(CG788:CG792)</f>
        <v>49</v>
      </c>
      <c r="CH793" s="72">
        <f>SUM(CH788:CH792)</f>
        <v>119</v>
      </c>
      <c r="CJ793" s="72">
        <f>SUM(CJ788:CJ792)</f>
        <v>47</v>
      </c>
      <c r="CK793" s="72">
        <f>SUM(CK788:CK792)</f>
        <v>31</v>
      </c>
      <c r="CL793" s="72">
        <f>SUM(CL788:CL792)</f>
        <v>78</v>
      </c>
      <c r="CN793" s="72">
        <f>SUM(CN788:CN792)</f>
        <v>52</v>
      </c>
      <c r="CO793" s="72">
        <f>SUM(CO788:CO792)</f>
        <v>58</v>
      </c>
      <c r="CP793" s="72">
        <f>SUM(CP788:CP792)</f>
        <v>110</v>
      </c>
      <c r="CR793" s="72">
        <f>SUM(CR788:CR792)</f>
        <v>55</v>
      </c>
      <c r="CS793" s="72">
        <f>SUM(CS788:CS792)</f>
        <v>85</v>
      </c>
      <c r="CT793" s="72">
        <f>SUM(CT788:CT792)</f>
        <v>140</v>
      </c>
      <c r="CV793" s="72">
        <f>SUM(CV788:CV792)</f>
        <v>55</v>
      </c>
      <c r="CW793" s="72">
        <f>SUM(CW788:CW792)</f>
        <v>53</v>
      </c>
      <c r="CX793" s="72">
        <f>SUM(CX788:CX792)</f>
        <v>108</v>
      </c>
      <c r="CZ793" s="72">
        <f>SUM(CZ788:CZ792)</f>
        <v>48</v>
      </c>
      <c r="DA793" s="72">
        <f>SUM(DA788:DA792)</f>
        <v>74</v>
      </c>
      <c r="DB793" s="72">
        <f>SUM(DB788:DB792)</f>
        <v>122</v>
      </c>
      <c r="DD793" s="72">
        <f>SUM(DD788:DD792)</f>
        <v>46</v>
      </c>
      <c r="DE793" s="72">
        <f>SUM(DE788:DE792)</f>
        <v>49</v>
      </c>
      <c r="DF793" s="72">
        <f>SUM(DF788:DF792)</f>
        <v>95</v>
      </c>
      <c r="DH793" s="72">
        <f>SUM(DH788:DH792)</f>
        <v>49.49</v>
      </c>
      <c r="DI793" s="72">
        <f>SUM(DI788:DI792)</f>
        <v>49.984900000000003</v>
      </c>
      <c r="DJ793" s="72">
        <f>SUM(DJ788:DJ792)</f>
        <v>99.474900000000005</v>
      </c>
      <c r="DL793" s="72">
        <f>SUM(DL788:DL792)</f>
        <v>50.484749000000001</v>
      </c>
      <c r="DM793" s="72">
        <f>SUM(DM788:DM792)</f>
        <v>50.989596490000004</v>
      </c>
      <c r="DN793" s="72">
        <f>SUM(DN788:DN792)</f>
        <v>101.47434549</v>
      </c>
      <c r="DP793" s="72">
        <f>SUM(DP788:DP792)</f>
        <v>51.499492454900007</v>
      </c>
      <c r="DQ793" s="72">
        <f>SUM(DQ788:DQ792)</f>
        <v>52.014487379449008</v>
      </c>
      <c r="DR793" s="72">
        <f>SUM(DR788:DR792)</f>
        <v>103.51397983434902</v>
      </c>
      <c r="DW793" s="20"/>
      <c r="DX793" s="20"/>
    </row>
    <row r="794" spans="1:128" s="20" customFormat="1" ht="13.8">
      <c r="A794" s="78" t="s">
        <v>217</v>
      </c>
      <c r="B794" s="49"/>
      <c r="BH794" s="49"/>
      <c r="BI794" s="49"/>
      <c r="BJ794" s="49"/>
      <c r="BK794" s="49"/>
      <c r="BL794" s="49"/>
      <c r="BM794" s="49"/>
      <c r="BN794" s="49"/>
      <c r="BO794" s="49"/>
      <c r="BP794" s="49"/>
      <c r="BQ794" s="49"/>
      <c r="BR794" s="49"/>
      <c r="BT794" s="49"/>
      <c r="BU794" s="49"/>
      <c r="BV794" s="49"/>
      <c r="BX794" s="49"/>
      <c r="BY794" s="49"/>
      <c r="BZ794" s="49"/>
      <c r="CB794" s="49"/>
      <c r="CC794" s="49"/>
      <c r="CF794" s="49"/>
      <c r="CG794" s="49"/>
      <c r="CJ794" s="49"/>
      <c r="CK794" s="49"/>
      <c r="CN794" s="49"/>
      <c r="CO794" s="49"/>
      <c r="CR794" s="49"/>
      <c r="CS794" s="49"/>
      <c r="CV794" s="49"/>
      <c r="CW794" s="49"/>
      <c r="CZ794" s="49"/>
      <c r="DA794" s="49"/>
      <c r="DD794" s="49"/>
      <c r="DE794" s="49"/>
      <c r="DH794" s="49"/>
      <c r="DI794" s="49"/>
      <c r="DL794" s="49"/>
      <c r="DM794" s="49"/>
      <c r="DP794" s="49"/>
      <c r="DQ794" s="49"/>
    </row>
    <row r="795" spans="1:128" s="20" customFormat="1" ht="13.8">
      <c r="A795" s="47" t="str">
        <f>A788</f>
        <v>Funds Management Income</v>
      </c>
      <c r="B795" s="49"/>
      <c r="BH795" s="49"/>
      <c r="BI795" s="96">
        <f>+BI788/BH788-1</f>
        <v>4.2801556420233533E-2</v>
      </c>
      <c r="BJ795" s="49"/>
      <c r="BK795" s="49"/>
      <c r="BL795" s="96">
        <f>+BL788/BI788-1</f>
        <v>1.4925373134328401E-2</v>
      </c>
      <c r="BM795" s="96">
        <f>+BM788/BL788-1</f>
        <v>-1.8382352941176516E-2</v>
      </c>
      <c r="BN795" s="49"/>
      <c r="BO795" s="49"/>
      <c r="BP795" s="96">
        <f>+BP788/BM788-1</f>
        <v>6.367041198501866E-2</v>
      </c>
      <c r="BQ795" s="96">
        <f>+BQ788/BP788-1</f>
        <v>2.1126760563380254E-2</v>
      </c>
      <c r="BR795" s="49"/>
      <c r="BT795" s="96">
        <f>+BT788/BQ788-1</f>
        <v>-0.18965517241379315</v>
      </c>
      <c r="BU795" s="96">
        <f>+BU788/BT788-1</f>
        <v>-5.9574468085106358E-2</v>
      </c>
      <c r="BV795" s="49"/>
      <c r="BX795" s="96"/>
      <c r="BY795" s="96"/>
      <c r="BZ795" s="49"/>
      <c r="CB795" s="96"/>
      <c r="CC795" s="96"/>
      <c r="CF795" s="96"/>
      <c r="CG795" s="96"/>
      <c r="CJ795" s="96"/>
      <c r="CK795" s="96"/>
      <c r="CN795" s="96"/>
      <c r="CO795" s="96"/>
      <c r="CR795" s="96"/>
      <c r="CS795" s="96"/>
      <c r="CV795" s="96"/>
      <c r="CW795" s="96"/>
      <c r="CZ795" s="96"/>
      <c r="DA795" s="96"/>
      <c r="DD795" s="96"/>
      <c r="DE795" s="96"/>
      <c r="DH795" s="96"/>
      <c r="DI795" s="96"/>
      <c r="DL795" s="96"/>
      <c r="DM795" s="96"/>
      <c r="DP795" s="96"/>
      <c r="DQ795" s="96"/>
    </row>
    <row r="796" spans="1:128" s="20" customFormat="1" ht="13.8">
      <c r="A796" s="47" t="str">
        <f>A789</f>
        <v>Insurance Income</v>
      </c>
      <c r="B796" s="49"/>
      <c r="BH796" s="49"/>
      <c r="BI796" s="96">
        <f>+BI789/BH789-1</f>
        <v>4.4117647058823595E-2</v>
      </c>
      <c r="BJ796" s="49"/>
      <c r="BK796" s="49"/>
      <c r="BL796" s="96">
        <f>+BL789/BI789-1</f>
        <v>-4.9295774647887369E-2</v>
      </c>
      <c r="BM796" s="96">
        <f>+BM789/BL789-1</f>
        <v>0.13703703703703707</v>
      </c>
      <c r="BN796" s="49"/>
      <c r="BO796" s="49"/>
      <c r="BP796" s="96">
        <f>+BP789/BM789-1</f>
        <v>8.1433224755700362E-2</v>
      </c>
      <c r="BQ796" s="96">
        <f>+BQ789/BP789-1</f>
        <v>4.8192771084337283E-2</v>
      </c>
      <c r="BR796" s="49"/>
      <c r="BT796" s="96">
        <f>+BT789/BQ789-1</f>
        <v>-0.1522988505747126</v>
      </c>
      <c r="BU796" s="96">
        <f>+BU789/BT789-1</f>
        <v>-3.050847457627115E-2</v>
      </c>
      <c r="BV796" s="49"/>
      <c r="BX796" s="96"/>
      <c r="BY796" s="96"/>
      <c r="BZ796" s="49"/>
      <c r="CB796" s="96"/>
      <c r="CC796" s="96"/>
      <c r="CF796" s="96"/>
      <c r="CG796" s="96"/>
      <c r="CJ796" s="96"/>
      <c r="CK796" s="96"/>
      <c r="CN796" s="96"/>
      <c r="CO796" s="96"/>
      <c r="CR796" s="96"/>
      <c r="CS796" s="96"/>
      <c r="CV796" s="96"/>
      <c r="CW796" s="96"/>
      <c r="CZ796" s="96"/>
      <c r="DA796" s="96"/>
      <c r="DD796" s="96"/>
      <c r="DE796" s="96"/>
      <c r="DH796" s="96"/>
      <c r="DI796" s="96"/>
      <c r="DL796" s="96"/>
      <c r="DM796" s="96"/>
      <c r="DP796" s="96"/>
      <c r="DQ796" s="96"/>
    </row>
    <row r="797" spans="1:128" s="20" customFormat="1" ht="13.8">
      <c r="A797" s="574" t="str">
        <f>A790</f>
        <v>Other Wealth Income</v>
      </c>
      <c r="B797" s="547"/>
      <c r="C797" s="533"/>
      <c r="D797" s="533"/>
      <c r="E797" s="533"/>
      <c r="F797" s="533"/>
      <c r="G797" s="533"/>
      <c r="H797" s="533"/>
      <c r="I797" s="533"/>
      <c r="J797" s="533"/>
      <c r="K797" s="533"/>
      <c r="L797" s="533"/>
      <c r="M797" s="533"/>
      <c r="N797" s="533"/>
      <c r="O797" s="533"/>
      <c r="P797" s="533"/>
      <c r="Q797" s="533"/>
      <c r="R797" s="533"/>
      <c r="S797" s="533"/>
      <c r="T797" s="533"/>
      <c r="U797" s="533"/>
      <c r="V797" s="533"/>
      <c r="W797" s="533"/>
      <c r="X797" s="533"/>
      <c r="Y797" s="533"/>
      <c r="Z797" s="533"/>
      <c r="AA797" s="533"/>
      <c r="AB797" s="533"/>
      <c r="AC797" s="533"/>
      <c r="AD797" s="533"/>
      <c r="AE797" s="533"/>
      <c r="AF797" s="533"/>
      <c r="AG797" s="533"/>
      <c r="AH797" s="533"/>
      <c r="AI797" s="533"/>
      <c r="AJ797" s="533"/>
      <c r="AK797" s="533"/>
      <c r="AL797" s="533"/>
      <c r="AM797" s="533"/>
      <c r="AN797" s="533"/>
      <c r="AO797" s="533"/>
      <c r="AP797" s="533"/>
      <c r="AQ797" s="533"/>
      <c r="AR797" s="533"/>
      <c r="AS797" s="533"/>
      <c r="AT797" s="533"/>
      <c r="AU797" s="533"/>
      <c r="AV797" s="533"/>
      <c r="AW797" s="533"/>
      <c r="AX797" s="533"/>
      <c r="AY797" s="533"/>
      <c r="AZ797" s="533"/>
      <c r="BA797" s="533"/>
      <c r="BB797" s="533"/>
      <c r="BC797" s="533"/>
      <c r="BD797" s="533"/>
      <c r="BE797" s="533"/>
      <c r="BF797" s="533"/>
      <c r="BG797" s="533"/>
      <c r="BH797" s="547"/>
      <c r="BI797" s="577">
        <f>+BI790/BH790-1</f>
        <v>7.6923076923076872E-2</v>
      </c>
      <c r="BJ797" s="547"/>
      <c r="BK797" s="547"/>
      <c r="BL797" s="577">
        <f>+BL790/BI790-1</f>
        <v>7.1428571428571397E-2</v>
      </c>
      <c r="BM797" s="577">
        <f>+BM790/BL790-1</f>
        <v>0.22666666666666657</v>
      </c>
      <c r="BN797" s="547"/>
      <c r="BO797" s="547"/>
      <c r="BP797" s="577">
        <f>+BP790/BM790-1</f>
        <v>0.26086956521739135</v>
      </c>
      <c r="BQ797" s="577">
        <f>+BQ790/BP790-1</f>
        <v>0.15517241379310343</v>
      </c>
      <c r="BR797" s="547"/>
      <c r="BS797" s="533"/>
      <c r="BT797" s="577">
        <f>+BT790/BQ790-1</f>
        <v>0.79850746268656714</v>
      </c>
      <c r="BU797" s="577">
        <f>+BU790/BT790-1</f>
        <v>-4.1493775933609811E-3</v>
      </c>
      <c r="BV797" s="547"/>
      <c r="BW797" s="533"/>
      <c r="BX797" s="577"/>
      <c r="BY797" s="577"/>
      <c r="BZ797" s="547"/>
      <c r="CA797" s="533"/>
      <c r="CB797" s="577"/>
      <c r="CC797" s="783"/>
      <c r="CD797" s="533"/>
      <c r="CE797" s="533"/>
      <c r="CF797" s="577"/>
      <c r="CG797" s="783"/>
      <c r="CH797" s="533"/>
      <c r="CI797" s="533"/>
      <c r="CJ797" s="577"/>
      <c r="CK797" s="783"/>
      <c r="CL797" s="533"/>
      <c r="CM797" s="533"/>
      <c r="CN797" s="577"/>
      <c r="CO797" s="783"/>
      <c r="CP797" s="533"/>
      <c r="CQ797" s="533"/>
      <c r="CR797" s="577"/>
      <c r="CS797" s="783"/>
      <c r="CT797" s="533"/>
      <c r="CU797" s="533"/>
      <c r="CV797" s="577"/>
      <c r="CW797" s="783"/>
      <c r="CX797" s="533"/>
      <c r="CY797" s="533"/>
      <c r="CZ797" s="577"/>
      <c r="DA797" s="783"/>
      <c r="DB797" s="533"/>
      <c r="DC797" s="533"/>
      <c r="DD797" s="577"/>
      <c r="DE797" s="783"/>
      <c r="DF797" s="533"/>
      <c r="DG797" s="533"/>
      <c r="DH797" s="783"/>
      <c r="DI797" s="783"/>
      <c r="DJ797" s="533"/>
      <c r="DK797" s="533"/>
      <c r="DL797" s="783"/>
      <c r="DM797" s="783"/>
      <c r="DN797" s="533"/>
      <c r="DO797" s="533"/>
      <c r="DP797" s="783"/>
      <c r="DQ797" s="783"/>
      <c r="DR797" s="533"/>
      <c r="DS797" s="533"/>
      <c r="DT797" s="533"/>
      <c r="DU797" s="533"/>
      <c r="DV797" s="533"/>
    </row>
    <row r="798" spans="1:128" s="20" customFormat="1" ht="13.8">
      <c r="A798" s="574" t="s">
        <v>891</v>
      </c>
      <c r="B798" s="547"/>
      <c r="C798" s="533"/>
      <c r="D798" s="533"/>
      <c r="E798" s="533"/>
      <c r="F798" s="533"/>
      <c r="G798" s="533"/>
      <c r="H798" s="533"/>
      <c r="I798" s="533"/>
      <c r="J798" s="533"/>
      <c r="K798" s="533"/>
      <c r="L798" s="533"/>
      <c r="M798" s="533"/>
      <c r="N798" s="533"/>
      <c r="O798" s="533"/>
      <c r="P798" s="533"/>
      <c r="Q798" s="533"/>
      <c r="R798" s="533"/>
      <c r="S798" s="533"/>
      <c r="T798" s="533"/>
      <c r="U798" s="533"/>
      <c r="V798" s="533"/>
      <c r="W798" s="533"/>
      <c r="X798" s="533"/>
      <c r="Y798" s="533"/>
      <c r="Z798" s="533"/>
      <c r="AA798" s="533"/>
      <c r="AB798" s="533"/>
      <c r="AC798" s="533"/>
      <c r="AD798" s="533"/>
      <c r="AE798" s="533"/>
      <c r="AF798" s="533"/>
      <c r="AG798" s="533"/>
      <c r="AH798" s="533"/>
      <c r="AI798" s="533"/>
      <c r="AJ798" s="533"/>
      <c r="AK798" s="533"/>
      <c r="AL798" s="533"/>
      <c r="AM798" s="533"/>
      <c r="AN798" s="533"/>
      <c r="AO798" s="533"/>
      <c r="AP798" s="533"/>
      <c r="AQ798" s="533"/>
      <c r="AR798" s="533"/>
      <c r="AS798" s="533"/>
      <c r="AT798" s="533"/>
      <c r="AU798" s="533"/>
      <c r="AV798" s="533"/>
      <c r="AW798" s="533"/>
      <c r="AX798" s="533"/>
      <c r="AY798" s="533"/>
      <c r="AZ798" s="533"/>
      <c r="BA798" s="533"/>
      <c r="BB798" s="533"/>
      <c r="BC798" s="533"/>
      <c r="BD798" s="533"/>
      <c r="BE798" s="533"/>
      <c r="BF798" s="533"/>
      <c r="BG798" s="533"/>
      <c r="BH798" s="547"/>
      <c r="BI798" s="577"/>
      <c r="BJ798" s="547"/>
      <c r="BK798" s="547"/>
      <c r="BL798" s="577"/>
      <c r="BM798" s="577"/>
      <c r="BN798" s="547"/>
      <c r="BO798" s="547"/>
      <c r="BP798" s="577"/>
      <c r="BQ798" s="577"/>
      <c r="BR798" s="547"/>
      <c r="BS798" s="533"/>
      <c r="BT798" s="577"/>
      <c r="BU798" s="577"/>
      <c r="BV798" s="547"/>
      <c r="BW798" s="533"/>
      <c r="BX798" s="577"/>
      <c r="BY798" s="577"/>
      <c r="BZ798" s="547"/>
      <c r="CA798" s="533"/>
      <c r="CB798" s="577"/>
      <c r="CC798" s="783"/>
      <c r="CD798" s="533"/>
      <c r="CE798" s="533"/>
      <c r="CF798" s="577">
        <f>+CF792/CC792-1</f>
        <v>-0.5</v>
      </c>
      <c r="CG798" s="577">
        <f>+CG792/CF792-1</f>
        <v>-0.37179487179487181</v>
      </c>
      <c r="CH798" s="533"/>
      <c r="CI798" s="533"/>
      <c r="CJ798" s="577">
        <f>+CJ792/CG792-1</f>
        <v>-4.081632653061229E-2</v>
      </c>
      <c r="CK798" s="577">
        <f>+CK792/CJ792-1</f>
        <v>-0.34042553191489366</v>
      </c>
      <c r="CL798" s="533"/>
      <c r="CM798" s="533"/>
      <c r="CN798" s="577">
        <f>+CN792/CK792-1</f>
        <v>0.67741935483870974</v>
      </c>
      <c r="CO798" s="577">
        <f>+CO792/CN792-1</f>
        <v>0.11538461538461542</v>
      </c>
      <c r="CP798" s="533"/>
      <c r="CQ798" s="533"/>
      <c r="CR798" s="577">
        <f>+CR792/CO792-1</f>
        <v>-5.1724137931034475E-2</v>
      </c>
      <c r="CS798" s="577">
        <f>+CS792/CR792-1</f>
        <v>0.54545454545454541</v>
      </c>
      <c r="CT798" s="533"/>
      <c r="CU798" s="533"/>
      <c r="CV798" s="577">
        <f>+CV792/CS792-1</f>
        <v>-0.3529411764705882</v>
      </c>
      <c r="CW798" s="577">
        <f>+CW792/CV792-1</f>
        <v>-3.6363636363636376E-2</v>
      </c>
      <c r="CX798" s="533"/>
      <c r="CY798" s="533"/>
      <c r="CZ798" s="577">
        <f>+CZ792/CW792-1</f>
        <v>-9.4339622641509413E-2</v>
      </c>
      <c r="DA798" s="577">
        <f>+DA792/CZ792-1</f>
        <v>0.54166666666666674</v>
      </c>
      <c r="DB798" s="533"/>
      <c r="DC798" s="533"/>
      <c r="DD798" s="577">
        <f>+DD792/DA792-1</f>
        <v>-0.3783783783783784</v>
      </c>
      <c r="DE798" s="577">
        <f>+DE792/DD792-1</f>
        <v>6.5217391304347894E-2</v>
      </c>
      <c r="DF798" s="533"/>
      <c r="DG798" s="533"/>
      <c r="DH798" s="783">
        <v>0.01</v>
      </c>
      <c r="DI798" s="783">
        <v>0.01</v>
      </c>
      <c r="DJ798" s="533"/>
      <c r="DK798" s="533"/>
      <c r="DL798" s="783">
        <v>0.01</v>
      </c>
      <c r="DM798" s="783">
        <v>0.01</v>
      </c>
      <c r="DN798" s="533"/>
      <c r="DO798" s="533"/>
      <c r="DP798" s="783">
        <v>0.01</v>
      </c>
      <c r="DQ798" s="783">
        <v>0.01</v>
      </c>
      <c r="DR798" s="533"/>
      <c r="DS798" s="533"/>
      <c r="DT798" s="533"/>
      <c r="DU798" s="533"/>
      <c r="DV798" s="533"/>
    </row>
    <row r="799" spans="1:128" s="20" customFormat="1" ht="13.8">
      <c r="A799" s="331" t="s">
        <v>97</v>
      </c>
      <c r="B799" s="49"/>
      <c r="BH799" s="49"/>
      <c r="BI799" s="97">
        <f>+BI793/BH793-1</f>
        <v>4.7138047138047146E-2</v>
      </c>
      <c r="BJ799" s="27"/>
      <c r="BK799" s="27"/>
      <c r="BL799" s="97">
        <f>+BL793/BI793-1</f>
        <v>-8.0385852090032461E-3</v>
      </c>
      <c r="BM799" s="97">
        <f>+BM793/BL793-1</f>
        <v>7.9416531604538099E-2</v>
      </c>
      <c r="BN799" s="27"/>
      <c r="BO799" s="27"/>
      <c r="BP799" s="97">
        <f>+BP793/BM793-1</f>
        <v>9.9099099099099197E-2</v>
      </c>
      <c r="BQ799" s="97">
        <f>+BQ793/BP793-1</f>
        <v>5.464480874316946E-2</v>
      </c>
      <c r="BR799" s="27"/>
      <c r="BT799" s="97">
        <f>+BT793/BQ793-1</f>
        <v>-1.2953367875647714E-3</v>
      </c>
      <c r="BU799" s="97">
        <f>+BU793/BT793-1</f>
        <v>-3.1128404669260701E-2</v>
      </c>
      <c r="BV799" s="27"/>
      <c r="BX799" s="97">
        <f>+BX793/BU793-1</f>
        <v>-0.5381526104417671</v>
      </c>
      <c r="BY799" s="97">
        <f>+BY793/BX793-1</f>
        <v>-6.3768115942029024E-2</v>
      </c>
      <c r="BZ799" s="27"/>
      <c r="CB799" s="97">
        <f>+CB793/BY793-1</f>
        <v>-0.60990712074303399</v>
      </c>
      <c r="CC799" s="97">
        <f>+CC793/CB793-1</f>
        <v>7.9365079365079083E-3</v>
      </c>
      <c r="CD799" s="21"/>
      <c r="CF799" s="97">
        <f>+CF793/CC793-1</f>
        <v>-0.44881889763779526</v>
      </c>
      <c r="CG799" s="97">
        <f>+CG793/CF793-1</f>
        <v>-0.30000000000000004</v>
      </c>
      <c r="CH799" s="21"/>
      <c r="CJ799" s="97">
        <f>+CJ793/CG793-1</f>
        <v>-4.081632653061229E-2</v>
      </c>
      <c r="CK799" s="97">
        <f>+CK793/CJ793-1</f>
        <v>-0.34042553191489366</v>
      </c>
      <c r="CL799" s="21"/>
      <c r="CN799" s="97">
        <f>+CN793/CK793-1</f>
        <v>0.67741935483870974</v>
      </c>
      <c r="CO799" s="97">
        <f>+CO793/CN793-1</f>
        <v>0.11538461538461542</v>
      </c>
      <c r="CP799" s="21"/>
      <c r="CR799" s="97">
        <f>+CR793/CO793-1</f>
        <v>-5.1724137931034475E-2</v>
      </c>
      <c r="CS799" s="97">
        <f>+CS793/CR793-1</f>
        <v>0.54545454545454541</v>
      </c>
      <c r="CT799" s="21"/>
      <c r="CV799" s="97">
        <f>+CV793/CS793-1</f>
        <v>-0.3529411764705882</v>
      </c>
      <c r="CW799" s="97">
        <f>+CW793/CV793-1</f>
        <v>-3.6363636363636376E-2</v>
      </c>
      <c r="CX799" s="21"/>
      <c r="CZ799" s="97">
        <f>+CZ793/CW793-1</f>
        <v>-9.4339622641509413E-2</v>
      </c>
      <c r="DA799" s="97">
        <f>+DA793/CZ793-1</f>
        <v>0.54166666666666674</v>
      </c>
      <c r="DB799" s="21"/>
      <c r="DD799" s="97">
        <f>+DD793/DA793-1</f>
        <v>-0.3783783783783784</v>
      </c>
      <c r="DE799" s="97">
        <f>+DE793/DD793-1</f>
        <v>6.5217391304347894E-2</v>
      </c>
      <c r="DF799" s="21"/>
      <c r="DH799" s="97">
        <f>+DH793/DE793-1</f>
        <v>1.0000000000000009E-2</v>
      </c>
      <c r="DI799" s="97">
        <f>+DI793/DH793-1</f>
        <v>1.0000000000000009E-2</v>
      </c>
      <c r="DJ799" s="21"/>
      <c r="DL799" s="97">
        <f>+DL793/DI793-1</f>
        <v>1.0000000000000009E-2</v>
      </c>
      <c r="DM799" s="97">
        <f>+DM793/DL793-1</f>
        <v>1.0000000000000009E-2</v>
      </c>
      <c r="DN799" s="21"/>
      <c r="DP799" s="97">
        <f>+DP793/DM793-1</f>
        <v>1.0000000000000009E-2</v>
      </c>
      <c r="DQ799" s="97">
        <f>+DQ793/DP793-1</f>
        <v>1.0000000000000009E-2</v>
      </c>
      <c r="DR799" s="21"/>
    </row>
    <row r="800" spans="1:128" s="20" customFormat="1" ht="13.8">
      <c r="A800" s="61"/>
      <c r="B800" s="49"/>
      <c r="BH800" s="49"/>
      <c r="BI800" s="49"/>
      <c r="BJ800" s="49"/>
      <c r="BK800" s="49"/>
      <c r="BL800" s="49"/>
      <c r="BM800" s="49"/>
      <c r="BN800" s="49"/>
      <c r="BO800" s="49"/>
      <c r="BP800" s="49"/>
      <c r="BQ800" s="49"/>
      <c r="BR800" s="49"/>
      <c r="BT800" s="49"/>
      <c r="BU800" s="49"/>
      <c r="BV800" s="49"/>
      <c r="BX800" s="49"/>
      <c r="BY800" s="49"/>
      <c r="BZ800" s="49"/>
      <c r="CB800" s="49"/>
      <c r="CF800" s="49"/>
      <c r="CJ800" s="49"/>
      <c r="CN800" s="49"/>
      <c r="CR800" s="49"/>
      <c r="CV800" s="49"/>
      <c r="CZ800" s="49"/>
      <c r="DD800" s="49"/>
      <c r="DH800" s="49"/>
      <c r="DL800" s="49"/>
      <c r="DP800" s="49"/>
    </row>
    <row r="801" spans="1:128" s="21" customFormat="1" ht="13.8">
      <c r="B801" s="27"/>
      <c r="BH801" s="98"/>
      <c r="BI801" s="98"/>
      <c r="BJ801" s="72"/>
      <c r="BK801" s="98"/>
      <c r="BL801" s="98"/>
      <c r="BM801" s="98"/>
      <c r="BN801" s="72"/>
      <c r="BO801" s="98"/>
      <c r="BP801" s="98"/>
      <c r="BQ801" s="98"/>
      <c r="BR801" s="72"/>
      <c r="BT801" s="98"/>
      <c r="BU801" s="98"/>
      <c r="BV801" s="72"/>
      <c r="BX801" s="98"/>
      <c r="BY801" s="98"/>
      <c r="BZ801" s="72"/>
      <c r="CB801" s="98"/>
      <c r="CC801" s="72"/>
      <c r="CD801" s="72"/>
      <c r="CF801" s="98"/>
      <c r="CG801" s="72"/>
      <c r="CH801" s="72"/>
      <c r="CJ801" s="72"/>
      <c r="CK801" s="72"/>
      <c r="CL801" s="72"/>
      <c r="CN801" s="72"/>
      <c r="CO801" s="72"/>
      <c r="CP801" s="72"/>
      <c r="CR801" s="72"/>
      <c r="CS801" s="72"/>
      <c r="CT801" s="72"/>
      <c r="CV801" s="72"/>
      <c r="CW801" s="72"/>
      <c r="CX801" s="72"/>
      <c r="CZ801" s="72"/>
      <c r="DA801" s="72"/>
      <c r="DB801" s="72"/>
      <c r="DD801" s="72"/>
      <c r="DE801" s="72"/>
      <c r="DF801" s="72"/>
      <c r="DH801" s="72"/>
      <c r="DI801" s="72"/>
      <c r="DJ801" s="72"/>
      <c r="DL801" s="72"/>
      <c r="DM801" s="72"/>
      <c r="DN801" s="72"/>
      <c r="DP801" s="72"/>
      <c r="DQ801" s="72"/>
      <c r="DR801" s="72"/>
      <c r="DW801" s="20"/>
      <c r="DX801" s="20"/>
    </row>
    <row r="802" spans="1:128" s="21" customFormat="1" ht="13.8">
      <c r="A802" s="21" t="s">
        <v>470</v>
      </c>
      <c r="B802" s="49"/>
      <c r="C802" s="20"/>
      <c r="D802" s="20"/>
      <c r="E802" s="20"/>
      <c r="F802" s="20"/>
      <c r="G802" s="20"/>
      <c r="H802" s="20"/>
      <c r="I802" s="20"/>
      <c r="J802" s="20"/>
      <c r="K802" s="20"/>
      <c r="L802" s="20"/>
      <c r="M802" s="20"/>
      <c r="N802" s="20"/>
      <c r="O802" s="20"/>
      <c r="P802" s="20"/>
      <c r="Q802" s="20"/>
      <c r="R802" s="20"/>
      <c r="S802" s="20"/>
      <c r="T802" s="20"/>
      <c r="U802" s="20"/>
      <c r="V802" s="20"/>
      <c r="W802" s="20"/>
      <c r="X802" s="20"/>
      <c r="Y802" s="20"/>
      <c r="Z802" s="20"/>
      <c r="AA802" s="20"/>
      <c r="AB802" s="20"/>
      <c r="AC802" s="20"/>
      <c r="AD802" s="20"/>
      <c r="AE802" s="20"/>
      <c r="AF802" s="20"/>
      <c r="AG802" s="20"/>
      <c r="AH802" s="20"/>
      <c r="AI802" s="20"/>
      <c r="AJ802" s="20"/>
      <c r="AK802" s="20"/>
      <c r="AL802" s="20"/>
      <c r="AM802" s="20"/>
      <c r="AN802" s="20"/>
      <c r="AO802" s="20"/>
      <c r="AP802" s="20"/>
      <c r="AQ802" s="20"/>
      <c r="AR802" s="20"/>
      <c r="AS802" s="20"/>
      <c r="AT802" s="20"/>
      <c r="AU802" s="20"/>
      <c r="AV802" s="20"/>
      <c r="AW802" s="20"/>
      <c r="AX802" s="20"/>
      <c r="AY802" s="20"/>
      <c r="AZ802" s="20"/>
      <c r="BA802" s="20"/>
      <c r="BB802" s="20"/>
      <c r="BC802" s="20"/>
      <c r="BD802" s="20"/>
      <c r="BE802" s="20"/>
      <c r="BF802" s="20"/>
      <c r="BG802" s="20"/>
      <c r="BH802" s="96"/>
      <c r="BI802" s="96"/>
      <c r="BJ802" s="376"/>
      <c r="BK802" s="376"/>
      <c r="BL802" s="376"/>
      <c r="BM802" s="96"/>
      <c r="BN802" s="376"/>
      <c r="BO802" s="376"/>
      <c r="BP802" s="376"/>
      <c r="BQ802" s="96"/>
      <c r="BR802" s="376"/>
      <c r="BS802" s="20"/>
      <c r="BT802" s="376"/>
      <c r="BU802" s="96"/>
      <c r="BV802" s="376"/>
      <c r="BW802" s="20"/>
      <c r="BX802" s="376"/>
      <c r="BY802" s="96"/>
      <c r="BZ802" s="376"/>
      <c r="CA802" s="20"/>
      <c r="CB802" s="376"/>
      <c r="CC802" s="377"/>
      <c r="CD802" s="49"/>
      <c r="CE802" s="20"/>
      <c r="CF802" s="376"/>
      <c r="CG802" s="377"/>
      <c r="CH802" s="49"/>
      <c r="CI802" s="20"/>
      <c r="CJ802" s="377"/>
      <c r="CK802" s="377"/>
      <c r="CL802" s="49"/>
      <c r="CM802" s="20"/>
      <c r="CN802" s="377"/>
      <c r="CO802" s="377"/>
      <c r="CP802" s="49"/>
      <c r="CQ802" s="20"/>
      <c r="CR802" s="377"/>
      <c r="CS802" s="377"/>
      <c r="CT802" s="49"/>
      <c r="CU802" s="20"/>
      <c r="CV802" s="377"/>
      <c r="CW802" s="377"/>
      <c r="CX802" s="49"/>
      <c r="CY802" s="20"/>
      <c r="CZ802" s="377"/>
      <c r="DA802" s="377"/>
      <c r="DB802" s="49"/>
      <c r="DC802" s="20"/>
      <c r="DD802" s="377"/>
      <c r="DE802" s="377"/>
      <c r="DF802" s="49"/>
      <c r="DG802" s="20"/>
      <c r="DH802" s="377"/>
      <c r="DI802" s="377"/>
      <c r="DJ802" s="49"/>
      <c r="DK802" s="20"/>
      <c r="DL802" s="377"/>
      <c r="DM802" s="377"/>
      <c r="DN802" s="49"/>
      <c r="DO802" s="20"/>
      <c r="DP802" s="377"/>
      <c r="DQ802" s="377"/>
      <c r="DR802" s="49"/>
      <c r="DS802" s="20"/>
      <c r="DT802" s="20"/>
      <c r="DU802" s="20"/>
      <c r="DV802" s="20"/>
      <c r="DW802" s="20"/>
      <c r="DX802" s="20"/>
    </row>
    <row r="803" spans="1:128" s="21" customFormat="1" ht="13.8">
      <c r="A803" s="20" t="s">
        <v>199</v>
      </c>
      <c r="B803" s="49"/>
      <c r="C803" s="20"/>
      <c r="D803" s="20"/>
      <c r="E803" s="20"/>
      <c r="F803" s="20"/>
      <c r="G803" s="20"/>
      <c r="H803" s="20"/>
      <c r="I803" s="20"/>
      <c r="J803" s="20"/>
      <c r="K803" s="20"/>
      <c r="L803" s="20"/>
      <c r="M803" s="20"/>
      <c r="N803" s="20"/>
      <c r="O803" s="20"/>
      <c r="P803" s="20"/>
      <c r="Q803" s="20"/>
      <c r="R803" s="20"/>
      <c r="S803" s="20"/>
      <c r="T803" s="20"/>
      <c r="U803" s="20"/>
      <c r="V803" s="20"/>
      <c r="W803" s="20"/>
      <c r="X803" s="20"/>
      <c r="Y803" s="20"/>
      <c r="Z803" s="20"/>
      <c r="AA803" s="20"/>
      <c r="AB803" s="20"/>
      <c r="AC803" s="20"/>
      <c r="AD803" s="20"/>
      <c r="AE803" s="20"/>
      <c r="AF803" s="20"/>
      <c r="AG803" s="20"/>
      <c r="AH803" s="20"/>
      <c r="AI803" s="20"/>
      <c r="AJ803" s="20"/>
      <c r="AK803" s="20"/>
      <c r="AL803" s="20"/>
      <c r="AM803" s="20"/>
      <c r="AN803" s="20"/>
      <c r="AO803" s="20"/>
      <c r="AP803" s="20"/>
      <c r="AQ803" s="20"/>
      <c r="AR803" s="20"/>
      <c r="AS803" s="20"/>
      <c r="AT803" s="20"/>
      <c r="AU803" s="20"/>
      <c r="AV803" s="20"/>
      <c r="AW803" s="20"/>
      <c r="AX803" s="20"/>
      <c r="AY803" s="20"/>
      <c r="AZ803" s="20"/>
      <c r="BA803" s="20"/>
      <c r="BB803" s="20"/>
      <c r="BC803" s="20"/>
      <c r="BD803" s="20"/>
      <c r="BE803" s="20"/>
      <c r="BF803" s="20"/>
      <c r="BG803" s="20"/>
      <c r="BH803" s="66">
        <f>BH790*(BH$4/BH$3)/BH805</f>
        <v>2.4494934581747313E-3</v>
      </c>
      <c r="BI803" s="66">
        <f>BI790*(BI$4/BI$3)/BI805</f>
        <v>2.4707998361052225E-3</v>
      </c>
      <c r="BJ803" s="66">
        <f>BJ790*(BJ$4/BJ$3)/BJ805</f>
        <v>2.4606971975393026E-3</v>
      </c>
      <c r="BK803" s="376"/>
      <c r="BL803" s="66">
        <f>BL790*(BL$4/BL$3)/BL805</f>
        <v>2.4840151921008045E-3</v>
      </c>
      <c r="BM803" s="66">
        <f>BM790*(BM$4/BM$3)/BM805</f>
        <v>2.9545819688848556E-3</v>
      </c>
      <c r="BN803" s="66">
        <f>BN790*(BN$4/BN$3)/BN805</f>
        <v>2.7230184741313247E-3</v>
      </c>
      <c r="BO803" s="376"/>
      <c r="BP803" s="66">
        <f>BP790*(BP$4/BP$3)/BP805</f>
        <v>3.6003615667780332E-3</v>
      </c>
      <c r="BQ803" s="66">
        <f>BQ790*(BQ$4/BQ$3)/BQ805</f>
        <v>3.9894878504148426E-3</v>
      </c>
      <c r="BR803" s="66">
        <f>BR790*(BR$4/BR$3)/BR805</f>
        <v>3.7991611452191354E-3</v>
      </c>
      <c r="BS803" s="20"/>
      <c r="BT803" s="66">
        <f>BT790*(BT$4/BT$3)/BT805</f>
        <v>6.9695479915555681E-3</v>
      </c>
      <c r="BU803" s="66">
        <f>BU790*(BU$4/BU$3)/BU805</f>
        <v>6.6436905701116973E-3</v>
      </c>
      <c r="BV803" s="66">
        <f>BV790*(BV$4/BV$3)/BV805</f>
        <v>6.8037795632001812E-3</v>
      </c>
      <c r="BW803" s="20"/>
      <c r="BX803" s="66">
        <f>BX790*(BX$4/BX$3)/BX805</f>
        <v>0</v>
      </c>
      <c r="BY803" s="66">
        <f>BY790*(BY$4/BY$3)/BY805</f>
        <v>0</v>
      </c>
      <c r="BZ803" s="66">
        <f>BZ790*(BZ$4/BZ$3)/BZ805</f>
        <v>0</v>
      </c>
      <c r="CA803" s="20"/>
      <c r="CB803" s="66">
        <f>CB790*(CB$4/CB$3)/CB805</f>
        <v>0</v>
      </c>
      <c r="CC803" s="66"/>
      <c r="CD803" s="66"/>
      <c r="CE803" s="20"/>
      <c r="CF803" s="66"/>
      <c r="CG803" s="66"/>
      <c r="CH803" s="66"/>
      <c r="CI803" s="20"/>
      <c r="CJ803" s="66"/>
      <c r="CK803" s="66"/>
      <c r="CL803" s="66"/>
      <c r="CM803" s="20"/>
      <c r="CN803" s="66"/>
      <c r="CO803" s="66"/>
      <c r="CP803" s="66"/>
      <c r="CQ803" s="20"/>
      <c r="CR803" s="66"/>
      <c r="CS803" s="66"/>
      <c r="CT803" s="66"/>
      <c r="CU803" s="20"/>
      <c r="CV803" s="66"/>
      <c r="CW803" s="66"/>
      <c r="CX803" s="66"/>
      <c r="CY803" s="20"/>
      <c r="CZ803" s="66"/>
      <c r="DA803" s="66"/>
      <c r="DB803" s="66"/>
      <c r="DC803" s="20"/>
      <c r="DD803" s="66"/>
      <c r="DE803" s="66"/>
      <c r="DF803" s="66"/>
      <c r="DG803" s="20"/>
      <c r="DH803" s="66"/>
      <c r="DI803" s="66"/>
      <c r="DJ803" s="66"/>
      <c r="DK803" s="20"/>
      <c r="DL803" s="66"/>
      <c r="DM803" s="66"/>
      <c r="DN803" s="66"/>
      <c r="DO803" s="20"/>
      <c r="DP803" s="66"/>
      <c r="DQ803" s="66"/>
      <c r="DR803" s="66"/>
      <c r="DS803" s="20"/>
      <c r="DT803" s="20"/>
      <c r="DU803" s="20"/>
      <c r="DV803" s="20"/>
      <c r="DW803" s="20"/>
      <c r="DX803" s="20"/>
    </row>
    <row r="804" spans="1:128" s="21" customFormat="1" ht="13.8">
      <c r="A804" s="335" t="s">
        <v>217</v>
      </c>
      <c r="B804" s="324"/>
      <c r="C804" s="325"/>
      <c r="D804" s="325"/>
      <c r="E804" s="325"/>
      <c r="F804" s="325"/>
      <c r="G804" s="325"/>
      <c r="H804" s="325"/>
      <c r="I804" s="325"/>
      <c r="J804" s="325"/>
      <c r="K804" s="325"/>
      <c r="L804" s="325"/>
      <c r="M804" s="325"/>
      <c r="N804" s="325"/>
      <c r="O804" s="325"/>
      <c r="P804" s="325"/>
      <c r="Q804" s="325"/>
      <c r="R804" s="325"/>
      <c r="S804" s="325"/>
      <c r="T804" s="325"/>
      <c r="U804" s="325"/>
      <c r="V804" s="325"/>
      <c r="W804" s="325"/>
      <c r="X804" s="325"/>
      <c r="Y804" s="325"/>
      <c r="Z804" s="325"/>
      <c r="AA804" s="325"/>
      <c r="AB804" s="325"/>
      <c r="AC804" s="325"/>
      <c r="AD804" s="325"/>
      <c r="AE804" s="325"/>
      <c r="AF804" s="325"/>
      <c r="AG804" s="325"/>
      <c r="AH804" s="325"/>
      <c r="AI804" s="325"/>
      <c r="AJ804" s="325"/>
      <c r="AK804" s="325"/>
      <c r="AL804" s="325"/>
      <c r="AM804" s="325"/>
      <c r="AN804" s="325"/>
      <c r="AO804" s="325"/>
      <c r="AP804" s="325"/>
      <c r="AQ804" s="325"/>
      <c r="AR804" s="325"/>
      <c r="AS804" s="325"/>
      <c r="AT804" s="325"/>
      <c r="AU804" s="325"/>
      <c r="AV804" s="325"/>
      <c r="AW804" s="325"/>
      <c r="AX804" s="325"/>
      <c r="AY804" s="325"/>
      <c r="AZ804" s="325"/>
      <c r="BA804" s="325"/>
      <c r="BB804" s="325"/>
      <c r="BC804" s="325"/>
      <c r="BD804" s="325"/>
      <c r="BE804" s="325"/>
      <c r="BF804" s="325"/>
      <c r="BG804" s="325"/>
      <c r="BH804" s="324"/>
      <c r="BI804" s="369">
        <f>+BI803-BH803</f>
        <v>2.1306377930491172E-5</v>
      </c>
      <c r="BJ804" s="324"/>
      <c r="BK804" s="324"/>
      <c r="BL804" s="369">
        <f>+BL803-BI803</f>
        <v>1.3215355995581986E-5</v>
      </c>
      <c r="BM804" s="369">
        <f>+BM803-BL803</f>
        <v>4.705667767840511E-4</v>
      </c>
      <c r="BN804" s="324"/>
      <c r="BO804" s="324"/>
      <c r="BP804" s="369">
        <f>+BP803-BM803</f>
        <v>6.4577959789317765E-4</v>
      </c>
      <c r="BQ804" s="369">
        <f>+BQ803-BP803</f>
        <v>3.8912628363680941E-4</v>
      </c>
      <c r="BR804" s="324"/>
      <c r="BS804" s="325"/>
      <c r="BT804" s="369">
        <f>+BT803-BQ803</f>
        <v>2.9800601411407255E-3</v>
      </c>
      <c r="BU804" s="369">
        <f>+BU803-BT803</f>
        <v>-3.2585742144387083E-4</v>
      </c>
      <c r="BV804" s="324"/>
      <c r="BW804" s="325"/>
      <c r="BX804" s="369">
        <f>+BX803-BU803</f>
        <v>-6.6436905701116973E-3</v>
      </c>
      <c r="BY804" s="369">
        <f>+BY803-BX803</f>
        <v>0</v>
      </c>
      <c r="BZ804" s="324"/>
      <c r="CA804" s="325"/>
      <c r="CB804" s="369">
        <f>+CB803-BY803</f>
        <v>0</v>
      </c>
      <c r="CC804" s="370"/>
      <c r="CD804" s="324"/>
      <c r="CE804" s="325"/>
      <c r="CF804" s="369"/>
      <c r="CG804" s="370"/>
      <c r="CH804" s="324"/>
      <c r="CI804" s="325"/>
      <c r="CJ804" s="370"/>
      <c r="CK804" s="370"/>
      <c r="CL804" s="324"/>
      <c r="CM804" s="325"/>
      <c r="CN804" s="370"/>
      <c r="CO804" s="370"/>
      <c r="CP804" s="324"/>
      <c r="CQ804" s="325"/>
      <c r="CR804" s="370"/>
      <c r="CS804" s="370"/>
      <c r="CT804" s="324"/>
      <c r="CU804" s="325"/>
      <c r="CV804" s="370"/>
      <c r="CW804" s="370"/>
      <c r="CX804" s="324"/>
      <c r="CY804" s="325"/>
      <c r="CZ804" s="370"/>
      <c r="DA804" s="370"/>
      <c r="DB804" s="324"/>
      <c r="DC804" s="325"/>
      <c r="DD804" s="370"/>
      <c r="DE804" s="370"/>
      <c r="DF804" s="324"/>
      <c r="DG804" s="325"/>
      <c r="DH804" s="370"/>
      <c r="DI804" s="370"/>
      <c r="DJ804" s="324"/>
      <c r="DK804" s="325"/>
      <c r="DL804" s="370"/>
      <c r="DM804" s="370"/>
      <c r="DN804" s="324"/>
      <c r="DO804" s="325"/>
      <c r="DP804" s="370"/>
      <c r="DQ804" s="370"/>
      <c r="DR804" s="324"/>
      <c r="DS804" s="325"/>
      <c r="DT804" s="325"/>
      <c r="DU804" s="325"/>
      <c r="DV804" s="325"/>
      <c r="DW804" s="20"/>
      <c r="DX804" s="20"/>
    </row>
    <row r="805" spans="1:128" s="21" customFormat="1" ht="13.8">
      <c r="A805" s="21" t="s">
        <v>210</v>
      </c>
      <c r="B805" s="27"/>
      <c r="BH805" s="65">
        <f>BH816</f>
        <v>53218</v>
      </c>
      <c r="BI805" s="65">
        <f>BI816</f>
        <v>56507</v>
      </c>
      <c r="BJ805" s="65">
        <f>BJ816</f>
        <v>54862.5</v>
      </c>
      <c r="BK805" s="98"/>
      <c r="BL805" s="65">
        <f>BL816</f>
        <v>60552</v>
      </c>
      <c r="BM805" s="65">
        <f>BM816</f>
        <v>62106</v>
      </c>
      <c r="BN805" s="65">
        <f>BN816</f>
        <v>61329</v>
      </c>
      <c r="BO805" s="98"/>
      <c r="BP805" s="65">
        <f>BP816</f>
        <v>64615</v>
      </c>
      <c r="BQ805" s="65">
        <f>BQ816</f>
        <v>66993</v>
      </c>
      <c r="BR805" s="65">
        <f>BR816</f>
        <v>65804</v>
      </c>
      <c r="BT805" s="65">
        <f>BT816</f>
        <v>69158</v>
      </c>
      <c r="BU805" s="65">
        <f>BU816</f>
        <v>72249</v>
      </c>
      <c r="BV805" s="65">
        <f>BV816</f>
        <v>70696</v>
      </c>
      <c r="BX805" s="65">
        <f>BX816</f>
        <v>47400</v>
      </c>
      <c r="BY805" s="65">
        <f>BY816</f>
        <v>47400</v>
      </c>
      <c r="BZ805" s="65">
        <f>BZ816</f>
        <v>70696</v>
      </c>
      <c r="CB805" s="65">
        <f>CB816</f>
        <v>47700</v>
      </c>
      <c r="CC805" s="65"/>
      <c r="CD805" s="65"/>
      <c r="CF805" s="65"/>
      <c r="CG805" s="65"/>
      <c r="CH805" s="65"/>
      <c r="CJ805" s="65"/>
      <c r="CK805" s="65"/>
      <c r="CL805" s="65"/>
      <c r="CN805" s="65"/>
      <c r="CO805" s="65"/>
      <c r="CP805" s="65"/>
      <c r="CR805" s="65"/>
      <c r="CS805" s="65"/>
      <c r="CT805" s="65"/>
      <c r="CV805" s="65"/>
      <c r="CW805" s="65"/>
      <c r="CX805" s="65"/>
      <c r="CZ805" s="65"/>
      <c r="DA805" s="65"/>
      <c r="DB805" s="65"/>
      <c r="DD805" s="65"/>
      <c r="DE805" s="65"/>
      <c r="DF805" s="65"/>
      <c r="DH805" s="65"/>
      <c r="DI805" s="65"/>
      <c r="DJ805" s="65"/>
      <c r="DL805" s="65"/>
      <c r="DM805" s="65"/>
      <c r="DN805" s="65"/>
      <c r="DP805" s="65"/>
      <c r="DQ805" s="65"/>
      <c r="DR805" s="65"/>
      <c r="DW805" s="20"/>
      <c r="DX805" s="20"/>
    </row>
    <row r="806" spans="1:128" s="21" customFormat="1" ht="13.8">
      <c r="B806" s="27"/>
      <c r="BH806" s="65"/>
      <c r="BI806" s="65"/>
      <c r="BJ806" s="65"/>
      <c r="BK806" s="98"/>
      <c r="BL806" s="65"/>
      <c r="BM806" s="65"/>
      <c r="BN806" s="65"/>
      <c r="BO806" s="98"/>
      <c r="BP806" s="65"/>
      <c r="BQ806" s="65"/>
      <c r="BR806" s="65"/>
      <c r="BT806" s="65"/>
      <c r="BU806" s="65"/>
      <c r="BV806" s="65"/>
      <c r="BX806" s="65"/>
      <c r="BY806" s="65"/>
      <c r="BZ806" s="65"/>
      <c r="CB806" s="65"/>
      <c r="CC806" s="65"/>
      <c r="CD806" s="65"/>
      <c r="CF806" s="65"/>
      <c r="CG806" s="65"/>
      <c r="CH806" s="65"/>
      <c r="CJ806" s="65"/>
      <c r="CK806" s="65"/>
      <c r="CL806" s="65"/>
      <c r="CN806" s="65"/>
      <c r="CO806" s="65"/>
      <c r="CP806" s="65"/>
      <c r="CR806" s="65"/>
      <c r="CS806" s="65"/>
      <c r="CT806" s="65"/>
      <c r="CV806" s="65"/>
      <c r="CW806" s="65"/>
      <c r="CX806" s="65"/>
      <c r="CZ806" s="65"/>
      <c r="DA806" s="65"/>
      <c r="DB806" s="65"/>
      <c r="DD806" s="65"/>
      <c r="DE806" s="65"/>
      <c r="DF806" s="65"/>
      <c r="DH806" s="65"/>
      <c r="DI806" s="65"/>
      <c r="DJ806" s="65"/>
      <c r="DL806" s="65"/>
      <c r="DM806" s="65"/>
      <c r="DN806" s="65"/>
      <c r="DP806" s="65"/>
      <c r="DQ806" s="65"/>
      <c r="DR806" s="65"/>
      <c r="DW806" s="20"/>
      <c r="DX806" s="20"/>
    </row>
    <row r="807" spans="1:128" s="20" customFormat="1" ht="13.8">
      <c r="A807" s="20" t="s">
        <v>212</v>
      </c>
      <c r="B807" s="49"/>
      <c r="BH807" s="67">
        <v>51667</v>
      </c>
      <c r="BI807" s="65">
        <f>BH811</f>
        <v>54805</v>
      </c>
      <c r="BJ807" s="65">
        <f>BH807</f>
        <v>51667</v>
      </c>
      <c r="BK807" s="49"/>
      <c r="BL807" s="65">
        <f>BI811</f>
        <v>58578</v>
      </c>
      <c r="BM807" s="65">
        <f>BL811</f>
        <v>61652</v>
      </c>
      <c r="BN807" s="65">
        <f>BL807</f>
        <v>58578</v>
      </c>
      <c r="BO807" s="49"/>
      <c r="BP807" s="65">
        <f>BM811</f>
        <v>61411</v>
      </c>
      <c r="BQ807" s="65">
        <f>BP811</f>
        <v>68405</v>
      </c>
      <c r="BR807" s="65">
        <f>BP807</f>
        <v>61411</v>
      </c>
      <c r="BT807" s="65"/>
      <c r="BU807" s="65"/>
      <c r="BV807" s="65"/>
      <c r="BX807" s="65"/>
      <c r="BY807" s="65"/>
      <c r="BZ807" s="65"/>
      <c r="CB807" s="65"/>
      <c r="CC807" s="65"/>
      <c r="CD807" s="65"/>
      <c r="CF807" s="65"/>
      <c r="CG807" s="65"/>
      <c r="CH807" s="65"/>
      <c r="CJ807" s="65"/>
      <c r="CK807" s="65"/>
      <c r="CL807" s="65"/>
      <c r="CN807" s="65"/>
      <c r="CO807" s="65"/>
      <c r="CP807" s="65"/>
      <c r="CR807" s="65"/>
      <c r="CS807" s="65"/>
      <c r="CT807" s="65"/>
      <c r="CV807" s="65"/>
      <c r="CW807" s="65"/>
      <c r="CX807" s="65"/>
      <c r="CZ807" s="65"/>
      <c r="DA807" s="65"/>
      <c r="DB807" s="65"/>
      <c r="DD807" s="65"/>
      <c r="DE807" s="65"/>
      <c r="DF807" s="65"/>
      <c r="DH807" s="65"/>
      <c r="DI807" s="65"/>
      <c r="DJ807" s="65"/>
      <c r="DL807" s="65"/>
      <c r="DM807" s="65"/>
      <c r="DN807" s="65"/>
      <c r="DP807" s="65"/>
      <c r="DQ807" s="65"/>
      <c r="DR807" s="65"/>
    </row>
    <row r="808" spans="1:128" s="20" customFormat="1" ht="13.8">
      <c r="A808" s="20" t="s">
        <v>99</v>
      </c>
      <c r="B808" s="49"/>
      <c r="BH808" s="67">
        <v>3477</v>
      </c>
      <c r="BI808" s="65">
        <f>BJ808-BH808</f>
        <v>4568</v>
      </c>
      <c r="BJ808" s="67">
        <v>8045</v>
      </c>
      <c r="BK808" s="49"/>
      <c r="BL808" s="67">
        <v>5166</v>
      </c>
      <c r="BM808" s="65">
        <f>BN808-BL808</f>
        <v>6025</v>
      </c>
      <c r="BN808" s="67">
        <v>11191</v>
      </c>
      <c r="BO808" s="49"/>
      <c r="BP808" s="67">
        <v>5903</v>
      </c>
      <c r="BQ808" s="65">
        <f>BR808-BP808</f>
        <v>6129</v>
      </c>
      <c r="BR808" s="67">
        <v>12032</v>
      </c>
      <c r="BT808" s="67"/>
      <c r="BU808" s="65"/>
      <c r="BV808" s="67"/>
      <c r="BX808" s="98" t="s">
        <v>903</v>
      </c>
      <c r="BY808" s="98" t="s">
        <v>903</v>
      </c>
      <c r="BZ808" s="67"/>
      <c r="CB808" s="98" t="s">
        <v>903</v>
      </c>
      <c r="CC808" s="98" t="s">
        <v>903</v>
      </c>
      <c r="CD808" s="65"/>
      <c r="CF808" s="98"/>
      <c r="CG808" s="98"/>
      <c r="CH808" s="65"/>
      <c r="CJ808" s="65"/>
      <c r="CK808" s="65"/>
      <c r="CL808" s="65"/>
      <c r="CN808" s="65"/>
      <c r="CO808" s="65"/>
      <c r="CP808" s="65"/>
      <c r="CR808" s="65"/>
      <c r="CS808" s="65"/>
      <c r="CT808" s="65"/>
      <c r="CV808" s="65"/>
      <c r="CW808" s="65"/>
      <c r="CX808" s="65"/>
      <c r="CZ808" s="65"/>
      <c r="DA808" s="65"/>
      <c r="DB808" s="65"/>
      <c r="DD808" s="65"/>
      <c r="DE808" s="65"/>
      <c r="DF808" s="65"/>
      <c r="DH808" s="65"/>
      <c r="DI808" s="65"/>
      <c r="DJ808" s="65"/>
      <c r="DL808" s="65"/>
      <c r="DM808" s="65"/>
      <c r="DN808" s="65"/>
      <c r="DP808" s="65"/>
      <c r="DQ808" s="65"/>
      <c r="DR808" s="65"/>
    </row>
    <row r="809" spans="1:128" s="20" customFormat="1" ht="13.8">
      <c r="A809" s="20" t="s">
        <v>100</v>
      </c>
      <c r="B809" s="49"/>
      <c r="BH809" s="67">
        <v>-3919</v>
      </c>
      <c r="BI809" s="65">
        <f>BJ809-BH809</f>
        <v>-4534</v>
      </c>
      <c r="BJ809" s="67">
        <v>-8453</v>
      </c>
      <c r="BK809" s="49"/>
      <c r="BL809" s="67">
        <v>-4480</v>
      </c>
      <c r="BM809" s="65">
        <f>BN809-BL809</f>
        <v>-4499</v>
      </c>
      <c r="BN809" s="67">
        <v>-8979</v>
      </c>
      <c r="BO809" s="49"/>
      <c r="BP809" s="67">
        <v>-5020</v>
      </c>
      <c r="BQ809" s="65">
        <f>BR809-BP809</f>
        <v>-5079</v>
      </c>
      <c r="BR809" s="67">
        <v>-10099</v>
      </c>
      <c r="BT809" s="67"/>
      <c r="BU809" s="65"/>
      <c r="BV809" s="67"/>
      <c r="BX809" s="67"/>
      <c r="BY809" s="65"/>
      <c r="BZ809" s="67"/>
      <c r="CB809" s="67"/>
      <c r="CC809" s="65"/>
      <c r="CD809" s="65"/>
      <c r="CF809" s="65"/>
      <c r="CG809" s="65"/>
      <c r="CH809" s="65"/>
      <c r="CJ809" s="65"/>
      <c r="CK809" s="65"/>
      <c r="CL809" s="65"/>
      <c r="CN809" s="65"/>
      <c r="CO809" s="65"/>
      <c r="CP809" s="65"/>
      <c r="CR809" s="65"/>
      <c r="CS809" s="65"/>
      <c r="CT809" s="65"/>
      <c r="CV809" s="65"/>
      <c r="CW809" s="65"/>
      <c r="CX809" s="65"/>
      <c r="CZ809" s="65"/>
      <c r="DA809" s="65"/>
      <c r="DB809" s="65"/>
      <c r="DD809" s="65"/>
      <c r="DE809" s="65"/>
      <c r="DF809" s="65"/>
      <c r="DH809" s="65"/>
      <c r="DI809" s="65"/>
      <c r="DJ809" s="65"/>
      <c r="DL809" s="65"/>
      <c r="DM809" s="65"/>
      <c r="DN809" s="65"/>
      <c r="DP809" s="65"/>
      <c r="DQ809" s="65"/>
      <c r="DR809" s="65"/>
    </row>
    <row r="810" spans="1:128" s="20" customFormat="1" ht="13.8">
      <c r="A810" s="20" t="s">
        <v>101</v>
      </c>
      <c r="B810" s="49"/>
      <c r="BH810" s="67">
        <v>3580</v>
      </c>
      <c r="BI810" s="65">
        <f>BJ810-BH810</f>
        <v>3739</v>
      </c>
      <c r="BJ810" s="67">
        <v>7319</v>
      </c>
      <c r="BK810" s="49"/>
      <c r="BL810" s="67">
        <v>2388</v>
      </c>
      <c r="BM810" s="65">
        <f>BN810-BL810</f>
        <v>-1767</v>
      </c>
      <c r="BN810" s="67">
        <v>621</v>
      </c>
      <c r="BO810" s="49"/>
      <c r="BP810" s="67">
        <v>6111</v>
      </c>
      <c r="BQ810" s="65">
        <f>BR810-BP810</f>
        <v>-4063</v>
      </c>
      <c r="BR810" s="67">
        <v>2048</v>
      </c>
      <c r="BT810" s="67"/>
      <c r="BU810" s="65"/>
      <c r="BV810" s="67"/>
      <c r="BX810" s="67"/>
      <c r="BY810" s="65"/>
      <c r="BZ810" s="67"/>
      <c r="CB810" s="67"/>
      <c r="CC810" s="65"/>
      <c r="CD810" s="65"/>
      <c r="CF810" s="65"/>
      <c r="CG810" s="65"/>
      <c r="CH810" s="65"/>
      <c r="CJ810" s="65"/>
      <c r="CK810" s="65"/>
      <c r="CL810" s="65"/>
      <c r="CN810" s="65"/>
      <c r="CO810" s="65"/>
      <c r="CP810" s="65"/>
      <c r="CR810" s="65"/>
      <c r="CS810" s="65"/>
      <c r="CT810" s="65"/>
      <c r="CV810" s="65"/>
      <c r="CW810" s="65"/>
      <c r="CX810" s="65"/>
      <c r="CZ810" s="65"/>
      <c r="DA810" s="65"/>
      <c r="DB810" s="65"/>
      <c r="DD810" s="65"/>
      <c r="DE810" s="65"/>
      <c r="DF810" s="65"/>
      <c r="DH810" s="65"/>
      <c r="DI810" s="65"/>
      <c r="DJ810" s="65"/>
      <c r="DL810" s="65"/>
      <c r="DM810" s="65"/>
      <c r="DN810" s="65"/>
      <c r="DP810" s="65"/>
      <c r="DQ810" s="65"/>
      <c r="DR810" s="65"/>
    </row>
    <row r="811" spans="1:128" s="21" customFormat="1" ht="13.8">
      <c r="A811" s="21" t="s">
        <v>211</v>
      </c>
      <c r="B811" s="27"/>
      <c r="BH811" s="72">
        <f>SUM(BH807:BH810)</f>
        <v>54805</v>
      </c>
      <c r="BI811" s="72">
        <f>SUM(BI807:BI810)</f>
        <v>58578</v>
      </c>
      <c r="BJ811" s="72">
        <f>SUM(BJ807:BJ810)</f>
        <v>58578</v>
      </c>
      <c r="BK811" s="27"/>
      <c r="BL811" s="72">
        <f>SUM(BL807:BL810)</f>
        <v>61652</v>
      </c>
      <c r="BM811" s="72">
        <f>SUM(BM807:BM810)</f>
        <v>61411</v>
      </c>
      <c r="BN811" s="72">
        <f>SUM(BN807:BN810)</f>
        <v>61411</v>
      </c>
      <c r="BO811" s="27"/>
      <c r="BP811" s="72">
        <f>SUM(BP807:BP810)</f>
        <v>68405</v>
      </c>
      <c r="BQ811" s="72">
        <f>SUM(BQ807:BQ810)</f>
        <v>65392</v>
      </c>
      <c r="BR811" s="72">
        <f>SUM(BR807:BR810)</f>
        <v>65392</v>
      </c>
      <c r="BT811" s="607">
        <f>22388+46630</f>
        <v>69018</v>
      </c>
      <c r="BU811" s="607">
        <f>48251+25256</f>
        <v>73507</v>
      </c>
      <c r="BV811" s="72">
        <f>BU811</f>
        <v>73507</v>
      </c>
      <c r="BX811" s="607">
        <v>47400</v>
      </c>
      <c r="BY811" s="607">
        <v>47400</v>
      </c>
      <c r="BZ811" s="72">
        <f>BY811</f>
        <v>47400</v>
      </c>
      <c r="CB811" s="607">
        <v>48000</v>
      </c>
      <c r="CC811" s="607">
        <v>49000</v>
      </c>
      <c r="CD811" s="72">
        <f>CC811</f>
        <v>49000</v>
      </c>
      <c r="CF811" s="837"/>
      <c r="CG811" s="837"/>
      <c r="CH811" s="72"/>
      <c r="CJ811" s="72"/>
      <c r="CK811" s="72"/>
      <c r="CL811" s="72"/>
      <c r="CN811" s="72"/>
      <c r="CO811" s="72"/>
      <c r="CP811" s="72"/>
      <c r="CR811" s="72"/>
      <c r="CS811" s="72"/>
      <c r="CT811" s="72"/>
      <c r="CV811" s="72"/>
      <c r="CW811" s="72"/>
      <c r="CX811" s="72"/>
      <c r="CZ811" s="72"/>
      <c r="DA811" s="72"/>
      <c r="DB811" s="72"/>
      <c r="DD811" s="72"/>
      <c r="DE811" s="72"/>
      <c r="DF811" s="72"/>
      <c r="DH811" s="72"/>
      <c r="DI811" s="72"/>
      <c r="DJ811" s="72"/>
      <c r="DL811" s="72"/>
      <c r="DM811" s="72"/>
      <c r="DN811" s="72"/>
      <c r="DP811" s="72"/>
      <c r="DQ811" s="72"/>
      <c r="DR811" s="72"/>
      <c r="DW811" s="20"/>
      <c r="DX811" s="20"/>
    </row>
    <row r="812" spans="1:128" s="47" customFormat="1" ht="13.8">
      <c r="A812" s="574" t="s">
        <v>217</v>
      </c>
      <c r="B812" s="575"/>
      <c r="C812" s="574"/>
      <c r="D812" s="574"/>
      <c r="E812" s="574"/>
      <c r="F812" s="574"/>
      <c r="G812" s="574"/>
      <c r="H812" s="574"/>
      <c r="I812" s="574"/>
      <c r="J812" s="574"/>
      <c r="K812" s="574"/>
      <c r="L812" s="574"/>
      <c r="M812" s="574"/>
      <c r="N812" s="574"/>
      <c r="O812" s="574"/>
      <c r="P812" s="574"/>
      <c r="Q812" s="574"/>
      <c r="R812" s="574"/>
      <c r="S812" s="574"/>
      <c r="T812" s="574"/>
      <c r="U812" s="574"/>
      <c r="V812" s="574"/>
      <c r="W812" s="574"/>
      <c r="X812" s="574"/>
      <c r="Y812" s="574"/>
      <c r="Z812" s="574"/>
      <c r="AA812" s="574"/>
      <c r="AB812" s="574"/>
      <c r="AC812" s="574"/>
      <c r="AD812" s="574"/>
      <c r="AE812" s="574"/>
      <c r="AF812" s="574"/>
      <c r="AG812" s="574"/>
      <c r="AH812" s="574"/>
      <c r="AI812" s="574"/>
      <c r="AJ812" s="574"/>
      <c r="AK812" s="574"/>
      <c r="AL812" s="574"/>
      <c r="AM812" s="574"/>
      <c r="AN812" s="574"/>
      <c r="AO812" s="574"/>
      <c r="AP812" s="574"/>
      <c r="AQ812" s="574"/>
      <c r="AR812" s="574"/>
      <c r="AS812" s="574"/>
      <c r="AT812" s="574"/>
      <c r="AU812" s="574"/>
      <c r="AV812" s="574"/>
      <c r="AW812" s="574"/>
      <c r="AX812" s="574"/>
      <c r="AY812" s="574"/>
      <c r="AZ812" s="574"/>
      <c r="BA812" s="574"/>
      <c r="BB812" s="574"/>
      <c r="BC812" s="574"/>
      <c r="BD812" s="574"/>
      <c r="BE812" s="574"/>
      <c r="BF812" s="574"/>
      <c r="BG812" s="574"/>
      <c r="BH812" s="575"/>
      <c r="BI812" s="577">
        <f>+BI811/BH811-1</f>
        <v>6.8844083569017389E-2</v>
      </c>
      <c r="BJ812" s="575"/>
      <c r="BK812" s="575"/>
      <c r="BL812" s="577">
        <f>+BL811/BI811-1</f>
        <v>5.247703916145996E-2</v>
      </c>
      <c r="BM812" s="577">
        <f>+BM811/BL811-1</f>
        <v>-3.909037825212458E-3</v>
      </c>
      <c r="BN812" s="575"/>
      <c r="BO812" s="575"/>
      <c r="BP812" s="577">
        <f>+BP811/BM811-1</f>
        <v>0.11388839133054329</v>
      </c>
      <c r="BQ812" s="577">
        <f>+BQ811/BP811-1</f>
        <v>-4.4046487829837E-2</v>
      </c>
      <c r="BR812" s="575"/>
      <c r="BS812" s="574"/>
      <c r="BT812" s="577">
        <f>+BT811/BQ811-1</f>
        <v>5.5450207976510901E-2</v>
      </c>
      <c r="BU812" s="577">
        <f>+BU811/BT811-1</f>
        <v>6.5041003796111108E-2</v>
      </c>
      <c r="BV812" s="575"/>
      <c r="BW812" s="574"/>
      <c r="BX812" s="577">
        <f>+BX811/BU811-1</f>
        <v>-0.35516345382072456</v>
      </c>
      <c r="BY812" s="577">
        <f>+BY811/BX811-1</f>
        <v>0</v>
      </c>
      <c r="BZ812" s="575"/>
      <c r="CA812" s="614"/>
      <c r="CB812" s="577">
        <f>+CB811/BY811-1</f>
        <v>1.2658227848101333E-2</v>
      </c>
      <c r="CC812" s="577">
        <f>+CC811/CB811-1</f>
        <v>2.0833333333333259E-2</v>
      </c>
      <c r="CD812" s="575"/>
      <c r="CE812" s="614"/>
      <c r="CF812" s="577"/>
      <c r="CG812" s="577"/>
      <c r="CH812" s="575"/>
      <c r="CI812" s="574"/>
      <c r="CJ812" s="613"/>
      <c r="CK812" s="613"/>
      <c r="CL812" s="575"/>
      <c r="CM812" s="574"/>
      <c r="CN812" s="613"/>
      <c r="CO812" s="613"/>
      <c r="CP812" s="575"/>
      <c r="CQ812" s="574"/>
      <c r="CR812" s="613"/>
      <c r="CS812" s="613"/>
      <c r="CT812" s="575"/>
      <c r="CU812" s="574"/>
      <c r="CV812" s="613"/>
      <c r="CW812" s="613"/>
      <c r="CX812" s="575"/>
      <c r="CY812" s="574"/>
      <c r="CZ812" s="613"/>
      <c r="DA812" s="613"/>
      <c r="DB812" s="575"/>
      <c r="DC812" s="574"/>
      <c r="DD812" s="613"/>
      <c r="DE812" s="613"/>
      <c r="DF812" s="575"/>
      <c r="DG812" s="574"/>
      <c r="DH812" s="613"/>
      <c r="DI812" s="613"/>
      <c r="DJ812" s="575"/>
      <c r="DK812" s="574"/>
      <c r="DL812" s="613"/>
      <c r="DM812" s="613"/>
      <c r="DN812" s="575"/>
      <c r="DO812" s="574"/>
      <c r="DP812" s="613"/>
      <c r="DQ812" s="613"/>
      <c r="DR812" s="575"/>
      <c r="DS812" s="574"/>
      <c r="DT812" s="574"/>
      <c r="DU812" s="574"/>
      <c r="DV812" s="574"/>
      <c r="DW812" s="20"/>
      <c r="DX812" s="20"/>
    </row>
    <row r="813" spans="1:128" s="20" customFormat="1" ht="13.8">
      <c r="A813" s="20" t="s">
        <v>98</v>
      </c>
      <c r="B813" s="49"/>
      <c r="BH813" s="66">
        <f>BH788*(BH$4/BH$3)/BH816</f>
        <v>9.6849202884754775E-3</v>
      </c>
      <c r="BI813" s="66">
        <f>BI788*(BI$4/BI$3)/BI816</f>
        <v>9.4596336582314245E-3</v>
      </c>
      <c r="BJ813" s="66">
        <f>BJ788*(BJ$4/BJ$3)/BJ816</f>
        <v>9.5693779904306216E-3</v>
      </c>
      <c r="BK813" s="49"/>
      <c r="BL813" s="100">
        <f>BL788*(BL$4/BL$3)/BL816</f>
        <v>9.0086950966855837E-3</v>
      </c>
      <c r="BM813" s="66">
        <f>BM788*(BM$4/BM$3)/BM816</f>
        <v>8.5747107140462658E-3</v>
      </c>
      <c r="BN813" s="66">
        <f>BN788*(BN$4/BN$3)/BN816</f>
        <v>8.7886644165076876E-3</v>
      </c>
      <c r="BO813" s="49"/>
      <c r="BP813" s="100">
        <f>BP788*(BP$4/BP$3)/BP816</f>
        <v>8.8146783186634613E-3</v>
      </c>
      <c r="BQ813" s="66">
        <f>BQ788*(BQ$4/BQ$3)/BQ816</f>
        <v>8.633966243435107E-3</v>
      </c>
      <c r="BR813" s="66">
        <f>BR788*(BR$4/BR$3)/BR816</f>
        <v>8.7228739894231362E-3</v>
      </c>
      <c r="BT813" s="100">
        <f>BT788*(BT$4/BT$3)/BT816</f>
        <v>6.7960322739234798E-3</v>
      </c>
      <c r="BU813" s="66">
        <f>BU788*(BU$4/BU$3)/BU816</f>
        <v>6.1177317333111873E-3</v>
      </c>
      <c r="BV813" s="66">
        <f>BV788*(BV$4/BV$3)/BV816</f>
        <v>6.4501527667760556E-3</v>
      </c>
      <c r="BX813" s="100">
        <f>BX788*(BX$4/BX$3)/BX816</f>
        <v>0</v>
      </c>
      <c r="BY813" s="66">
        <f>BY788*(BY$4/BY$3)/BY816</f>
        <v>0</v>
      </c>
      <c r="BZ813" s="66">
        <f>BZ788*(BZ$4/BZ$3)/BZ816</f>
        <v>0</v>
      </c>
      <c r="CB813" s="100">
        <f>CB788*(CB$4/CB$3)/CB816</f>
        <v>0</v>
      </c>
      <c r="CC813" s="66">
        <f>CC788*(CC$4/CC$3)/CC816</f>
        <v>0</v>
      </c>
      <c r="CD813" s="66">
        <f>CD788*(CD$4/CD$3)/CD816</f>
        <v>0</v>
      </c>
      <c r="CF813" s="100"/>
      <c r="CG813" s="66"/>
      <c r="CH813" s="66"/>
      <c r="CJ813" s="66"/>
      <c r="CK813" s="66"/>
      <c r="CL813" s="66"/>
      <c r="CN813" s="66"/>
      <c r="CO813" s="66"/>
      <c r="CP813" s="66"/>
      <c r="CR813" s="66"/>
      <c r="CS813" s="66"/>
      <c r="CT813" s="66"/>
      <c r="CV813" s="66"/>
      <c r="CW813" s="66"/>
      <c r="CX813" s="66"/>
      <c r="CZ813" s="66"/>
      <c r="DA813" s="66"/>
      <c r="DB813" s="66"/>
      <c r="DD813" s="66"/>
      <c r="DE813" s="66"/>
      <c r="DF813" s="66"/>
      <c r="DH813" s="66"/>
      <c r="DI813" s="66"/>
      <c r="DJ813" s="66"/>
      <c r="DL813" s="66"/>
      <c r="DM813" s="66"/>
      <c r="DN813" s="66"/>
      <c r="DP813" s="66"/>
      <c r="DQ813" s="66"/>
      <c r="DR813" s="66"/>
    </row>
    <row r="814" spans="1:128" s="20" customFormat="1" ht="13.8">
      <c r="B814" s="49"/>
      <c r="BH814" s="66"/>
      <c r="BI814" s="66"/>
      <c r="BJ814" s="66"/>
      <c r="BK814" s="49"/>
      <c r="BL814" s="100"/>
      <c r="BM814" s="66"/>
      <c r="BN814" s="66"/>
      <c r="BO814" s="49"/>
      <c r="BP814" s="100"/>
      <c r="BQ814" s="66"/>
      <c r="BR814" s="66"/>
      <c r="BT814" s="100"/>
      <c r="BU814" s="66"/>
      <c r="BV814" s="66"/>
      <c r="BX814" s="100"/>
      <c r="BY814" s="66"/>
      <c r="BZ814" s="66"/>
      <c r="CB814" s="100"/>
      <c r="CC814" s="66"/>
      <c r="CD814" s="66"/>
      <c r="CF814" s="100"/>
      <c r="CG814" s="66"/>
      <c r="CH814" s="66"/>
      <c r="CJ814" s="66"/>
      <c r="CK814" s="66"/>
      <c r="CL814" s="66"/>
      <c r="CN814" s="66"/>
      <c r="CO814" s="66"/>
      <c r="CP814" s="66"/>
      <c r="CR814" s="66"/>
      <c r="CS814" s="66"/>
      <c r="CT814" s="66"/>
      <c r="CV814" s="66"/>
      <c r="CW814" s="66"/>
      <c r="CX814" s="66"/>
      <c r="CZ814" s="66"/>
      <c r="DA814" s="66"/>
      <c r="DB814" s="66"/>
      <c r="DD814" s="66"/>
      <c r="DE814" s="66"/>
      <c r="DF814" s="66"/>
      <c r="DH814" s="66"/>
      <c r="DI814" s="66"/>
      <c r="DJ814" s="66"/>
      <c r="DL814" s="66"/>
      <c r="DM814" s="66"/>
      <c r="DN814" s="66"/>
      <c r="DP814" s="66"/>
      <c r="DQ814" s="66"/>
      <c r="DR814" s="66"/>
    </row>
    <row r="815" spans="1:128" s="325" customFormat="1" ht="13.8">
      <c r="A815" s="335" t="s">
        <v>217</v>
      </c>
      <c r="B815" s="324"/>
      <c r="BH815" s="324"/>
      <c r="BI815" s="369">
        <f>+BI813-BH813</f>
        <v>-2.2528663024405302E-4</v>
      </c>
      <c r="BJ815" s="324"/>
      <c r="BK815" s="324"/>
      <c r="BL815" s="369">
        <f>+BL813-BI813</f>
        <v>-4.5093856154584076E-4</v>
      </c>
      <c r="BM815" s="369">
        <f>+BM813-BL813</f>
        <v>-4.3398438263931791E-4</v>
      </c>
      <c r="BN815" s="324"/>
      <c r="BO815" s="324"/>
      <c r="BP815" s="369">
        <f>+BP813-BM813</f>
        <v>2.399676046171955E-4</v>
      </c>
      <c r="BQ815" s="369">
        <f>+BQ813-BP813</f>
        <v>-1.8071207522835434E-4</v>
      </c>
      <c r="BR815" s="324"/>
      <c r="BT815" s="369">
        <f>+BT813-BQ813</f>
        <v>-1.8379339695116272E-3</v>
      </c>
      <c r="BU815" s="369">
        <f>+BU813-BT813</f>
        <v>-6.7830054061229252E-4</v>
      </c>
      <c r="BV815" s="324"/>
      <c r="BX815" s="369">
        <f>+BX813-BU813</f>
        <v>-6.1177317333111873E-3</v>
      </c>
      <c r="BY815" s="369">
        <f>+BY813-BX813</f>
        <v>0</v>
      </c>
      <c r="BZ815" s="324"/>
      <c r="CB815" s="369">
        <f>+CB813-BY813</f>
        <v>0</v>
      </c>
      <c r="CC815" s="369">
        <f>+CC813-CB813</f>
        <v>0</v>
      </c>
      <c r="CD815" s="324"/>
      <c r="CF815" s="369"/>
      <c r="CG815" s="369"/>
      <c r="CH815" s="324"/>
      <c r="CJ815" s="784"/>
      <c r="CK815" s="784"/>
      <c r="CL815" s="324"/>
      <c r="CN815" s="784"/>
      <c r="CO815" s="784"/>
      <c r="CP815" s="324"/>
      <c r="CR815" s="784"/>
      <c r="CS815" s="784"/>
      <c r="CT815" s="324"/>
      <c r="CV815" s="784"/>
      <c r="CW815" s="784"/>
      <c r="CX815" s="324"/>
      <c r="CZ815" s="784"/>
      <c r="DA815" s="784"/>
      <c r="DB815" s="324"/>
      <c r="DD815" s="784"/>
      <c r="DE815" s="784"/>
      <c r="DF815" s="324"/>
      <c r="DH815" s="784"/>
      <c r="DI815" s="784"/>
      <c r="DJ815" s="324"/>
      <c r="DL815" s="784"/>
      <c r="DM815" s="784"/>
      <c r="DN815" s="324"/>
      <c r="DP815" s="784"/>
      <c r="DQ815" s="784"/>
      <c r="DR815" s="324"/>
      <c r="DW815" s="20"/>
      <c r="DX815" s="20"/>
    </row>
    <row r="816" spans="1:128" s="21" customFormat="1" ht="13.8">
      <c r="A816" s="21" t="s">
        <v>210</v>
      </c>
      <c r="B816" s="27"/>
      <c r="BH816" s="98">
        <v>53218</v>
      </c>
      <c r="BI816" s="98">
        <v>56507</v>
      </c>
      <c r="BJ816" s="72">
        <f>AVERAGE(BH816:BI816)</f>
        <v>54862.5</v>
      </c>
      <c r="BK816" s="98"/>
      <c r="BL816" s="98">
        <v>60552</v>
      </c>
      <c r="BM816" s="98">
        <v>62106</v>
      </c>
      <c r="BN816" s="72">
        <f>AVERAGE(BL816:BM816)</f>
        <v>61329</v>
      </c>
      <c r="BO816" s="98"/>
      <c r="BP816" s="98">
        <v>64615</v>
      </c>
      <c r="BQ816" s="98">
        <v>66993</v>
      </c>
      <c r="BR816" s="72">
        <f>AVERAGE(BP816:BQ816)</f>
        <v>65804</v>
      </c>
      <c r="BT816" s="98">
        <f>47182+21976</f>
        <v>69158</v>
      </c>
      <c r="BU816" s="98">
        <f>24189+48060</f>
        <v>72249</v>
      </c>
      <c r="BV816" s="72">
        <f>47621+23075</f>
        <v>70696</v>
      </c>
      <c r="BX816" s="794">
        <f>BX811</f>
        <v>47400</v>
      </c>
      <c r="BY816" s="72">
        <f>AVERAGE(BY811,BX811)</f>
        <v>47400</v>
      </c>
      <c r="BZ816" s="72">
        <f>47621+23075</f>
        <v>70696</v>
      </c>
      <c r="CB816" s="72">
        <f>AVERAGE(CB811,BY811)</f>
        <v>47700</v>
      </c>
      <c r="CC816" s="72">
        <f>AVERAGE(CC811,CB811)</f>
        <v>48500</v>
      </c>
      <c r="CD816" s="72">
        <f>47621+23075</f>
        <v>70696</v>
      </c>
      <c r="CF816" s="72"/>
      <c r="CG816" s="72"/>
      <c r="CH816" s="72"/>
      <c r="CJ816" s="72"/>
      <c r="CK816" s="72"/>
      <c r="CL816" s="72"/>
      <c r="CN816" s="72"/>
      <c r="CO816" s="72"/>
      <c r="CP816" s="72"/>
      <c r="CR816" s="72"/>
      <c r="CS816" s="72"/>
      <c r="CT816" s="72"/>
      <c r="CV816" s="72"/>
      <c r="CW816" s="72"/>
      <c r="CX816" s="72"/>
      <c r="CZ816" s="72"/>
      <c r="DA816" s="72"/>
      <c r="DB816" s="72"/>
      <c r="DD816" s="72"/>
      <c r="DE816" s="72"/>
      <c r="DF816" s="72"/>
      <c r="DH816" s="72"/>
      <c r="DI816" s="72"/>
      <c r="DJ816" s="72"/>
      <c r="DL816" s="72"/>
      <c r="DM816" s="72"/>
      <c r="DN816" s="72"/>
      <c r="DP816" s="72"/>
      <c r="DQ816" s="72"/>
      <c r="DR816" s="72"/>
      <c r="DW816" s="20"/>
      <c r="DX816" s="20"/>
    </row>
    <row r="817" spans="1:128" s="21" customFormat="1" ht="13.8">
      <c r="B817" s="27"/>
      <c r="BH817" s="98"/>
      <c r="BI817" s="98"/>
      <c r="BJ817" s="72"/>
      <c r="BK817" s="98"/>
      <c r="BL817" s="98"/>
      <c r="BM817" s="98"/>
      <c r="BN817" s="72"/>
      <c r="BO817" s="98"/>
      <c r="BP817" s="98"/>
      <c r="BQ817" s="98"/>
      <c r="BR817" s="72"/>
      <c r="BT817" s="98"/>
      <c r="BU817" s="98"/>
      <c r="BV817" s="72"/>
      <c r="BX817" s="794"/>
      <c r="BY817" s="72"/>
      <c r="BZ817" s="72"/>
      <c r="CB817" s="72"/>
      <c r="CC817" s="72"/>
      <c r="CD817" s="72"/>
      <c r="CF817" s="72"/>
      <c r="CG817" s="72"/>
      <c r="CH817" s="72"/>
      <c r="CJ817" s="72"/>
      <c r="CK817" s="72"/>
      <c r="CL817" s="72"/>
      <c r="CN817" s="72"/>
      <c r="CO817" s="72"/>
      <c r="CP817" s="72"/>
      <c r="CR817" s="72"/>
      <c r="CS817" s="72"/>
      <c r="CT817" s="72"/>
      <c r="CV817" s="72"/>
      <c r="CW817" s="72"/>
      <c r="CX817" s="72"/>
      <c r="CZ817" s="72"/>
      <c r="DA817" s="72"/>
      <c r="DB817" s="72"/>
      <c r="DD817" s="72"/>
      <c r="DE817" s="72"/>
      <c r="DF817" s="72"/>
      <c r="DH817" s="72"/>
      <c r="DI817" s="72"/>
      <c r="DJ817" s="72"/>
      <c r="DL817" s="72"/>
      <c r="DM817" s="72"/>
      <c r="DN817" s="72"/>
      <c r="DP817" s="72"/>
      <c r="DQ817" s="72"/>
      <c r="DR817" s="72"/>
      <c r="DW817" s="20"/>
      <c r="DX817" s="20"/>
    </row>
    <row r="818" spans="1:128" s="21" customFormat="1" ht="13.8">
      <c r="B818" s="27"/>
      <c r="BH818" s="98"/>
      <c r="BI818" s="98"/>
      <c r="BJ818" s="72"/>
      <c r="BK818" s="98"/>
      <c r="BL818" s="98"/>
      <c r="BM818" s="98"/>
      <c r="BN818" s="72"/>
      <c r="BO818" s="98"/>
      <c r="BP818" s="98"/>
      <c r="BQ818" s="98"/>
      <c r="BR818" s="72"/>
      <c r="BT818" s="98"/>
      <c r="BU818" s="98"/>
      <c r="BV818" s="72"/>
      <c r="BX818" s="794"/>
      <c r="BY818" s="72"/>
      <c r="BZ818" s="72"/>
      <c r="CB818" s="72"/>
      <c r="CC818" s="72"/>
      <c r="CD818" s="72"/>
      <c r="CF818" s="72"/>
      <c r="CG818" s="72"/>
      <c r="CH818" s="72"/>
      <c r="CJ818" s="72"/>
      <c r="CK818" s="72"/>
      <c r="CL818" s="72"/>
      <c r="CN818" s="72"/>
      <c r="CO818" s="72"/>
      <c r="CP818" s="72"/>
      <c r="CR818" s="72"/>
      <c r="CS818" s="72"/>
      <c r="CT818" s="72"/>
      <c r="CV818" s="72"/>
      <c r="CW818" s="72"/>
      <c r="CX818" s="72"/>
      <c r="CZ818" s="72"/>
      <c r="DA818" s="72"/>
      <c r="DB818" s="72"/>
      <c r="DD818" s="72"/>
      <c r="DE818" s="72"/>
      <c r="DF818" s="72"/>
      <c r="DH818" s="72"/>
      <c r="DI818" s="72"/>
      <c r="DJ818" s="72"/>
      <c r="DL818" s="72"/>
      <c r="DM818" s="72"/>
      <c r="DN818" s="72"/>
      <c r="DP818" s="72"/>
      <c r="DQ818" s="72"/>
      <c r="DR818" s="72"/>
      <c r="DW818" s="20"/>
      <c r="DX818" s="20"/>
    </row>
    <row r="819" spans="1:128" s="21" customFormat="1" ht="13.8">
      <c r="B819" s="27"/>
      <c r="BH819" s="98"/>
      <c r="BI819" s="98"/>
      <c r="BJ819" s="72"/>
      <c r="BK819" s="98"/>
      <c r="BL819" s="98"/>
      <c r="BM819" s="98"/>
      <c r="BN819" s="72"/>
      <c r="BO819" s="98"/>
      <c r="BP819" s="98"/>
      <c r="BQ819" s="98"/>
      <c r="BR819" s="72"/>
      <c r="BT819" s="98"/>
      <c r="BU819" s="98"/>
      <c r="BV819" s="72"/>
      <c r="BX819" s="794"/>
      <c r="BY819" s="72"/>
      <c r="BZ819" s="72"/>
      <c r="CB819" s="72"/>
      <c r="CC819" s="72"/>
      <c r="CD819" s="72"/>
      <c r="CF819" s="72"/>
      <c r="CG819" s="72"/>
      <c r="CH819" s="72"/>
      <c r="CJ819" s="72"/>
      <c r="CK819" s="72"/>
      <c r="CL819" s="72"/>
      <c r="CN819" s="72"/>
      <c r="CO819" s="72"/>
      <c r="CP819" s="72"/>
      <c r="CR819" s="72"/>
      <c r="CS819" s="72"/>
      <c r="CT819" s="72"/>
      <c r="CV819" s="72"/>
      <c r="CW819" s="72"/>
      <c r="CX819" s="72"/>
      <c r="CZ819" s="72"/>
      <c r="DA819" s="72"/>
      <c r="DB819" s="72"/>
      <c r="DD819" s="72"/>
      <c r="DE819" s="72"/>
      <c r="DF819" s="72"/>
      <c r="DH819" s="72"/>
      <c r="DI819" s="72"/>
      <c r="DJ819" s="72"/>
      <c r="DL819" s="72"/>
      <c r="DM819" s="72"/>
      <c r="DN819" s="72"/>
      <c r="DP819" s="72"/>
      <c r="DQ819" s="72"/>
      <c r="DR819" s="72"/>
      <c r="DW819" s="20"/>
      <c r="DX819" s="20"/>
    </row>
    <row r="820" spans="1:128" s="21" customFormat="1" ht="13.8">
      <c r="B820" s="27"/>
      <c r="BH820" s="98"/>
      <c r="BI820" s="98"/>
      <c r="BJ820" s="72"/>
      <c r="BK820" s="98"/>
      <c r="BL820" s="98"/>
      <c r="BM820" s="98"/>
      <c r="BN820" s="72"/>
      <c r="BO820" s="98"/>
      <c r="BP820" s="98"/>
      <c r="BQ820" s="98"/>
      <c r="BR820" s="72"/>
      <c r="BT820" s="98"/>
      <c r="BU820" s="98"/>
      <c r="BV820" s="72"/>
      <c r="BX820" s="794"/>
      <c r="BY820" s="72"/>
      <c r="BZ820" s="72"/>
      <c r="CB820" s="72"/>
      <c r="CC820" s="72"/>
      <c r="CD820" s="72"/>
      <c r="CF820" s="72"/>
      <c r="CG820" s="72"/>
      <c r="CH820" s="72"/>
      <c r="CJ820" s="72"/>
      <c r="CK820" s="72"/>
      <c r="CL820" s="72"/>
      <c r="CN820" s="72"/>
      <c r="CO820" s="72"/>
      <c r="CP820" s="72"/>
      <c r="CR820" s="72"/>
      <c r="CS820" s="72"/>
      <c r="CT820" s="72"/>
      <c r="CV820" s="72"/>
      <c r="CW820" s="72"/>
      <c r="CX820" s="72"/>
      <c r="CZ820" s="72"/>
      <c r="DA820" s="72"/>
      <c r="DB820" s="72"/>
      <c r="DD820" s="72"/>
      <c r="DE820" s="72"/>
      <c r="DF820" s="72"/>
      <c r="DH820" s="72"/>
      <c r="DI820" s="72"/>
      <c r="DJ820" s="72"/>
      <c r="DL820" s="72"/>
      <c r="DM820" s="72"/>
      <c r="DN820" s="72"/>
      <c r="DP820" s="72"/>
      <c r="DQ820" s="72"/>
      <c r="DR820" s="72"/>
      <c r="DW820" s="20"/>
      <c r="DX820" s="20"/>
    </row>
    <row r="821" spans="1:128" s="21" customFormat="1" ht="13.8">
      <c r="A821" s="21" t="s">
        <v>905</v>
      </c>
      <c r="B821" s="27"/>
      <c r="BH821" s="98"/>
      <c r="BI821" s="98"/>
      <c r="BJ821" s="72"/>
      <c r="BK821" s="98"/>
      <c r="BL821" s="98"/>
      <c r="BM821" s="98"/>
      <c r="BN821" s="72"/>
      <c r="BO821" s="98"/>
      <c r="BP821" s="98"/>
      <c r="BQ821" s="98"/>
      <c r="BR821" s="72"/>
      <c r="BT821" s="98"/>
      <c r="BU821" s="98"/>
      <c r="BV821" s="72"/>
      <c r="BX821" s="607">
        <v>10800</v>
      </c>
      <c r="BY821" s="607">
        <v>10500</v>
      </c>
      <c r="BZ821" s="72">
        <f>BY821</f>
        <v>10500</v>
      </c>
      <c r="CB821" s="607">
        <v>10600</v>
      </c>
      <c r="CC821" s="607">
        <v>10400</v>
      </c>
      <c r="CD821" s="72">
        <f>CC821</f>
        <v>10400</v>
      </c>
      <c r="CF821" s="837"/>
      <c r="CG821" s="837"/>
      <c r="CH821" s="72"/>
      <c r="CJ821" s="72"/>
      <c r="CK821" s="72"/>
      <c r="CL821" s="72"/>
      <c r="CN821" s="72"/>
      <c r="CO821" s="72"/>
      <c r="CP821" s="72"/>
      <c r="CR821" s="72"/>
      <c r="CS821" s="72"/>
      <c r="CT821" s="72"/>
      <c r="CV821" s="72"/>
      <c r="CW821" s="72"/>
      <c r="CX821" s="72"/>
      <c r="CZ821" s="72"/>
      <c r="DA821" s="72"/>
      <c r="DB821" s="72"/>
      <c r="DD821" s="72"/>
      <c r="DE821" s="72"/>
      <c r="DF821" s="72"/>
      <c r="DH821" s="72"/>
      <c r="DI821" s="72"/>
      <c r="DJ821" s="72"/>
      <c r="DL821" s="72"/>
      <c r="DM821" s="72"/>
      <c r="DN821" s="72"/>
      <c r="DP821" s="72"/>
      <c r="DQ821" s="72"/>
      <c r="DR821" s="72"/>
      <c r="DW821" s="20"/>
      <c r="DX821" s="20"/>
    </row>
    <row r="822" spans="1:128" s="20" customFormat="1" ht="13.8">
      <c r="B822" s="49"/>
      <c r="BH822" s="49"/>
      <c r="BI822" s="49"/>
      <c r="BJ822" s="49"/>
      <c r="BK822" s="49"/>
      <c r="BL822" s="49"/>
      <c r="BM822" s="49"/>
      <c r="BN822" s="49"/>
      <c r="BO822" s="49"/>
      <c r="BP822" s="49"/>
      <c r="BQ822" s="49"/>
      <c r="BR822" s="49"/>
      <c r="BT822" s="49"/>
      <c r="BU822" s="49"/>
      <c r="BV822" s="49"/>
      <c r="BX822" s="49"/>
      <c r="BY822" s="49"/>
      <c r="BZ822" s="49"/>
      <c r="CB822" s="49"/>
      <c r="CF822" s="49"/>
      <c r="CJ822" s="49"/>
      <c r="CN822" s="49"/>
      <c r="CR822" s="49"/>
      <c r="CV822" s="49"/>
      <c r="CZ822" s="49"/>
      <c r="DD822" s="49"/>
      <c r="DH822" s="49"/>
      <c r="DL822" s="49"/>
      <c r="DP822" s="49"/>
    </row>
    <row r="823" spans="1:128" s="20" customFormat="1" ht="13.8">
      <c r="A823" s="20" t="s">
        <v>102</v>
      </c>
      <c r="B823" s="49"/>
      <c r="BH823" s="68">
        <f>BH789*(BH$4/BH$3)/BH825</f>
        <v>0.28816402825911541</v>
      </c>
      <c r="BI823" s="68">
        <f>BI789*(BI$4/BI$3)/BI825</f>
        <v>0.29205882311507814</v>
      </c>
      <c r="BJ823" s="68">
        <f>BJ789*(BJ$4/BJ$3)/BJ825</f>
        <v>0.29015003261578604</v>
      </c>
      <c r="BK823" s="49"/>
      <c r="BL823" s="68">
        <f>BL789*(BL$4/BL$3)/BL825</f>
        <v>0.27479498425958715</v>
      </c>
      <c r="BM823" s="68">
        <f>BM789*(BM$4/BM$3)/BM825</f>
        <v>0.30669792355200837</v>
      </c>
      <c r="BN823" s="68">
        <f>BN789*(BN$4/BN$3)/BN825</f>
        <v>0.29089992437610285</v>
      </c>
      <c r="BO823" s="49"/>
      <c r="BP823" s="68">
        <f>BP789*(BP$4/BP$3)/BP825</f>
        <v>0.31766420602298462</v>
      </c>
      <c r="BQ823" s="68">
        <f>BQ789*(BQ$4/BQ$3)/BQ825</f>
        <v>0.33210447878264959</v>
      </c>
      <c r="BR823" s="68">
        <f>BR789*(BR$4/BR$3)/BR825</f>
        <v>0.32489249880554227</v>
      </c>
      <c r="BS823" s="45"/>
      <c r="BT823" s="68">
        <f>BT789*(BT$4/BT$3)/BT825</f>
        <v>0.30025445292620867</v>
      </c>
      <c r="BU823" s="68">
        <f>BU789*(BU$4/BU$3)/BU825</f>
        <v>0.30645593356549694</v>
      </c>
      <c r="BV823" s="68">
        <f>BV789*(BV$4/BV$3)/BV825</f>
        <v>0.30327547957718909</v>
      </c>
      <c r="BW823" s="45"/>
      <c r="BX823" s="49"/>
      <c r="BY823" s="49"/>
      <c r="BZ823" s="49"/>
      <c r="CB823" s="49"/>
      <c r="CF823" s="49"/>
      <c r="CJ823" s="49"/>
      <c r="CN823" s="49"/>
      <c r="CR823" s="49"/>
      <c r="CV823" s="49"/>
      <c r="CZ823" s="49"/>
      <c r="DD823" s="49"/>
      <c r="DH823" s="49"/>
      <c r="DL823" s="49"/>
      <c r="DP823" s="49"/>
    </row>
    <row r="824" spans="1:128" s="325" customFormat="1" ht="13.8">
      <c r="A824" s="335" t="s">
        <v>217</v>
      </c>
      <c r="B824" s="324"/>
      <c r="BH824" s="324"/>
      <c r="BI824" s="371">
        <f>+BI823-BH823</f>
        <v>3.8947948559627243E-3</v>
      </c>
      <c r="BJ824" s="324"/>
      <c r="BK824" s="324"/>
      <c r="BL824" s="371">
        <f>BL823-BI823</f>
        <v>-1.7263838855490987E-2</v>
      </c>
      <c r="BM824" s="371">
        <f>+BM823-BL823</f>
        <v>3.1902939292421217E-2</v>
      </c>
      <c r="BN824" s="324"/>
      <c r="BO824" s="324"/>
      <c r="BP824" s="371">
        <f>BP823-BM823</f>
        <v>1.0966282470976252E-2</v>
      </c>
      <c r="BQ824" s="371">
        <f>+BQ823-BP823</f>
        <v>1.4440272759664974E-2</v>
      </c>
      <c r="BR824" s="324"/>
      <c r="BT824" s="371">
        <f>BT823-BQ823</f>
        <v>-3.1850025856440922E-2</v>
      </c>
      <c r="BU824" s="371">
        <f>+BU823-BT823</f>
        <v>6.2014806392882704E-3</v>
      </c>
      <c r="BV824" s="324"/>
      <c r="BX824" s="49"/>
      <c r="BY824" s="49"/>
      <c r="BZ824" s="49"/>
      <c r="CA824" s="20"/>
      <c r="CB824" s="49"/>
      <c r="CC824" s="20"/>
      <c r="CD824" s="20"/>
      <c r="CE824" s="20"/>
      <c r="CF824" s="20"/>
      <c r="CG824" s="20"/>
      <c r="CH824" s="20"/>
      <c r="CI824" s="20"/>
      <c r="CJ824" s="49"/>
      <c r="CK824" s="20"/>
      <c r="CL824" s="20"/>
      <c r="CM824" s="20"/>
      <c r="CN824" s="49"/>
      <c r="CO824" s="20"/>
      <c r="CP824" s="20"/>
      <c r="CQ824" s="20"/>
      <c r="CR824" s="49"/>
      <c r="CS824" s="20"/>
      <c r="CT824" s="20"/>
      <c r="CU824" s="20"/>
      <c r="CV824" s="49"/>
      <c r="CW824" s="20"/>
      <c r="CX824" s="20"/>
      <c r="CY824" s="20"/>
      <c r="CZ824" s="49"/>
      <c r="DA824" s="20"/>
      <c r="DB824" s="20"/>
      <c r="DC824" s="20"/>
      <c r="DD824" s="49"/>
      <c r="DE824" s="20"/>
      <c r="DF824" s="20"/>
      <c r="DG824" s="20"/>
      <c r="DH824" s="49"/>
      <c r="DI824" s="20"/>
      <c r="DJ824" s="20"/>
      <c r="DK824" s="20"/>
      <c r="DL824" s="49"/>
      <c r="DM824" s="20"/>
      <c r="DN824" s="20"/>
      <c r="DO824" s="20"/>
      <c r="DP824" s="49"/>
      <c r="DQ824" s="20"/>
      <c r="DR824" s="20"/>
      <c r="DS824" s="20"/>
      <c r="DT824" s="20"/>
      <c r="DU824" s="20"/>
      <c r="DV824" s="20"/>
      <c r="DW824" s="20"/>
      <c r="DX824" s="20"/>
    </row>
    <row r="825" spans="1:128" s="21" customFormat="1" ht="13.8">
      <c r="A825" s="21" t="s">
        <v>103</v>
      </c>
      <c r="B825" s="27"/>
      <c r="BH825" s="72">
        <f>AVERAGE(BH832,BE832)</f>
        <v>1893</v>
      </c>
      <c r="BI825" s="72">
        <f>AVERAGE(BI832,BH832)</f>
        <v>1939.5</v>
      </c>
      <c r="BJ825" s="72">
        <f>AVERAGE(BH825:BI825)</f>
        <v>1916.25</v>
      </c>
      <c r="BK825" s="98"/>
      <c r="BL825" s="72">
        <f>AVERAGE(BL832,BI832)</f>
        <v>1970.5</v>
      </c>
      <c r="BM825" s="72">
        <f>AVERAGE(BM832,BL832)</f>
        <v>1996.5</v>
      </c>
      <c r="BN825" s="72">
        <f>AVERAGE(BL825:BM825)</f>
        <v>1983.5</v>
      </c>
      <c r="BO825" s="98"/>
      <c r="BP825" s="72">
        <f>AVERAGE(BP832,BM832)</f>
        <v>2096</v>
      </c>
      <c r="BQ825" s="72">
        <f>AVERAGE(BQ832,BP832)</f>
        <v>2090</v>
      </c>
      <c r="BR825" s="72">
        <f>AVERAGE(BP825:BQ825)</f>
        <v>2093</v>
      </c>
      <c r="BT825" s="72">
        <f>AVERAGE(BT832,BQ832)</f>
        <v>1965</v>
      </c>
      <c r="BU825" s="72">
        <f>AVERAGE(BU832,BT832)</f>
        <v>1866.5</v>
      </c>
      <c r="BV825" s="72">
        <f>AVERAGE(BT825:BU825)</f>
        <v>1915.75</v>
      </c>
      <c r="BX825" s="49"/>
      <c r="BY825" s="49"/>
      <c r="BZ825" s="49"/>
      <c r="CA825" s="20"/>
      <c r="CB825" s="49"/>
      <c r="CC825" s="20"/>
      <c r="CD825" s="20"/>
      <c r="CE825" s="20"/>
      <c r="CF825" s="49"/>
      <c r="CG825" s="20"/>
      <c r="CH825" s="20"/>
      <c r="CI825" s="20"/>
      <c r="CJ825" s="49"/>
      <c r="CK825" s="20"/>
      <c r="CL825" s="20"/>
      <c r="CM825" s="20"/>
      <c r="CN825" s="49"/>
      <c r="CO825" s="20"/>
      <c r="CP825" s="20"/>
      <c r="CQ825" s="20"/>
      <c r="CR825" s="49"/>
      <c r="CS825" s="20"/>
      <c r="CT825" s="20"/>
      <c r="CU825" s="20"/>
      <c r="CV825" s="49"/>
      <c r="CW825" s="20"/>
      <c r="CX825" s="20"/>
      <c r="CY825" s="20"/>
      <c r="CZ825" s="49"/>
      <c r="DA825" s="20"/>
      <c r="DB825" s="20"/>
      <c r="DC825" s="20"/>
      <c r="DD825" s="49"/>
      <c r="DE825" s="20"/>
      <c r="DF825" s="20"/>
      <c r="DG825" s="20"/>
      <c r="DH825" s="49"/>
      <c r="DI825" s="20"/>
      <c r="DJ825" s="20"/>
      <c r="DK825" s="20"/>
      <c r="DL825" s="49"/>
      <c r="DM825" s="20"/>
      <c r="DN825" s="20"/>
      <c r="DO825" s="20"/>
      <c r="DP825" s="49"/>
      <c r="DQ825" s="20"/>
      <c r="DR825" s="20"/>
      <c r="DS825" s="20"/>
      <c r="DT825" s="20"/>
      <c r="DU825" s="20"/>
      <c r="DV825" s="20"/>
      <c r="DW825" s="20"/>
      <c r="DX825" s="20"/>
    </row>
    <row r="826" spans="1:128" s="20" customFormat="1" ht="13.8">
      <c r="B826" s="49"/>
      <c r="BH826" s="49"/>
      <c r="BI826" s="49"/>
      <c r="BJ826" s="49"/>
      <c r="BK826" s="49"/>
      <c r="BL826" s="49"/>
      <c r="BM826" s="49"/>
      <c r="BN826" s="49"/>
      <c r="BO826" s="49"/>
      <c r="BP826" s="49"/>
      <c r="BQ826" s="49"/>
      <c r="BR826" s="49"/>
      <c r="BT826" s="49"/>
      <c r="BU826" s="49"/>
      <c r="BV826" s="49"/>
      <c r="BX826" s="49"/>
      <c r="BY826" s="49"/>
      <c r="BZ826" s="49"/>
      <c r="CB826" s="49"/>
      <c r="CF826" s="49"/>
      <c r="CJ826" s="49"/>
      <c r="CN826" s="49"/>
      <c r="CR826" s="49"/>
      <c r="CV826" s="49"/>
      <c r="CZ826" s="49"/>
      <c r="DD826" s="49"/>
      <c r="DH826" s="49"/>
      <c r="DL826" s="49"/>
      <c r="DP826" s="49"/>
    </row>
    <row r="827" spans="1:128" s="20" customFormat="1" ht="13.8">
      <c r="A827" s="21" t="s">
        <v>904</v>
      </c>
      <c r="B827" s="49"/>
      <c r="BH827" s="49"/>
      <c r="BI827" s="49"/>
      <c r="BJ827" s="49"/>
      <c r="BK827" s="49"/>
      <c r="BL827" s="49"/>
      <c r="BM827" s="49"/>
      <c r="BN827" s="49"/>
      <c r="BO827" s="49"/>
      <c r="BP827" s="49"/>
      <c r="BQ827" s="49"/>
      <c r="BR827" s="49"/>
      <c r="BT827" s="49"/>
      <c r="BU827" s="49"/>
      <c r="BV827" s="49"/>
      <c r="BX827" s="49"/>
      <c r="BY827" s="49"/>
      <c r="BZ827" s="49"/>
      <c r="CB827" s="49"/>
      <c r="CF827" s="49"/>
      <c r="CJ827" s="49"/>
      <c r="CN827" s="49"/>
      <c r="CR827" s="49"/>
      <c r="CV827" s="49"/>
      <c r="CZ827" s="49"/>
      <c r="DD827" s="49"/>
      <c r="DH827" s="49"/>
      <c r="DL827" s="49"/>
      <c r="DP827" s="49"/>
    </row>
    <row r="828" spans="1:128" s="20" customFormat="1" ht="13.8">
      <c r="A828" s="20" t="s">
        <v>104</v>
      </c>
      <c r="B828" s="49"/>
      <c r="BH828" s="98">
        <v>1822</v>
      </c>
      <c r="BI828" s="65">
        <f>BH832</f>
        <v>1893</v>
      </c>
      <c r="BJ828" s="65">
        <f>BH828</f>
        <v>1822</v>
      </c>
      <c r="BK828" s="49"/>
      <c r="BL828" s="65">
        <f>BI832</f>
        <v>1986</v>
      </c>
      <c r="BM828" s="65">
        <f>BL832</f>
        <v>1955</v>
      </c>
      <c r="BN828" s="65">
        <f>BL828</f>
        <v>1986</v>
      </c>
      <c r="BO828" s="49"/>
      <c r="BP828" s="65">
        <f>BM832</f>
        <v>2038</v>
      </c>
      <c r="BQ828" s="65">
        <f>BP832</f>
        <v>2154</v>
      </c>
      <c r="BR828" s="65">
        <f>BP828</f>
        <v>2038</v>
      </c>
      <c r="BT828" s="65">
        <f>BQ832</f>
        <v>2026</v>
      </c>
      <c r="BU828" s="65">
        <f>BT832</f>
        <v>1904</v>
      </c>
      <c r="BV828" s="65">
        <f>BT828</f>
        <v>2026</v>
      </c>
      <c r="BX828" s="49"/>
      <c r="BY828" s="49"/>
      <c r="BZ828" s="49"/>
      <c r="CB828" s="49"/>
      <c r="CF828" s="49"/>
      <c r="CJ828" s="49"/>
      <c r="CN828" s="49"/>
      <c r="CR828" s="49"/>
      <c r="CV828" s="49"/>
      <c r="CZ828" s="49"/>
      <c r="DD828" s="49"/>
      <c r="DH828" s="49"/>
      <c r="DL828" s="49"/>
      <c r="DP828" s="49"/>
    </row>
    <row r="829" spans="1:128" s="20" customFormat="1" ht="13.8">
      <c r="A829" s="20" t="s">
        <v>105</v>
      </c>
      <c r="B829" s="49"/>
      <c r="BH829" s="67">
        <v>245</v>
      </c>
      <c r="BI829" s="67">
        <f>471-BH829</f>
        <v>226</v>
      </c>
      <c r="BJ829" s="65">
        <f>+BH829+BI829</f>
        <v>471</v>
      </c>
      <c r="BK829" s="49"/>
      <c r="BL829" s="67">
        <v>236</v>
      </c>
      <c r="BM829" s="67">
        <f>430-BL829</f>
        <v>194</v>
      </c>
      <c r="BN829" s="65">
        <f>+BL829+BM829</f>
        <v>430</v>
      </c>
      <c r="BO829" s="49"/>
      <c r="BP829" s="67">
        <v>260</v>
      </c>
      <c r="BQ829" s="67">
        <f>482-BP829</f>
        <v>222</v>
      </c>
      <c r="BR829" s="65">
        <f>+BP829+BQ829</f>
        <v>482</v>
      </c>
      <c r="BT829" s="608">
        <f>315/2</f>
        <v>157.5</v>
      </c>
      <c r="BU829" s="67">
        <f>315-BT829</f>
        <v>157.5</v>
      </c>
      <c r="BV829" s="65">
        <f>+BT829+BU829</f>
        <v>315</v>
      </c>
      <c r="BX829" s="49"/>
      <c r="BY829" s="49"/>
      <c r="BZ829" s="49"/>
      <c r="CB829" s="49"/>
      <c r="CF829" s="49"/>
      <c r="CJ829" s="49"/>
      <c r="CN829" s="49"/>
      <c r="CR829" s="49"/>
      <c r="CV829" s="49"/>
      <c r="CZ829" s="49"/>
      <c r="DD829" s="49"/>
      <c r="DH829" s="49"/>
      <c r="DL829" s="49"/>
      <c r="DP829" s="49"/>
    </row>
    <row r="830" spans="1:128" s="20" customFormat="1" ht="13.8">
      <c r="A830" s="20" t="s">
        <v>106</v>
      </c>
      <c r="B830" s="49"/>
      <c r="BH830" s="65">
        <f>BH832-BH829-BH828</f>
        <v>-174</v>
      </c>
      <c r="BI830" s="65">
        <f>BI832-BI829-BI828</f>
        <v>-133</v>
      </c>
      <c r="BJ830" s="65">
        <f>+BH830+BI830</f>
        <v>-307</v>
      </c>
      <c r="BK830" s="49"/>
      <c r="BL830" s="65">
        <f>BL832-BL829-BL828</f>
        <v>-267</v>
      </c>
      <c r="BM830" s="65">
        <f>BM832-BM829-BM828</f>
        <v>-111</v>
      </c>
      <c r="BN830" s="65">
        <f>+BL830+BM830</f>
        <v>-378</v>
      </c>
      <c r="BO830" s="49"/>
      <c r="BP830" s="65">
        <f>BP832-BP829-BP828</f>
        <v>-144</v>
      </c>
      <c r="BQ830" s="65">
        <f>BQ832-BQ829-BQ828</f>
        <v>-350</v>
      </c>
      <c r="BR830" s="65">
        <f>+BP830+BQ830</f>
        <v>-494</v>
      </c>
      <c r="BT830" s="65">
        <f>BT832-BT829-BT828</f>
        <v>-279.5</v>
      </c>
      <c r="BU830" s="65">
        <f>BU832-BU829-BU828</f>
        <v>-232.5</v>
      </c>
      <c r="BV830" s="65">
        <f>+BT830+BU830</f>
        <v>-512</v>
      </c>
      <c r="BX830" s="49"/>
      <c r="BY830" s="49"/>
      <c r="BZ830" s="49"/>
      <c r="CB830" s="49"/>
      <c r="CF830" s="49"/>
      <c r="CJ830" s="49"/>
      <c r="CN830" s="49"/>
      <c r="CR830" s="49"/>
      <c r="CV830" s="49"/>
      <c r="CZ830" s="49"/>
      <c r="DD830" s="49"/>
      <c r="DH830" s="49"/>
      <c r="DL830" s="49"/>
      <c r="DP830" s="49"/>
    </row>
    <row r="831" spans="1:128" s="20" customFormat="1" ht="13.8">
      <c r="A831" s="20" t="s">
        <v>887</v>
      </c>
      <c r="B831" s="49"/>
      <c r="BH831" s="65"/>
      <c r="BI831" s="65"/>
      <c r="BJ831" s="65"/>
      <c r="BK831" s="49"/>
      <c r="BL831" s="65"/>
      <c r="BM831" s="65"/>
      <c r="BN831" s="65"/>
      <c r="BO831" s="49"/>
      <c r="BP831" s="65"/>
      <c r="BQ831" s="65"/>
      <c r="BR831" s="65"/>
      <c r="BT831" s="65"/>
      <c r="BU831" s="65"/>
      <c r="BV831" s="65"/>
      <c r="BX831" s="49"/>
      <c r="BY831" s="49"/>
      <c r="BZ831" s="49"/>
      <c r="CB831" s="49"/>
      <c r="CF831" s="49"/>
      <c r="CJ831" s="49"/>
      <c r="CN831" s="49"/>
      <c r="CR831" s="49"/>
      <c r="CV831" s="49"/>
      <c r="CZ831" s="49"/>
      <c r="DD831" s="49"/>
      <c r="DH831" s="49"/>
      <c r="DL831" s="49"/>
      <c r="DP831" s="49"/>
    </row>
    <row r="832" spans="1:128" s="21" customFormat="1" ht="13.8">
      <c r="A832" s="21" t="s">
        <v>107</v>
      </c>
      <c r="B832" s="27"/>
      <c r="BH832" s="98">
        <v>1893</v>
      </c>
      <c r="BI832" s="98">
        <v>1986</v>
      </c>
      <c r="BJ832" s="72">
        <f>SUM(BJ828:BJ830)</f>
        <v>1986</v>
      </c>
      <c r="BK832" s="27"/>
      <c r="BL832" s="98">
        <v>1955</v>
      </c>
      <c r="BM832" s="98">
        <v>2038</v>
      </c>
      <c r="BN832" s="72">
        <f>SUM(BN828:BN830)</f>
        <v>2038</v>
      </c>
      <c r="BO832" s="27"/>
      <c r="BP832" s="98">
        <v>2154</v>
      </c>
      <c r="BQ832" s="98">
        <v>2026</v>
      </c>
      <c r="BR832" s="72">
        <f>SUM(BR828:BR830)</f>
        <v>2026</v>
      </c>
      <c r="BS832" s="75">
        <f>+BR832/BN832-1</f>
        <v>-5.8881256133463955E-3</v>
      </c>
      <c r="BT832" s="98">
        <v>1904</v>
      </c>
      <c r="BU832" s="98">
        <v>1829</v>
      </c>
      <c r="BV832" s="72">
        <f>SUM(BV828:BV830)</f>
        <v>1829</v>
      </c>
      <c r="BW832" s="75">
        <f>+BV832/BR832-1</f>
        <v>-9.7235932872655528E-2</v>
      </c>
      <c r="BX832" s="98">
        <v>165</v>
      </c>
      <c r="BY832" s="98">
        <v>173</v>
      </c>
      <c r="BZ832" s="72">
        <f>SUM(BZ828:BZ831)</f>
        <v>0</v>
      </c>
      <c r="CA832" s="75">
        <f>+BZ832/BV832-1</f>
        <v>-1</v>
      </c>
      <c r="CB832" s="98">
        <v>177</v>
      </c>
      <c r="CC832" s="98">
        <v>173</v>
      </c>
      <c r="CD832" s="72">
        <f>SUM(CD828:CD831)</f>
        <v>0</v>
      </c>
      <c r="CE832" s="75"/>
      <c r="CF832" s="837"/>
      <c r="CG832" s="837"/>
      <c r="CH832" s="72"/>
      <c r="CI832" s="75"/>
      <c r="CJ832" s="72"/>
      <c r="CK832" s="72"/>
      <c r="CL832" s="72"/>
      <c r="CM832" s="75"/>
      <c r="CN832" s="72"/>
      <c r="CO832" s="72"/>
      <c r="CP832" s="72"/>
      <c r="CQ832" s="75"/>
      <c r="CR832" s="72"/>
      <c r="CS832" s="72"/>
      <c r="CT832" s="72"/>
      <c r="CU832" s="75"/>
      <c r="CV832" s="72"/>
      <c r="CW832" s="72"/>
      <c r="CX832" s="72"/>
      <c r="CY832" s="75"/>
      <c r="CZ832" s="72"/>
      <c r="DA832" s="72"/>
      <c r="DB832" s="72"/>
      <c r="DC832" s="75"/>
      <c r="DD832" s="72"/>
      <c r="DE832" s="72"/>
      <c r="DF832" s="72"/>
      <c r="DG832" s="75"/>
      <c r="DH832" s="72"/>
      <c r="DI832" s="72"/>
      <c r="DJ832" s="72"/>
      <c r="DK832" s="75"/>
      <c r="DL832" s="72"/>
      <c r="DM832" s="72"/>
      <c r="DN832" s="72"/>
      <c r="DO832" s="75"/>
      <c r="DP832" s="72"/>
      <c r="DQ832" s="72"/>
      <c r="DR832" s="72"/>
      <c r="DS832" s="75"/>
      <c r="DT832" s="75"/>
      <c r="DU832" s="75"/>
      <c r="DV832" s="75"/>
      <c r="DW832" s="20"/>
      <c r="DX832" s="20"/>
    </row>
    <row r="833" spans="1:128" s="21" customFormat="1" ht="13.8">
      <c r="A833" s="47" t="s">
        <v>293</v>
      </c>
      <c r="B833" s="27"/>
      <c r="BH833" s="375"/>
      <c r="BI833" s="375"/>
      <c r="BJ833" s="72"/>
      <c r="BK833" s="27"/>
      <c r="BL833" s="375"/>
      <c r="BM833" s="375"/>
      <c r="BN833" s="72"/>
      <c r="BO833" s="27"/>
      <c r="BP833" s="375"/>
      <c r="BQ833" s="375"/>
      <c r="BR833" s="72"/>
      <c r="BT833" s="375"/>
      <c r="BU833" s="375"/>
      <c r="BV833" s="72"/>
      <c r="BX833" s="375"/>
      <c r="BY833" s="375"/>
      <c r="BZ833" s="72"/>
      <c r="CB833" s="375"/>
      <c r="CC833" s="375"/>
      <c r="CD833" s="72"/>
      <c r="CF833" s="375"/>
      <c r="CG833" s="375"/>
      <c r="CH833" s="72"/>
      <c r="CJ833" s="72"/>
      <c r="CK833" s="72"/>
      <c r="CL833" s="72"/>
      <c r="CN833" s="72"/>
      <c r="CO833" s="72"/>
      <c r="CP833" s="72"/>
      <c r="CR833" s="72"/>
      <c r="CS833" s="72"/>
      <c r="CT833" s="72"/>
      <c r="CV833" s="72"/>
      <c r="CW833" s="72"/>
      <c r="CX833" s="72"/>
      <c r="CZ833" s="72"/>
      <c r="DA833" s="72"/>
      <c r="DB833" s="72"/>
      <c r="DD833" s="72"/>
      <c r="DE833" s="72"/>
      <c r="DF833" s="72"/>
      <c r="DH833" s="72"/>
      <c r="DI833" s="72"/>
      <c r="DJ833" s="72"/>
      <c r="DL833" s="72"/>
      <c r="DM833" s="72"/>
      <c r="DN833" s="72"/>
      <c r="DP833" s="72"/>
      <c r="DQ833" s="72"/>
      <c r="DR833" s="72"/>
      <c r="DW833" s="20"/>
      <c r="DX833" s="20"/>
    </row>
    <row r="834" spans="1:128" s="47" customFormat="1" ht="13.8">
      <c r="A834" s="47" t="s">
        <v>217</v>
      </c>
      <c r="B834" s="92"/>
      <c r="BH834" s="92"/>
      <c r="BI834" s="75">
        <f>+BI832/BH832-1</f>
        <v>4.9128367670364437E-2</v>
      </c>
      <c r="BJ834" s="75"/>
      <c r="BK834" s="92"/>
      <c r="BL834" s="96">
        <f>+BL832/BI832-1</f>
        <v>-1.5609264853977844E-2</v>
      </c>
      <c r="BM834" s="75">
        <f>+BM832/BL832-1</f>
        <v>4.245524296675196E-2</v>
      </c>
      <c r="BN834" s="75"/>
      <c r="BO834" s="92"/>
      <c r="BP834" s="96">
        <f>+BP832/BM832-1</f>
        <v>5.6918547595681934E-2</v>
      </c>
      <c r="BQ834" s="75">
        <f>+BQ832/BP832-1</f>
        <v>-5.9424326833797614E-2</v>
      </c>
      <c r="BR834" s="75"/>
      <c r="BT834" s="96">
        <f>+BT832/BQ832-1</f>
        <v>-6.0217176702862751E-2</v>
      </c>
      <c r="BU834" s="75">
        <f>+BU832/BT832-1</f>
        <v>-3.9390756302520979E-2</v>
      </c>
      <c r="BV834" s="75"/>
      <c r="BX834" s="96">
        <f>+BX832/BU832-1</f>
        <v>-0.90978676872607989</v>
      </c>
      <c r="BY834" s="75">
        <f>+BY832/BX832-1</f>
        <v>4.8484848484848575E-2</v>
      </c>
      <c r="BZ834" s="75"/>
      <c r="CB834" s="96">
        <f>+CB832/BY832-1</f>
        <v>2.3121387283236983E-2</v>
      </c>
      <c r="CC834" s="75">
        <f>+CC832/CB832-1</f>
        <v>-2.2598870056497189E-2</v>
      </c>
      <c r="CD834" s="75"/>
      <c r="CF834" s="96"/>
      <c r="CG834" s="75"/>
      <c r="CH834" s="75"/>
      <c r="CJ834" s="75"/>
      <c r="CK834" s="75"/>
      <c r="CL834" s="75"/>
      <c r="CN834" s="75"/>
      <c r="CO834" s="75"/>
      <c r="CP834" s="75"/>
      <c r="CR834" s="75"/>
      <c r="CS834" s="75"/>
      <c r="CT834" s="75"/>
      <c r="CV834" s="75"/>
      <c r="CW834" s="75"/>
      <c r="CX834" s="75"/>
      <c r="CZ834" s="75"/>
      <c r="DA834" s="75"/>
      <c r="DB834" s="75"/>
      <c r="DD834" s="75"/>
      <c r="DE834" s="75"/>
      <c r="DF834" s="75"/>
      <c r="DH834" s="75"/>
      <c r="DI834" s="75"/>
      <c r="DJ834" s="75"/>
      <c r="DL834" s="75"/>
      <c r="DM834" s="75"/>
      <c r="DN834" s="75"/>
      <c r="DP834" s="75"/>
      <c r="DQ834" s="75"/>
      <c r="DR834" s="75"/>
      <c r="DW834" s="20"/>
      <c r="DX834" s="20"/>
    </row>
    <row r="835" spans="1:128" s="325" customFormat="1" ht="13.8">
      <c r="A835" s="335" t="s">
        <v>108</v>
      </c>
      <c r="B835" s="324"/>
      <c r="BH835" s="345">
        <f t="shared" ref="BH835:BJ836" si="1207">BH829*(BH$4/BH$3)/BH$828</f>
        <v>0.26967406907033692</v>
      </c>
      <c r="BI835" s="345">
        <f t="shared" si="1207"/>
        <v>0.23812204295953743</v>
      </c>
      <c r="BJ835" s="345">
        <f t="shared" si="1207"/>
        <v>0.25850713501646544</v>
      </c>
      <c r="BK835" s="371"/>
      <c r="BL835" s="345">
        <f t="shared" ref="BL835:BN836" si="1208">BL829*(BL$4/BL$3)/BL$828</f>
        <v>0.23831656762170358</v>
      </c>
      <c r="BM835" s="345">
        <f t="shared" si="1208"/>
        <v>0.19792321775467134</v>
      </c>
      <c r="BN835" s="345">
        <f t="shared" si="1208"/>
        <v>0.21651560926485397</v>
      </c>
      <c r="BO835" s="371"/>
      <c r="BP835" s="345">
        <f t="shared" ref="BP835:BR836" si="1209">BP829*(BP$4/BP$3)/BP$828</f>
        <v>0.25585307724660034</v>
      </c>
      <c r="BQ835" s="345">
        <f t="shared" si="1209"/>
        <v>0.2055649420825913</v>
      </c>
      <c r="BR835" s="345">
        <f t="shared" si="1209"/>
        <v>0.2365063788027478</v>
      </c>
      <c r="BT835" s="345">
        <f t="shared" ref="BT835:BV836" si="1210">BT829*(BT$4/BT$3)/BT$828</f>
        <v>0.15547877591312931</v>
      </c>
      <c r="BU835" s="345">
        <f t="shared" si="1210"/>
        <v>0.16544117647058823</v>
      </c>
      <c r="BV835" s="345">
        <f t="shared" si="1210"/>
        <v>0.15547877591312931</v>
      </c>
      <c r="BX835" s="345"/>
      <c r="BY835" s="345"/>
      <c r="BZ835" s="345"/>
      <c r="CB835" s="345"/>
      <c r="CC835" s="345"/>
      <c r="CD835" s="345"/>
      <c r="CF835" s="345"/>
      <c r="CG835" s="345"/>
      <c r="CH835" s="345"/>
      <c r="CJ835" s="372"/>
      <c r="CK835" s="372"/>
      <c r="CL835" s="345"/>
      <c r="CN835" s="372"/>
      <c r="CO835" s="372"/>
      <c r="CP835" s="345"/>
      <c r="CR835" s="372"/>
      <c r="CS835" s="372"/>
      <c r="CT835" s="345"/>
      <c r="CV835" s="372"/>
      <c r="CW835" s="372"/>
      <c r="CX835" s="345"/>
      <c r="CZ835" s="372"/>
      <c r="DA835" s="372"/>
      <c r="DB835" s="345"/>
      <c r="DD835" s="372"/>
      <c r="DE835" s="372"/>
      <c r="DF835" s="345"/>
      <c r="DH835" s="372"/>
      <c r="DI835" s="372"/>
      <c r="DJ835" s="345"/>
      <c r="DL835" s="372"/>
      <c r="DM835" s="372"/>
      <c r="DN835" s="345"/>
      <c r="DP835" s="372"/>
      <c r="DQ835" s="372"/>
      <c r="DR835" s="345"/>
      <c r="DW835" s="20"/>
      <c r="DX835" s="20"/>
    </row>
    <row r="836" spans="1:128" s="325" customFormat="1" ht="13.8">
      <c r="A836" s="335" t="s">
        <v>109</v>
      </c>
      <c r="B836" s="324"/>
      <c r="BH836" s="345">
        <f t="shared" si="1207"/>
        <v>-0.19152362456423927</v>
      </c>
      <c r="BI836" s="345">
        <f t="shared" si="1207"/>
        <v>-0.14013376864432955</v>
      </c>
      <c r="BJ836" s="345">
        <f t="shared" si="1207"/>
        <v>-0.16849615806805707</v>
      </c>
      <c r="BK836" s="371"/>
      <c r="BL836" s="345">
        <f t="shared" si="1208"/>
        <v>-0.26962086252116463</v>
      </c>
      <c r="BM836" s="345">
        <f t="shared" si="1208"/>
        <v>-0.11324472768437382</v>
      </c>
      <c r="BN836" s="345">
        <f t="shared" si="1208"/>
        <v>-0.19033232628398791</v>
      </c>
      <c r="BO836" s="371"/>
      <c r="BP836" s="345">
        <f t="shared" si="1209"/>
        <v>-0.14170324278273247</v>
      </c>
      <c r="BQ836" s="345">
        <f t="shared" si="1209"/>
        <v>-0.32408887265273401</v>
      </c>
      <c r="BR836" s="345">
        <f t="shared" si="1209"/>
        <v>-0.2423945044160942</v>
      </c>
      <c r="BT836" s="345">
        <f t="shared" si="1210"/>
        <v>-0.27591312931885487</v>
      </c>
      <c r="BU836" s="345">
        <f t="shared" si="1210"/>
        <v>-0.24422268907563024</v>
      </c>
      <c r="BV836" s="345">
        <f t="shared" si="1210"/>
        <v>-0.25271470878578478</v>
      </c>
      <c r="BX836" s="345"/>
      <c r="BY836" s="345"/>
      <c r="BZ836" s="345"/>
      <c r="CB836" s="345"/>
      <c r="CC836" s="345"/>
      <c r="CD836" s="345"/>
      <c r="CF836" s="345"/>
      <c r="CG836" s="345"/>
      <c r="CH836" s="345"/>
      <c r="CJ836" s="372"/>
      <c r="CK836" s="372"/>
      <c r="CL836" s="345"/>
      <c r="CN836" s="372"/>
      <c r="CO836" s="372"/>
      <c r="CP836" s="345"/>
      <c r="CR836" s="372"/>
      <c r="CS836" s="372"/>
      <c r="CT836" s="345"/>
      <c r="CV836" s="372"/>
      <c r="CW836" s="372"/>
      <c r="CX836" s="345"/>
      <c r="CZ836" s="372"/>
      <c r="DA836" s="372"/>
      <c r="DB836" s="345"/>
      <c r="DD836" s="372"/>
      <c r="DE836" s="372"/>
      <c r="DF836" s="345"/>
      <c r="DH836" s="372"/>
      <c r="DI836" s="372"/>
      <c r="DJ836" s="345"/>
      <c r="DL836" s="372"/>
      <c r="DM836" s="372"/>
      <c r="DN836" s="345"/>
      <c r="DP836" s="372"/>
      <c r="DQ836" s="372"/>
      <c r="DR836" s="345"/>
      <c r="DW836" s="20"/>
      <c r="DX836" s="20"/>
    </row>
    <row r="837" spans="1:128" s="20" customFormat="1" ht="13.8">
      <c r="A837" s="47"/>
      <c r="B837" s="49"/>
      <c r="BH837" s="96"/>
      <c r="BI837" s="96"/>
      <c r="BJ837" s="96"/>
      <c r="BK837" s="376"/>
      <c r="BL837" s="96"/>
      <c r="BM837" s="96"/>
      <c r="BN837" s="96"/>
      <c r="BO837" s="376"/>
      <c r="BP837" s="96"/>
      <c r="BQ837" s="96"/>
      <c r="BR837" s="96"/>
      <c r="BT837" s="96"/>
      <c r="BU837" s="96"/>
      <c r="BV837" s="96"/>
      <c r="BX837" s="96"/>
      <c r="BY837" s="96"/>
      <c r="BZ837" s="96"/>
      <c r="CB837" s="96"/>
      <c r="CC837" s="96"/>
      <c r="CD837" s="96"/>
      <c r="CF837" s="377"/>
      <c r="CG837" s="96"/>
      <c r="CH837" s="96"/>
      <c r="CJ837" s="377"/>
      <c r="CK837" s="377"/>
      <c r="CL837" s="96"/>
      <c r="CN837" s="377"/>
      <c r="CO837" s="377"/>
      <c r="CP837" s="96"/>
      <c r="CR837" s="377"/>
      <c r="CS837" s="377"/>
      <c r="CT837" s="96"/>
      <c r="CV837" s="377"/>
      <c r="CW837" s="377"/>
      <c r="CX837" s="96"/>
      <c r="CZ837" s="377"/>
      <c r="DA837" s="377"/>
      <c r="DB837" s="96"/>
      <c r="DD837" s="377"/>
      <c r="DE837" s="377"/>
      <c r="DF837" s="96"/>
      <c r="DH837" s="377"/>
      <c r="DI837" s="377"/>
      <c r="DJ837" s="96"/>
      <c r="DL837" s="377"/>
      <c r="DM837" s="377"/>
      <c r="DN837" s="96"/>
      <c r="DP837" s="377"/>
      <c r="DQ837" s="377"/>
      <c r="DR837" s="96"/>
    </row>
    <row r="838" spans="1:128" s="359" customFormat="1" ht="13.8">
      <c r="A838" s="359" t="s">
        <v>238</v>
      </c>
      <c r="B838" s="360"/>
      <c r="BH838" s="360"/>
      <c r="BI838" s="360"/>
      <c r="BJ838" s="360"/>
      <c r="BK838" s="360"/>
      <c r="BL838" s="360"/>
      <c r="BM838" s="360"/>
      <c r="BN838" s="360"/>
      <c r="BO838" s="360"/>
      <c r="BP838" s="360"/>
      <c r="BT838" s="360"/>
      <c r="BX838" s="360"/>
      <c r="CB838" s="360"/>
      <c r="CF838" s="360"/>
      <c r="CJ838" s="360"/>
      <c r="CN838" s="360"/>
      <c r="CR838" s="360"/>
      <c r="CV838" s="360"/>
      <c r="CZ838" s="360"/>
      <c r="DD838" s="360"/>
      <c r="DH838" s="360"/>
      <c r="DL838" s="360"/>
      <c r="DP838" s="360"/>
      <c r="DT838" s="744"/>
      <c r="DU838" s="744"/>
      <c r="DV838" s="744"/>
      <c r="DW838" s="20"/>
      <c r="DX838" s="20"/>
    </row>
    <row r="839" spans="1:128" s="20" customFormat="1" ht="13.8">
      <c r="B839" s="49"/>
      <c r="BH839" s="49"/>
      <c r="BI839" s="49"/>
      <c r="BJ839" s="49"/>
      <c r="BK839" s="49"/>
      <c r="BL839" s="49"/>
      <c r="BM839" s="49"/>
      <c r="BN839" s="49"/>
      <c r="BO839" s="49"/>
      <c r="BP839" s="49"/>
      <c r="BQ839" s="49"/>
      <c r="BR839" s="49"/>
      <c r="BS839" s="49"/>
      <c r="BT839" s="49"/>
      <c r="BU839" s="49"/>
      <c r="BV839" s="49"/>
      <c r="BX839" s="49"/>
      <c r="CB839" s="49"/>
      <c r="CF839" s="771"/>
      <c r="CJ839" s="49"/>
      <c r="CL839" s="98"/>
      <c r="CN839" s="49"/>
      <c r="CR839" s="49"/>
      <c r="CV839" s="49"/>
      <c r="CZ839" s="49"/>
      <c r="DD839" s="49"/>
      <c r="DH839" s="49"/>
      <c r="DL839" s="49"/>
      <c r="DP839" s="49"/>
    </row>
    <row r="840" spans="1:128" s="20" customFormat="1" ht="13.8">
      <c r="A840" s="61" t="s">
        <v>587</v>
      </c>
      <c r="B840" s="49"/>
      <c r="BH840" s="65">
        <f t="shared" ref="BH840:BI843" si="1211">BH27</f>
        <v>-2347</v>
      </c>
      <c r="BI840" s="65">
        <f t="shared" si="1211"/>
        <v>-2417</v>
      </c>
      <c r="BJ840" s="65">
        <f>+BH840+BI840</f>
        <v>-4764</v>
      </c>
      <c r="BK840" s="49"/>
      <c r="BL840" s="65">
        <f t="shared" ref="BL840:BM843" si="1212">BL27</f>
        <v>-2530</v>
      </c>
      <c r="BM840" s="65">
        <f t="shared" si="1212"/>
        <v>-2558</v>
      </c>
      <c r="BN840" s="65">
        <f>+BL840+BM840</f>
        <v>-5088</v>
      </c>
      <c r="BO840" s="49"/>
      <c r="BP840" s="65">
        <f t="shared" ref="BP840:BQ843" si="1213">BP27</f>
        <v>-2715</v>
      </c>
      <c r="BQ840" s="65">
        <f t="shared" si="1213"/>
        <v>-2764</v>
      </c>
      <c r="BR840" s="65">
        <f>+BP840+BQ840</f>
        <v>-5479</v>
      </c>
      <c r="BT840" s="65">
        <f t="shared" ref="BT840:BU843" si="1214">BT27</f>
        <v>-2801</v>
      </c>
      <c r="BU840" s="65">
        <f t="shared" si="1214"/>
        <v>-2740</v>
      </c>
      <c r="BV840" s="65">
        <f>+BT840+BU840</f>
        <v>-5541</v>
      </c>
      <c r="BX840" s="65">
        <f t="shared" ref="BX840:BY843" si="1215">BX27</f>
        <v>-2519</v>
      </c>
      <c r="BY840" s="65">
        <f t="shared" si="1215"/>
        <v>-2405</v>
      </c>
      <c r="BZ840" s="65">
        <f>+BX840+BY840</f>
        <v>-4924</v>
      </c>
      <c r="CB840" s="65">
        <f t="shared" ref="CB840:CC843" si="1216">CB27</f>
        <v>-2402</v>
      </c>
      <c r="CC840" s="65">
        <f t="shared" si="1216"/>
        <v>-2356</v>
      </c>
      <c r="CD840" s="65">
        <f>+CB840+CC840</f>
        <v>-4758</v>
      </c>
      <c r="CE840" s="75">
        <f>+CD840/BZ840-1</f>
        <v>-3.3712428919577597E-2</v>
      </c>
      <c r="CF840" s="65">
        <f t="shared" ref="CF840:CG843" si="1217">CF27</f>
        <v>-2370</v>
      </c>
      <c r="CG840" s="65">
        <f t="shared" si="1217"/>
        <v>-2395</v>
      </c>
      <c r="CH840" s="65">
        <f>+CF840+CG840</f>
        <v>-4765</v>
      </c>
      <c r="CI840" s="75">
        <f>+CH840/CD840-1</f>
        <v>1.4712063892392546E-3</v>
      </c>
      <c r="CJ840" s="65">
        <f t="shared" ref="CJ840:CK843" si="1218">CJ27</f>
        <v>-2465</v>
      </c>
      <c r="CK840" s="65">
        <f t="shared" si="1218"/>
        <v>-2413</v>
      </c>
      <c r="CL840" s="65">
        <f>+CJ840+CK840</f>
        <v>-4878</v>
      </c>
      <c r="CM840" s="75">
        <f>+CL840/CH840-1</f>
        <v>2.3714585519412301E-2</v>
      </c>
      <c r="CN840" s="65">
        <f t="shared" ref="CN840:CO843" si="1219">CN27</f>
        <v>-2449</v>
      </c>
      <c r="CO840" s="65">
        <f t="shared" si="1219"/>
        <v>-2497</v>
      </c>
      <c r="CP840" s="65">
        <f>+CN840+CO840</f>
        <v>-4946</v>
      </c>
      <c r="CQ840" s="75">
        <f>+CP840/CL840-1</f>
        <v>1.3940139401394047E-2</v>
      </c>
      <c r="CR840" s="65">
        <f t="shared" ref="CR840:CS843" si="1220">CR27</f>
        <v>-2654</v>
      </c>
      <c r="CS840" s="65">
        <f t="shared" si="1220"/>
        <v>-2642</v>
      </c>
      <c r="CT840" s="65">
        <f>+CR840+CS840</f>
        <v>-5296</v>
      </c>
      <c r="CU840" s="75">
        <f>+CT840/CP840-1</f>
        <v>7.0764253942579902E-2</v>
      </c>
      <c r="CV840" s="65">
        <f t="shared" ref="CV840:CW843" si="1221">CV27</f>
        <v>-2893</v>
      </c>
      <c r="CW840" s="65">
        <f t="shared" si="1221"/>
        <v>-2869</v>
      </c>
      <c r="CX840" s="65">
        <f>+CV840+CW840</f>
        <v>-5762</v>
      </c>
      <c r="CY840" s="75">
        <f>+CX840/CT840-1</f>
        <v>8.7990936555891297E-2</v>
      </c>
      <c r="CZ840" s="65">
        <f t="shared" ref="CZ840:DA843" si="1222">CZ27</f>
        <v>-3062</v>
      </c>
      <c r="DA840" s="65">
        <f t="shared" si="1222"/>
        <v>-3116</v>
      </c>
      <c r="DB840" s="65">
        <f>+CZ840+DA840</f>
        <v>-6178</v>
      </c>
      <c r="DC840" s="75">
        <f>+DB840/CX840-1</f>
        <v>7.2197153766053512E-2</v>
      </c>
      <c r="DD840" s="65">
        <f>DD27</f>
        <v>-3312</v>
      </c>
      <c r="DE840" s="65">
        <f t="shared" ref="DE840" si="1223">DE27</f>
        <v>-3443</v>
      </c>
      <c r="DF840" s="65">
        <f>+DD840+DE840</f>
        <v>-6755</v>
      </c>
      <c r="DG840" s="75">
        <f>+DF840/DB840-1</f>
        <v>9.3395921010035687E-2</v>
      </c>
      <c r="DH840" s="65">
        <f>DH905</f>
        <v>-2726.1065605000754</v>
      </c>
      <c r="DI840" s="65">
        <f>DI905</f>
        <v>-2605.4699792897695</v>
      </c>
      <c r="DJ840" s="65">
        <f>+DH840+DI840</f>
        <v>-5331.5765397898449</v>
      </c>
      <c r="DK840" s="75">
        <f>+DJ840/DF840-1</f>
        <v>-0.2107214596906225</v>
      </c>
      <c r="DL840" s="65">
        <f>DL905</f>
        <v>-2519.627389357669</v>
      </c>
      <c r="DM840" s="65">
        <f>DM905</f>
        <v>-2571.2202211814015</v>
      </c>
      <c r="DN840" s="65">
        <f>+DL840+DM840</f>
        <v>-5090.847610539071</v>
      </c>
      <c r="DO840" s="75">
        <f>+DN840/DJ840-1</f>
        <v>-4.5151547099474443E-2</v>
      </c>
      <c r="DP840" s="65">
        <f>DP905</f>
        <v>-2499.9645209162086</v>
      </c>
      <c r="DQ840" s="65">
        <f>DQ905</f>
        <v>-2411.5042378684047</v>
      </c>
      <c r="DR840" s="65">
        <f>+DP840+DQ840</f>
        <v>-4911.4687587846129</v>
      </c>
      <c r="DS840" s="75">
        <f>+DR840/DN840-1</f>
        <v>-3.5235557116875427E-2</v>
      </c>
      <c r="DT840" s="75"/>
      <c r="DU840" s="75"/>
    </row>
    <row r="841" spans="1:128" s="20" customFormat="1" ht="13.8">
      <c r="A841" s="20" t="s">
        <v>458</v>
      </c>
      <c r="B841" s="49"/>
      <c r="BH841" s="65">
        <f t="shared" si="1211"/>
        <v>-356</v>
      </c>
      <c r="BI841" s="65">
        <f t="shared" si="1211"/>
        <v>-377</v>
      </c>
      <c r="BJ841" s="65">
        <f>+BH841+BI841</f>
        <v>-733</v>
      </c>
      <c r="BK841" s="49"/>
      <c r="BL841" s="65">
        <f t="shared" si="1212"/>
        <v>-442</v>
      </c>
      <c r="BM841" s="65">
        <f t="shared" si="1212"/>
        <v>-446</v>
      </c>
      <c r="BN841" s="65">
        <f>+BL841+BM841</f>
        <v>-888</v>
      </c>
      <c r="BO841" s="49"/>
      <c r="BP841" s="65">
        <f t="shared" si="1213"/>
        <v>-455</v>
      </c>
      <c r="BQ841" s="65">
        <f t="shared" si="1213"/>
        <v>-467</v>
      </c>
      <c r="BR841" s="65">
        <f>+BP841+BQ841</f>
        <v>-922</v>
      </c>
      <c r="BT841" s="65">
        <f t="shared" si="1214"/>
        <v>-458</v>
      </c>
      <c r="BU841" s="65">
        <f t="shared" si="1214"/>
        <v>-470</v>
      </c>
      <c r="BV841" s="65">
        <f>+BT841+BU841</f>
        <v>-928</v>
      </c>
      <c r="BX841" s="65">
        <f t="shared" si="1215"/>
        <v>-432</v>
      </c>
      <c r="BY841" s="65">
        <f t="shared" si="1215"/>
        <v>-430</v>
      </c>
      <c r="BZ841" s="65">
        <f>+BX841+BY841</f>
        <v>-862</v>
      </c>
      <c r="CB841" s="65">
        <f t="shared" si="1216"/>
        <v>-395</v>
      </c>
      <c r="CC841" s="65">
        <f t="shared" si="1216"/>
        <v>-416</v>
      </c>
      <c r="CD841" s="65">
        <f>+CB841+CC841</f>
        <v>-811</v>
      </c>
      <c r="CE841" s="75">
        <f>+CD841/BZ841-1</f>
        <v>-5.9164733178654338E-2</v>
      </c>
      <c r="CF841" s="65">
        <f t="shared" si="1217"/>
        <v>-406</v>
      </c>
      <c r="CG841" s="65">
        <f t="shared" si="1217"/>
        <v>-389</v>
      </c>
      <c r="CH841" s="65">
        <f>+CF841+CG841</f>
        <v>-795</v>
      </c>
      <c r="CI841" s="75">
        <f>+CH841/CD841-1</f>
        <v>-1.9728729963008673E-2</v>
      </c>
      <c r="CJ841" s="65">
        <f t="shared" si="1218"/>
        <v>-405</v>
      </c>
      <c r="CK841" s="65">
        <f t="shared" si="1218"/>
        <v>-384</v>
      </c>
      <c r="CL841" s="65">
        <f>+CJ841+CK841</f>
        <v>-789</v>
      </c>
      <c r="CM841" s="75">
        <f>+CL841/CH841-1</f>
        <v>-7.547169811320753E-3</v>
      </c>
      <c r="CN841" s="65">
        <f t="shared" si="1219"/>
        <v>-350</v>
      </c>
      <c r="CO841" s="65">
        <f t="shared" si="1219"/>
        <v>-355</v>
      </c>
      <c r="CP841" s="65">
        <f>+CN841+CO841</f>
        <v>-705</v>
      </c>
      <c r="CQ841" s="75">
        <f>+CP841/CL841-1</f>
        <v>-0.10646387832699622</v>
      </c>
      <c r="CR841" s="65">
        <f t="shared" si="1220"/>
        <v>-341</v>
      </c>
      <c r="CS841" s="65">
        <f t="shared" si="1220"/>
        <v>-380</v>
      </c>
      <c r="CT841" s="65">
        <f>+CR841+CS841</f>
        <v>-721</v>
      </c>
      <c r="CU841" s="75">
        <f>+CT841/CP841-1</f>
        <v>2.2695035460992941E-2</v>
      </c>
      <c r="CV841" s="65">
        <f t="shared" si="1221"/>
        <v>-334</v>
      </c>
      <c r="CW841" s="65">
        <f t="shared" si="1221"/>
        <v>-324</v>
      </c>
      <c r="CX841" s="65">
        <f>+CV841+CW841</f>
        <v>-658</v>
      </c>
      <c r="CY841" s="75">
        <f>+CX841/CT841-1</f>
        <v>-8.737864077669899E-2</v>
      </c>
      <c r="CZ841" s="65">
        <f t="shared" si="1222"/>
        <v>-321</v>
      </c>
      <c r="DA841" s="65">
        <f t="shared" si="1222"/>
        <v>-338</v>
      </c>
      <c r="DB841" s="65">
        <f>+CZ841+DA841</f>
        <v>-659</v>
      </c>
      <c r="DC841" s="75">
        <f>+DB841/CX841-1</f>
        <v>1.5197568389058169E-3</v>
      </c>
      <c r="DD841" s="65">
        <f>DD28</f>
        <v>-348</v>
      </c>
      <c r="DE841" s="65">
        <f t="shared" ref="DE841" si="1224">DE28</f>
        <v>-362</v>
      </c>
      <c r="DF841" s="65">
        <f>+DD841+DE841</f>
        <v>-710</v>
      </c>
      <c r="DG841" s="75">
        <f>+DF841/DB841-1</f>
        <v>7.7389984825493086E-2</v>
      </c>
      <c r="DH841" s="65">
        <f>DH916</f>
        <v>-362</v>
      </c>
      <c r="DI841" s="65">
        <f>DI916</f>
        <v>-362</v>
      </c>
      <c r="DJ841" s="65">
        <f>+DH841+DI841</f>
        <v>-724</v>
      </c>
      <c r="DK841" s="75">
        <f>+DJ841/DF841-1</f>
        <v>1.9718309859154903E-2</v>
      </c>
      <c r="DL841" s="65">
        <f>DL916</f>
        <v>-362</v>
      </c>
      <c r="DM841" s="65">
        <f>DM916</f>
        <v>-362</v>
      </c>
      <c r="DN841" s="65">
        <f>+DL841+DM841</f>
        <v>-724</v>
      </c>
      <c r="DO841" s="75">
        <f>+DN841/DJ841-1</f>
        <v>0</v>
      </c>
      <c r="DP841" s="65">
        <f>DP916</f>
        <v>-362</v>
      </c>
      <c r="DQ841" s="65">
        <f>DQ916</f>
        <v>-362</v>
      </c>
      <c r="DR841" s="65">
        <f>+DP841+DQ841</f>
        <v>-724</v>
      </c>
      <c r="DS841" s="75">
        <f>+DR841/DN841-1</f>
        <v>0</v>
      </c>
      <c r="DT841" s="75"/>
      <c r="DU841" s="75"/>
    </row>
    <row r="842" spans="1:128" s="20" customFormat="1" ht="13.8">
      <c r="A842" s="20" t="s">
        <v>459</v>
      </c>
      <c r="B842" s="49"/>
      <c r="BH842" s="65">
        <f t="shared" si="1211"/>
        <v>-618</v>
      </c>
      <c r="BI842" s="65">
        <f t="shared" si="1211"/>
        <v>-625</v>
      </c>
      <c r="BJ842" s="65">
        <f>+BH842+BI842</f>
        <v>-1243</v>
      </c>
      <c r="BK842" s="49"/>
      <c r="BL842" s="65">
        <f t="shared" si="1212"/>
        <v>-606</v>
      </c>
      <c r="BM842" s="65">
        <f t="shared" si="1212"/>
        <v>-660</v>
      </c>
      <c r="BN842" s="65">
        <f>+BL842+BM842</f>
        <v>-1266</v>
      </c>
      <c r="BO842" s="49"/>
      <c r="BP842" s="65">
        <f t="shared" si="1213"/>
        <v>-701</v>
      </c>
      <c r="BQ842" s="65">
        <f t="shared" si="1213"/>
        <v>-761</v>
      </c>
      <c r="BR842" s="65">
        <f>+BP842+BQ842</f>
        <v>-1462</v>
      </c>
      <c r="BS842" s="49"/>
      <c r="BT842" s="65">
        <f t="shared" si="1214"/>
        <v>-1333</v>
      </c>
      <c r="BU842" s="65">
        <f t="shared" si="1214"/>
        <v>-834</v>
      </c>
      <c r="BV842" s="65">
        <f>+BT842+BU842</f>
        <v>-2167</v>
      </c>
      <c r="BW842" s="49"/>
      <c r="BX842" s="65">
        <f t="shared" si="1215"/>
        <v>-799</v>
      </c>
      <c r="BY842" s="65">
        <f t="shared" si="1215"/>
        <v>-803</v>
      </c>
      <c r="BZ842" s="65">
        <f>+BX842+BY842</f>
        <v>-1602</v>
      </c>
      <c r="CB842" s="65">
        <f t="shared" si="1216"/>
        <v>-815</v>
      </c>
      <c r="CC842" s="65">
        <f t="shared" si="1216"/>
        <v>-1084</v>
      </c>
      <c r="CD842" s="65">
        <f>+CB842+CC842</f>
        <v>-1899</v>
      </c>
      <c r="CE842" s="75">
        <f>+CD842/BZ842-1</f>
        <v>0.18539325842696619</v>
      </c>
      <c r="CF842" s="65">
        <f t="shared" si="1217"/>
        <v>-764</v>
      </c>
      <c r="CG842" s="65">
        <f t="shared" si="1217"/>
        <v>-770</v>
      </c>
      <c r="CH842" s="65">
        <f>+CF842+CG842</f>
        <v>-1534</v>
      </c>
      <c r="CI842" s="75">
        <f>+CH842/CD842-1</f>
        <v>-0.19220642443391256</v>
      </c>
      <c r="CJ842" s="65">
        <f t="shared" si="1218"/>
        <v>-839</v>
      </c>
      <c r="CK842" s="65">
        <f t="shared" si="1218"/>
        <v>-985</v>
      </c>
      <c r="CL842" s="65">
        <f>+CJ842+CK842</f>
        <v>-1824</v>
      </c>
      <c r="CM842" s="75">
        <f>+CL842/CH842-1</f>
        <v>0.18904823989569741</v>
      </c>
      <c r="CN842" s="65">
        <f t="shared" si="1219"/>
        <v>-785</v>
      </c>
      <c r="CO842" s="65">
        <f t="shared" si="1219"/>
        <v>-803</v>
      </c>
      <c r="CP842" s="65">
        <f>+CN842+CO842</f>
        <v>-1588</v>
      </c>
      <c r="CQ842" s="75">
        <f>+CP842/CL842-1</f>
        <v>-0.12938596491228072</v>
      </c>
      <c r="CR842" s="65">
        <f t="shared" si="1220"/>
        <v>-815</v>
      </c>
      <c r="CS842" s="65">
        <f t="shared" si="1220"/>
        <v>-806</v>
      </c>
      <c r="CT842" s="65">
        <f>+CR842+CS842</f>
        <v>-1621</v>
      </c>
      <c r="CU842" s="75">
        <f>+CT842/CP842-1</f>
        <v>2.0780856423173732E-2</v>
      </c>
      <c r="CV842" s="65">
        <f t="shared" si="1221"/>
        <v>-836</v>
      </c>
      <c r="CW842" s="65">
        <f t="shared" si="1221"/>
        <v>-864</v>
      </c>
      <c r="CX842" s="65">
        <f>+CV842+CW842</f>
        <v>-1700</v>
      </c>
      <c r="CY842" s="75">
        <f>+CX842/CT842-1</f>
        <v>4.8735348550277502E-2</v>
      </c>
      <c r="CZ842" s="65">
        <f t="shared" si="1222"/>
        <v>-898</v>
      </c>
      <c r="DA842" s="65">
        <f t="shared" si="1222"/>
        <v>-1017</v>
      </c>
      <c r="DB842" s="65">
        <f>+CZ842+DA842</f>
        <v>-1915</v>
      </c>
      <c r="DC842" s="75">
        <f>+DB842/CX842-1</f>
        <v>0.12647058823529411</v>
      </c>
      <c r="DD842" s="65">
        <f>DD29</f>
        <v>-1057</v>
      </c>
      <c r="DE842" s="65">
        <f t="shared" ref="DE842" si="1225">DE29</f>
        <v>-1186</v>
      </c>
      <c r="DF842" s="65">
        <f>+DD842+DE842</f>
        <v>-2243</v>
      </c>
      <c r="DG842" s="75">
        <f>+DF842/DB842-1</f>
        <v>0.17127937336814614</v>
      </c>
      <c r="DH842" s="65">
        <f>DH925</f>
        <v>-1164.7896870342772</v>
      </c>
      <c r="DI842" s="65">
        <f>DI925</f>
        <v>-1145.9259538393053</v>
      </c>
      <c r="DJ842" s="65">
        <f>+DH842+DI842</f>
        <v>-2310.7156408735827</v>
      </c>
      <c r="DK842" s="75">
        <f>+DJ842/DF842-1</f>
        <v>3.0189764098788485E-2</v>
      </c>
      <c r="DL842" s="65">
        <f>DL925</f>
        <v>-1164.5726814905945</v>
      </c>
      <c r="DM842" s="65">
        <f>DM925</f>
        <v>-1177.7939334762882</v>
      </c>
      <c r="DN842" s="65">
        <f>+DL842+DM842</f>
        <v>-2342.3666149668825</v>
      </c>
      <c r="DO842" s="75">
        <f>+DN842/DJ842-1</f>
        <v>1.3697476891329607E-2</v>
      </c>
      <c r="DP842" s="65">
        <f>DP925</f>
        <v>-1185.3870483483945</v>
      </c>
      <c r="DQ842" s="65">
        <f>DQ925</f>
        <v>-1189.8610892931949</v>
      </c>
      <c r="DR842" s="65">
        <f>+DP842+DQ842</f>
        <v>-2375.2481376415894</v>
      </c>
      <c r="DS842" s="75">
        <f>+DR842/DN842-1</f>
        <v>1.4037735367557591E-2</v>
      </c>
      <c r="DT842" s="75"/>
      <c r="DU842" s="75"/>
    </row>
    <row r="843" spans="1:128" s="20" customFormat="1" ht="13.8">
      <c r="A843" s="20" t="s">
        <v>110</v>
      </c>
      <c r="B843" s="49"/>
      <c r="BH843" s="65">
        <f t="shared" si="1211"/>
        <v>-723</v>
      </c>
      <c r="BI843" s="65">
        <f t="shared" si="1211"/>
        <v>-794</v>
      </c>
      <c r="BJ843" s="65">
        <f>+BH843+BI843</f>
        <v>-1517</v>
      </c>
      <c r="BK843" s="49"/>
      <c r="BL843" s="65">
        <f t="shared" si="1212"/>
        <v>-708</v>
      </c>
      <c r="BM843" s="65">
        <f t="shared" si="1212"/>
        <v>-810</v>
      </c>
      <c r="BN843" s="65">
        <f>+BL843+BM843</f>
        <v>-1518</v>
      </c>
      <c r="BO843" s="49"/>
      <c r="BP843" s="65">
        <f t="shared" si="1213"/>
        <v>-732</v>
      </c>
      <c r="BQ843" s="65">
        <f t="shared" si="1213"/>
        <v>-783</v>
      </c>
      <c r="BR843" s="65">
        <f>+BP843+BQ843</f>
        <v>-1515</v>
      </c>
      <c r="BT843" s="65">
        <f t="shared" si="1214"/>
        <v>-896</v>
      </c>
      <c r="BU843" s="65">
        <f t="shared" si="1214"/>
        <v>-907</v>
      </c>
      <c r="BV843" s="65">
        <f>+BT843+BU843</f>
        <v>-1803</v>
      </c>
      <c r="BX843" s="65">
        <f t="shared" si="1215"/>
        <v>-737</v>
      </c>
      <c r="BY843" s="65">
        <f t="shared" si="1215"/>
        <v>-842</v>
      </c>
      <c r="BZ843" s="65">
        <f>+BX843+BY843</f>
        <v>-1579</v>
      </c>
      <c r="CB843" s="65">
        <f t="shared" si="1216"/>
        <v>-861</v>
      </c>
      <c r="CC843" s="65">
        <f t="shared" si="1216"/>
        <v>-1072</v>
      </c>
      <c r="CD843" s="65">
        <f>+CB843+CC843</f>
        <v>-1933</v>
      </c>
      <c r="CE843" s="75">
        <f>+CD843/BZ843-1</f>
        <v>0.22419252691576941</v>
      </c>
      <c r="CF843" s="65">
        <f t="shared" si="1217"/>
        <v>-825</v>
      </c>
      <c r="CG843" s="65">
        <f t="shared" si="1217"/>
        <v>-1152</v>
      </c>
      <c r="CH843" s="65">
        <f>+CF843+CG843</f>
        <v>-1977</v>
      </c>
      <c r="CI843" s="75">
        <f>+CH843/CD843-1</f>
        <v>2.2762545266425294E-2</v>
      </c>
      <c r="CJ843" s="65">
        <f t="shared" si="1218"/>
        <v>-896</v>
      </c>
      <c r="CK843" s="65">
        <f t="shared" si="1218"/>
        <v>-996</v>
      </c>
      <c r="CL843" s="65">
        <f>+CJ843+CK843</f>
        <v>-1892</v>
      </c>
      <c r="CM843" s="75">
        <f>+CL843/CH843-1</f>
        <v>-4.2994436014162862E-2</v>
      </c>
      <c r="CN843" s="65">
        <f t="shared" si="1219"/>
        <v>-898</v>
      </c>
      <c r="CO843" s="65">
        <f t="shared" si="1219"/>
        <v>-914</v>
      </c>
      <c r="CP843" s="65">
        <f>+CN843+CO843</f>
        <v>-1812</v>
      </c>
      <c r="CQ843" s="75">
        <f>+CP843/CL843-1</f>
        <v>-4.228329809725162E-2</v>
      </c>
      <c r="CR843" s="65">
        <f t="shared" si="1220"/>
        <v>-981</v>
      </c>
      <c r="CS843" s="65">
        <f t="shared" si="1220"/>
        <v>-960</v>
      </c>
      <c r="CT843" s="65">
        <f>+CR843+CS843</f>
        <v>-1941</v>
      </c>
      <c r="CU843" s="75">
        <f>+CT843/CP843-1</f>
        <v>7.1192052980132425E-2</v>
      </c>
      <c r="CV843" s="65">
        <f t="shared" si="1221"/>
        <v>-934</v>
      </c>
      <c r="CW843" s="65">
        <f t="shared" si="1221"/>
        <v>-1085</v>
      </c>
      <c r="CX843" s="65">
        <f>+CV843+CW843</f>
        <v>-2019</v>
      </c>
      <c r="CY843" s="75">
        <f>+CX843/CT843-1</f>
        <v>4.0185471406491535E-2</v>
      </c>
      <c r="CZ843" s="65">
        <f t="shared" si="1222"/>
        <v>-934</v>
      </c>
      <c r="DA843" s="65">
        <f t="shared" si="1222"/>
        <v>-1055</v>
      </c>
      <c r="DB843" s="65">
        <f>+CZ843+DA843</f>
        <v>-1989</v>
      </c>
      <c r="DC843" s="75">
        <f>+DB843/CX843-1</f>
        <v>-1.4858841010401136E-2</v>
      </c>
      <c r="DD843" s="65">
        <f>DD30</f>
        <v>-1025</v>
      </c>
      <c r="DE843" s="65">
        <f t="shared" ref="DE843" si="1226">DE30</f>
        <v>-2147</v>
      </c>
      <c r="DF843" s="65">
        <f>+DD843+DE843</f>
        <v>-3172</v>
      </c>
      <c r="DG843" s="75">
        <f>+DF843/DB843-1</f>
        <v>0.59477124183006547</v>
      </c>
      <c r="DH843" s="65">
        <f>DH952</f>
        <v>-1547.91</v>
      </c>
      <c r="DI843" s="65">
        <f>DI952</f>
        <v>-1461.22704</v>
      </c>
      <c r="DJ843" s="65">
        <f>+DH843+DI843</f>
        <v>-3009.1370400000001</v>
      </c>
      <c r="DK843" s="75">
        <f>+DJ843/DF843-1</f>
        <v>-5.1343934426229532E-2</v>
      </c>
      <c r="DL843" s="65">
        <f>DL952</f>
        <v>-1512.3699863999998</v>
      </c>
      <c r="DM843" s="65">
        <f>DM952</f>
        <v>-1587.9884857199997</v>
      </c>
      <c r="DN843" s="65">
        <f>+DL843+DM843</f>
        <v>-3100.3584721199995</v>
      </c>
      <c r="DO843" s="75">
        <f>+DN843/DJ843-1</f>
        <v>3.0314814814814683E-2</v>
      </c>
      <c r="DP843" s="65">
        <f>DP952</f>
        <v>-1643.5680827201995</v>
      </c>
      <c r="DQ843" s="65">
        <f>DQ952</f>
        <v>-1660.0037635474016</v>
      </c>
      <c r="DR843" s="65">
        <f>+DP843+DQ843</f>
        <v>-3303.5718462676014</v>
      </c>
      <c r="DS843" s="75">
        <f>+DR843/DN843-1</f>
        <v>6.5545121951219532E-2</v>
      </c>
      <c r="DT843" s="75"/>
      <c r="DU843" s="75"/>
    </row>
    <row r="844" spans="1:128" s="20" customFormat="1" ht="13.8">
      <c r="A844" s="60" t="s">
        <v>517</v>
      </c>
      <c r="B844" s="49"/>
      <c r="BH844" s="72">
        <f>SUM(BH840:BH843)</f>
        <v>-4044</v>
      </c>
      <c r="BI844" s="72">
        <f>SUM(BI840:BI843)</f>
        <v>-4213</v>
      </c>
      <c r="BJ844" s="72">
        <f>SUM(BJ840:BJ843)</f>
        <v>-8257</v>
      </c>
      <c r="BK844" s="49"/>
      <c r="BL844" s="72">
        <f>SUM(BL840:BL843)</f>
        <v>-4286</v>
      </c>
      <c r="BM844" s="72">
        <f>SUM(BM840:BM843)</f>
        <v>-4474</v>
      </c>
      <c r="BN844" s="72">
        <f>SUM(BN840:BN843)</f>
        <v>-8760</v>
      </c>
      <c r="BO844" s="49"/>
      <c r="BP844" s="72">
        <f>SUM(BP840:BP843)</f>
        <v>-4603</v>
      </c>
      <c r="BQ844" s="72">
        <f>SUM(BQ840:BQ843)</f>
        <v>-4775</v>
      </c>
      <c r="BR844" s="72">
        <f>SUM(BR840:BR843)</f>
        <v>-9378</v>
      </c>
      <c r="BS844" s="75">
        <f>+BR844/BN844-1</f>
        <v>7.0547945205479357E-2</v>
      </c>
      <c r="BT844" s="72">
        <f>SUM(BT840:BT843)</f>
        <v>-5488</v>
      </c>
      <c r="BU844" s="72">
        <f>SUM(BU840:BU843)</f>
        <v>-4951</v>
      </c>
      <c r="BV844" s="72">
        <f>SUM(BV840:BV843)</f>
        <v>-10439</v>
      </c>
      <c r="BW844" s="75">
        <f>+BV844/BR844-1</f>
        <v>0.11313712945190879</v>
      </c>
      <c r="BX844" s="72">
        <f>SUM(BX840:BX843)</f>
        <v>-4487</v>
      </c>
      <c r="BY844" s="72">
        <f>SUM(BY840:BY843)</f>
        <v>-4480</v>
      </c>
      <c r="BZ844" s="72">
        <f>SUM(BZ840:BZ843)</f>
        <v>-8967</v>
      </c>
      <c r="CA844" s="75">
        <f>+BZ844/BV844-1</f>
        <v>-0.14100967525625063</v>
      </c>
      <c r="CB844" s="72">
        <f>SUM(CB840:CB843)</f>
        <v>-4473</v>
      </c>
      <c r="CC844" s="72">
        <f>SUM(CC840:CC843)</f>
        <v>-4928</v>
      </c>
      <c r="CD844" s="72">
        <f>SUM(CD840:CD843)</f>
        <v>-9401</v>
      </c>
      <c r="CE844" s="75">
        <f>+CD844/BZ844-1</f>
        <v>4.8399687743950093E-2</v>
      </c>
      <c r="CF844" s="72">
        <f>SUM(CF840:CF843)</f>
        <v>-4365</v>
      </c>
      <c r="CG844" s="72">
        <f>SUM(CG840:CG843)</f>
        <v>-4706</v>
      </c>
      <c r="CH844" s="72">
        <f>SUM(CH840:CH843)</f>
        <v>-9071</v>
      </c>
      <c r="CI844" s="75">
        <f>+CH844/CD844-1</f>
        <v>-3.5102648654398494E-2</v>
      </c>
      <c r="CJ844" s="72">
        <f>SUM(CJ840:CJ843)</f>
        <v>-4605</v>
      </c>
      <c r="CK844" s="72">
        <f>SUM(CK840:CK843)</f>
        <v>-4778</v>
      </c>
      <c r="CL844" s="72">
        <f>SUM(CL840:CL843)</f>
        <v>-9383</v>
      </c>
      <c r="CM844" s="75">
        <f>+CL844/CH844-1</f>
        <v>3.4395325763421969E-2</v>
      </c>
      <c r="CN844" s="72">
        <f>SUM(CN840:CN843)</f>
        <v>-4482</v>
      </c>
      <c r="CO844" s="72">
        <f>SUM(CO840:CO843)</f>
        <v>-4569</v>
      </c>
      <c r="CP844" s="72">
        <f>SUM(CP840:CP843)</f>
        <v>-9051</v>
      </c>
      <c r="CQ844" s="75">
        <f>+CP844/CL844-1</f>
        <v>-3.5383139720771561E-2</v>
      </c>
      <c r="CR844" s="72">
        <f>SUM(CR840:CR843)</f>
        <v>-4791</v>
      </c>
      <c r="CS844" s="72">
        <f>SUM(CS840:CS843)</f>
        <v>-4788</v>
      </c>
      <c r="CT844" s="72">
        <f>SUM(CT840:CT843)</f>
        <v>-9579</v>
      </c>
      <c r="CU844" s="75">
        <f>+CT844/CP844-1</f>
        <v>5.8336095459065263E-2</v>
      </c>
      <c r="CV844" s="72">
        <f>SUM(CV840:CV843)</f>
        <v>-4997</v>
      </c>
      <c r="CW844" s="72">
        <f>SUM(CW840:CW843)</f>
        <v>-5142</v>
      </c>
      <c r="CX844" s="72">
        <f>SUM(CX840:CX843)</f>
        <v>-10139</v>
      </c>
      <c r="CY844" s="75">
        <f>+CX844/CT844-1</f>
        <v>5.8461217246059016E-2</v>
      </c>
      <c r="CZ844" s="72">
        <f>SUM(CZ840:CZ843)</f>
        <v>-5215</v>
      </c>
      <c r="DA844" s="72">
        <f>SUM(DA840:DA843)</f>
        <v>-5526</v>
      </c>
      <c r="DB844" s="72">
        <f>SUM(DB840:DB843)</f>
        <v>-10741</v>
      </c>
      <c r="DC844" s="75">
        <f>+DB844/CX844-1</f>
        <v>5.9374691784199518E-2</v>
      </c>
      <c r="DD844" s="72">
        <f>SUM(DD840:DD843)</f>
        <v>-5742</v>
      </c>
      <c r="DE844" s="72">
        <f>SUM(DE840:DE843)</f>
        <v>-7138</v>
      </c>
      <c r="DF844" s="72">
        <f>SUM(DF840:DF843)</f>
        <v>-12880</v>
      </c>
      <c r="DG844" s="75">
        <f>+DF844/DB844-1</f>
        <v>0.19914346895074941</v>
      </c>
      <c r="DH844" s="72">
        <f>SUM(DH840:DH843)</f>
        <v>-5800.8062475343522</v>
      </c>
      <c r="DI844" s="72">
        <f>SUM(DI840:DI843)</f>
        <v>-5574.622973129075</v>
      </c>
      <c r="DJ844" s="72">
        <f>SUM(DJ840:DJ843)</f>
        <v>-11375.429220663427</v>
      </c>
      <c r="DK844" s="75">
        <f>+DJ844/DF844-1</f>
        <v>-0.11681450150128669</v>
      </c>
      <c r="DL844" s="72">
        <f>SUM(DL840:DL843)</f>
        <v>-5558.5700572482638</v>
      </c>
      <c r="DM844" s="72">
        <f>SUM(DM840:DM843)</f>
        <v>-5699.0026403776892</v>
      </c>
      <c r="DN844" s="72">
        <f>SUM(DN840:DN843)</f>
        <v>-11257.572697625954</v>
      </c>
      <c r="DO844" s="75">
        <f>+DN844/DJ844-1</f>
        <v>-1.03606220698369E-2</v>
      </c>
      <c r="DP844" s="72">
        <f>SUM(DP840:DP843)</f>
        <v>-5690.9196519848028</v>
      </c>
      <c r="DQ844" s="72">
        <f>SUM(DQ840:DQ843)</f>
        <v>-5623.3690907090013</v>
      </c>
      <c r="DR844" s="72">
        <f>SUM(DR840:DR843)</f>
        <v>-11314.288742693803</v>
      </c>
      <c r="DS844" s="75">
        <f>+DR844/DN844-1</f>
        <v>5.0380349824266091E-3</v>
      </c>
      <c r="DT844" s="75"/>
      <c r="DU844" s="75"/>
      <c r="DV844" s="75"/>
    </row>
    <row r="845" spans="1:128" s="20" customFormat="1" ht="13.8">
      <c r="A845" s="60"/>
      <c r="B845" s="49"/>
      <c r="BH845" s="72"/>
      <c r="BI845" s="72"/>
      <c r="BJ845" s="72"/>
      <c r="BK845" s="49"/>
      <c r="BL845" s="72"/>
      <c r="BM845" s="72"/>
      <c r="BN845" s="72"/>
      <c r="BO845" s="49"/>
      <c r="BP845" s="72"/>
      <c r="BQ845" s="72"/>
      <c r="BR845" s="72"/>
      <c r="BS845" s="75"/>
      <c r="BT845" s="72"/>
      <c r="BU845" s="72"/>
      <c r="BV845" s="72"/>
      <c r="BW845" s="75"/>
      <c r="BX845" s="72"/>
      <c r="BY845" s="72"/>
      <c r="BZ845" s="72"/>
      <c r="CA845" s="75"/>
      <c r="CB845" s="72"/>
      <c r="CC845" s="72"/>
      <c r="CD845" s="72"/>
      <c r="CE845" s="75"/>
      <c r="CF845" s="72"/>
      <c r="CG845" s="72"/>
      <c r="CH845" s="72"/>
      <c r="CI845" s="75"/>
      <c r="CJ845" s="72"/>
      <c r="CK845" s="72"/>
      <c r="CL845" s="72"/>
      <c r="CM845" s="75"/>
      <c r="CN845" s="72"/>
      <c r="CO845" s="72"/>
      <c r="CP845" s="72"/>
      <c r="CQ845" s="75"/>
      <c r="CR845" s="72"/>
      <c r="CS845" s="72"/>
      <c r="CT845" s="72"/>
      <c r="CU845" s="75"/>
      <c r="CV845" s="908">
        <v>-4997</v>
      </c>
      <c r="CW845" s="908">
        <v>-5142</v>
      </c>
      <c r="CX845" s="72"/>
      <c r="CY845" s="75"/>
      <c r="CZ845" s="908">
        <v>-5215</v>
      </c>
      <c r="DA845" s="908">
        <v>-5526</v>
      </c>
      <c r="DB845" s="72"/>
      <c r="DC845" s="75"/>
      <c r="DD845" s="908">
        <v>-5742</v>
      </c>
      <c r="DE845" s="908">
        <v>-7138</v>
      </c>
      <c r="DF845" s="72"/>
      <c r="DG845" s="75"/>
      <c r="DH845" s="72"/>
      <c r="DI845" s="72"/>
      <c r="DJ845" s="72"/>
      <c r="DK845" s="75"/>
      <c r="DL845" s="72"/>
      <c r="DM845" s="72"/>
      <c r="DN845" s="72"/>
      <c r="DO845" s="75"/>
      <c r="DP845" s="72"/>
      <c r="DQ845" s="72"/>
      <c r="DR845" s="72"/>
      <c r="DS845" s="75"/>
      <c r="DT845" s="75"/>
      <c r="DU845" s="75"/>
      <c r="DV845" s="75"/>
    </row>
    <row r="846" spans="1:128" s="20" customFormat="1" ht="13.8">
      <c r="A846" s="20" t="s">
        <v>967</v>
      </c>
      <c r="B846" s="49"/>
      <c r="BH846" s="49"/>
      <c r="BI846" s="49"/>
      <c r="BJ846" s="49"/>
      <c r="BK846" s="49"/>
      <c r="BL846" s="49"/>
      <c r="BM846" s="49"/>
      <c r="BN846" s="49"/>
      <c r="BO846" s="49"/>
      <c r="BP846" s="65">
        <f ca="1">BP892</f>
        <v>-10</v>
      </c>
      <c r="BQ846" s="65">
        <f ca="1">BQ892</f>
        <v>-21</v>
      </c>
      <c r="BR846" s="65">
        <f ca="1">BP846+BQ846</f>
        <v>-31</v>
      </c>
      <c r="BT846" s="65">
        <f>BT892</f>
        <v>-694</v>
      </c>
      <c r="BU846" s="65">
        <f>BU892</f>
        <v>-140</v>
      </c>
      <c r="BV846" s="65">
        <f>BT846+BU846</f>
        <v>-834</v>
      </c>
      <c r="BW846" s="75"/>
      <c r="BX846" s="65">
        <f>BX892</f>
        <v>-36</v>
      </c>
      <c r="BY846" s="65">
        <f>BY892</f>
        <v>-26</v>
      </c>
      <c r="BZ846" s="65">
        <f>BX846+BY846</f>
        <v>-62</v>
      </c>
      <c r="CB846" s="65">
        <f>CB892</f>
        <v>-189</v>
      </c>
      <c r="CC846" s="65">
        <f>CC892</f>
        <v>-649</v>
      </c>
      <c r="CD846" s="65">
        <f>CB846+CC846</f>
        <v>-838</v>
      </c>
      <c r="CF846" s="65">
        <f>CF892</f>
        <v>-125</v>
      </c>
      <c r="CG846" s="65">
        <f>CG892</f>
        <v>-384</v>
      </c>
      <c r="CH846" s="65">
        <f>CF846+CG846</f>
        <v>-509</v>
      </c>
      <c r="CJ846" s="65">
        <f>CJ892</f>
        <v>-244</v>
      </c>
      <c r="CK846" s="65">
        <f>CK892</f>
        <v>-490</v>
      </c>
      <c r="CL846" s="65">
        <f>CJ846+CK846</f>
        <v>-734</v>
      </c>
      <c r="CN846" s="65">
        <f>CN892</f>
        <v>-266</v>
      </c>
      <c r="CO846" s="65">
        <f>CO892</f>
        <v>-115</v>
      </c>
      <c r="CP846" s="65">
        <f>CN846+CO846</f>
        <v>-381</v>
      </c>
      <c r="CR846" s="65">
        <f>CR892</f>
        <v>-247</v>
      </c>
      <c r="CS846" s="65">
        <f>CS892</f>
        <v>-162</v>
      </c>
      <c r="CT846" s="65">
        <f>CR846+CS846</f>
        <v>-409</v>
      </c>
      <c r="CU846" s="75"/>
      <c r="CV846" s="65">
        <f>CV892</f>
        <v>-153</v>
      </c>
      <c r="CW846" s="65">
        <f>CW892</f>
        <v>-268</v>
      </c>
      <c r="CX846" s="65">
        <f>CV846+CW846</f>
        <v>-421</v>
      </c>
      <c r="CZ846" s="65">
        <f>CZ892</f>
        <v>-141</v>
      </c>
      <c r="DA846" s="65">
        <f>DA892</f>
        <v>0</v>
      </c>
      <c r="DB846" s="65">
        <f>CZ846+DA846</f>
        <v>-141</v>
      </c>
      <c r="DD846" s="65">
        <f>DD892</f>
        <v>0</v>
      </c>
      <c r="DE846" s="65">
        <f>DE892</f>
        <v>-1031</v>
      </c>
      <c r="DF846" s="65">
        <f>DD846+DE846</f>
        <v>-1031</v>
      </c>
      <c r="DH846" s="65">
        <f>DH892</f>
        <v>0</v>
      </c>
      <c r="DI846" s="65">
        <f>DI892</f>
        <v>0</v>
      </c>
      <c r="DJ846" s="65">
        <f>DH846+DI846</f>
        <v>0</v>
      </c>
      <c r="DL846" s="65">
        <f>DL892</f>
        <v>0</v>
      </c>
      <c r="DM846" s="65">
        <f>DM892</f>
        <v>0</v>
      </c>
      <c r="DN846" s="65">
        <f>DL846+DM846</f>
        <v>0</v>
      </c>
      <c r="DP846" s="65">
        <f>DP892</f>
        <v>0</v>
      </c>
      <c r="DQ846" s="65">
        <f>DQ892</f>
        <v>0</v>
      </c>
      <c r="DR846" s="65">
        <f>DP846+DQ846</f>
        <v>0</v>
      </c>
    </row>
    <row r="847" spans="1:128" s="20" customFormat="1" ht="13.8">
      <c r="A847" s="21" t="s">
        <v>1023</v>
      </c>
      <c r="B847" s="49"/>
      <c r="BH847" s="49"/>
      <c r="BI847" s="49"/>
      <c r="BJ847" s="49"/>
      <c r="BK847" s="49"/>
      <c r="BL847" s="49"/>
      <c r="BM847" s="49"/>
      <c r="BN847" s="49"/>
      <c r="BO847" s="49"/>
      <c r="BP847" s="72">
        <f ca="1">+BP844-BP846</f>
        <v>-4593</v>
      </c>
      <c r="BQ847" s="72">
        <f ca="1">+BQ844-BQ846</f>
        <v>-4754</v>
      </c>
      <c r="BR847" s="72">
        <f ca="1">+BR844-BR846</f>
        <v>-9347</v>
      </c>
      <c r="BT847" s="72">
        <f>+BT844-BT846</f>
        <v>-4794</v>
      </c>
      <c r="BU847" s="72">
        <f>+BU844-BU846</f>
        <v>-4811</v>
      </c>
      <c r="BV847" s="72">
        <f>+BV844-BV846</f>
        <v>-9605</v>
      </c>
      <c r="BW847" s="75"/>
      <c r="BX847" s="72">
        <f>+BX844-BX846</f>
        <v>-4451</v>
      </c>
      <c r="BY847" s="72">
        <f>+BY844-BY846</f>
        <v>-4454</v>
      </c>
      <c r="BZ847" s="72">
        <f>+BZ844-BZ846</f>
        <v>-8905</v>
      </c>
      <c r="CB847" s="72">
        <f>+CB844-CB846</f>
        <v>-4284</v>
      </c>
      <c r="CC847" s="72">
        <f>+CC844-CC846</f>
        <v>-4279</v>
      </c>
      <c r="CD847" s="72">
        <f>+CD844-CD846</f>
        <v>-8563</v>
      </c>
      <c r="CE847" s="75">
        <f>+CD847/BZ847-1</f>
        <v>-3.8405390230207725E-2</v>
      </c>
      <c r="CF847" s="72">
        <f>+CF844-CF846</f>
        <v>-4240</v>
      </c>
      <c r="CG847" s="72">
        <f>+CG844-CG846</f>
        <v>-4322</v>
      </c>
      <c r="CH847" s="72">
        <f>+CH844-CH846</f>
        <v>-8562</v>
      </c>
      <c r="CI847" s="75">
        <f>+CH847/CD847-1</f>
        <v>-1.1678150181015923E-4</v>
      </c>
      <c r="CJ847" s="72">
        <f>+CJ844-CJ846</f>
        <v>-4361</v>
      </c>
      <c r="CK847" s="72">
        <f>+CK844-CK846</f>
        <v>-4288</v>
      </c>
      <c r="CL847" s="72">
        <f>+CL844-CL846</f>
        <v>-8649</v>
      </c>
      <c r="CM847" s="75">
        <f>+CL847/CH847-1</f>
        <v>1.0161177295024526E-2</v>
      </c>
      <c r="CN847" s="72">
        <f>+CN844-CN846</f>
        <v>-4216</v>
      </c>
      <c r="CO847" s="72">
        <f>+CO844-CO846</f>
        <v>-4454</v>
      </c>
      <c r="CP847" s="72">
        <f>+CP844-CP846</f>
        <v>-8670</v>
      </c>
      <c r="CQ847" s="75">
        <f>+CP847/CL847-1</f>
        <v>2.4280263614291364E-3</v>
      </c>
      <c r="CR847" s="72">
        <f>+CR844-CR846</f>
        <v>-4544</v>
      </c>
      <c r="CS847" s="72">
        <f>+CS844-CS846</f>
        <v>-4626</v>
      </c>
      <c r="CT847" s="72">
        <f>+CT844-CT846</f>
        <v>-9170</v>
      </c>
      <c r="CU847" s="75">
        <f>+CT847/CP847-1</f>
        <v>5.7670126874279193E-2</v>
      </c>
      <c r="CV847" s="72">
        <f>+CV844-CV846</f>
        <v>-4844</v>
      </c>
      <c r="CW847" s="72">
        <f>+CW844-CW846</f>
        <v>-4874</v>
      </c>
      <c r="CX847" s="72">
        <f>+CX844-CX846</f>
        <v>-9718</v>
      </c>
      <c r="CY847" s="75">
        <f>+CX847/CT847-1</f>
        <v>5.9760087241003346E-2</v>
      </c>
      <c r="CZ847" s="72">
        <f>+CZ844-CZ846</f>
        <v>-5074</v>
      </c>
      <c r="DA847" s="72">
        <f>+DA844-DA846</f>
        <v>-5526</v>
      </c>
      <c r="DB847" s="72">
        <f>+DB844-DB846</f>
        <v>-10600</v>
      </c>
      <c r="DC847" s="75">
        <f>+DB847/CX847-1</f>
        <v>9.0759415517596143E-2</v>
      </c>
      <c r="DD847" s="72">
        <f>+DD844-DD846</f>
        <v>-5742</v>
      </c>
      <c r="DE847" s="72">
        <f>+DE844-DE846</f>
        <v>-6107</v>
      </c>
      <c r="DF847" s="72">
        <f>+DF844-DF846</f>
        <v>-11849</v>
      </c>
      <c r="DG847" s="75">
        <f>+DF847/DB847-1</f>
        <v>0.11783018867924522</v>
      </c>
      <c r="DH847" s="72">
        <f>+DH844-DH846</f>
        <v>-5800.8062475343522</v>
      </c>
      <c r="DI847" s="72">
        <f>+DI844-DI846</f>
        <v>-5574.622973129075</v>
      </c>
      <c r="DJ847" s="72">
        <f>+DJ844-DJ846</f>
        <v>-11375.429220663427</v>
      </c>
      <c r="DK847" s="75">
        <f>+DJ847/DF847-1</f>
        <v>-3.9967151602377626E-2</v>
      </c>
      <c r="DL847" s="72">
        <f>+DL844-DL846</f>
        <v>-5558.5700572482638</v>
      </c>
      <c r="DM847" s="72">
        <f>+DM844-DM846</f>
        <v>-5699.0026403776892</v>
      </c>
      <c r="DN847" s="72">
        <f>+DN844-DN846</f>
        <v>-11257.572697625954</v>
      </c>
      <c r="DO847" s="75">
        <f>+DN847/DJ847-1</f>
        <v>-1.03606220698369E-2</v>
      </c>
      <c r="DP847" s="72">
        <f>+DP844-DP846</f>
        <v>-5690.9196519848028</v>
      </c>
      <c r="DQ847" s="72">
        <f>+DQ844-DQ846</f>
        <v>-5623.3690907090013</v>
      </c>
      <c r="DR847" s="72">
        <f>+DR844-DR846</f>
        <v>-11314.288742693803</v>
      </c>
      <c r="DS847" s="75">
        <f>+DR847/DN847-1</f>
        <v>5.0380349824266091E-3</v>
      </c>
      <c r="DT847" s="75"/>
      <c r="DU847" s="75"/>
    </row>
    <row r="848" spans="1:128" s="20" customFormat="1" ht="13.8">
      <c r="B848" s="49"/>
      <c r="BD848" s="20">
        <f>629+138+11</f>
        <v>778</v>
      </c>
      <c r="BH848" s="49"/>
      <c r="BI848" s="49"/>
      <c r="BJ848" s="49"/>
      <c r="BK848" s="49"/>
      <c r="BL848" s="49"/>
      <c r="BM848" s="49"/>
      <c r="BN848" s="49"/>
      <c r="BO848" s="49"/>
      <c r="BP848" s="49"/>
      <c r="BQ848" s="49"/>
      <c r="BR848" s="49"/>
      <c r="BT848" s="49"/>
      <c r="BU848" s="561"/>
      <c r="BV848" s="561"/>
      <c r="BW848" s="75"/>
      <c r="BX848" s="49"/>
      <c r="BY848" s="561"/>
      <c r="BZ848" s="561"/>
      <c r="CA848" s="785"/>
      <c r="CB848" s="908"/>
      <c r="CC848" s="908"/>
      <c r="CD848" s="561"/>
      <c r="CE848" s="785"/>
      <c r="CF848" s="908">
        <v>-4240</v>
      </c>
      <c r="CG848" s="908">
        <v>-4322</v>
      </c>
      <c r="CH848" s="561"/>
      <c r="CJ848" s="908">
        <v>-4361</v>
      </c>
      <c r="CK848" s="908">
        <v>-4288</v>
      </c>
      <c r="CL848" s="561"/>
      <c r="CN848" s="908">
        <v>-4216</v>
      </c>
      <c r="CO848" s="908">
        <v>-4454</v>
      </c>
      <c r="CP848" s="561"/>
      <c r="CR848" s="908">
        <v>-4544</v>
      </c>
      <c r="CS848" s="908">
        <v>-4626</v>
      </c>
      <c r="CT848" s="561"/>
      <c r="CU848" s="75"/>
      <c r="CV848" s="908">
        <v>-4844</v>
      </c>
      <c r="CW848" s="908">
        <v>-4874</v>
      </c>
      <c r="CX848" s="561"/>
      <c r="CZ848" s="908"/>
      <c r="DA848" s="908"/>
      <c r="DB848" s="561"/>
      <c r="DD848" s="908"/>
      <c r="DE848" s="908"/>
      <c r="DF848" s="561"/>
      <c r="DH848" s="781"/>
      <c r="DI848" s="781"/>
      <c r="DJ848" s="781"/>
      <c r="DL848" s="781"/>
      <c r="DM848" s="781"/>
      <c r="DN848" s="781"/>
      <c r="DP848" s="781"/>
      <c r="DQ848" s="781"/>
      <c r="DR848" s="781"/>
    </row>
    <row r="849" spans="1:125" s="20" customFormat="1" ht="13.8">
      <c r="A849" s="21"/>
      <c r="B849" s="49"/>
      <c r="BH849" s="49"/>
      <c r="BI849" s="49"/>
      <c r="BJ849" s="49"/>
      <c r="BK849" s="49"/>
      <c r="BL849" s="49"/>
      <c r="BM849" s="49"/>
      <c r="BN849" s="49"/>
      <c r="BO849" s="49"/>
      <c r="BP849" s="49"/>
      <c r="BQ849" s="49"/>
      <c r="BR849" s="49"/>
      <c r="BT849" s="49"/>
      <c r="BU849" s="561"/>
      <c r="BV849" s="561"/>
      <c r="BW849" s="75"/>
      <c r="BX849" s="49"/>
      <c r="BY849" s="561"/>
      <c r="BZ849" s="561"/>
      <c r="CA849" s="789"/>
      <c r="CB849" s="49"/>
      <c r="CC849" s="561"/>
      <c r="CD849" s="561"/>
      <c r="CE849" s="790"/>
      <c r="CF849" s="49"/>
      <c r="CG849" s="561"/>
      <c r="CH849" s="561"/>
      <c r="CI849" s="790"/>
      <c r="CJ849" s="49"/>
      <c r="CK849" s="561"/>
      <c r="CL849" s="561"/>
      <c r="CM849" s="790"/>
      <c r="CN849" s="49"/>
      <c r="CO849" s="561"/>
      <c r="CP849" s="561"/>
      <c r="CQ849" s="790"/>
      <c r="CR849" s="49"/>
      <c r="CS849" s="561"/>
      <c r="CT849" s="561"/>
      <c r="CU849" s="790"/>
      <c r="CV849" s="49"/>
      <c r="CW849" s="561"/>
      <c r="CX849" s="561"/>
      <c r="CY849" s="790"/>
      <c r="CZ849" s="49"/>
      <c r="DA849" s="561"/>
      <c r="DB849" s="561"/>
      <c r="DC849" s="790"/>
      <c r="DD849" s="49"/>
      <c r="DE849" s="561"/>
      <c r="DF849" s="561"/>
      <c r="DG849" s="790"/>
      <c r="DH849" s="790"/>
      <c r="DI849" s="790"/>
      <c r="DJ849" s="790"/>
      <c r="DK849" s="790"/>
      <c r="DL849" s="790"/>
      <c r="DM849" s="790"/>
      <c r="DN849" s="790"/>
      <c r="DO849" s="790"/>
      <c r="DP849" s="790"/>
      <c r="DQ849" s="790"/>
      <c r="DR849" s="790"/>
      <c r="DS849" s="790"/>
      <c r="DT849" s="790"/>
      <c r="DU849" s="790"/>
    </row>
    <row r="850" spans="1:125" s="20" customFormat="1" ht="13.8">
      <c r="A850" s="21" t="s">
        <v>1051</v>
      </c>
      <c r="B850" s="49"/>
      <c r="BH850" s="49"/>
      <c r="BI850" s="49"/>
      <c r="BJ850" s="49"/>
      <c r="BK850" s="49"/>
      <c r="BL850" s="49"/>
      <c r="BM850" s="49"/>
      <c r="BN850" s="49"/>
      <c r="BO850" s="49"/>
      <c r="BP850" s="49"/>
      <c r="BQ850" s="49"/>
      <c r="BR850" s="49"/>
      <c r="BT850" s="49"/>
      <c r="BU850" s="561"/>
      <c r="BV850" s="561"/>
      <c r="BW850" s="75"/>
      <c r="BX850" s="49"/>
      <c r="BY850" s="561"/>
      <c r="BZ850" s="561"/>
      <c r="CA850" s="789"/>
      <c r="CB850" s="49"/>
      <c r="CC850" s="561"/>
      <c r="CD850" s="561"/>
      <c r="CE850" s="790"/>
      <c r="CF850" s="49"/>
      <c r="CG850" s="561"/>
      <c r="CH850" s="561"/>
      <c r="CI850" s="790"/>
      <c r="CJ850" s="49"/>
      <c r="CK850" s="561"/>
      <c r="CL850" s="561"/>
      <c r="CM850" s="790"/>
      <c r="CN850" s="49"/>
      <c r="CO850" s="561"/>
      <c r="CP850" s="561"/>
      <c r="CQ850" s="790"/>
      <c r="CR850" s="49"/>
      <c r="CS850" s="561"/>
      <c r="CT850" s="561"/>
      <c r="CU850" s="790"/>
      <c r="CV850" s="49"/>
      <c r="CW850" s="561"/>
      <c r="CX850" s="561"/>
      <c r="CY850" s="790"/>
      <c r="CZ850" s="49"/>
      <c r="DA850" s="561"/>
      <c r="DB850" s="561"/>
      <c r="DC850" s="790"/>
      <c r="DD850" s="49"/>
      <c r="DE850" s="561"/>
      <c r="DF850" s="561"/>
      <c r="DG850" s="790"/>
      <c r="DH850" s="790"/>
      <c r="DI850" s="790"/>
      <c r="DJ850" s="790"/>
      <c r="DK850" s="790"/>
      <c r="DL850" s="790"/>
      <c r="DM850" s="790"/>
      <c r="DN850" s="790"/>
      <c r="DO850" s="790"/>
      <c r="DP850" s="790"/>
      <c r="DQ850" s="790"/>
      <c r="DR850" s="790"/>
      <c r="DS850" s="790"/>
      <c r="DT850" s="790"/>
      <c r="DU850" s="790"/>
    </row>
    <row r="851" spans="1:125" s="20" customFormat="1" ht="13.8">
      <c r="A851" s="61" t="s">
        <v>587</v>
      </c>
      <c r="B851" s="49"/>
      <c r="BH851" s="49"/>
      <c r="BI851" s="49"/>
      <c r="BJ851" s="49"/>
      <c r="BK851" s="49"/>
      <c r="BL851" s="49"/>
      <c r="BM851" s="49"/>
      <c r="BN851" s="49"/>
      <c r="BO851" s="49"/>
      <c r="BP851" s="49"/>
      <c r="BQ851" s="49"/>
      <c r="BR851" s="49"/>
      <c r="BT851" s="49"/>
      <c r="BU851" s="561"/>
      <c r="BV851" s="561"/>
      <c r="BW851" s="75"/>
      <c r="BX851" s="49"/>
      <c r="BY851" s="561"/>
      <c r="BZ851" s="561"/>
      <c r="CA851" s="789"/>
      <c r="CB851" s="49"/>
      <c r="CC851" s="561"/>
      <c r="CD851" s="561"/>
      <c r="CE851" s="790"/>
      <c r="CF851" s="573">
        <v>-2352</v>
      </c>
      <c r="CG851" s="573">
        <v>-2341</v>
      </c>
      <c r="CH851" s="65">
        <f t="shared" ref="CH851:CH855" si="1227">SUM(CF851:CG851)</f>
        <v>-4693</v>
      </c>
      <c r="CI851" s="790"/>
      <c r="CJ851" s="573">
        <v>-2401</v>
      </c>
      <c r="CK851" s="573">
        <v>-2334</v>
      </c>
      <c r="CL851" s="65">
        <f t="shared" ref="CL851:CL855" si="1228">SUM(CJ851:CK851)</f>
        <v>-4735</v>
      </c>
      <c r="CM851" s="790"/>
      <c r="CN851" s="573">
        <v>-2396</v>
      </c>
      <c r="CO851" s="573">
        <v>-2438</v>
      </c>
      <c r="CP851" s="65">
        <f t="shared" ref="CP851:CP855" si="1229">SUM(CN851:CO851)</f>
        <v>-4834</v>
      </c>
      <c r="CQ851" s="790"/>
      <c r="CR851" s="573">
        <v>-2591</v>
      </c>
      <c r="CS851" s="573">
        <v>-2604</v>
      </c>
      <c r="CT851" s="65">
        <f t="shared" ref="CT851:CT855" si="1230">SUM(CR851:CS851)</f>
        <v>-5195</v>
      </c>
      <c r="CU851" s="790"/>
      <c r="CV851" s="65">
        <f t="shared" ref="CV851:CW854" si="1231">CV840-CV864</f>
        <v>-2848</v>
      </c>
      <c r="CW851" s="65">
        <f t="shared" si="1231"/>
        <v>-2774</v>
      </c>
      <c r="CX851" s="65">
        <f t="shared" ref="CX851:CX855" si="1232">SUM(CV851:CW851)</f>
        <v>-5622</v>
      </c>
      <c r="CY851" s="790"/>
      <c r="CZ851" s="65">
        <f>CZ840-CZ864</f>
        <v>-2972</v>
      </c>
      <c r="DA851" s="65">
        <f t="shared" ref="DA851" si="1233">DA840-DA864</f>
        <v>-3116</v>
      </c>
      <c r="DB851" s="65">
        <f t="shared" ref="DB851:DB855" si="1234">SUM(CZ851:DA851)</f>
        <v>-6088</v>
      </c>
      <c r="DC851" s="790"/>
      <c r="DD851" s="65">
        <f>DD840-DD864</f>
        <v>-3312</v>
      </c>
      <c r="DE851" s="65">
        <f t="shared" ref="DE851" si="1235">DE840-DE864</f>
        <v>-2858</v>
      </c>
      <c r="DF851" s="65">
        <f t="shared" ref="DF851:DF855" si="1236">SUM(DD851:DE851)</f>
        <v>-6170</v>
      </c>
      <c r="DG851" s="75">
        <f t="shared" ref="DG851:DG855" si="1237">+DF851/DB851-1</f>
        <v>1.3469119579500699E-2</v>
      </c>
      <c r="DH851" s="1000">
        <f t="shared" ref="DH851:DI851" si="1238">DH906</f>
        <v>-2726.1065605000754</v>
      </c>
      <c r="DI851" s="1000">
        <f t="shared" si="1238"/>
        <v>-2605.4699792897695</v>
      </c>
      <c r="DJ851" s="1000">
        <f>SUM(DH851:DI851)</f>
        <v>-5331.5765397898449</v>
      </c>
      <c r="DK851" s="75">
        <f t="shared" ref="DK851:DK855" si="1239">+DJ851/DF851-1</f>
        <v>-0.13588710862401221</v>
      </c>
      <c r="DL851" s="1000">
        <f t="shared" ref="DL851:DM851" si="1240">DL906</f>
        <v>-2519.627389357669</v>
      </c>
      <c r="DM851" s="1000">
        <f t="shared" si="1240"/>
        <v>-2571.2202211814015</v>
      </c>
      <c r="DN851" s="1000">
        <f>SUM(DL851:DM851)</f>
        <v>-5090.847610539071</v>
      </c>
      <c r="DO851" s="75">
        <f t="shared" ref="DO851:DO855" si="1241">+DN851/DJ851-1</f>
        <v>-4.5151547099474443E-2</v>
      </c>
      <c r="DP851" s="1000">
        <f t="shared" ref="DP851:DQ851" si="1242">DP906</f>
        <v>-2499.9645209162086</v>
      </c>
      <c r="DQ851" s="1000">
        <f t="shared" si="1242"/>
        <v>-2411.5042378684047</v>
      </c>
      <c r="DR851" s="1000">
        <f>SUM(DP851:DQ851)</f>
        <v>-4911.4687587846129</v>
      </c>
      <c r="DS851" s="75">
        <f t="shared" ref="DS851:DS855" si="1243">+DR851/DN851-1</f>
        <v>-3.5235557116875427E-2</v>
      </c>
      <c r="DT851" s="790"/>
      <c r="DU851" s="790"/>
    </row>
    <row r="852" spans="1:125" s="20" customFormat="1" ht="13.8">
      <c r="A852" s="20" t="s">
        <v>458</v>
      </c>
      <c r="B852" s="49"/>
      <c r="BH852" s="49"/>
      <c r="BI852" s="49"/>
      <c r="BJ852" s="49"/>
      <c r="BK852" s="49"/>
      <c r="BL852" s="49"/>
      <c r="BM852" s="49"/>
      <c r="BN852" s="49"/>
      <c r="BO852" s="49"/>
      <c r="BP852" s="49"/>
      <c r="BQ852" s="49"/>
      <c r="BR852" s="49"/>
      <c r="BT852" s="49"/>
      <c r="BU852" s="561"/>
      <c r="BV852" s="561"/>
      <c r="BW852" s="75"/>
      <c r="BX852" s="49"/>
      <c r="BY852" s="561"/>
      <c r="BZ852" s="561"/>
      <c r="CA852" s="789"/>
      <c r="CB852" s="49"/>
      <c r="CC852" s="561"/>
      <c r="CD852" s="561"/>
      <c r="CE852" s="790"/>
      <c r="CF852" s="573">
        <v>-403</v>
      </c>
      <c r="CG852" s="573">
        <v>-387</v>
      </c>
      <c r="CH852" s="65">
        <f t="shared" si="1227"/>
        <v>-790</v>
      </c>
      <c r="CI852" s="790"/>
      <c r="CJ852" s="573">
        <v>-404</v>
      </c>
      <c r="CK852" s="573">
        <v>-383</v>
      </c>
      <c r="CL852" s="65">
        <f t="shared" si="1228"/>
        <v>-787</v>
      </c>
      <c r="CM852" s="790"/>
      <c r="CN852" s="573">
        <v>-351</v>
      </c>
      <c r="CO852" s="573">
        <v>-355</v>
      </c>
      <c r="CP852" s="65">
        <f t="shared" si="1229"/>
        <v>-706</v>
      </c>
      <c r="CQ852" s="790"/>
      <c r="CR852" s="573">
        <v>-341</v>
      </c>
      <c r="CS852" s="573">
        <v>-333</v>
      </c>
      <c r="CT852" s="65">
        <f t="shared" si="1230"/>
        <v>-674</v>
      </c>
      <c r="CU852" s="790"/>
      <c r="CV852" s="65">
        <f t="shared" si="1231"/>
        <v>-334</v>
      </c>
      <c r="CW852" s="65">
        <f t="shared" si="1231"/>
        <v>-324</v>
      </c>
      <c r="CX852" s="65">
        <f t="shared" si="1232"/>
        <v>-658</v>
      </c>
      <c r="CY852" s="790"/>
      <c r="CZ852" s="65">
        <f t="shared" ref="CZ852:DA852" si="1244">CZ841-CZ865</f>
        <v>-321</v>
      </c>
      <c r="DA852" s="65">
        <f t="shared" si="1244"/>
        <v>-338</v>
      </c>
      <c r="DB852" s="65">
        <f t="shared" si="1234"/>
        <v>-659</v>
      </c>
      <c r="DC852" s="790"/>
      <c r="DD852" s="65">
        <f t="shared" ref="DD852:DE852" si="1245">DD841-DD865</f>
        <v>-348</v>
      </c>
      <c r="DE852" s="65">
        <f t="shared" si="1245"/>
        <v>-362</v>
      </c>
      <c r="DF852" s="65">
        <f t="shared" si="1236"/>
        <v>-710</v>
      </c>
      <c r="DG852" s="75">
        <f t="shared" si="1237"/>
        <v>7.7389984825493086E-2</v>
      </c>
      <c r="DH852" s="1000">
        <f t="shared" ref="DH852:DI852" si="1246">DH918</f>
        <v>-362</v>
      </c>
      <c r="DI852" s="1000">
        <f t="shared" si="1246"/>
        <v>-362</v>
      </c>
      <c r="DJ852" s="1000">
        <f t="shared" ref="DJ852:DJ855" si="1247">SUM(DH852:DI852)</f>
        <v>-724</v>
      </c>
      <c r="DK852" s="75">
        <f t="shared" si="1239"/>
        <v>1.9718309859154903E-2</v>
      </c>
      <c r="DL852" s="1000">
        <f t="shared" ref="DL852:DM852" si="1248">DL918</f>
        <v>-362</v>
      </c>
      <c r="DM852" s="1000">
        <f t="shared" si="1248"/>
        <v>-362</v>
      </c>
      <c r="DN852" s="1000">
        <f t="shared" ref="DN852:DN855" si="1249">SUM(DL852:DM852)</f>
        <v>-724</v>
      </c>
      <c r="DO852" s="75">
        <f t="shared" si="1241"/>
        <v>0</v>
      </c>
      <c r="DP852" s="1000">
        <f t="shared" ref="DP852:DQ852" si="1250">DP918</f>
        <v>-362</v>
      </c>
      <c r="DQ852" s="1000">
        <f t="shared" si="1250"/>
        <v>-362</v>
      </c>
      <c r="DR852" s="1000">
        <f t="shared" ref="DR852:DR855" si="1251">SUM(DP852:DQ852)</f>
        <v>-724</v>
      </c>
      <c r="DS852" s="75">
        <f t="shared" si="1243"/>
        <v>0</v>
      </c>
      <c r="DT852" s="790"/>
      <c r="DU852" s="790"/>
    </row>
    <row r="853" spans="1:125" s="20" customFormat="1" ht="13.8">
      <c r="A853" s="20" t="s">
        <v>459</v>
      </c>
      <c r="B853" s="49"/>
      <c r="BH853" s="49"/>
      <c r="BI853" s="49"/>
      <c r="BJ853" s="49"/>
      <c r="BK853" s="49"/>
      <c r="BL853" s="49"/>
      <c r="BM853" s="49"/>
      <c r="BN853" s="49"/>
      <c r="BO853" s="49"/>
      <c r="BP853" s="49"/>
      <c r="BQ853" s="49"/>
      <c r="BR853" s="49"/>
      <c r="BT853" s="49"/>
      <c r="BU853" s="561"/>
      <c r="BV853" s="561"/>
      <c r="BW853" s="75"/>
      <c r="BX853" s="49"/>
      <c r="BY853" s="561"/>
      <c r="BZ853" s="561"/>
      <c r="CA853" s="789"/>
      <c r="CB853" s="49"/>
      <c r="CC853" s="561"/>
      <c r="CD853" s="561"/>
      <c r="CE853" s="790"/>
      <c r="CF853" s="573">
        <v>-762</v>
      </c>
      <c r="CG853" s="573">
        <v>-768</v>
      </c>
      <c r="CH853" s="65">
        <f t="shared" si="1227"/>
        <v>-1530</v>
      </c>
      <c r="CI853" s="790"/>
      <c r="CJ853" s="573">
        <v>-787</v>
      </c>
      <c r="CK853" s="573">
        <v>-773</v>
      </c>
      <c r="CL853" s="65">
        <f t="shared" si="1228"/>
        <v>-1560</v>
      </c>
      <c r="CM853" s="790"/>
      <c r="CN853" s="573">
        <v>-780</v>
      </c>
      <c r="CO853" s="573">
        <v>-797</v>
      </c>
      <c r="CP853" s="65">
        <f t="shared" si="1229"/>
        <v>-1577</v>
      </c>
      <c r="CQ853" s="790"/>
      <c r="CR853" s="573">
        <v>-801</v>
      </c>
      <c r="CS853" s="573">
        <v>-801</v>
      </c>
      <c r="CT853" s="65">
        <f t="shared" si="1230"/>
        <v>-1602</v>
      </c>
      <c r="CU853" s="790"/>
      <c r="CV853" s="65">
        <f t="shared" si="1231"/>
        <v>-831</v>
      </c>
      <c r="CW853" s="65">
        <f t="shared" si="1231"/>
        <v>-844</v>
      </c>
      <c r="CX853" s="65">
        <f t="shared" si="1232"/>
        <v>-1675</v>
      </c>
      <c r="CY853" s="790"/>
      <c r="CZ853" s="65">
        <f t="shared" ref="CZ853:DA853" si="1252">CZ842-CZ866</f>
        <v>-868</v>
      </c>
      <c r="DA853" s="65">
        <f t="shared" si="1252"/>
        <v>-1017</v>
      </c>
      <c r="DB853" s="65">
        <f t="shared" si="1234"/>
        <v>-1885</v>
      </c>
      <c r="DC853" s="790"/>
      <c r="DD853" s="65">
        <f t="shared" ref="DD853:DE853" si="1253">DD842-DD866</f>
        <v>-1057</v>
      </c>
      <c r="DE853" s="65">
        <f t="shared" si="1253"/>
        <v>-1186</v>
      </c>
      <c r="DF853" s="65">
        <f t="shared" si="1236"/>
        <v>-2243</v>
      </c>
      <c r="DG853" s="75">
        <f t="shared" si="1237"/>
        <v>0.18992042440318313</v>
      </c>
      <c r="DH853" s="1000">
        <f t="shared" ref="DH853:DI853" si="1254">DH922</f>
        <v>-1164.7896870342772</v>
      </c>
      <c r="DI853" s="1000">
        <f t="shared" si="1254"/>
        <v>-1145.9259538393053</v>
      </c>
      <c r="DJ853" s="1000">
        <f t="shared" si="1247"/>
        <v>-2310.7156408735827</v>
      </c>
      <c r="DK853" s="75">
        <f t="shared" si="1239"/>
        <v>3.0189764098788485E-2</v>
      </c>
      <c r="DL853" s="1000">
        <f t="shared" ref="DL853:DM853" si="1255">DL922</f>
        <v>-1164.5726814905945</v>
      </c>
      <c r="DM853" s="1000">
        <f t="shared" si="1255"/>
        <v>-1177.7939334762882</v>
      </c>
      <c r="DN853" s="1000">
        <f t="shared" si="1249"/>
        <v>-2342.3666149668825</v>
      </c>
      <c r="DO853" s="75">
        <f t="shared" si="1241"/>
        <v>1.3697476891329607E-2</v>
      </c>
      <c r="DP853" s="1000">
        <f t="shared" ref="DP853:DQ853" si="1256">DP922</f>
        <v>-1185.3870483483945</v>
      </c>
      <c r="DQ853" s="1000">
        <f t="shared" si="1256"/>
        <v>-1189.8610892931949</v>
      </c>
      <c r="DR853" s="1000">
        <f t="shared" si="1251"/>
        <v>-2375.2481376415894</v>
      </c>
      <c r="DS853" s="75">
        <f t="shared" si="1243"/>
        <v>1.4037735367557591E-2</v>
      </c>
      <c r="DT853" s="790"/>
      <c r="DU853" s="790"/>
    </row>
    <row r="854" spans="1:125" s="20" customFormat="1" ht="13.8">
      <c r="A854" s="20" t="s">
        <v>110</v>
      </c>
      <c r="B854" s="49"/>
      <c r="BH854" s="49"/>
      <c r="BI854" s="49"/>
      <c r="BJ854" s="49"/>
      <c r="BK854" s="49"/>
      <c r="BL854" s="49"/>
      <c r="BM854" s="49"/>
      <c r="BN854" s="49"/>
      <c r="BO854" s="49"/>
      <c r="BP854" s="49"/>
      <c r="BQ854" s="49"/>
      <c r="BR854" s="49"/>
      <c r="BT854" s="49"/>
      <c r="BU854" s="561"/>
      <c r="BV854" s="561"/>
      <c r="BW854" s="75"/>
      <c r="BX854" s="49"/>
      <c r="BY854" s="561"/>
      <c r="BZ854" s="561"/>
      <c r="CA854" s="789"/>
      <c r="CB854" s="49"/>
      <c r="CC854" s="561"/>
      <c r="CD854" s="561"/>
      <c r="CE854" s="790"/>
      <c r="CF854" s="573">
        <v>-723</v>
      </c>
      <c r="CG854" s="573">
        <v>-826</v>
      </c>
      <c r="CH854" s="65">
        <f t="shared" si="1227"/>
        <v>-1549</v>
      </c>
      <c r="CI854" s="790"/>
      <c r="CJ854" s="573">
        <v>-769</v>
      </c>
      <c r="CK854" s="573">
        <v>-798</v>
      </c>
      <c r="CL854" s="65">
        <f t="shared" si="1228"/>
        <v>-1567</v>
      </c>
      <c r="CM854" s="790"/>
      <c r="CN854" s="573">
        <v>-689</v>
      </c>
      <c r="CO854" s="573">
        <v>-864</v>
      </c>
      <c r="CP854" s="65">
        <f t="shared" si="1229"/>
        <v>-1553</v>
      </c>
      <c r="CQ854" s="790"/>
      <c r="CR854" s="573">
        <v>-811</v>
      </c>
      <c r="CS854" s="573">
        <v>-888</v>
      </c>
      <c r="CT854" s="65">
        <f t="shared" si="1230"/>
        <v>-1699</v>
      </c>
      <c r="CU854" s="790"/>
      <c r="CV854" s="65">
        <f t="shared" si="1231"/>
        <v>-831</v>
      </c>
      <c r="CW854" s="65">
        <f t="shared" si="1231"/>
        <v>-932</v>
      </c>
      <c r="CX854" s="65">
        <f t="shared" si="1232"/>
        <v>-1763</v>
      </c>
      <c r="CY854" s="790"/>
      <c r="CZ854" s="65">
        <f t="shared" ref="CZ854:DA854" si="1257">CZ843-CZ867</f>
        <v>-913</v>
      </c>
      <c r="DA854" s="65">
        <f t="shared" si="1257"/>
        <v>-1055</v>
      </c>
      <c r="DB854" s="65">
        <f t="shared" si="1234"/>
        <v>-1968</v>
      </c>
      <c r="DC854" s="790"/>
      <c r="DD854" s="65">
        <f t="shared" ref="DD854:DE854" si="1258">DD843-DD867</f>
        <v>-1025</v>
      </c>
      <c r="DE854" s="65">
        <f t="shared" si="1258"/>
        <v>-1701</v>
      </c>
      <c r="DF854" s="65">
        <f t="shared" si="1236"/>
        <v>-2726</v>
      </c>
      <c r="DG854" s="75">
        <f t="shared" si="1237"/>
        <v>0.38516260162601634</v>
      </c>
      <c r="DH854" s="1000">
        <f t="shared" ref="DH854:DI854" si="1259">DH951</f>
        <v>-1547.91</v>
      </c>
      <c r="DI854" s="1000">
        <f t="shared" si="1259"/>
        <v>-1461.22704</v>
      </c>
      <c r="DJ854" s="1000">
        <f t="shared" si="1247"/>
        <v>-3009.1370400000001</v>
      </c>
      <c r="DK854" s="75">
        <f t="shared" si="1239"/>
        <v>0.10386538517975064</v>
      </c>
      <c r="DL854" s="1000">
        <f t="shared" ref="DL854:DM854" si="1260">DL951</f>
        <v>-1512.3699863999998</v>
      </c>
      <c r="DM854" s="1000">
        <f t="shared" si="1260"/>
        <v>-1587.9884857199997</v>
      </c>
      <c r="DN854" s="1000">
        <f t="shared" si="1249"/>
        <v>-3100.3584721199995</v>
      </c>
      <c r="DO854" s="75">
        <f t="shared" si="1241"/>
        <v>3.0314814814814683E-2</v>
      </c>
      <c r="DP854" s="1000">
        <f t="shared" ref="DP854:DQ854" si="1261">DP951</f>
        <v>-1643.5680827201995</v>
      </c>
      <c r="DQ854" s="1000">
        <f t="shared" si="1261"/>
        <v>-1660.0037635474016</v>
      </c>
      <c r="DR854" s="1000">
        <f t="shared" si="1251"/>
        <v>-3303.5718462676014</v>
      </c>
      <c r="DS854" s="75">
        <f t="shared" si="1243"/>
        <v>6.5545121951219532E-2</v>
      </c>
      <c r="DT854" s="790"/>
      <c r="DU854" s="790"/>
    </row>
    <row r="855" spans="1:125" s="20" customFormat="1" ht="13.8">
      <c r="A855" s="60" t="s">
        <v>517</v>
      </c>
      <c r="B855" s="49"/>
      <c r="BH855" s="49"/>
      <c r="BI855" s="49"/>
      <c r="BJ855" s="49"/>
      <c r="BK855" s="49"/>
      <c r="BL855" s="49"/>
      <c r="BM855" s="49"/>
      <c r="BN855" s="49"/>
      <c r="BO855" s="49"/>
      <c r="BP855" s="49"/>
      <c r="BQ855" s="49"/>
      <c r="BR855" s="49"/>
      <c r="BT855" s="49"/>
      <c r="BU855" s="561"/>
      <c r="BV855" s="561"/>
      <c r="BW855" s="75"/>
      <c r="BX855" s="49"/>
      <c r="BY855" s="561"/>
      <c r="BZ855" s="561"/>
      <c r="CA855" s="789"/>
      <c r="CB855" s="49"/>
      <c r="CC855" s="561"/>
      <c r="CD855" s="561"/>
      <c r="CE855" s="790"/>
      <c r="CF855" s="72">
        <f t="shared" ref="CF855:CG855" si="1262">SUM(CF851:CF854)</f>
        <v>-4240</v>
      </c>
      <c r="CG855" s="72">
        <f t="shared" si="1262"/>
        <v>-4322</v>
      </c>
      <c r="CH855" s="72">
        <f t="shared" si="1227"/>
        <v>-8562</v>
      </c>
      <c r="CI855" s="790"/>
      <c r="CJ855" s="72">
        <f>SUM(CJ851:CJ854)</f>
        <v>-4361</v>
      </c>
      <c r="CK855" s="72">
        <f>SUM(CK851:CK854)</f>
        <v>-4288</v>
      </c>
      <c r="CL855" s="72">
        <f t="shared" si="1228"/>
        <v>-8649</v>
      </c>
      <c r="CM855" s="790"/>
      <c r="CN855" s="72">
        <f>SUM(CN851:CN854)</f>
        <v>-4216</v>
      </c>
      <c r="CO855" s="72">
        <f>SUM(CO851:CO854)</f>
        <v>-4454</v>
      </c>
      <c r="CP855" s="72">
        <f t="shared" si="1229"/>
        <v>-8670</v>
      </c>
      <c r="CQ855" s="790"/>
      <c r="CR855" s="72">
        <f>SUM(CR851:CR854)</f>
        <v>-4544</v>
      </c>
      <c r="CS855" s="72">
        <f>SUM(CS851:CS854)</f>
        <v>-4626</v>
      </c>
      <c r="CT855" s="72">
        <f t="shared" si="1230"/>
        <v>-9170</v>
      </c>
      <c r="CU855" s="790"/>
      <c r="CV855" s="72">
        <f>SUM(CV851:CV854)</f>
        <v>-4844</v>
      </c>
      <c r="CW855" s="72">
        <f>SUM(CW851:CW854)</f>
        <v>-4874</v>
      </c>
      <c r="CX855" s="72">
        <f t="shared" si="1232"/>
        <v>-9718</v>
      </c>
      <c r="CY855" s="790"/>
      <c r="CZ855" s="72">
        <f>SUM(CZ851:CZ854)</f>
        <v>-5074</v>
      </c>
      <c r="DA855" s="72">
        <f>SUM(DA851:DA854)</f>
        <v>-5526</v>
      </c>
      <c r="DB855" s="72">
        <f t="shared" si="1234"/>
        <v>-10600</v>
      </c>
      <c r="DC855" s="790"/>
      <c r="DD855" s="72">
        <f>SUM(DD851:DD854)</f>
        <v>-5742</v>
      </c>
      <c r="DE855" s="72">
        <f>SUM(DE851:DE854)</f>
        <v>-6107</v>
      </c>
      <c r="DF855" s="72">
        <f t="shared" si="1236"/>
        <v>-11849</v>
      </c>
      <c r="DG855" s="79">
        <f t="shared" si="1237"/>
        <v>0.11783018867924522</v>
      </c>
      <c r="DH855" s="72">
        <f t="shared" ref="DH855:DI855" si="1263">SUM(DH851:DH854)</f>
        <v>-5800.8062475343522</v>
      </c>
      <c r="DI855" s="72">
        <f t="shared" si="1263"/>
        <v>-5574.622973129075</v>
      </c>
      <c r="DJ855" s="790">
        <f t="shared" si="1247"/>
        <v>-11375.429220663427</v>
      </c>
      <c r="DK855" s="79">
        <f t="shared" si="1239"/>
        <v>-3.9967151602377626E-2</v>
      </c>
      <c r="DL855" s="72">
        <f t="shared" ref="DL855:DM855" si="1264">SUM(DL851:DL854)</f>
        <v>-5558.5700572482638</v>
      </c>
      <c r="DM855" s="72">
        <f t="shared" si="1264"/>
        <v>-5699.0026403776892</v>
      </c>
      <c r="DN855" s="790">
        <f t="shared" si="1249"/>
        <v>-11257.572697625954</v>
      </c>
      <c r="DO855" s="79">
        <f t="shared" si="1241"/>
        <v>-1.03606220698369E-2</v>
      </c>
      <c r="DP855" s="72">
        <f t="shared" ref="DP855:DQ855" si="1265">SUM(DP851:DP854)</f>
        <v>-5690.9196519848028</v>
      </c>
      <c r="DQ855" s="72">
        <f t="shared" si="1265"/>
        <v>-5623.3690907090013</v>
      </c>
      <c r="DR855" s="790">
        <f t="shared" si="1251"/>
        <v>-11314.288742693803</v>
      </c>
      <c r="DS855" s="79">
        <f t="shared" si="1243"/>
        <v>5.0380349824266091E-3</v>
      </c>
      <c r="DT855" s="790"/>
      <c r="DU855" s="790"/>
    </row>
    <row r="856" spans="1:125" s="733" customFormat="1" ht="13.8">
      <c r="A856" s="996"/>
      <c r="B856" s="997"/>
      <c r="BH856" s="997"/>
      <c r="BI856" s="997"/>
      <c r="BJ856" s="997"/>
      <c r="BK856" s="997"/>
      <c r="BL856" s="997"/>
      <c r="BM856" s="997"/>
      <c r="BN856" s="997"/>
      <c r="BO856" s="997"/>
      <c r="BP856" s="997"/>
      <c r="BQ856" s="997"/>
      <c r="BR856" s="997"/>
      <c r="BT856" s="997"/>
      <c r="BU856" s="968"/>
      <c r="BV856" s="968"/>
      <c r="BW856" s="989"/>
      <c r="BX856" s="997"/>
      <c r="BY856" s="968"/>
      <c r="BZ856" s="968"/>
      <c r="CA856" s="998"/>
      <c r="CB856" s="997"/>
      <c r="CC856" s="968"/>
      <c r="CD856" s="968"/>
      <c r="CE856" s="999"/>
      <c r="CF856" s="908">
        <f>CF847</f>
        <v>-4240</v>
      </c>
      <c r="CG856" s="908">
        <f>CG847</f>
        <v>-4322</v>
      </c>
      <c r="CH856" s="968"/>
      <c r="CI856" s="999"/>
      <c r="CJ856" s="908">
        <f>CJ847</f>
        <v>-4361</v>
      </c>
      <c r="CK856" s="908">
        <f>CK847</f>
        <v>-4288</v>
      </c>
      <c r="CL856" s="968"/>
      <c r="CM856" s="999"/>
      <c r="CN856" s="908">
        <f>CN847</f>
        <v>-4216</v>
      </c>
      <c r="CO856" s="908">
        <f>CO847</f>
        <v>-4454</v>
      </c>
      <c r="CP856" s="968"/>
      <c r="CQ856" s="999"/>
      <c r="CR856" s="908">
        <f>CR847</f>
        <v>-4544</v>
      </c>
      <c r="CS856" s="908">
        <f>CS847</f>
        <v>-4626</v>
      </c>
      <c r="CT856" s="968"/>
      <c r="CU856" s="999"/>
      <c r="CV856" s="908">
        <f>CV847</f>
        <v>-4844</v>
      </c>
      <c r="CW856" s="908">
        <f>CW847</f>
        <v>-4874</v>
      </c>
      <c r="CX856" s="968"/>
      <c r="CY856" s="999"/>
      <c r="CZ856" s="908">
        <f>CZ847</f>
        <v>-5074</v>
      </c>
      <c r="DA856" s="908">
        <f>DA847</f>
        <v>-5526</v>
      </c>
      <c r="DB856" s="968"/>
      <c r="DC856" s="999"/>
      <c r="DD856" s="908">
        <f>DD847</f>
        <v>-5742</v>
      </c>
      <c r="DE856" s="908">
        <f>DE847</f>
        <v>-6107</v>
      </c>
      <c r="DF856" s="968"/>
      <c r="DG856" s="999"/>
      <c r="DH856" s="908">
        <f>DH847</f>
        <v>-5800.8062475343522</v>
      </c>
      <c r="DI856" s="908">
        <f>DI847</f>
        <v>-5574.622973129075</v>
      </c>
      <c r="DJ856" s="999"/>
      <c r="DK856" s="999"/>
      <c r="DL856" s="908">
        <f>DL847</f>
        <v>-5558.5700572482638</v>
      </c>
      <c r="DM856" s="908">
        <f>DM847</f>
        <v>-5699.0026403776892</v>
      </c>
      <c r="DN856" s="999"/>
      <c r="DO856" s="999"/>
      <c r="DP856" s="908">
        <f>DP847</f>
        <v>-5690.9196519848028</v>
      </c>
      <c r="DQ856" s="908">
        <f>DQ847</f>
        <v>-5623.3690907090013</v>
      </c>
      <c r="DR856" s="999"/>
      <c r="DS856" s="999"/>
      <c r="DT856" s="999"/>
      <c r="DU856" s="999"/>
    </row>
    <row r="857" spans="1:125" s="20" customFormat="1" ht="13.8">
      <c r="A857" s="21"/>
      <c r="B857" s="49"/>
      <c r="BH857" s="49"/>
      <c r="BI857" s="49"/>
      <c r="BJ857" s="49"/>
      <c r="BK857" s="49"/>
      <c r="BL857" s="49"/>
      <c r="BM857" s="49"/>
      <c r="BN857" s="49"/>
      <c r="BO857" s="49"/>
      <c r="BP857" s="49"/>
      <c r="BQ857" s="49"/>
      <c r="BR857" s="49"/>
      <c r="BT857" s="49"/>
      <c r="BU857" s="561"/>
      <c r="BV857" s="561"/>
      <c r="BW857" s="75"/>
      <c r="BX857" s="49"/>
      <c r="BY857" s="561"/>
      <c r="BZ857" s="561"/>
      <c r="CA857" s="789"/>
      <c r="CB857" s="49"/>
      <c r="CC857" s="561"/>
      <c r="CD857" s="561"/>
      <c r="CE857" s="790"/>
      <c r="CF857" s="49"/>
      <c r="CG857" s="561"/>
      <c r="CH857" s="561"/>
      <c r="CI857" s="790"/>
      <c r="CJ857" s="49"/>
      <c r="CK857" s="561"/>
      <c r="CL857" s="561"/>
      <c r="CM857" s="790"/>
      <c r="CN857" s="49"/>
      <c r="CO857" s="561"/>
      <c r="CP857" s="561"/>
      <c r="CQ857" s="790"/>
      <c r="CR857" s="790"/>
      <c r="CS857" s="790"/>
      <c r="CT857" s="790"/>
      <c r="CU857" s="790"/>
      <c r="CV857" s="790"/>
      <c r="CW857" s="790"/>
      <c r="CX857" s="790"/>
      <c r="CY857" s="790"/>
      <c r="CZ857" s="790"/>
      <c r="DA857" s="790"/>
      <c r="DB857" s="790"/>
      <c r="DC857" s="790"/>
      <c r="DD857" s="790"/>
      <c r="DE857" s="790"/>
      <c r="DF857" s="790"/>
      <c r="DG857" s="790"/>
      <c r="DH857" s="790"/>
      <c r="DI857" s="790"/>
      <c r="DJ857" s="790"/>
      <c r="DK857" s="790"/>
      <c r="DL857" s="790"/>
      <c r="DM857" s="790"/>
      <c r="DN857" s="790"/>
      <c r="DO857" s="790"/>
      <c r="DP857" s="790"/>
      <c r="DQ857" s="790"/>
      <c r="DR857" s="790"/>
      <c r="DS857" s="790"/>
      <c r="DT857" s="790"/>
      <c r="DU857" s="790"/>
    </row>
    <row r="858" spans="1:125" s="20" customFormat="1" ht="13.8">
      <c r="A858" s="21" t="s">
        <v>1239</v>
      </c>
      <c r="B858" s="49"/>
      <c r="BH858" s="49"/>
      <c r="BI858" s="49"/>
      <c r="BJ858" s="49"/>
      <c r="BK858" s="49"/>
      <c r="BL858" s="49"/>
      <c r="BM858" s="49"/>
      <c r="BN858" s="49"/>
      <c r="BO858" s="49"/>
      <c r="BP858" s="49"/>
      <c r="BQ858" s="49"/>
      <c r="BR858" s="49"/>
      <c r="BT858" s="49"/>
      <c r="BU858" s="561"/>
      <c r="BV858" s="561"/>
      <c r="BW858" s="75"/>
      <c r="BX858" s="49"/>
      <c r="BY858" s="561"/>
      <c r="BZ858" s="561"/>
      <c r="CA858" s="789"/>
      <c r="CB858" s="49"/>
      <c r="CC858" s="561"/>
      <c r="CD858" s="561"/>
      <c r="CE858" s="790"/>
      <c r="CF858" s="49"/>
      <c r="CG858" s="561"/>
      <c r="CH858" s="561"/>
      <c r="CI858" s="790"/>
      <c r="CJ858" s="49"/>
      <c r="CK858" s="561"/>
      <c r="CL858" s="561"/>
      <c r="CM858" s="790"/>
      <c r="CN858" s="49"/>
      <c r="CO858" s="561"/>
      <c r="CP858" s="561"/>
      <c r="CQ858" s="790"/>
      <c r="CR858" s="790"/>
      <c r="CS858" s="790"/>
      <c r="CT858" s="790"/>
      <c r="CU858" s="790"/>
      <c r="CV858" s="790"/>
      <c r="CW858" s="790"/>
      <c r="CX858" s="790"/>
      <c r="CY858" s="790"/>
      <c r="CZ858" s="790"/>
      <c r="DA858" s="790"/>
      <c r="DB858" s="790"/>
      <c r="DC858" s="790"/>
      <c r="DD858" s="790"/>
      <c r="DE858" s="790"/>
      <c r="DF858" s="790"/>
      <c r="DG858" s="790"/>
      <c r="DH858" s="790"/>
      <c r="DI858" s="790"/>
      <c r="DJ858" s="790"/>
      <c r="DK858" s="790"/>
      <c r="DL858" s="790"/>
      <c r="DM858" s="790"/>
      <c r="DN858" s="790"/>
      <c r="DO858" s="790"/>
      <c r="DP858" s="790"/>
      <c r="DQ858" s="790"/>
      <c r="DR858" s="790"/>
      <c r="DS858" s="790"/>
      <c r="DT858" s="790"/>
      <c r="DU858" s="790"/>
    </row>
    <row r="859" spans="1:125" s="20" customFormat="1" ht="13.8">
      <c r="A859" s="20" t="s">
        <v>782</v>
      </c>
      <c r="B859" s="49"/>
      <c r="BH859" s="49"/>
      <c r="BI859" s="49"/>
      <c r="BJ859" s="49"/>
      <c r="BK859" s="49"/>
      <c r="BL859" s="49"/>
      <c r="BM859" s="49"/>
      <c r="BN859" s="49"/>
      <c r="BO859" s="49"/>
      <c r="BP859" s="49"/>
      <c r="BQ859" s="49"/>
      <c r="BR859" s="49"/>
      <c r="BT859" s="49"/>
      <c r="BU859" s="561"/>
      <c r="BV859" s="561"/>
      <c r="BW859" s="75"/>
      <c r="BX859" s="49"/>
      <c r="BY859" s="561"/>
      <c r="BZ859" s="561"/>
      <c r="CA859" s="789"/>
      <c r="CB859" s="49"/>
      <c r="CC859" s="561"/>
      <c r="CD859" s="561"/>
      <c r="CE859" s="790"/>
      <c r="CF859" s="49"/>
      <c r="CG859" s="561"/>
      <c r="CH859" s="561"/>
      <c r="CI859" s="790"/>
      <c r="CJ859" s="49"/>
      <c r="CK859" s="561"/>
      <c r="CL859" s="561"/>
      <c r="CM859" s="790"/>
      <c r="CN859" s="49"/>
      <c r="CO859" s="561"/>
      <c r="CP859" s="561"/>
      <c r="CQ859" s="790"/>
      <c r="CR859" s="790"/>
      <c r="CS859" s="790"/>
      <c r="CT859" s="790"/>
      <c r="CU859" s="790"/>
      <c r="CV859" s="790"/>
      <c r="CW859" s="790"/>
      <c r="CX859" s="790"/>
      <c r="CY859" s="790"/>
      <c r="CZ859" s="790"/>
      <c r="DA859" s="790"/>
      <c r="DB859" s="1018">
        <v>-10553</v>
      </c>
      <c r="DC859" s="790"/>
      <c r="DD859" s="790"/>
      <c r="DE859" s="790"/>
      <c r="DF859" s="1018">
        <v>-11807</v>
      </c>
      <c r="DG859" s="790"/>
      <c r="DH859" s="790"/>
      <c r="DI859" s="790"/>
      <c r="DJ859" s="790"/>
      <c r="DK859" s="790"/>
      <c r="DL859" s="790"/>
      <c r="DM859" s="790"/>
      <c r="DN859" s="790"/>
      <c r="DO859" s="790"/>
      <c r="DP859" s="790"/>
      <c r="DQ859" s="790"/>
      <c r="DR859" s="790"/>
      <c r="DS859" s="790"/>
      <c r="DT859" s="790"/>
      <c r="DU859" s="790"/>
    </row>
    <row r="860" spans="1:125" s="20" customFormat="1" ht="13.8">
      <c r="A860" s="20" t="s">
        <v>1240</v>
      </c>
      <c r="B860" s="49"/>
      <c r="BH860" s="49"/>
      <c r="BI860" s="49"/>
      <c r="BJ860" s="49"/>
      <c r="BK860" s="49"/>
      <c r="BL860" s="49"/>
      <c r="BM860" s="49"/>
      <c r="BN860" s="49"/>
      <c r="BO860" s="49"/>
      <c r="BP860" s="49"/>
      <c r="BQ860" s="49"/>
      <c r="BR860" s="49"/>
      <c r="BT860" s="49"/>
      <c r="BU860" s="561"/>
      <c r="BV860" s="561"/>
      <c r="BW860" s="75"/>
      <c r="BX860" s="49"/>
      <c r="BY860" s="561"/>
      <c r="BZ860" s="561"/>
      <c r="CA860" s="789"/>
      <c r="CB860" s="49"/>
      <c r="CC860" s="561"/>
      <c r="CD860" s="561"/>
      <c r="CE860" s="790"/>
      <c r="CF860" s="49"/>
      <c r="CG860" s="561"/>
      <c r="CH860" s="561"/>
      <c r="CI860" s="790"/>
      <c r="CJ860" s="49"/>
      <c r="CK860" s="561"/>
      <c r="CL860" s="561"/>
      <c r="CM860" s="790"/>
      <c r="CN860" s="49"/>
      <c r="CO860" s="561"/>
      <c r="CP860" s="561"/>
      <c r="CQ860" s="790"/>
      <c r="CR860" s="790"/>
      <c r="CS860" s="790"/>
      <c r="CT860" s="790"/>
      <c r="CU860" s="790"/>
      <c r="CV860" s="790"/>
      <c r="CW860" s="790"/>
      <c r="CX860" s="790"/>
      <c r="CY860" s="790"/>
      <c r="CZ860" s="790"/>
      <c r="DA860" s="790"/>
      <c r="DB860" s="1018">
        <f>-76*12</f>
        <v>-912</v>
      </c>
      <c r="DC860" s="790"/>
      <c r="DD860" s="790"/>
      <c r="DE860" s="790"/>
      <c r="DF860" s="1018">
        <v>-1073</v>
      </c>
      <c r="DG860" s="790"/>
      <c r="DH860" s="790"/>
      <c r="DI860" s="790"/>
      <c r="DJ860" s="790"/>
      <c r="DK860" s="790"/>
      <c r="DL860" s="790"/>
      <c r="DM860" s="790"/>
      <c r="DN860" s="790"/>
      <c r="DO860" s="790"/>
      <c r="DP860" s="790"/>
      <c r="DQ860" s="790"/>
      <c r="DR860" s="790"/>
      <c r="DS860" s="790"/>
      <c r="DT860" s="790"/>
      <c r="DU860" s="790"/>
    </row>
    <row r="861" spans="1:125" s="20" customFormat="1" ht="13.8">
      <c r="A861" s="21" t="s">
        <v>529</v>
      </c>
      <c r="B861" s="49"/>
      <c r="BH861" s="49"/>
      <c r="BI861" s="49"/>
      <c r="BJ861" s="49"/>
      <c r="BK861" s="49"/>
      <c r="BL861" s="49"/>
      <c r="BM861" s="49"/>
      <c r="BN861" s="49"/>
      <c r="BO861" s="49"/>
      <c r="BP861" s="49"/>
      <c r="BQ861" s="49"/>
      <c r="BR861" s="49"/>
      <c r="BT861" s="49"/>
      <c r="BU861" s="561"/>
      <c r="BV861" s="561"/>
      <c r="BW861" s="75"/>
      <c r="BX861" s="49"/>
      <c r="BY861" s="561"/>
      <c r="BZ861" s="561"/>
      <c r="CA861" s="789"/>
      <c r="CB861" s="49"/>
      <c r="CC861" s="561"/>
      <c r="CD861" s="561"/>
      <c r="CE861" s="790"/>
      <c r="CF861" s="49"/>
      <c r="CG861" s="561"/>
      <c r="CH861" s="561"/>
      <c r="CI861" s="790"/>
      <c r="CJ861" s="49"/>
      <c r="CK861" s="561"/>
      <c r="CL861" s="561"/>
      <c r="CM861" s="790"/>
      <c r="CN861" s="49"/>
      <c r="CO861" s="561"/>
      <c r="CP861" s="561"/>
      <c r="CQ861" s="790"/>
      <c r="CR861" s="790"/>
      <c r="CS861" s="790"/>
      <c r="CT861" s="790"/>
      <c r="CU861" s="790"/>
      <c r="CV861" s="790"/>
      <c r="CW861" s="790"/>
      <c r="CX861" s="790"/>
      <c r="CY861" s="790"/>
      <c r="CZ861" s="790"/>
      <c r="DA861" s="790"/>
      <c r="DB861" s="790">
        <f>SUM(DB859:DB860)</f>
        <v>-11465</v>
      </c>
      <c r="DC861" s="790"/>
      <c r="DD861" s="790"/>
      <c r="DE861" s="790"/>
      <c r="DF861" s="790">
        <f>SUM(DF859:DF860)</f>
        <v>-12880</v>
      </c>
      <c r="DG861" s="1313">
        <f>+DF861/DB861-1</f>
        <v>0.12341910161360659</v>
      </c>
      <c r="DH861" s="790"/>
      <c r="DI861" s="790"/>
      <c r="DJ861" s="790"/>
      <c r="DK861" s="790"/>
      <c r="DL861" s="790"/>
      <c r="DM861" s="790"/>
      <c r="DN861" s="790"/>
      <c r="DO861" s="790"/>
      <c r="DP861" s="790"/>
      <c r="DQ861" s="790"/>
      <c r="DR861" s="790"/>
      <c r="DS861" s="790"/>
      <c r="DT861" s="790"/>
      <c r="DU861" s="790"/>
    </row>
    <row r="862" spans="1:125" s="20" customFormat="1" ht="13.8">
      <c r="A862" s="21"/>
      <c r="B862" s="49"/>
      <c r="BH862" s="49"/>
      <c r="BI862" s="49"/>
      <c r="BJ862" s="49"/>
      <c r="BK862" s="49"/>
      <c r="BL862" s="49"/>
      <c r="BM862" s="49"/>
      <c r="BN862" s="49"/>
      <c r="BO862" s="49"/>
      <c r="BP862" s="49"/>
      <c r="BQ862" s="49"/>
      <c r="BR862" s="49"/>
      <c r="BT862" s="49"/>
      <c r="BU862" s="561"/>
      <c r="BV862" s="561"/>
      <c r="BW862" s="75"/>
      <c r="BX862" s="49"/>
      <c r="BY862" s="561"/>
      <c r="BZ862" s="561"/>
      <c r="CA862" s="789"/>
      <c r="CB862" s="49"/>
      <c r="CC862" s="561"/>
      <c r="CD862" s="561"/>
      <c r="CE862" s="790"/>
      <c r="CF862" s="49"/>
      <c r="CG862" s="561"/>
      <c r="CH862" s="561"/>
      <c r="CI862" s="790"/>
      <c r="CJ862" s="49"/>
      <c r="CK862" s="561"/>
      <c r="CL862" s="561"/>
      <c r="CM862" s="790"/>
      <c r="CN862" s="49"/>
      <c r="CO862" s="561"/>
      <c r="CP862" s="561"/>
      <c r="CQ862" s="790"/>
      <c r="CR862" s="790"/>
      <c r="CS862" s="790"/>
      <c r="CT862" s="790"/>
      <c r="CU862" s="790"/>
      <c r="CV862" s="790"/>
      <c r="CW862" s="790"/>
      <c r="CX862" s="790"/>
      <c r="CY862" s="790"/>
      <c r="CZ862" s="790"/>
      <c r="DA862" s="790"/>
      <c r="DB862" s="790"/>
      <c r="DC862" s="790"/>
      <c r="DD862" s="790"/>
      <c r="DE862" s="790"/>
      <c r="DF862" s="790"/>
      <c r="DG862" s="790"/>
      <c r="DH862" s="790"/>
      <c r="DI862" s="790"/>
      <c r="DJ862" s="790"/>
      <c r="DK862" s="790"/>
      <c r="DL862" s="790"/>
      <c r="DM862" s="790"/>
      <c r="DN862" s="790"/>
      <c r="DO862" s="790"/>
      <c r="DP862" s="790"/>
      <c r="DQ862" s="790"/>
      <c r="DR862" s="790"/>
      <c r="DS862" s="790"/>
      <c r="DT862" s="790"/>
      <c r="DU862" s="790"/>
    </row>
    <row r="863" spans="1:125" s="20" customFormat="1" ht="13.8">
      <c r="A863" s="1008" t="s">
        <v>967</v>
      </c>
      <c r="B863" s="1009"/>
      <c r="C863" s="1010"/>
      <c r="D863" s="1010"/>
      <c r="E863" s="1010"/>
      <c r="F863" s="1010"/>
      <c r="G863" s="1010"/>
      <c r="H863" s="1010"/>
      <c r="I863" s="1010"/>
      <c r="J863" s="1010"/>
      <c r="K863" s="1010"/>
      <c r="L863" s="1010"/>
      <c r="M863" s="1010"/>
      <c r="N863" s="1010"/>
      <c r="O863" s="1010"/>
      <c r="P863" s="1010"/>
      <c r="Q863" s="1010"/>
      <c r="R863" s="1010"/>
      <c r="S863" s="1010"/>
      <c r="T863" s="1010"/>
      <c r="U863" s="1010"/>
      <c r="V863" s="1010"/>
      <c r="W863" s="1010"/>
      <c r="X863" s="1010"/>
      <c r="Y863" s="1010"/>
      <c r="Z863" s="1010"/>
      <c r="AA863" s="1010"/>
      <c r="AB863" s="1010"/>
      <c r="AC863" s="1010"/>
      <c r="AD863" s="1010"/>
      <c r="AE863" s="1010"/>
      <c r="AF863" s="1010"/>
      <c r="AG863" s="1010"/>
      <c r="AH863" s="1010"/>
      <c r="AI863" s="1010"/>
      <c r="AJ863" s="1010"/>
      <c r="AK863" s="1010"/>
      <c r="AL863" s="1010"/>
      <c r="AM863" s="1010"/>
      <c r="AN863" s="1010"/>
      <c r="AO863" s="1010"/>
      <c r="AP863" s="1010"/>
      <c r="AQ863" s="1010"/>
      <c r="AR863" s="1010"/>
      <c r="AS863" s="1010"/>
      <c r="AT863" s="1010"/>
      <c r="AU863" s="1010"/>
      <c r="AV863" s="1010"/>
      <c r="AW863" s="1010"/>
      <c r="AX863" s="1010"/>
      <c r="AY863" s="1010"/>
      <c r="AZ863" s="1010"/>
      <c r="BA863" s="1010"/>
      <c r="BB863" s="1010"/>
      <c r="BC863" s="1010"/>
      <c r="BD863" s="1010"/>
      <c r="BE863" s="1010"/>
      <c r="BF863" s="1010"/>
      <c r="BG863" s="1010"/>
      <c r="BH863" s="1009"/>
      <c r="BI863" s="1009"/>
      <c r="BJ863" s="1009"/>
      <c r="BK863" s="1009"/>
      <c r="BL863" s="1009"/>
      <c r="BM863" s="1009"/>
      <c r="BN863" s="1009"/>
      <c r="BO863" s="1009"/>
      <c r="BP863" s="1009"/>
      <c r="BQ863" s="1009"/>
      <c r="BR863" s="1009"/>
      <c r="BS863" s="1010"/>
      <c r="BT863" s="1009"/>
      <c r="BU863" s="1011"/>
      <c r="BV863" s="1011"/>
      <c r="BW863" s="1012"/>
      <c r="BX863" s="1009"/>
      <c r="BY863" s="1011"/>
      <c r="BZ863" s="1011"/>
      <c r="CA863" s="1013"/>
      <c r="CB863" s="1009"/>
      <c r="CC863" s="1011"/>
      <c r="CD863" s="1011"/>
      <c r="CE863" s="1014"/>
      <c r="CF863" s="1009"/>
      <c r="CG863" s="1011"/>
      <c r="CH863" s="1011"/>
      <c r="CI863" s="1014"/>
      <c r="CJ863" s="1009"/>
      <c r="CK863" s="1011"/>
      <c r="CL863" s="1011"/>
      <c r="CM863" s="1014"/>
      <c r="CN863" s="1010"/>
      <c r="CO863" s="1011"/>
      <c r="CP863" s="1011"/>
      <c r="CQ863" s="1014"/>
      <c r="CR863" s="1014"/>
      <c r="CS863" s="1014"/>
      <c r="CT863" s="1014"/>
      <c r="CU863" s="1014"/>
      <c r="CV863" s="1014"/>
      <c r="CW863" s="1014"/>
      <c r="CX863" s="1014"/>
      <c r="CY863" s="1014"/>
      <c r="CZ863" s="1014"/>
      <c r="DA863" s="1014"/>
      <c r="DB863" s="1014"/>
      <c r="DC863" s="1014"/>
      <c r="DD863" s="1014"/>
      <c r="DE863" s="1014"/>
      <c r="DF863" s="1014"/>
      <c r="DG863" s="1014"/>
      <c r="DH863" s="1014"/>
      <c r="DI863" s="1014"/>
      <c r="DJ863" s="1014"/>
      <c r="DK863" s="1014"/>
      <c r="DL863" s="1014"/>
      <c r="DM863" s="1014"/>
      <c r="DN863" s="1014"/>
      <c r="DO863" s="1014"/>
      <c r="DP863" s="1014"/>
      <c r="DQ863" s="1014"/>
      <c r="DR863" s="1014"/>
      <c r="DS863" s="1014"/>
      <c r="DT863" s="1026"/>
      <c r="DU863" s="1026"/>
    </row>
    <row r="864" spans="1:125" s="20" customFormat="1" ht="13.8">
      <c r="A864" s="61" t="s">
        <v>587</v>
      </c>
      <c r="B864" s="49"/>
      <c r="BH864" s="49"/>
      <c r="BI864" s="49"/>
      <c r="BJ864" s="49"/>
      <c r="BK864" s="49"/>
      <c r="BL864" s="49"/>
      <c r="BM864" s="49"/>
      <c r="BN864" s="49"/>
      <c r="BO864" s="49"/>
      <c r="BP864" s="49"/>
      <c r="BQ864" s="49"/>
      <c r="BR864" s="49"/>
      <c r="BT864" s="49"/>
      <c r="BU864" s="561"/>
      <c r="BV864" s="561"/>
      <c r="BW864" s="96"/>
      <c r="BX864" s="49"/>
      <c r="BY864" s="561"/>
      <c r="BZ864" s="561"/>
      <c r="CA864" s="789"/>
      <c r="CB864" s="49"/>
      <c r="CC864" s="561"/>
      <c r="CD864" s="561"/>
      <c r="CE864" s="790"/>
      <c r="CF864" s="65">
        <f>CF840-CF851</f>
        <v>-18</v>
      </c>
      <c r="CG864" s="65">
        <f>CG840-CG851</f>
        <v>-54</v>
      </c>
      <c r="CH864" s="65">
        <f t="shared" ref="CH864" si="1266">CH907</f>
        <v>-72</v>
      </c>
      <c r="CI864" s="790"/>
      <c r="CJ864" s="65">
        <f>CJ840-CJ851</f>
        <v>-64</v>
      </c>
      <c r="CK864" s="65">
        <f>CK840-CK851</f>
        <v>-79</v>
      </c>
      <c r="CL864" s="65">
        <f>SUM(CJ864:CK864)</f>
        <v>-143</v>
      </c>
      <c r="CM864" s="790"/>
      <c r="CN864" s="65">
        <f>CN840-CN851</f>
        <v>-53</v>
      </c>
      <c r="CO864" s="65">
        <f>CO840-CO851</f>
        <v>-59</v>
      </c>
      <c r="CP864" s="65">
        <f>SUM(CN864:CO864)</f>
        <v>-112</v>
      </c>
      <c r="CQ864" s="790"/>
      <c r="CR864" s="65">
        <f>CR840-CR851</f>
        <v>-63</v>
      </c>
      <c r="CS864" s="65">
        <f>CS840-CS851</f>
        <v>-38</v>
      </c>
      <c r="CT864" s="65">
        <f>SUM(CR864:CS864)</f>
        <v>-101</v>
      </c>
      <c r="CU864" s="790"/>
      <c r="CV864" s="65">
        <f>CV872+CV878</f>
        <v>-45</v>
      </c>
      <c r="CW864" s="65">
        <f>CW872+CW878</f>
        <v>-95</v>
      </c>
      <c r="CX864" s="65">
        <f>SUM(CV864:CW864)</f>
        <v>-140</v>
      </c>
      <c r="CY864" s="790"/>
      <c r="CZ864" s="65">
        <f>CZ872+CZ878</f>
        <v>-90</v>
      </c>
      <c r="DA864" s="65">
        <f>DA872+DA878</f>
        <v>0</v>
      </c>
      <c r="DB864" s="65">
        <f>SUM(CZ864:DA864)</f>
        <v>-90</v>
      </c>
      <c r="DC864" s="790"/>
      <c r="DD864" s="65">
        <f>DD872+DD878</f>
        <v>0</v>
      </c>
      <c r="DE864" s="65">
        <f>DE872+DE878</f>
        <v>-585</v>
      </c>
      <c r="DF864" s="65">
        <f>SUM(DD864:DE864)</f>
        <v>-585</v>
      </c>
      <c r="DG864" s="790"/>
      <c r="DH864" s="65">
        <f t="shared" ref="DH864:DI864" si="1267">+DH872+DH878</f>
        <v>0</v>
      </c>
      <c r="DI864" s="65">
        <f t="shared" si="1267"/>
        <v>0</v>
      </c>
      <c r="DJ864" s="65">
        <f>SUM(DH864:DI864)</f>
        <v>0</v>
      </c>
      <c r="DK864" s="790"/>
      <c r="DL864" s="65">
        <f t="shared" ref="DL864:DM864" si="1268">+DL872+DL878</f>
        <v>0</v>
      </c>
      <c r="DM864" s="65">
        <f t="shared" si="1268"/>
        <v>0</v>
      </c>
      <c r="DN864" s="65">
        <f>SUM(DL864:DM864)</f>
        <v>0</v>
      </c>
      <c r="DO864" s="790"/>
      <c r="DP864" s="65">
        <f t="shared" ref="DP864:DQ864" si="1269">+DP872+DP878</f>
        <v>0</v>
      </c>
      <c r="DQ864" s="65">
        <f t="shared" si="1269"/>
        <v>0</v>
      </c>
      <c r="DR864" s="65">
        <f>SUM(DP864:DQ864)</f>
        <v>0</v>
      </c>
      <c r="DS864" s="790"/>
      <c r="DT864" s="790"/>
      <c r="DU864" s="790"/>
    </row>
    <row r="865" spans="1:126" s="20" customFormat="1" ht="13.8">
      <c r="A865" s="20" t="s">
        <v>458</v>
      </c>
      <c r="B865" s="49"/>
      <c r="BH865" s="49"/>
      <c r="BI865" s="49"/>
      <c r="BJ865" s="49"/>
      <c r="BK865" s="49"/>
      <c r="BL865" s="49"/>
      <c r="BM865" s="49"/>
      <c r="BN865" s="49"/>
      <c r="BO865" s="49"/>
      <c r="BP865" s="49"/>
      <c r="BQ865" s="49"/>
      <c r="BR865" s="49"/>
      <c r="BT865" s="49"/>
      <c r="BU865" s="561"/>
      <c r="BV865" s="561"/>
      <c r="BW865" s="96"/>
      <c r="BX865" s="49"/>
      <c r="BY865" s="561"/>
      <c r="BZ865" s="561"/>
      <c r="CA865" s="789"/>
      <c r="CB865" s="49"/>
      <c r="CC865" s="561"/>
      <c r="CD865" s="561"/>
      <c r="CE865" s="790"/>
      <c r="CF865" s="65">
        <f>+CF841-CF852</f>
        <v>-3</v>
      </c>
      <c r="CG865" s="65">
        <f>+CG841-CG852</f>
        <v>-2</v>
      </c>
      <c r="CH865" s="65">
        <f>+CH841-CH852</f>
        <v>-5</v>
      </c>
      <c r="CI865" s="790"/>
      <c r="CJ865" s="65">
        <f>+CJ841-CJ852</f>
        <v>-1</v>
      </c>
      <c r="CK865" s="65">
        <f>+CK841-CK852</f>
        <v>-1</v>
      </c>
      <c r="CL865" s="65">
        <f>+CL841-CL852</f>
        <v>-2</v>
      </c>
      <c r="CM865" s="790"/>
      <c r="CN865" s="65">
        <f>+CN841-CN852</f>
        <v>1</v>
      </c>
      <c r="CO865" s="65">
        <f>+CO841-CO852</f>
        <v>0</v>
      </c>
      <c r="CP865" s="65">
        <f>+CP841-CP852</f>
        <v>1</v>
      </c>
      <c r="CQ865" s="790"/>
      <c r="CR865" s="65">
        <f>+CR841-CR852</f>
        <v>0</v>
      </c>
      <c r="CS865" s="65">
        <f>+CS841-CS852</f>
        <v>-47</v>
      </c>
      <c r="CT865" s="65">
        <f>+CT841-CT852</f>
        <v>-47</v>
      </c>
      <c r="CU865" s="790"/>
      <c r="CV865" s="65">
        <f>CV873</f>
        <v>0</v>
      </c>
      <c r="CW865" s="65">
        <f>CW873</f>
        <v>0</v>
      </c>
      <c r="CX865" s="65">
        <f>+CX841-CX852</f>
        <v>0</v>
      </c>
      <c r="CY865" s="790"/>
      <c r="CZ865" s="65">
        <f>CZ873</f>
        <v>0</v>
      </c>
      <c r="DA865" s="65">
        <f>DA873</f>
        <v>0</v>
      </c>
      <c r="DB865" s="65">
        <f>+DB841-DB852</f>
        <v>0</v>
      </c>
      <c r="DC865" s="790"/>
      <c r="DD865" s="65">
        <f>DD873</f>
        <v>0</v>
      </c>
      <c r="DE865" s="65">
        <f>DE873</f>
        <v>0</v>
      </c>
      <c r="DF865" s="65">
        <f>+DF841-DF852</f>
        <v>0</v>
      </c>
      <c r="DG865" s="790"/>
      <c r="DH865" s="65">
        <f t="shared" ref="DH865:DI865" si="1270">DH873</f>
        <v>0</v>
      </c>
      <c r="DI865" s="65">
        <f t="shared" si="1270"/>
        <v>0</v>
      </c>
      <c r="DJ865" s="65">
        <f t="shared" ref="DJ865:DJ867" si="1271">SUM(DH865:DI865)</f>
        <v>0</v>
      </c>
      <c r="DK865" s="790"/>
      <c r="DL865" s="65">
        <f t="shared" ref="DL865:DM865" si="1272">DL873</f>
        <v>0</v>
      </c>
      <c r="DM865" s="65">
        <f t="shared" si="1272"/>
        <v>0</v>
      </c>
      <c r="DN865" s="65">
        <f t="shared" ref="DN865:DN867" si="1273">SUM(DL865:DM865)</f>
        <v>0</v>
      </c>
      <c r="DO865" s="790"/>
      <c r="DP865" s="65">
        <f t="shared" ref="DP865:DQ865" si="1274">DP873</f>
        <v>0</v>
      </c>
      <c r="DQ865" s="65">
        <f t="shared" si="1274"/>
        <v>0</v>
      </c>
      <c r="DR865" s="65">
        <f t="shared" ref="DR865:DR867" si="1275">SUM(DP865:DQ865)</f>
        <v>0</v>
      </c>
      <c r="DS865" s="790"/>
      <c r="DT865" s="790"/>
      <c r="DU865" s="790"/>
    </row>
    <row r="866" spans="1:126" s="20" customFormat="1" ht="13.8">
      <c r="A866" s="20" t="s">
        <v>459</v>
      </c>
      <c r="B866" s="49"/>
      <c r="BH866" s="49"/>
      <c r="BI866" s="49"/>
      <c r="BJ866" s="49"/>
      <c r="BK866" s="49"/>
      <c r="BL866" s="49"/>
      <c r="BM866" s="49"/>
      <c r="BN866" s="49"/>
      <c r="BO866" s="49"/>
      <c r="BP866" s="49"/>
      <c r="BQ866" s="49"/>
      <c r="BR866" s="49"/>
      <c r="BT866" s="49"/>
      <c r="BU866" s="561"/>
      <c r="BV866" s="561"/>
      <c r="BW866" s="75"/>
      <c r="BX866" s="49"/>
      <c r="BY866" s="561"/>
      <c r="BZ866" s="561"/>
      <c r="CA866" s="789"/>
      <c r="CB866" s="49"/>
      <c r="CC866" s="561"/>
      <c r="CD866" s="561"/>
      <c r="CE866" s="790"/>
      <c r="CF866" s="65">
        <f>CF842-CF853</f>
        <v>-2</v>
      </c>
      <c r="CG866" s="65">
        <f>CG842-CG853</f>
        <v>-2</v>
      </c>
      <c r="CH866" s="65">
        <f>CH842-CH853</f>
        <v>-4</v>
      </c>
      <c r="CI866" s="790"/>
      <c r="CJ866" s="65">
        <f>CJ842-CJ853</f>
        <v>-52</v>
      </c>
      <c r="CK866" s="65">
        <f>CK842-CK853</f>
        <v>-212</v>
      </c>
      <c r="CL866" s="65">
        <f>CL842-CL853</f>
        <v>-264</v>
      </c>
      <c r="CM866" s="790"/>
      <c r="CN866" s="65">
        <f>CN842-CN853</f>
        <v>-5</v>
      </c>
      <c r="CO866" s="65">
        <f>CO842-CO853</f>
        <v>-6</v>
      </c>
      <c r="CP866" s="65">
        <f>CP842-CP853</f>
        <v>-11</v>
      </c>
      <c r="CQ866" s="790"/>
      <c r="CR866" s="65">
        <f>CR842-CR853</f>
        <v>-14</v>
      </c>
      <c r="CS866" s="65">
        <f>CS842-CS853</f>
        <v>-5</v>
      </c>
      <c r="CT866" s="65">
        <f>CT842-CT853</f>
        <v>-19</v>
      </c>
      <c r="CU866" s="790"/>
      <c r="CV866" s="65">
        <f>CV874</f>
        <v>-5</v>
      </c>
      <c r="CW866" s="65">
        <f>CW874</f>
        <v>-20</v>
      </c>
      <c r="CX866" s="65">
        <f>CX842-CX853</f>
        <v>-25</v>
      </c>
      <c r="CY866" s="790"/>
      <c r="CZ866" s="65">
        <f>CZ874</f>
        <v>-30</v>
      </c>
      <c r="DA866" s="65">
        <f>DA874</f>
        <v>0</v>
      </c>
      <c r="DB866" s="65">
        <f>DB842-DB853</f>
        <v>-30</v>
      </c>
      <c r="DC866" s="790"/>
      <c r="DD866" s="65">
        <f>DD874</f>
        <v>0</v>
      </c>
      <c r="DE866" s="65">
        <f>DE874</f>
        <v>0</v>
      </c>
      <c r="DF866" s="65">
        <f>DF842-DF853</f>
        <v>0</v>
      </c>
      <c r="DG866" s="790"/>
      <c r="DH866" s="65">
        <f t="shared" ref="DH866:DI866" si="1276">DH923+DH874</f>
        <v>0</v>
      </c>
      <c r="DI866" s="65">
        <f t="shared" si="1276"/>
        <v>0</v>
      </c>
      <c r="DJ866" s="65">
        <f t="shared" si="1271"/>
        <v>0</v>
      </c>
      <c r="DK866" s="790"/>
      <c r="DL866" s="65">
        <f t="shared" ref="DL866:DM866" si="1277">DL923+DL874</f>
        <v>0</v>
      </c>
      <c r="DM866" s="65">
        <f t="shared" si="1277"/>
        <v>0</v>
      </c>
      <c r="DN866" s="65">
        <f t="shared" si="1273"/>
        <v>0</v>
      </c>
      <c r="DO866" s="790"/>
      <c r="DP866" s="65">
        <f t="shared" ref="DP866:DQ866" si="1278">DP923+DP874</f>
        <v>0</v>
      </c>
      <c r="DQ866" s="65">
        <f t="shared" si="1278"/>
        <v>0</v>
      </c>
      <c r="DR866" s="65">
        <f t="shared" si="1275"/>
        <v>0</v>
      </c>
      <c r="DS866" s="790"/>
      <c r="DT866" s="790"/>
      <c r="DU866" s="790"/>
    </row>
    <row r="867" spans="1:126" s="20" customFormat="1" ht="13.8">
      <c r="A867" s="20" t="s">
        <v>110</v>
      </c>
      <c r="B867" s="49"/>
      <c r="BH867" s="49"/>
      <c r="BI867" s="49"/>
      <c r="BJ867" s="49"/>
      <c r="BK867" s="49"/>
      <c r="BL867" s="49"/>
      <c r="BM867" s="49"/>
      <c r="BN867" s="49"/>
      <c r="BO867" s="49"/>
      <c r="BP867" s="49"/>
      <c r="BQ867" s="49"/>
      <c r="BR867" s="49"/>
      <c r="BT867" s="49"/>
      <c r="BU867" s="561"/>
      <c r="BV867" s="561"/>
      <c r="BW867" s="75"/>
      <c r="BX867" s="49"/>
      <c r="BY867" s="561"/>
      <c r="BZ867" s="561"/>
      <c r="CA867" s="789"/>
      <c r="CB867" s="49"/>
      <c r="CC867" s="561"/>
      <c r="CD867" s="561"/>
      <c r="CE867" s="790"/>
      <c r="CF867" s="65">
        <f>CF843-CF854</f>
        <v>-102</v>
      </c>
      <c r="CG867" s="65">
        <f>CG843-CG854</f>
        <v>-326</v>
      </c>
      <c r="CH867" s="65">
        <f>SUM(CH942:CH949)-SUM(CH864:CH865)</f>
        <v>-351</v>
      </c>
      <c r="CI867" s="790"/>
      <c r="CJ867" s="65">
        <f>CJ843-CJ854</f>
        <v>-127</v>
      </c>
      <c r="CK867" s="65">
        <f>CK843-CK854</f>
        <v>-198</v>
      </c>
      <c r="CL867" s="65">
        <f t="shared" ref="CL867:CL868" si="1279">SUM(CJ867:CK867)</f>
        <v>-325</v>
      </c>
      <c r="CM867" s="790"/>
      <c r="CN867" s="65">
        <f>CN843-CN854</f>
        <v>-209</v>
      </c>
      <c r="CO867" s="65">
        <f>CO843-CO854</f>
        <v>-50</v>
      </c>
      <c r="CP867" s="65">
        <f t="shared" ref="CP867:CP868" si="1280">SUM(CN867:CO867)</f>
        <v>-259</v>
      </c>
      <c r="CQ867" s="790"/>
      <c r="CR867" s="65">
        <f>CR843-CR854</f>
        <v>-170</v>
      </c>
      <c r="CS867" s="65">
        <f>CS843-CS854</f>
        <v>-72</v>
      </c>
      <c r="CT867" s="65">
        <f t="shared" ref="CT867:CT868" si="1281">SUM(CR867:CS867)</f>
        <v>-242</v>
      </c>
      <c r="CU867" s="790"/>
      <c r="CV867" s="65">
        <f>CV868-CV864-CV865-CV866</f>
        <v>-103</v>
      </c>
      <c r="CW867" s="65">
        <f>CW868-CW864-CW865-CW866</f>
        <v>-153</v>
      </c>
      <c r="CX867" s="65">
        <f t="shared" ref="CX867:CX868" si="1282">SUM(CV867:CW867)</f>
        <v>-256</v>
      </c>
      <c r="CY867" s="790"/>
      <c r="CZ867" s="65">
        <f>CZ868-CZ864-CZ865-CZ866</f>
        <v>-21</v>
      </c>
      <c r="DA867" s="65">
        <f>DA868-DA864-DA865-DA866</f>
        <v>0</v>
      </c>
      <c r="DB867" s="65">
        <f t="shared" ref="DB867:DB868" si="1283">SUM(CZ867:DA867)</f>
        <v>-21</v>
      </c>
      <c r="DC867" s="790"/>
      <c r="DD867" s="65">
        <f>DD868-DD864-DD865-DD866</f>
        <v>0</v>
      </c>
      <c r="DE867" s="65">
        <f>DE868-DE864-DE865-DE866</f>
        <v>-446</v>
      </c>
      <c r="DF867" s="65">
        <f t="shared" ref="DF867:DF868" si="1284">SUM(DD867:DE867)</f>
        <v>-446</v>
      </c>
      <c r="DG867" s="790"/>
      <c r="DH867" s="65">
        <f t="shared" ref="DH867:DI867" si="1285">DH950</f>
        <v>0</v>
      </c>
      <c r="DI867" s="65">
        <f t="shared" si="1285"/>
        <v>0</v>
      </c>
      <c r="DJ867" s="65">
        <f t="shared" si="1271"/>
        <v>0</v>
      </c>
      <c r="DK867" s="790"/>
      <c r="DL867" s="65">
        <f t="shared" ref="DL867:DM867" si="1286">DL950</f>
        <v>0</v>
      </c>
      <c r="DM867" s="65">
        <f t="shared" si="1286"/>
        <v>0</v>
      </c>
      <c r="DN867" s="65">
        <f t="shared" si="1273"/>
        <v>0</v>
      </c>
      <c r="DO867" s="790"/>
      <c r="DP867" s="65">
        <f t="shared" ref="DP867:DQ867" si="1287">DP950</f>
        <v>0</v>
      </c>
      <c r="DQ867" s="65">
        <f t="shared" si="1287"/>
        <v>0</v>
      </c>
      <c r="DR867" s="65">
        <f t="shared" si="1275"/>
        <v>0</v>
      </c>
      <c r="DS867" s="790"/>
      <c r="DT867" s="790"/>
      <c r="DU867" s="790"/>
    </row>
    <row r="868" spans="1:126" s="21" customFormat="1" ht="13.8">
      <c r="A868" s="60" t="s">
        <v>1047</v>
      </c>
      <c r="B868" s="27"/>
      <c r="BH868" s="27"/>
      <c r="BI868" s="27"/>
      <c r="BJ868" s="27"/>
      <c r="BK868" s="27"/>
      <c r="BL868" s="27"/>
      <c r="BM868" s="27"/>
      <c r="BN868" s="27"/>
      <c r="BO868" s="27"/>
      <c r="BP868" s="27"/>
      <c r="BQ868" s="27"/>
      <c r="BR868" s="27"/>
      <c r="BT868" s="27"/>
      <c r="BU868" s="383"/>
      <c r="BV868" s="383"/>
      <c r="BW868" s="79"/>
      <c r="BX868" s="27"/>
      <c r="BY868" s="383"/>
      <c r="BZ868" s="383"/>
      <c r="CA868" s="991"/>
      <c r="CB868" s="27"/>
      <c r="CC868" s="383"/>
      <c r="CD868" s="383"/>
      <c r="CE868" s="729"/>
      <c r="CF868" s="72">
        <f t="shared" ref="CF868:CG868" si="1288">SUM(CF864:CF867)</f>
        <v>-125</v>
      </c>
      <c r="CG868" s="72">
        <f t="shared" si="1288"/>
        <v>-384</v>
      </c>
      <c r="CH868" s="72">
        <f t="shared" ref="CH868" si="1289">SUM(CH864:CH867)</f>
        <v>-432</v>
      </c>
      <c r="CI868" s="729"/>
      <c r="CJ868" s="72">
        <f t="shared" ref="CJ868:CK868" si="1290">SUM(CJ864:CJ867)</f>
        <v>-244</v>
      </c>
      <c r="CK868" s="72">
        <f t="shared" si="1290"/>
        <v>-490</v>
      </c>
      <c r="CL868" s="72">
        <f t="shared" si="1279"/>
        <v>-734</v>
      </c>
      <c r="CM868" s="729"/>
      <c r="CN868" s="72">
        <f>SUM(CN864:CN867)</f>
        <v>-266</v>
      </c>
      <c r="CO868" s="72">
        <f t="shared" ref="CO868" si="1291">SUM(CO864:CO867)</f>
        <v>-115</v>
      </c>
      <c r="CP868" s="72">
        <f t="shared" si="1280"/>
        <v>-381</v>
      </c>
      <c r="CQ868" s="729"/>
      <c r="CR868" s="72">
        <f>SUM(CR864:CR867)</f>
        <v>-247</v>
      </c>
      <c r="CS868" s="72">
        <f t="shared" ref="CS868" si="1292">SUM(CS864:CS867)</f>
        <v>-162</v>
      </c>
      <c r="CT868" s="72">
        <f t="shared" si="1281"/>
        <v>-409</v>
      </c>
      <c r="CU868" s="729"/>
      <c r="CV868" s="72">
        <f>CV892</f>
        <v>-153</v>
      </c>
      <c r="CW868" s="72">
        <f>CW892</f>
        <v>-268</v>
      </c>
      <c r="CX868" s="72">
        <f t="shared" si="1282"/>
        <v>-421</v>
      </c>
      <c r="CY868" s="729"/>
      <c r="CZ868" s="72">
        <f>CZ892</f>
        <v>-141</v>
      </c>
      <c r="DA868" s="72">
        <f>DA892</f>
        <v>0</v>
      </c>
      <c r="DB868" s="72">
        <f t="shared" si="1283"/>
        <v>-141</v>
      </c>
      <c r="DC868" s="729"/>
      <c r="DD868" s="72">
        <f>DD892</f>
        <v>0</v>
      </c>
      <c r="DE868" s="72">
        <f>DE892</f>
        <v>-1031</v>
      </c>
      <c r="DF868" s="72">
        <f t="shared" si="1284"/>
        <v>-1031</v>
      </c>
      <c r="DG868" s="729"/>
      <c r="DH868" s="72">
        <f t="shared" ref="DH868:DJ868" si="1293">SUM(DH864:DH867)</f>
        <v>0</v>
      </c>
      <c r="DI868" s="72">
        <f t="shared" si="1293"/>
        <v>0</v>
      </c>
      <c r="DJ868" s="72">
        <f t="shared" si="1293"/>
        <v>0</v>
      </c>
      <c r="DK868" s="729"/>
      <c r="DL868" s="72">
        <f t="shared" ref="DL868:DN868" si="1294">SUM(DL864:DL867)</f>
        <v>0</v>
      </c>
      <c r="DM868" s="72">
        <f t="shared" si="1294"/>
        <v>0</v>
      </c>
      <c r="DN868" s="72">
        <f t="shared" si="1294"/>
        <v>0</v>
      </c>
      <c r="DO868" s="729"/>
      <c r="DP868" s="72">
        <f t="shared" ref="DP868:DR868" si="1295">SUM(DP864:DP867)</f>
        <v>0</v>
      </c>
      <c r="DQ868" s="72">
        <f t="shared" si="1295"/>
        <v>0</v>
      </c>
      <c r="DR868" s="72">
        <f t="shared" si="1295"/>
        <v>0</v>
      </c>
      <c r="DS868" s="729"/>
      <c r="DT868" s="729"/>
      <c r="DU868" s="729"/>
    </row>
    <row r="869" spans="1:126" s="960" customFormat="1" ht="13.8">
      <c r="A869" s="992" t="s">
        <v>293</v>
      </c>
      <c r="B869" s="993"/>
      <c r="BH869" s="993"/>
      <c r="BI869" s="993"/>
      <c r="BJ869" s="993"/>
      <c r="BK869" s="993"/>
      <c r="BL869" s="993"/>
      <c r="BM869" s="993"/>
      <c r="BN869" s="993"/>
      <c r="BO869" s="993"/>
      <c r="BP869" s="993"/>
      <c r="BQ869" s="993"/>
      <c r="BR869" s="993"/>
      <c r="BT869" s="993"/>
      <c r="BU869" s="908"/>
      <c r="BV869" s="908"/>
      <c r="BW869" s="989"/>
      <c r="BX869" s="993"/>
      <c r="BY869" s="908"/>
      <c r="BZ869" s="908"/>
      <c r="CA869" s="990"/>
      <c r="CB869" s="993"/>
      <c r="CC869" s="908"/>
      <c r="CD869" s="908"/>
      <c r="CE869" s="994"/>
      <c r="CF869" s="908">
        <f>CF846</f>
        <v>-125</v>
      </c>
      <c r="CG869" s="908">
        <f>CG846</f>
        <v>-384</v>
      </c>
      <c r="CH869" s="908">
        <f>CH846</f>
        <v>-509</v>
      </c>
      <c r="CI869" s="994"/>
      <c r="CJ869" s="908">
        <f>CJ846</f>
        <v>-244</v>
      </c>
      <c r="CK869" s="908">
        <f>CK846</f>
        <v>-490</v>
      </c>
      <c r="CL869" s="908">
        <f>CL846</f>
        <v>-734</v>
      </c>
      <c r="CM869" s="994"/>
      <c r="CN869" s="908">
        <f>CN846</f>
        <v>-266</v>
      </c>
      <c r="CO869" s="908">
        <f>CO846</f>
        <v>-115</v>
      </c>
      <c r="CP869" s="908">
        <f>CP846</f>
        <v>-381</v>
      </c>
      <c r="CQ869" s="994"/>
      <c r="CR869" s="908">
        <f>CR846</f>
        <v>-247</v>
      </c>
      <c r="CS869" s="908">
        <f>CS846</f>
        <v>-162</v>
      </c>
      <c r="CT869" s="908">
        <f>CT846</f>
        <v>-409</v>
      </c>
      <c r="CU869" s="994"/>
      <c r="CV869" s="908">
        <v>-153</v>
      </c>
      <c r="CW869" s="908">
        <v>-268</v>
      </c>
      <c r="CX869" s="908">
        <v>-421</v>
      </c>
      <c r="CY869" s="994"/>
      <c r="CZ869" s="908">
        <v>-161</v>
      </c>
      <c r="DA869" s="908">
        <v>-268</v>
      </c>
      <c r="DB869" s="908">
        <v>-421</v>
      </c>
      <c r="DC869" s="994"/>
      <c r="DD869" s="908">
        <v>0</v>
      </c>
      <c r="DE869" s="908">
        <f>DE846</f>
        <v>-1031</v>
      </c>
      <c r="DF869" s="908">
        <f>DF846</f>
        <v>-1031</v>
      </c>
      <c r="DG869" s="994"/>
      <c r="DH869" s="908">
        <f>DH846</f>
        <v>0</v>
      </c>
      <c r="DI869" s="908">
        <f>DI846</f>
        <v>0</v>
      </c>
      <c r="DJ869" s="908">
        <f>DJ846</f>
        <v>0</v>
      </c>
      <c r="DK869" s="994"/>
      <c r="DL869" s="908">
        <f>DL846</f>
        <v>0</v>
      </c>
      <c r="DM869" s="908">
        <f>DM846</f>
        <v>0</v>
      </c>
      <c r="DN869" s="908">
        <f>DN846</f>
        <v>0</v>
      </c>
      <c r="DO869" s="994"/>
      <c r="DP869" s="908">
        <f>DP846</f>
        <v>0</v>
      </c>
      <c r="DQ869" s="908">
        <f>DQ846</f>
        <v>0</v>
      </c>
      <c r="DR869" s="908">
        <f>DR846</f>
        <v>0</v>
      </c>
      <c r="DS869" s="994"/>
      <c r="DT869" s="994"/>
      <c r="DU869" s="994"/>
    </row>
    <row r="870" spans="1:126" s="20" customFormat="1" ht="13.8">
      <c r="A870" s="60"/>
      <c r="B870" s="49"/>
      <c r="BH870" s="49"/>
      <c r="BI870" s="49"/>
      <c r="BJ870" s="49"/>
      <c r="BK870" s="49"/>
      <c r="BL870" s="49"/>
      <c r="BM870" s="49"/>
      <c r="BN870" s="49"/>
      <c r="BO870" s="49"/>
      <c r="BP870" s="49"/>
      <c r="BQ870" s="49"/>
      <c r="BR870" s="49"/>
      <c r="BT870" s="49"/>
      <c r="BU870" s="561"/>
      <c r="BV870" s="561"/>
      <c r="BW870" s="75"/>
      <c r="BX870" s="49"/>
      <c r="BY870" s="561"/>
      <c r="BZ870" s="561"/>
      <c r="CA870" s="789"/>
      <c r="CB870" s="49"/>
      <c r="CC870" s="561"/>
      <c r="CD870" s="561"/>
      <c r="CE870" s="790"/>
      <c r="CF870" s="49"/>
      <c r="CG870" s="561"/>
      <c r="CH870" s="561"/>
      <c r="CI870" s="790"/>
      <c r="CJ870" s="49"/>
      <c r="CK870" s="561"/>
      <c r="CL870" s="561"/>
      <c r="CM870" s="790"/>
      <c r="CN870" s="49"/>
      <c r="CO870" s="790"/>
      <c r="CP870" s="790"/>
      <c r="CQ870" s="790"/>
      <c r="CR870" s="790"/>
      <c r="CS870" s="790"/>
      <c r="CT870" s="790"/>
      <c r="CU870" s="790"/>
      <c r="CV870" s="790"/>
      <c r="CW870" s="790"/>
      <c r="CX870" s="790"/>
      <c r="CY870" s="790"/>
      <c r="CZ870" s="790"/>
      <c r="DA870" s="790"/>
      <c r="DB870" s="790"/>
      <c r="DC870" s="790"/>
      <c r="DD870" s="790"/>
      <c r="DE870" s="790"/>
      <c r="DF870" s="790"/>
      <c r="DG870" s="790"/>
      <c r="DH870" s="790"/>
      <c r="DI870" s="790"/>
      <c r="DJ870" s="790"/>
      <c r="DK870" s="790"/>
      <c r="DL870" s="790"/>
      <c r="DM870" s="790"/>
      <c r="DN870" s="790"/>
      <c r="DO870" s="790"/>
      <c r="DP870" s="790"/>
      <c r="DQ870" s="790"/>
      <c r="DR870" s="790"/>
      <c r="DS870" s="790"/>
      <c r="DT870" s="790"/>
      <c r="DU870" s="790"/>
    </row>
    <row r="871" spans="1:126" s="20" customFormat="1" ht="13.8">
      <c r="A871" s="60" t="s">
        <v>800</v>
      </c>
      <c r="B871" s="49"/>
      <c r="BH871" s="49"/>
      <c r="BI871" s="49"/>
      <c r="BJ871" s="49"/>
      <c r="BK871" s="49"/>
      <c r="BL871" s="49"/>
      <c r="BM871" s="49"/>
      <c r="BN871" s="49"/>
      <c r="BO871" s="49"/>
      <c r="BP871" s="49"/>
      <c r="BQ871" s="49"/>
      <c r="BR871" s="49"/>
      <c r="BT871" s="49"/>
      <c r="BU871" s="561"/>
      <c r="BV871" s="561"/>
      <c r="BW871" s="75"/>
      <c r="BX871" s="49"/>
      <c r="BY871" s="561"/>
      <c r="BZ871" s="561"/>
      <c r="CA871" s="789"/>
      <c r="CB871" s="49"/>
      <c r="CC871" s="561"/>
      <c r="CD871" s="561"/>
      <c r="CE871" s="790"/>
      <c r="CF871" s="49"/>
      <c r="CG871" s="561"/>
      <c r="CH871" s="561"/>
      <c r="CI871" s="790"/>
      <c r="CJ871" s="49"/>
      <c r="CK871" s="561"/>
      <c r="CL871" s="561"/>
      <c r="CM871" s="790"/>
      <c r="CN871" s="49"/>
      <c r="CO871" s="790"/>
      <c r="CP871" s="790"/>
      <c r="CQ871" s="790"/>
      <c r="CR871" s="790"/>
      <c r="CS871" s="790"/>
      <c r="CT871" s="790"/>
      <c r="CU871" s="790"/>
      <c r="CV871" s="790"/>
      <c r="CW871" s="790"/>
      <c r="CX871" s="790"/>
      <c r="CY871" s="790"/>
      <c r="CZ871" s="790"/>
      <c r="DA871" s="790"/>
      <c r="DB871" s="790"/>
      <c r="DC871" s="790"/>
      <c r="DD871" s="790"/>
      <c r="DE871" s="790"/>
      <c r="DF871" s="790"/>
      <c r="DG871" s="790"/>
      <c r="DH871" s="790"/>
      <c r="DI871" s="790"/>
      <c r="DJ871" s="790"/>
      <c r="DK871" s="790"/>
      <c r="DL871" s="790"/>
      <c r="DM871" s="790"/>
      <c r="DN871" s="790"/>
      <c r="DO871" s="790"/>
      <c r="DP871" s="790"/>
      <c r="DQ871" s="790"/>
      <c r="DR871" s="790"/>
      <c r="DS871" s="790"/>
      <c r="DT871" s="790"/>
      <c r="DU871" s="790"/>
    </row>
    <row r="872" spans="1:126" s="20" customFormat="1" ht="13.8">
      <c r="A872" s="988" t="s">
        <v>587</v>
      </c>
      <c r="B872" s="547"/>
      <c r="C872" s="533"/>
      <c r="D872" s="533"/>
      <c r="E872" s="533"/>
      <c r="F872" s="533"/>
      <c r="G872" s="533"/>
      <c r="H872" s="533"/>
      <c r="I872" s="533"/>
      <c r="J872" s="533"/>
      <c r="K872" s="533"/>
      <c r="L872" s="533"/>
      <c r="M872" s="533"/>
      <c r="N872" s="533"/>
      <c r="O872" s="533"/>
      <c r="P872" s="533"/>
      <c r="Q872" s="533"/>
      <c r="R872" s="533"/>
      <c r="S872" s="533"/>
      <c r="T872" s="533"/>
      <c r="U872" s="533"/>
      <c r="V872" s="533"/>
      <c r="W872" s="533"/>
      <c r="X872" s="533"/>
      <c r="Y872" s="533"/>
      <c r="Z872" s="533"/>
      <c r="AA872" s="533"/>
      <c r="AB872" s="533"/>
      <c r="AC872" s="533"/>
      <c r="AD872" s="533"/>
      <c r="AE872" s="533"/>
      <c r="AF872" s="533"/>
      <c r="AG872" s="533"/>
      <c r="AH872" s="533"/>
      <c r="AI872" s="533"/>
      <c r="AJ872" s="533"/>
      <c r="AK872" s="533"/>
      <c r="AL872" s="533"/>
      <c r="AM872" s="533"/>
      <c r="AN872" s="533"/>
      <c r="AO872" s="533"/>
      <c r="AP872" s="533"/>
      <c r="AQ872" s="533"/>
      <c r="AR872" s="533"/>
      <c r="AS872" s="533"/>
      <c r="AT872" s="533"/>
      <c r="AU872" s="533"/>
      <c r="AV872" s="533"/>
      <c r="AW872" s="533"/>
      <c r="AX872" s="533"/>
      <c r="AY872" s="533"/>
      <c r="AZ872" s="533"/>
      <c r="BA872" s="533"/>
      <c r="BB872" s="533"/>
      <c r="BC872" s="533"/>
      <c r="BD872" s="533"/>
      <c r="BE872" s="533"/>
      <c r="BF872" s="533"/>
      <c r="BG872" s="533"/>
      <c r="BH872" s="547"/>
      <c r="BI872" s="547"/>
      <c r="BJ872" s="547"/>
      <c r="BK872" s="547"/>
      <c r="BL872" s="547"/>
      <c r="BM872" s="547"/>
      <c r="BN872" s="547"/>
      <c r="BO872" s="547"/>
      <c r="BP872" s="547"/>
      <c r="BQ872" s="547"/>
      <c r="BR872" s="547"/>
      <c r="BS872" s="533"/>
      <c r="BT872" s="547"/>
      <c r="BU872" s="1004"/>
      <c r="BV872" s="1004"/>
      <c r="BW872" s="577"/>
      <c r="BX872" s="547"/>
      <c r="BY872" s="1004"/>
      <c r="BZ872" s="1004"/>
      <c r="CA872" s="1005"/>
      <c r="CB872" s="547"/>
      <c r="CC872" s="1004"/>
      <c r="CD872" s="1004"/>
      <c r="CE872" s="1006"/>
      <c r="CF872" s="995">
        <v>-20</v>
      </c>
      <c r="CG872" s="995">
        <v>-25</v>
      </c>
      <c r="CH872" s="583">
        <f>SUM(CF872:CG872)</f>
        <v>-45</v>
      </c>
      <c r="CI872" s="1006"/>
      <c r="CJ872" s="995">
        <v>-20</v>
      </c>
      <c r="CK872" s="995">
        <v>-25</v>
      </c>
      <c r="CL872" s="583">
        <f>SUM(CJ872:CK872)</f>
        <v>-45</v>
      </c>
      <c r="CM872" s="1006"/>
      <c r="CN872" s="995">
        <v>-20</v>
      </c>
      <c r="CO872" s="995">
        <v>-15</v>
      </c>
      <c r="CP872" s="583">
        <f>SUM(CN872:CO872)</f>
        <v>-35</v>
      </c>
      <c r="CQ872" s="1006"/>
      <c r="CR872" s="995">
        <v>-15</v>
      </c>
      <c r="CS872" s="995">
        <v>-25</v>
      </c>
      <c r="CT872" s="583">
        <f>SUM(CR872:CS872)</f>
        <v>-40</v>
      </c>
      <c r="CU872" s="1006"/>
      <c r="CV872" s="995">
        <v>-30</v>
      </c>
      <c r="CW872" s="995">
        <v>-80</v>
      </c>
      <c r="CX872" s="583">
        <f>SUM(CV872:CW872)</f>
        <v>-110</v>
      </c>
      <c r="CY872" s="1006"/>
      <c r="CZ872" s="995">
        <v>-90</v>
      </c>
      <c r="DA872" s="995">
        <v>0</v>
      </c>
      <c r="DB872" s="583">
        <f>SUM(CZ872:DA872)</f>
        <v>-90</v>
      </c>
      <c r="DC872" s="1006"/>
      <c r="DD872" s="995">
        <v>0</v>
      </c>
      <c r="DE872" s="995">
        <v>-585</v>
      </c>
      <c r="DF872" s="583">
        <f>SUM(DD872:DE872)</f>
        <v>-585</v>
      </c>
      <c r="DG872" s="1006"/>
      <c r="DH872" s="995">
        <v>0</v>
      </c>
      <c r="DI872" s="995">
        <v>0</v>
      </c>
      <c r="DJ872" s="583">
        <f>SUM(DH872:DI872)</f>
        <v>0</v>
      </c>
      <c r="DK872" s="1006"/>
      <c r="DL872" s="995">
        <v>0</v>
      </c>
      <c r="DM872" s="995">
        <v>0</v>
      </c>
      <c r="DN872" s="583">
        <f>SUM(DL872:DM872)</f>
        <v>0</v>
      </c>
      <c r="DO872" s="1006"/>
      <c r="DP872" s="995">
        <v>0</v>
      </c>
      <c r="DQ872" s="995">
        <v>0</v>
      </c>
      <c r="DR872" s="583">
        <f>SUM(DP872:DQ872)</f>
        <v>0</v>
      </c>
      <c r="DS872" s="1006"/>
      <c r="DT872" s="1006"/>
      <c r="DU872" s="1006"/>
      <c r="DV872" s="533"/>
    </row>
    <row r="873" spans="1:126" s="20" customFormat="1" ht="13.8">
      <c r="A873" s="533" t="s">
        <v>458</v>
      </c>
      <c r="B873" s="547"/>
      <c r="C873" s="533"/>
      <c r="D873" s="533"/>
      <c r="E873" s="533"/>
      <c r="F873" s="533"/>
      <c r="G873" s="533"/>
      <c r="H873" s="533"/>
      <c r="I873" s="533"/>
      <c r="J873" s="533"/>
      <c r="K873" s="533"/>
      <c r="L873" s="533"/>
      <c r="M873" s="533"/>
      <c r="N873" s="533"/>
      <c r="O873" s="533"/>
      <c r="P873" s="533"/>
      <c r="Q873" s="533"/>
      <c r="R873" s="533"/>
      <c r="S873" s="533"/>
      <c r="T873" s="533"/>
      <c r="U873" s="533"/>
      <c r="V873" s="533"/>
      <c r="W873" s="533"/>
      <c r="X873" s="533"/>
      <c r="Y873" s="533"/>
      <c r="Z873" s="533"/>
      <c r="AA873" s="533"/>
      <c r="AB873" s="533"/>
      <c r="AC873" s="533"/>
      <c r="AD873" s="533"/>
      <c r="AE873" s="533"/>
      <c r="AF873" s="533"/>
      <c r="AG873" s="533"/>
      <c r="AH873" s="533"/>
      <c r="AI873" s="533"/>
      <c r="AJ873" s="533"/>
      <c r="AK873" s="533"/>
      <c r="AL873" s="533"/>
      <c r="AM873" s="533"/>
      <c r="AN873" s="533"/>
      <c r="AO873" s="533"/>
      <c r="AP873" s="533"/>
      <c r="AQ873" s="533"/>
      <c r="AR873" s="533"/>
      <c r="AS873" s="533"/>
      <c r="AT873" s="533"/>
      <c r="AU873" s="533"/>
      <c r="AV873" s="533"/>
      <c r="AW873" s="533"/>
      <c r="AX873" s="533"/>
      <c r="AY873" s="533"/>
      <c r="AZ873" s="533"/>
      <c r="BA873" s="533"/>
      <c r="BB873" s="533"/>
      <c r="BC873" s="533"/>
      <c r="BD873" s="533"/>
      <c r="BE873" s="533"/>
      <c r="BF873" s="533"/>
      <c r="BG873" s="533"/>
      <c r="BH873" s="547"/>
      <c r="BI873" s="547"/>
      <c r="BJ873" s="547"/>
      <c r="BK873" s="547"/>
      <c r="BL873" s="547"/>
      <c r="BM873" s="547"/>
      <c r="BN873" s="547"/>
      <c r="BO873" s="547"/>
      <c r="BP873" s="547"/>
      <c r="BQ873" s="547"/>
      <c r="BR873" s="547"/>
      <c r="BS873" s="533"/>
      <c r="BT873" s="547"/>
      <c r="BU873" s="1004"/>
      <c r="BV873" s="1004"/>
      <c r="BW873" s="577"/>
      <c r="BX873" s="547"/>
      <c r="BY873" s="1004"/>
      <c r="BZ873" s="1004"/>
      <c r="CA873" s="1005"/>
      <c r="CB873" s="547"/>
      <c r="CC873" s="1004"/>
      <c r="CD873" s="1004"/>
      <c r="CE873" s="1006"/>
      <c r="CF873" s="583">
        <f t="shared" ref="CF873:CG873" si="1296">CF865</f>
        <v>-3</v>
      </c>
      <c r="CG873" s="583">
        <f t="shared" si="1296"/>
        <v>-2</v>
      </c>
      <c r="CH873" s="583">
        <f t="shared" ref="CH873:CH876" si="1297">SUM(CF873:CG873)</f>
        <v>-5</v>
      </c>
      <c r="CI873" s="1006"/>
      <c r="CJ873" s="583">
        <f t="shared" ref="CJ873:CK873" si="1298">CJ865</f>
        <v>-1</v>
      </c>
      <c r="CK873" s="583">
        <f t="shared" si="1298"/>
        <v>-1</v>
      </c>
      <c r="CL873" s="583">
        <f t="shared" ref="CL873:CL880" si="1299">SUM(CJ873:CK873)</f>
        <v>-2</v>
      </c>
      <c r="CM873" s="1006"/>
      <c r="CN873" s="583">
        <f>CN865</f>
        <v>1</v>
      </c>
      <c r="CO873" s="583">
        <f t="shared" ref="CO873" si="1300">CO865</f>
        <v>0</v>
      </c>
      <c r="CP873" s="583">
        <f t="shared" ref="CP873:CP876" si="1301">SUM(CN873:CO873)</f>
        <v>1</v>
      </c>
      <c r="CQ873" s="1006"/>
      <c r="CR873" s="583">
        <f>CR865</f>
        <v>0</v>
      </c>
      <c r="CS873" s="583">
        <f>CS865</f>
        <v>-47</v>
      </c>
      <c r="CT873" s="583">
        <f t="shared" ref="CT873:CT876" si="1302">SUM(CR873:CS873)</f>
        <v>-47</v>
      </c>
      <c r="CU873" s="1006"/>
      <c r="CV873" s="995">
        <v>0</v>
      </c>
      <c r="CW873" s="995">
        <v>0</v>
      </c>
      <c r="CX873" s="583">
        <f t="shared" ref="CX873:CX876" si="1303">SUM(CV873:CW873)</f>
        <v>0</v>
      </c>
      <c r="CY873" s="1006"/>
      <c r="CZ873" s="995">
        <v>0</v>
      </c>
      <c r="DA873" s="995">
        <v>0</v>
      </c>
      <c r="DB873" s="583">
        <f t="shared" ref="DB873:DB876" si="1304">SUM(CZ873:DA873)</f>
        <v>0</v>
      </c>
      <c r="DC873" s="1006"/>
      <c r="DD873" s="995">
        <v>0</v>
      </c>
      <c r="DE873" s="995">
        <v>0</v>
      </c>
      <c r="DF873" s="583">
        <f t="shared" ref="DF873:DF876" si="1305">SUM(DD873:DE873)</f>
        <v>0</v>
      </c>
      <c r="DG873" s="1006"/>
      <c r="DH873" s="995">
        <v>0</v>
      </c>
      <c r="DI873" s="995">
        <v>0</v>
      </c>
      <c r="DJ873" s="583">
        <f t="shared" ref="DJ873:DJ874" si="1306">SUM(DH873:DI873)</f>
        <v>0</v>
      </c>
      <c r="DK873" s="1006"/>
      <c r="DL873" s="995">
        <v>0</v>
      </c>
      <c r="DM873" s="995">
        <v>0</v>
      </c>
      <c r="DN873" s="583">
        <f t="shared" ref="DN873:DN874" si="1307">SUM(DL873:DM873)</f>
        <v>0</v>
      </c>
      <c r="DO873" s="1006"/>
      <c r="DP873" s="995">
        <v>0</v>
      </c>
      <c r="DQ873" s="995">
        <v>0</v>
      </c>
      <c r="DR873" s="583">
        <f t="shared" ref="DR873:DR874" si="1308">SUM(DP873:DQ873)</f>
        <v>0</v>
      </c>
      <c r="DS873" s="1006"/>
      <c r="DT873" s="1006"/>
      <c r="DU873" s="1006"/>
      <c r="DV873" s="533"/>
    </row>
    <row r="874" spans="1:126" s="20" customFormat="1" ht="13.8">
      <c r="A874" s="533" t="s">
        <v>459</v>
      </c>
      <c r="B874" s="547"/>
      <c r="C874" s="533"/>
      <c r="D874" s="533"/>
      <c r="E874" s="533"/>
      <c r="F874" s="533"/>
      <c r="G874" s="533"/>
      <c r="H874" s="533"/>
      <c r="I874" s="533"/>
      <c r="J874" s="533"/>
      <c r="K874" s="533"/>
      <c r="L874" s="533"/>
      <c r="M874" s="533"/>
      <c r="N874" s="533"/>
      <c r="O874" s="533"/>
      <c r="P874" s="533"/>
      <c r="Q874" s="533"/>
      <c r="R874" s="533"/>
      <c r="S874" s="533"/>
      <c r="T874" s="533"/>
      <c r="U874" s="533"/>
      <c r="V874" s="533"/>
      <c r="W874" s="533"/>
      <c r="X874" s="533"/>
      <c r="Y874" s="533"/>
      <c r="Z874" s="533"/>
      <c r="AA874" s="533"/>
      <c r="AB874" s="533"/>
      <c r="AC874" s="533"/>
      <c r="AD874" s="533"/>
      <c r="AE874" s="533"/>
      <c r="AF874" s="533"/>
      <c r="AG874" s="533"/>
      <c r="AH874" s="533"/>
      <c r="AI874" s="533"/>
      <c r="AJ874" s="533"/>
      <c r="AK874" s="533"/>
      <c r="AL874" s="533"/>
      <c r="AM874" s="533"/>
      <c r="AN874" s="533"/>
      <c r="AO874" s="533"/>
      <c r="AP874" s="533"/>
      <c r="AQ874" s="533"/>
      <c r="AR874" s="533"/>
      <c r="AS874" s="533"/>
      <c r="AT874" s="533"/>
      <c r="AU874" s="533"/>
      <c r="AV874" s="533"/>
      <c r="AW874" s="533"/>
      <c r="AX874" s="533"/>
      <c r="AY874" s="533"/>
      <c r="AZ874" s="533"/>
      <c r="BA874" s="533"/>
      <c r="BB874" s="533"/>
      <c r="BC874" s="533"/>
      <c r="BD874" s="533"/>
      <c r="BE874" s="533"/>
      <c r="BF874" s="533"/>
      <c r="BG874" s="533"/>
      <c r="BH874" s="547"/>
      <c r="BI874" s="547"/>
      <c r="BJ874" s="547"/>
      <c r="BK874" s="547"/>
      <c r="BL874" s="547"/>
      <c r="BM874" s="547"/>
      <c r="BN874" s="547"/>
      <c r="BO874" s="547"/>
      <c r="BP874" s="547"/>
      <c r="BQ874" s="547"/>
      <c r="BR874" s="547"/>
      <c r="BS874" s="533"/>
      <c r="BT874" s="547"/>
      <c r="BU874" s="1004"/>
      <c r="BV874" s="1004"/>
      <c r="BW874" s="577"/>
      <c r="BX874" s="547"/>
      <c r="BY874" s="1004"/>
      <c r="BZ874" s="1004"/>
      <c r="CA874" s="1005"/>
      <c r="CB874" s="547"/>
      <c r="CC874" s="1004"/>
      <c r="CD874" s="1004"/>
      <c r="CE874" s="1006"/>
      <c r="CF874" s="583">
        <f t="shared" ref="CF874:CG874" si="1309">CF924</f>
        <v>-2</v>
      </c>
      <c r="CG874" s="583">
        <f t="shared" si="1309"/>
        <v>-2</v>
      </c>
      <c r="CH874" s="583">
        <f t="shared" si="1297"/>
        <v>-4</v>
      </c>
      <c r="CI874" s="1006"/>
      <c r="CJ874" s="583">
        <f t="shared" ref="CJ874:CK874" si="1310">CJ924</f>
        <v>-52</v>
      </c>
      <c r="CK874" s="583">
        <f t="shared" si="1310"/>
        <v>-15</v>
      </c>
      <c r="CL874" s="583">
        <f t="shared" si="1299"/>
        <v>-67</v>
      </c>
      <c r="CM874" s="1006"/>
      <c r="CN874" s="583">
        <f>CN924</f>
        <v>-5</v>
      </c>
      <c r="CO874" s="583">
        <f t="shared" ref="CO874" si="1311">CO924</f>
        <v>-6</v>
      </c>
      <c r="CP874" s="583">
        <f t="shared" si="1301"/>
        <v>-11</v>
      </c>
      <c r="CQ874" s="1006"/>
      <c r="CR874" s="583">
        <f>CR924</f>
        <v>-14</v>
      </c>
      <c r="CS874" s="583">
        <f t="shared" ref="CS874" si="1312">CS924</f>
        <v>-5</v>
      </c>
      <c r="CT874" s="583">
        <f t="shared" si="1302"/>
        <v>-19</v>
      </c>
      <c r="CU874" s="1006"/>
      <c r="CV874" s="995">
        <v>-5</v>
      </c>
      <c r="CW874" s="995">
        <v>-20</v>
      </c>
      <c r="CX874" s="583">
        <f t="shared" si="1303"/>
        <v>-25</v>
      </c>
      <c r="CY874" s="1006"/>
      <c r="CZ874" s="995">
        <v>-30</v>
      </c>
      <c r="DA874" s="995">
        <v>0</v>
      </c>
      <c r="DB874" s="583">
        <f t="shared" si="1304"/>
        <v>-30</v>
      </c>
      <c r="DC874" s="1006"/>
      <c r="DD874" s="995">
        <v>0</v>
      </c>
      <c r="DE874" s="995">
        <v>0</v>
      </c>
      <c r="DF874" s="583">
        <f t="shared" si="1305"/>
        <v>0</v>
      </c>
      <c r="DG874" s="1006"/>
      <c r="DH874" s="995">
        <v>0</v>
      </c>
      <c r="DI874" s="995">
        <v>0</v>
      </c>
      <c r="DJ874" s="583">
        <f t="shared" si="1306"/>
        <v>0</v>
      </c>
      <c r="DK874" s="1006"/>
      <c r="DL874" s="995">
        <v>0</v>
      </c>
      <c r="DM874" s="995">
        <v>0</v>
      </c>
      <c r="DN874" s="583">
        <f t="shared" si="1307"/>
        <v>0</v>
      </c>
      <c r="DO874" s="1006"/>
      <c r="DP874" s="995">
        <v>0</v>
      </c>
      <c r="DQ874" s="995">
        <v>0</v>
      </c>
      <c r="DR874" s="583">
        <f t="shared" si="1308"/>
        <v>0</v>
      </c>
      <c r="DS874" s="1006"/>
      <c r="DT874" s="1006"/>
      <c r="DU874" s="1006"/>
      <c r="DV874" s="533"/>
    </row>
    <row r="875" spans="1:126" s="20" customFormat="1" ht="13.8">
      <c r="A875" s="988" t="s">
        <v>116</v>
      </c>
      <c r="B875" s="547"/>
      <c r="C875" s="533"/>
      <c r="D875" s="533"/>
      <c r="E875" s="533"/>
      <c r="F875" s="533"/>
      <c r="G875" s="533"/>
      <c r="H875" s="533"/>
      <c r="I875" s="533"/>
      <c r="J875" s="533"/>
      <c r="K875" s="533"/>
      <c r="L875" s="533"/>
      <c r="M875" s="533"/>
      <c r="N875" s="533"/>
      <c r="O875" s="533"/>
      <c r="P875" s="533"/>
      <c r="Q875" s="533"/>
      <c r="R875" s="533"/>
      <c r="S875" s="533"/>
      <c r="T875" s="533"/>
      <c r="U875" s="533"/>
      <c r="V875" s="533"/>
      <c r="W875" s="533"/>
      <c r="X875" s="533"/>
      <c r="Y875" s="533"/>
      <c r="Z875" s="533"/>
      <c r="AA875" s="533"/>
      <c r="AB875" s="533"/>
      <c r="AC875" s="533"/>
      <c r="AD875" s="533"/>
      <c r="AE875" s="533"/>
      <c r="AF875" s="533"/>
      <c r="AG875" s="533"/>
      <c r="AH875" s="533"/>
      <c r="AI875" s="533"/>
      <c r="AJ875" s="533"/>
      <c r="AK875" s="533"/>
      <c r="AL875" s="533"/>
      <c r="AM875" s="533"/>
      <c r="AN875" s="533"/>
      <c r="AO875" s="533"/>
      <c r="AP875" s="533"/>
      <c r="AQ875" s="533"/>
      <c r="AR875" s="533"/>
      <c r="AS875" s="533"/>
      <c r="AT875" s="533"/>
      <c r="AU875" s="533"/>
      <c r="AV875" s="533"/>
      <c r="AW875" s="533"/>
      <c r="AX875" s="533"/>
      <c r="AY875" s="533"/>
      <c r="AZ875" s="533"/>
      <c r="BA875" s="533"/>
      <c r="BB875" s="533"/>
      <c r="BC875" s="533"/>
      <c r="BD875" s="533"/>
      <c r="BE875" s="533"/>
      <c r="BF875" s="533"/>
      <c r="BG875" s="533"/>
      <c r="BH875" s="547"/>
      <c r="BI875" s="547"/>
      <c r="BJ875" s="547"/>
      <c r="BK875" s="547"/>
      <c r="BL875" s="547"/>
      <c r="BM875" s="547"/>
      <c r="BN875" s="547"/>
      <c r="BO875" s="547"/>
      <c r="BP875" s="547"/>
      <c r="BQ875" s="547"/>
      <c r="BR875" s="547"/>
      <c r="BS875" s="533"/>
      <c r="BT875" s="547"/>
      <c r="BU875" s="1004"/>
      <c r="BV875" s="1004"/>
      <c r="BW875" s="577"/>
      <c r="BX875" s="547"/>
      <c r="BY875" s="1004"/>
      <c r="BZ875" s="1004"/>
      <c r="CA875" s="1005"/>
      <c r="CB875" s="547"/>
      <c r="CC875" s="1004"/>
      <c r="CD875" s="1004"/>
      <c r="CE875" s="1006"/>
      <c r="CF875" s="583">
        <f t="shared" ref="CF875" si="1313">+CF876-CF872-CF873-CF874</f>
        <v>-26</v>
      </c>
      <c r="CG875" s="583">
        <f t="shared" ref="CG875" si="1314">+CG876-CG872-CG873-CG874</f>
        <v>3</v>
      </c>
      <c r="CH875" s="583">
        <f t="shared" si="1297"/>
        <v>-23</v>
      </c>
      <c r="CI875" s="1006"/>
      <c r="CJ875" s="583">
        <f t="shared" ref="CJ875:CK875" si="1315">+CJ876-CJ872-CJ873-CJ874</f>
        <v>-32</v>
      </c>
      <c r="CK875" s="583">
        <f t="shared" si="1315"/>
        <v>-15</v>
      </c>
      <c r="CL875" s="583">
        <f t="shared" si="1299"/>
        <v>-47</v>
      </c>
      <c r="CM875" s="1006"/>
      <c r="CN875" s="583">
        <f>+CN876-CN872-CN873-CN874</f>
        <v>-150</v>
      </c>
      <c r="CO875" s="583">
        <f t="shared" ref="CO875" si="1316">+CO876-CO872-CO873-CO874</f>
        <v>-1</v>
      </c>
      <c r="CP875" s="583">
        <f t="shared" si="1301"/>
        <v>-151</v>
      </c>
      <c r="CQ875" s="1006"/>
      <c r="CR875" s="583">
        <f>+CR876-CR872-CR873-CR874</f>
        <v>-1</v>
      </c>
      <c r="CS875" s="583">
        <f>+CS876-CS872-CS873-CS874</f>
        <v>-21</v>
      </c>
      <c r="CT875" s="583">
        <f t="shared" si="1302"/>
        <v>-22</v>
      </c>
      <c r="CU875" s="1006"/>
      <c r="CV875" s="583">
        <f>+CV876-CV872-CV873-CV874</f>
        <v>-19</v>
      </c>
      <c r="CW875" s="583">
        <f>+CW876-CW872-CW873-CW874</f>
        <v>-15</v>
      </c>
      <c r="CX875" s="583">
        <f t="shared" si="1303"/>
        <v>-34</v>
      </c>
      <c r="CY875" s="1006"/>
      <c r="CZ875" s="583">
        <f>+CZ876-CZ872-CZ873-CZ874</f>
        <v>-21</v>
      </c>
      <c r="DA875" s="583">
        <f>+DA876-DA872-DA873-DA874</f>
        <v>0</v>
      </c>
      <c r="DB875" s="583">
        <f t="shared" si="1304"/>
        <v>-21</v>
      </c>
      <c r="DC875" s="1006"/>
      <c r="DD875" s="583">
        <f>+DD876-DD872-DD873-DD874</f>
        <v>0</v>
      </c>
      <c r="DE875" s="583">
        <f>+DE876-DE872-DE873-DE874</f>
        <v>0</v>
      </c>
      <c r="DF875" s="583">
        <f t="shared" si="1305"/>
        <v>0</v>
      </c>
      <c r="DG875" s="1006"/>
      <c r="DH875" s="995">
        <v>0</v>
      </c>
      <c r="DI875" s="995">
        <v>0</v>
      </c>
      <c r="DJ875" s="583">
        <f t="shared" ref="DJ875:DJ876" si="1317">SUM(DH875:DI875)</f>
        <v>0</v>
      </c>
      <c r="DK875" s="1006"/>
      <c r="DL875" s="995">
        <v>0</v>
      </c>
      <c r="DM875" s="995">
        <v>0</v>
      </c>
      <c r="DN875" s="583">
        <f t="shared" ref="DN875:DN876" si="1318">SUM(DL875:DM875)</f>
        <v>0</v>
      </c>
      <c r="DO875" s="1006"/>
      <c r="DP875" s="995">
        <v>0</v>
      </c>
      <c r="DQ875" s="995">
        <v>0</v>
      </c>
      <c r="DR875" s="583">
        <f t="shared" ref="DR875:DR876" si="1319">SUM(DP875:DQ875)</f>
        <v>0</v>
      </c>
      <c r="DS875" s="1006"/>
      <c r="DT875" s="1006"/>
      <c r="DU875" s="1006"/>
      <c r="DV875" s="533"/>
    </row>
    <row r="876" spans="1:126" s="21" customFormat="1" ht="13.8">
      <c r="A876" s="60" t="s">
        <v>529</v>
      </c>
      <c r="B876" s="27"/>
      <c r="BH876" s="27"/>
      <c r="BI876" s="27"/>
      <c r="BJ876" s="27"/>
      <c r="BK876" s="27"/>
      <c r="BL876" s="27"/>
      <c r="BM876" s="27"/>
      <c r="BN876" s="27"/>
      <c r="BO876" s="27"/>
      <c r="BP876" s="27"/>
      <c r="BQ876" s="27"/>
      <c r="BR876" s="27"/>
      <c r="BT876" s="27"/>
      <c r="BU876" s="561"/>
      <c r="BV876" s="561"/>
      <c r="BW876" s="79"/>
      <c r="BX876" s="27"/>
      <c r="BY876" s="561"/>
      <c r="BZ876" s="561"/>
      <c r="CA876" s="789"/>
      <c r="CB876" s="27"/>
      <c r="CC876" s="561"/>
      <c r="CD876" s="561"/>
      <c r="CE876" s="790"/>
      <c r="CF876" s="72">
        <f t="shared" ref="CF876:CG876" si="1320">CF884</f>
        <v>-51</v>
      </c>
      <c r="CG876" s="72">
        <f t="shared" si="1320"/>
        <v>-26</v>
      </c>
      <c r="CH876" s="72">
        <f t="shared" si="1297"/>
        <v>-77</v>
      </c>
      <c r="CI876" s="790"/>
      <c r="CJ876" s="72">
        <f t="shared" ref="CJ876:CK876" si="1321">CJ884</f>
        <v>-105</v>
      </c>
      <c r="CK876" s="72">
        <f t="shared" si="1321"/>
        <v>-56</v>
      </c>
      <c r="CL876" s="72">
        <f t="shared" si="1299"/>
        <v>-161</v>
      </c>
      <c r="CM876" s="790"/>
      <c r="CN876" s="72">
        <f>CN884</f>
        <v>-174</v>
      </c>
      <c r="CO876" s="72">
        <f>CO884</f>
        <v>-22</v>
      </c>
      <c r="CP876" s="72">
        <f t="shared" si="1301"/>
        <v>-196</v>
      </c>
      <c r="CQ876" s="790"/>
      <c r="CR876" s="72">
        <f>CR884</f>
        <v>-30</v>
      </c>
      <c r="CS876" s="72">
        <f>CS884</f>
        <v>-98</v>
      </c>
      <c r="CT876" s="72">
        <f t="shared" si="1302"/>
        <v>-128</v>
      </c>
      <c r="CU876" s="790"/>
      <c r="CV876" s="72">
        <f>CV884</f>
        <v>-54</v>
      </c>
      <c r="CW876" s="72">
        <f>CW884</f>
        <v>-115</v>
      </c>
      <c r="CX876" s="72">
        <f t="shared" si="1303"/>
        <v>-169</v>
      </c>
      <c r="CY876" s="790"/>
      <c r="CZ876" s="72">
        <f>CZ884</f>
        <v>-141</v>
      </c>
      <c r="DA876" s="72">
        <f>DA884</f>
        <v>0</v>
      </c>
      <c r="DB876" s="72">
        <f t="shared" si="1304"/>
        <v>-141</v>
      </c>
      <c r="DC876" s="790"/>
      <c r="DD876" s="72">
        <f>DD884</f>
        <v>0</v>
      </c>
      <c r="DE876" s="72">
        <f>DE884</f>
        <v>-585</v>
      </c>
      <c r="DF876" s="72">
        <f t="shared" si="1305"/>
        <v>-585</v>
      </c>
      <c r="DG876" s="790"/>
      <c r="DH876" s="72">
        <f t="shared" ref="DH876:DI876" si="1322">SUM(DH872:DH875)</f>
        <v>0</v>
      </c>
      <c r="DI876" s="72">
        <f t="shared" si="1322"/>
        <v>0</v>
      </c>
      <c r="DJ876" s="72">
        <f t="shared" si="1317"/>
        <v>0</v>
      </c>
      <c r="DK876" s="790"/>
      <c r="DL876" s="72">
        <f t="shared" ref="DL876:DM876" si="1323">SUM(DL872:DL875)</f>
        <v>0</v>
      </c>
      <c r="DM876" s="72">
        <f t="shared" si="1323"/>
        <v>0</v>
      </c>
      <c r="DN876" s="72">
        <f t="shared" si="1318"/>
        <v>0</v>
      </c>
      <c r="DO876" s="790"/>
      <c r="DP876" s="72">
        <f t="shared" ref="DP876:DQ876" si="1324">SUM(DP872:DP875)</f>
        <v>0</v>
      </c>
      <c r="DQ876" s="72">
        <f t="shared" si="1324"/>
        <v>0</v>
      </c>
      <c r="DR876" s="72">
        <f t="shared" si="1319"/>
        <v>0</v>
      </c>
      <c r="DS876" s="790"/>
      <c r="DT876" s="790"/>
      <c r="DU876" s="790"/>
    </row>
    <row r="877" spans="1:126" s="20" customFormat="1" ht="13.8">
      <c r="A877" s="60" t="s">
        <v>926</v>
      </c>
      <c r="B877" s="49"/>
      <c r="BH877" s="49"/>
      <c r="BI877" s="49"/>
      <c r="BJ877" s="49"/>
      <c r="BK877" s="49"/>
      <c r="BL877" s="49"/>
      <c r="BM877" s="49"/>
      <c r="BN877" s="49"/>
      <c r="BO877" s="49"/>
      <c r="BP877" s="49"/>
      <c r="BQ877" s="49"/>
      <c r="BR877" s="49"/>
      <c r="BT877" s="49"/>
      <c r="BU877" s="561"/>
      <c r="BV877" s="561"/>
      <c r="BW877" s="75"/>
      <c r="BX877" s="49"/>
      <c r="BY877" s="561"/>
      <c r="BZ877" s="561"/>
      <c r="CA877" s="789"/>
      <c r="CB877" s="49"/>
      <c r="CC877" s="561"/>
      <c r="CD877" s="561"/>
      <c r="CE877" s="790"/>
      <c r="CF877" s="49"/>
      <c r="CG877" s="49"/>
      <c r="CH877" s="561"/>
      <c r="CI877" s="790"/>
      <c r="CJ877" s="49"/>
      <c r="CK877" s="49"/>
      <c r="CL877" s="561"/>
      <c r="CM877" s="790"/>
      <c r="CN877" s="49"/>
      <c r="CO877" s="49"/>
      <c r="CP877" s="561"/>
      <c r="CQ877" s="790"/>
      <c r="CR877" s="49"/>
      <c r="CS877" s="49"/>
      <c r="CT877" s="561"/>
      <c r="CU877" s="790"/>
      <c r="CV877" s="49"/>
      <c r="CW877" s="49"/>
      <c r="CX877" s="561"/>
      <c r="CY877" s="790"/>
      <c r="CZ877" s="49"/>
      <c r="DA877" s="49"/>
      <c r="DB877" s="561"/>
      <c r="DC877" s="790"/>
      <c r="DD877" s="49"/>
      <c r="DE877" s="49"/>
      <c r="DF877" s="561"/>
      <c r="DG877" s="790"/>
      <c r="DH877" s="49"/>
      <c r="DI877" s="49"/>
      <c r="DJ877" s="561"/>
      <c r="DK877" s="790"/>
      <c r="DL877" s="49"/>
      <c r="DM877" s="49"/>
      <c r="DN877" s="561"/>
      <c r="DO877" s="790"/>
      <c r="DP877" s="49"/>
      <c r="DQ877" s="49"/>
      <c r="DR877" s="561"/>
      <c r="DS877" s="790"/>
      <c r="DT877" s="790"/>
      <c r="DU877" s="790"/>
    </row>
    <row r="878" spans="1:126" s="20" customFormat="1" ht="13.8">
      <c r="A878" s="988" t="s">
        <v>587</v>
      </c>
      <c r="B878" s="547"/>
      <c r="C878" s="533"/>
      <c r="D878" s="533"/>
      <c r="E878" s="533"/>
      <c r="F878" s="533"/>
      <c r="G878" s="533"/>
      <c r="H878" s="533"/>
      <c r="I878" s="533"/>
      <c r="J878" s="533"/>
      <c r="K878" s="533"/>
      <c r="L878" s="533"/>
      <c r="M878" s="533"/>
      <c r="N878" s="533"/>
      <c r="O878" s="533"/>
      <c r="P878" s="533"/>
      <c r="Q878" s="533"/>
      <c r="R878" s="533"/>
      <c r="S878" s="533"/>
      <c r="T878" s="533"/>
      <c r="U878" s="533"/>
      <c r="V878" s="533"/>
      <c r="W878" s="533"/>
      <c r="X878" s="533"/>
      <c r="Y878" s="533"/>
      <c r="Z878" s="533"/>
      <c r="AA878" s="533"/>
      <c r="AB878" s="533"/>
      <c r="AC878" s="533"/>
      <c r="AD878" s="533"/>
      <c r="AE878" s="533"/>
      <c r="AF878" s="533"/>
      <c r="AG878" s="533"/>
      <c r="AH878" s="533"/>
      <c r="AI878" s="533"/>
      <c r="AJ878" s="533"/>
      <c r="AK878" s="533"/>
      <c r="AL878" s="533"/>
      <c r="AM878" s="533"/>
      <c r="AN878" s="533"/>
      <c r="AO878" s="533"/>
      <c r="AP878" s="533"/>
      <c r="AQ878" s="533"/>
      <c r="AR878" s="533"/>
      <c r="AS878" s="533"/>
      <c r="AT878" s="533"/>
      <c r="AU878" s="533"/>
      <c r="AV878" s="533"/>
      <c r="AW878" s="533"/>
      <c r="AX878" s="533"/>
      <c r="AY878" s="533"/>
      <c r="AZ878" s="533"/>
      <c r="BA878" s="533"/>
      <c r="BB878" s="533"/>
      <c r="BC878" s="533"/>
      <c r="BD878" s="533"/>
      <c r="BE878" s="533"/>
      <c r="BF878" s="533"/>
      <c r="BG878" s="533"/>
      <c r="BH878" s="547"/>
      <c r="BI878" s="547"/>
      <c r="BJ878" s="547"/>
      <c r="BK878" s="547"/>
      <c r="BL878" s="547"/>
      <c r="BM878" s="547"/>
      <c r="BN878" s="547"/>
      <c r="BO878" s="547"/>
      <c r="BP878" s="547"/>
      <c r="BQ878" s="547"/>
      <c r="BR878" s="547"/>
      <c r="BS878" s="533"/>
      <c r="BT878" s="547"/>
      <c r="BU878" s="1004"/>
      <c r="BV878" s="1004"/>
      <c r="BW878" s="577"/>
      <c r="BX878" s="547"/>
      <c r="BY878" s="1004"/>
      <c r="BZ878" s="1004"/>
      <c r="CA878" s="1005"/>
      <c r="CB878" s="547"/>
      <c r="CC878" s="1004"/>
      <c r="CD878" s="1004"/>
      <c r="CE878" s="1006"/>
      <c r="CF878" s="583">
        <f t="shared" ref="CF878:CG878" si="1325">CF864-CF872</f>
        <v>2</v>
      </c>
      <c r="CG878" s="583">
        <f t="shared" si="1325"/>
        <v>-29</v>
      </c>
      <c r="CH878" s="583">
        <f t="shared" ref="CH878:CH880" si="1326">SUM(CF878:CG878)</f>
        <v>-27</v>
      </c>
      <c r="CI878" s="1006"/>
      <c r="CJ878" s="583">
        <f t="shared" ref="CJ878:CK878" si="1327">CJ864-CJ872</f>
        <v>-44</v>
      </c>
      <c r="CK878" s="583">
        <f t="shared" si="1327"/>
        <v>-54</v>
      </c>
      <c r="CL878" s="583">
        <f t="shared" si="1299"/>
        <v>-98</v>
      </c>
      <c r="CM878" s="1006"/>
      <c r="CN878" s="583">
        <f>CN864-CN872</f>
        <v>-33</v>
      </c>
      <c r="CO878" s="583">
        <f t="shared" ref="CO878" si="1328">CO864-CO872</f>
        <v>-44</v>
      </c>
      <c r="CP878" s="583">
        <f t="shared" ref="CP878:CP880" si="1329">SUM(CN878:CO878)</f>
        <v>-77</v>
      </c>
      <c r="CQ878" s="1006"/>
      <c r="CR878" s="583">
        <f>CR864-CR872</f>
        <v>-48</v>
      </c>
      <c r="CS878" s="583">
        <f>CS864-CS872</f>
        <v>-13</v>
      </c>
      <c r="CT878" s="583">
        <f t="shared" ref="CT878:CT880" si="1330">SUM(CR878:CS878)</f>
        <v>-61</v>
      </c>
      <c r="CU878" s="1006"/>
      <c r="CV878" s="995">
        <v>-15</v>
      </c>
      <c r="CW878" s="995">
        <v>-15</v>
      </c>
      <c r="CX878" s="583">
        <f t="shared" ref="CX878:CX880" si="1331">SUM(CV878:CW878)</f>
        <v>-30</v>
      </c>
      <c r="CY878" s="1006"/>
      <c r="CZ878" s="995">
        <v>0</v>
      </c>
      <c r="DA878" s="995">
        <v>0</v>
      </c>
      <c r="DB878" s="583">
        <f t="shared" ref="DB878:DB880" si="1332">SUM(CZ878:DA878)</f>
        <v>0</v>
      </c>
      <c r="DC878" s="1006"/>
      <c r="DD878" s="995">
        <v>0</v>
      </c>
      <c r="DE878" s="995">
        <v>0</v>
      </c>
      <c r="DF878" s="583">
        <f t="shared" ref="DF878:DF880" si="1333">SUM(DD878:DE878)</f>
        <v>0</v>
      </c>
      <c r="DG878" s="1006"/>
      <c r="DH878" s="995">
        <v>0</v>
      </c>
      <c r="DI878" s="995">
        <v>0</v>
      </c>
      <c r="DJ878" s="583">
        <f>SUM(DH878:DI878)</f>
        <v>0</v>
      </c>
      <c r="DK878" s="1006"/>
      <c r="DL878" s="995">
        <v>0</v>
      </c>
      <c r="DM878" s="995">
        <v>0</v>
      </c>
      <c r="DN878" s="583">
        <f>SUM(DL878:DM878)</f>
        <v>0</v>
      </c>
      <c r="DO878" s="1006"/>
      <c r="DP878" s="995">
        <v>0</v>
      </c>
      <c r="DQ878" s="995">
        <v>0</v>
      </c>
      <c r="DR878" s="583">
        <f>SUM(DP878:DQ878)</f>
        <v>0</v>
      </c>
      <c r="DS878" s="1006"/>
      <c r="DT878" s="1006"/>
      <c r="DU878" s="1006"/>
      <c r="DV878" s="533"/>
    </row>
    <row r="879" spans="1:126" s="20" customFormat="1" ht="13.8">
      <c r="A879" s="988" t="s">
        <v>116</v>
      </c>
      <c r="B879" s="547"/>
      <c r="C879" s="533"/>
      <c r="D879" s="533"/>
      <c r="E879" s="533"/>
      <c r="F879" s="533"/>
      <c r="G879" s="533"/>
      <c r="H879" s="533"/>
      <c r="I879" s="533"/>
      <c r="J879" s="533"/>
      <c r="K879" s="533"/>
      <c r="L879" s="533"/>
      <c r="M879" s="533"/>
      <c r="N879" s="533"/>
      <c r="O879" s="533"/>
      <c r="P879" s="533"/>
      <c r="Q879" s="533"/>
      <c r="R879" s="533"/>
      <c r="S879" s="533"/>
      <c r="T879" s="533"/>
      <c r="U879" s="533"/>
      <c r="V879" s="533"/>
      <c r="W879" s="533"/>
      <c r="X879" s="533"/>
      <c r="Y879" s="533"/>
      <c r="Z879" s="533"/>
      <c r="AA879" s="533"/>
      <c r="AB879" s="533"/>
      <c r="AC879" s="533"/>
      <c r="AD879" s="533"/>
      <c r="AE879" s="533"/>
      <c r="AF879" s="533"/>
      <c r="AG879" s="533"/>
      <c r="AH879" s="533"/>
      <c r="AI879" s="533"/>
      <c r="AJ879" s="533"/>
      <c r="AK879" s="533"/>
      <c r="AL879" s="533"/>
      <c r="AM879" s="533"/>
      <c r="AN879" s="533"/>
      <c r="AO879" s="533"/>
      <c r="AP879" s="533"/>
      <c r="AQ879" s="533"/>
      <c r="AR879" s="533"/>
      <c r="AS879" s="533"/>
      <c r="AT879" s="533"/>
      <c r="AU879" s="533"/>
      <c r="AV879" s="533"/>
      <c r="AW879" s="533"/>
      <c r="AX879" s="533"/>
      <c r="AY879" s="533"/>
      <c r="AZ879" s="533"/>
      <c r="BA879" s="533"/>
      <c r="BB879" s="533"/>
      <c r="BC879" s="533"/>
      <c r="BD879" s="533"/>
      <c r="BE879" s="533"/>
      <c r="BF879" s="533"/>
      <c r="BG879" s="533"/>
      <c r="BH879" s="547"/>
      <c r="BI879" s="547"/>
      <c r="BJ879" s="547"/>
      <c r="BK879" s="547"/>
      <c r="BL879" s="547"/>
      <c r="BM879" s="547"/>
      <c r="BN879" s="547"/>
      <c r="BO879" s="547"/>
      <c r="BP879" s="547"/>
      <c r="BQ879" s="547"/>
      <c r="BR879" s="547"/>
      <c r="BS879" s="533"/>
      <c r="BT879" s="547"/>
      <c r="BU879" s="1004"/>
      <c r="BV879" s="1004"/>
      <c r="BW879" s="577"/>
      <c r="BX879" s="547"/>
      <c r="BY879" s="1004"/>
      <c r="BZ879" s="1004"/>
      <c r="CA879" s="1005"/>
      <c r="CB879" s="547"/>
      <c r="CC879" s="1004"/>
      <c r="CD879" s="1004"/>
      <c r="CE879" s="1006"/>
      <c r="CF879" s="583">
        <f t="shared" ref="CF879" si="1334">CF880-CF878</f>
        <v>-38</v>
      </c>
      <c r="CG879" s="583">
        <f t="shared" ref="CG879" si="1335">CG880-CG878</f>
        <v>-308</v>
      </c>
      <c r="CH879" s="583">
        <f t="shared" si="1326"/>
        <v>-346</v>
      </c>
      <c r="CI879" s="1006"/>
      <c r="CJ879" s="583">
        <f t="shared" ref="CJ879:CK879" si="1336">CJ880-CJ878</f>
        <v>-27</v>
      </c>
      <c r="CK879" s="583">
        <f t="shared" si="1336"/>
        <v>-84</v>
      </c>
      <c r="CL879" s="583">
        <f t="shared" si="1299"/>
        <v>-111</v>
      </c>
      <c r="CM879" s="1006"/>
      <c r="CN879" s="583">
        <f>CN880-CN878</f>
        <v>-59</v>
      </c>
      <c r="CO879" s="583">
        <f t="shared" ref="CO879" si="1337">CO880-CO878</f>
        <v>-49</v>
      </c>
      <c r="CP879" s="583">
        <f t="shared" si="1329"/>
        <v>-108</v>
      </c>
      <c r="CQ879" s="1006"/>
      <c r="CR879" s="583">
        <f>CR880-CR878</f>
        <v>-110</v>
      </c>
      <c r="CS879" s="583">
        <f t="shared" ref="CS879" si="1338">CS880-CS878</f>
        <v>-29</v>
      </c>
      <c r="CT879" s="583">
        <f t="shared" si="1330"/>
        <v>-139</v>
      </c>
      <c r="CU879" s="1006"/>
      <c r="CV879" s="583">
        <f>CV880-CV878</f>
        <v>-28</v>
      </c>
      <c r="CW879" s="583">
        <f>CW880-CW878</f>
        <v>-26</v>
      </c>
      <c r="CX879" s="583">
        <f t="shared" si="1331"/>
        <v>-54</v>
      </c>
      <c r="CY879" s="1006"/>
      <c r="CZ879" s="583">
        <f>CZ880-CZ878</f>
        <v>0</v>
      </c>
      <c r="DA879" s="583">
        <f>DA880-DA878</f>
        <v>0</v>
      </c>
      <c r="DB879" s="583">
        <f t="shared" si="1332"/>
        <v>0</v>
      </c>
      <c r="DC879" s="1006"/>
      <c r="DD879" s="583">
        <f>DD880-DD878</f>
        <v>0</v>
      </c>
      <c r="DE879" s="995">
        <f>DE880-DE878</f>
        <v>0</v>
      </c>
      <c r="DF879" s="583">
        <f t="shared" si="1333"/>
        <v>0</v>
      </c>
      <c r="DG879" s="1006"/>
      <c r="DH879" s="995">
        <v>0</v>
      </c>
      <c r="DI879" s="995">
        <v>0</v>
      </c>
      <c r="DJ879" s="583">
        <f t="shared" ref="DJ879:DJ880" si="1339">SUM(DH879:DI879)</f>
        <v>0</v>
      </c>
      <c r="DK879" s="1006"/>
      <c r="DL879" s="995">
        <v>0</v>
      </c>
      <c r="DM879" s="995">
        <v>0</v>
      </c>
      <c r="DN879" s="583">
        <f t="shared" ref="DN879:DN880" si="1340">SUM(DL879:DM879)</f>
        <v>0</v>
      </c>
      <c r="DO879" s="1006"/>
      <c r="DP879" s="995">
        <v>0</v>
      </c>
      <c r="DQ879" s="995">
        <v>0</v>
      </c>
      <c r="DR879" s="583">
        <f t="shared" ref="DR879:DR880" si="1341">SUM(DP879:DQ879)</f>
        <v>0</v>
      </c>
      <c r="DS879" s="1006"/>
      <c r="DT879" s="1006"/>
      <c r="DU879" s="1006"/>
      <c r="DV879" s="533"/>
    </row>
    <row r="880" spans="1:126" s="21" customFormat="1" ht="13.8">
      <c r="A880" s="60" t="s">
        <v>529</v>
      </c>
      <c r="B880" s="27"/>
      <c r="BH880" s="27"/>
      <c r="BI880" s="27"/>
      <c r="BJ880" s="27"/>
      <c r="BK880" s="27"/>
      <c r="BL880" s="27"/>
      <c r="BM880" s="27"/>
      <c r="BN880" s="27"/>
      <c r="BO880" s="27"/>
      <c r="BP880" s="27"/>
      <c r="BQ880" s="27"/>
      <c r="BR880" s="27"/>
      <c r="BT880" s="27"/>
      <c r="BU880" s="561"/>
      <c r="BV880" s="561"/>
      <c r="BW880" s="79"/>
      <c r="BX880" s="27"/>
      <c r="BY880" s="561"/>
      <c r="BZ880" s="561"/>
      <c r="CA880" s="789"/>
      <c r="CB880" s="27"/>
      <c r="CC880" s="561"/>
      <c r="CD880" s="561"/>
      <c r="CE880" s="790"/>
      <c r="CF880" s="72">
        <f t="shared" ref="CF880:CG880" si="1342">CF886</f>
        <v>-36</v>
      </c>
      <c r="CG880" s="72">
        <f t="shared" si="1342"/>
        <v>-337</v>
      </c>
      <c r="CH880" s="72">
        <f t="shared" si="1326"/>
        <v>-373</v>
      </c>
      <c r="CI880" s="790"/>
      <c r="CJ880" s="72">
        <f t="shared" ref="CJ880:CK880" si="1343">CJ886</f>
        <v>-71</v>
      </c>
      <c r="CK880" s="72">
        <f t="shared" si="1343"/>
        <v>-138</v>
      </c>
      <c r="CL880" s="72">
        <f t="shared" si="1299"/>
        <v>-209</v>
      </c>
      <c r="CM880" s="790"/>
      <c r="CN880" s="72">
        <f>CN886</f>
        <v>-92</v>
      </c>
      <c r="CO880" s="72">
        <f t="shared" ref="CO880" si="1344">CO886</f>
        <v>-93</v>
      </c>
      <c r="CP880" s="72">
        <f t="shared" si="1329"/>
        <v>-185</v>
      </c>
      <c r="CQ880" s="790"/>
      <c r="CR880" s="72">
        <f>CR886</f>
        <v>-158</v>
      </c>
      <c r="CS880" s="72">
        <f t="shared" ref="CS880" si="1345">CS886</f>
        <v>-42</v>
      </c>
      <c r="CT880" s="72">
        <f t="shared" si="1330"/>
        <v>-200</v>
      </c>
      <c r="CU880" s="790"/>
      <c r="CV880" s="72">
        <f>CV886</f>
        <v>-43</v>
      </c>
      <c r="CW880" s="72">
        <f>CW886</f>
        <v>-41</v>
      </c>
      <c r="CX880" s="72">
        <f t="shared" si="1331"/>
        <v>-84</v>
      </c>
      <c r="CY880" s="790"/>
      <c r="CZ880" s="72">
        <f>CZ886</f>
        <v>0</v>
      </c>
      <c r="DA880" s="72">
        <f>DA886</f>
        <v>0</v>
      </c>
      <c r="DB880" s="72">
        <f t="shared" si="1332"/>
        <v>0</v>
      </c>
      <c r="DC880" s="790"/>
      <c r="DD880" s="72">
        <f>DD886</f>
        <v>0</v>
      </c>
      <c r="DE880" s="72">
        <f>DE886</f>
        <v>0</v>
      </c>
      <c r="DF880" s="72">
        <f t="shared" si="1333"/>
        <v>0</v>
      </c>
      <c r="DG880" s="790"/>
      <c r="DH880" s="72">
        <f t="shared" ref="DH880:DI880" si="1346">SUM(DH878:DH879)</f>
        <v>0</v>
      </c>
      <c r="DI880" s="72">
        <f t="shared" si="1346"/>
        <v>0</v>
      </c>
      <c r="DJ880" s="72">
        <f t="shared" si="1339"/>
        <v>0</v>
      </c>
      <c r="DK880" s="790"/>
      <c r="DL880" s="72">
        <f t="shared" ref="DL880:DM880" si="1347">SUM(DL878:DL879)</f>
        <v>0</v>
      </c>
      <c r="DM880" s="72">
        <f t="shared" si="1347"/>
        <v>0</v>
      </c>
      <c r="DN880" s="72">
        <f t="shared" si="1340"/>
        <v>0</v>
      </c>
      <c r="DO880" s="790"/>
      <c r="DP880" s="72">
        <f t="shared" ref="DP880:DQ880" si="1348">SUM(DP878:DP879)</f>
        <v>0</v>
      </c>
      <c r="DQ880" s="72">
        <f t="shared" si="1348"/>
        <v>0</v>
      </c>
      <c r="DR880" s="72">
        <f t="shared" si="1341"/>
        <v>0</v>
      </c>
      <c r="DS880" s="790"/>
      <c r="DT880" s="790"/>
      <c r="DU880" s="790"/>
    </row>
    <row r="881" spans="1:126" s="20" customFormat="1" ht="13.8">
      <c r="A881" s="60"/>
      <c r="B881" s="49"/>
      <c r="BH881" s="49"/>
      <c r="BI881" s="49"/>
      <c r="BJ881" s="49"/>
      <c r="BK881" s="49"/>
      <c r="BL881" s="49"/>
      <c r="BM881" s="49"/>
      <c r="BN881" s="49"/>
      <c r="BO881" s="49"/>
      <c r="BP881" s="49"/>
      <c r="BQ881" s="49"/>
      <c r="BR881" s="49"/>
      <c r="BT881" s="49"/>
      <c r="BU881" s="561"/>
      <c r="BV881" s="561"/>
      <c r="BW881" s="75"/>
      <c r="BX881" s="49"/>
      <c r="BY881" s="561"/>
      <c r="BZ881" s="561"/>
      <c r="CA881" s="789"/>
      <c r="CB881" s="49"/>
      <c r="CC881" s="561"/>
      <c r="CD881" s="561"/>
      <c r="CE881" s="790"/>
      <c r="CF881" s="49"/>
      <c r="CG881" s="561"/>
      <c r="CH881" s="561"/>
      <c r="CI881" s="790"/>
      <c r="CJ881" s="65"/>
      <c r="CK881" s="561"/>
      <c r="CL881" s="561"/>
      <c r="CM881" s="790"/>
      <c r="CN881" s="49"/>
      <c r="CO881" s="561"/>
      <c r="CP881" s="561"/>
      <c r="CQ881" s="790"/>
      <c r="CR881" s="790"/>
      <c r="CS881" s="790"/>
      <c r="CT881" s="561"/>
      <c r="CU881" s="790"/>
      <c r="CV881" s="790"/>
      <c r="CW881" s="790"/>
      <c r="CX881" s="561"/>
      <c r="CY881" s="790"/>
      <c r="CZ881" s="790"/>
      <c r="DA881" s="790"/>
      <c r="DB881" s="561"/>
      <c r="DC881" s="790"/>
      <c r="DD881" s="790"/>
      <c r="DE881" s="790"/>
      <c r="DF881" s="790"/>
      <c r="DG881" s="790"/>
      <c r="DH881" s="790"/>
      <c r="DI881" s="790"/>
      <c r="DJ881" s="790"/>
      <c r="DK881" s="790"/>
      <c r="DL881" s="790"/>
      <c r="DM881" s="790"/>
      <c r="DN881" s="790"/>
      <c r="DO881" s="790"/>
      <c r="DP881" s="790"/>
      <c r="DQ881" s="790"/>
      <c r="DR881" s="790"/>
      <c r="DS881" s="790"/>
      <c r="DT881" s="790"/>
      <c r="DU881" s="790"/>
    </row>
    <row r="882" spans="1:126" s="20" customFormat="1" ht="13.8">
      <c r="A882" s="21" t="s">
        <v>1131</v>
      </c>
      <c r="B882" s="49"/>
      <c r="BH882" s="49"/>
      <c r="BI882" s="49"/>
      <c r="BJ882" s="49"/>
      <c r="BK882" s="49"/>
      <c r="BL882" s="49"/>
      <c r="BM882" s="49"/>
      <c r="BN882" s="49"/>
      <c r="BO882" s="49"/>
      <c r="BP882" s="49"/>
      <c r="BQ882" s="49"/>
      <c r="BR882" s="49"/>
      <c r="BT882" s="49"/>
      <c r="BU882" s="561"/>
      <c r="BV882" s="561"/>
      <c r="BW882" s="75"/>
      <c r="BX882" s="49"/>
      <c r="BY882" s="561"/>
      <c r="BZ882" s="561"/>
      <c r="CA882" s="786"/>
      <c r="CB882" s="49"/>
      <c r="CC882" s="561"/>
      <c r="CD882" s="561"/>
      <c r="CE882" s="788"/>
      <c r="CF882" s="49"/>
      <c r="CG882" s="561"/>
      <c r="CH882" s="561"/>
      <c r="CI882" s="788"/>
      <c r="CJ882" s="49"/>
      <c r="CK882" s="561"/>
      <c r="CL882" s="561"/>
      <c r="CM882" s="788"/>
      <c r="CN882" s="49"/>
      <c r="CO882" s="561"/>
      <c r="CP882" s="561"/>
      <c r="CQ882" s="788"/>
      <c r="CR882" s="787"/>
      <c r="CS882" s="787"/>
      <c r="CT882" s="561"/>
      <c r="CU882" s="788"/>
      <c r="CV882" s="787"/>
      <c r="CW882" s="787"/>
      <c r="CX882" s="561"/>
      <c r="CY882" s="788"/>
      <c r="CZ882" s="787"/>
      <c r="DA882" s="787"/>
      <c r="DB882" s="561"/>
      <c r="DC882" s="788"/>
      <c r="DD882" s="787"/>
      <c r="DE882" s="787"/>
      <c r="DF882" s="787"/>
      <c r="DG882" s="788"/>
      <c r="DH882" s="787"/>
      <c r="DI882" s="787"/>
      <c r="DJ882" s="787"/>
      <c r="DK882" s="788"/>
      <c r="DL882" s="787"/>
      <c r="DM882" s="787"/>
      <c r="DN882" s="787"/>
      <c r="DO882" s="788"/>
      <c r="DP882" s="787"/>
      <c r="DQ882" s="787"/>
      <c r="DR882" s="787"/>
      <c r="DS882" s="788"/>
      <c r="DT882" s="788"/>
      <c r="DU882" s="788"/>
    </row>
    <row r="883" spans="1:126" s="20" customFormat="1" ht="13.8">
      <c r="A883" s="20" t="s">
        <v>1019</v>
      </c>
      <c r="B883" s="49"/>
      <c r="BH883" s="49"/>
      <c r="BI883" s="49"/>
      <c r="BJ883" s="49"/>
      <c r="BK883" s="49"/>
      <c r="BL883" s="49"/>
      <c r="BM883" s="49"/>
      <c r="BN883" s="49"/>
      <c r="BO883" s="49"/>
      <c r="BP883" s="65">
        <f ca="1">BP923</f>
        <v>0</v>
      </c>
      <c r="BQ883" s="65">
        <f ca="1">BQ923</f>
        <v>0</v>
      </c>
      <c r="BR883" s="65">
        <f ca="1">BR923</f>
        <v>0</v>
      </c>
      <c r="BT883" s="65">
        <f>BT923</f>
        <v>-556</v>
      </c>
      <c r="BU883" s="65">
        <f>BU923</f>
        <v>0</v>
      </c>
      <c r="BV883" s="65">
        <f>BV923</f>
        <v>-556</v>
      </c>
      <c r="BW883" s="75"/>
      <c r="BX883" s="65">
        <f>BX923</f>
        <v>0</v>
      </c>
      <c r="BY883" s="65">
        <f>BY923</f>
        <v>0</v>
      </c>
      <c r="BZ883" s="65">
        <f>BZ923</f>
        <v>0</v>
      </c>
      <c r="CB883" s="65">
        <f>CB923</f>
        <v>0</v>
      </c>
      <c r="CC883" s="65">
        <f>CC923</f>
        <v>-251</v>
      </c>
      <c r="CD883" s="65">
        <f>CD923</f>
        <v>-251</v>
      </c>
      <c r="CF883" s="65">
        <f>CF923</f>
        <v>0</v>
      </c>
      <c r="CG883" s="65">
        <f>CG923</f>
        <v>0</v>
      </c>
      <c r="CH883" s="65">
        <f>CH923</f>
        <v>0</v>
      </c>
      <c r="CJ883" s="65">
        <f>CJ923</f>
        <v>0</v>
      </c>
      <c r="CK883" s="65">
        <f>CK923</f>
        <v>-197</v>
      </c>
      <c r="CL883" s="65">
        <f>CL923</f>
        <v>-197</v>
      </c>
      <c r="CN883" s="65">
        <f>CN923</f>
        <v>0</v>
      </c>
      <c r="CO883" s="65">
        <f>CO923</f>
        <v>0</v>
      </c>
      <c r="CP883" s="65">
        <f>CP923</f>
        <v>0</v>
      </c>
      <c r="CR883" s="65">
        <f>CR923</f>
        <v>0</v>
      </c>
      <c r="CS883" s="65">
        <f>CS923</f>
        <v>0</v>
      </c>
      <c r="CT883" s="65">
        <f>CT923</f>
        <v>0</v>
      </c>
      <c r="CV883" s="65">
        <f>CV923</f>
        <v>0</v>
      </c>
      <c r="CW883" s="65">
        <f>CW923</f>
        <v>0</v>
      </c>
      <c r="CX883" s="65">
        <f>CX923</f>
        <v>0</v>
      </c>
      <c r="CZ883" s="65">
        <f>CZ923</f>
        <v>0</v>
      </c>
      <c r="DA883" s="65">
        <f>DA923</f>
        <v>0</v>
      </c>
      <c r="DB883" s="65">
        <f>DB923</f>
        <v>0</v>
      </c>
      <c r="DD883" s="65">
        <f>DD923</f>
        <v>0</v>
      </c>
      <c r="DE883" s="65">
        <f>DE923</f>
        <v>0</v>
      </c>
      <c r="DF883" s="65">
        <f>DF923</f>
        <v>0</v>
      </c>
      <c r="DH883" s="65">
        <f>DH923</f>
        <v>0</v>
      </c>
      <c r="DI883" s="65">
        <f>DI923</f>
        <v>0</v>
      </c>
      <c r="DJ883" s="65">
        <f>DJ923</f>
        <v>0</v>
      </c>
      <c r="DL883" s="65">
        <f>DL923</f>
        <v>0</v>
      </c>
      <c r="DM883" s="65">
        <f>DM923</f>
        <v>0</v>
      </c>
      <c r="DN883" s="65">
        <f>DN923</f>
        <v>0</v>
      </c>
      <c r="DP883" s="65">
        <f>DP923</f>
        <v>0</v>
      </c>
      <c r="DQ883" s="65">
        <f>DQ923</f>
        <v>0</v>
      </c>
      <c r="DR883" s="65">
        <f>DR923</f>
        <v>0</v>
      </c>
    </row>
    <row r="884" spans="1:126" s="20" customFormat="1" ht="13.8">
      <c r="A884" s="20" t="s">
        <v>800</v>
      </c>
      <c r="B884" s="49"/>
      <c r="BH884" s="49"/>
      <c r="BI884" s="49"/>
      <c r="BJ884" s="49"/>
      <c r="BK884" s="49"/>
      <c r="BL884" s="49"/>
      <c r="BM884" s="49"/>
      <c r="BN884" s="49"/>
      <c r="BO884" s="49"/>
      <c r="BP884" s="65">
        <f>BP942</f>
        <v>-10</v>
      </c>
      <c r="BQ884" s="65">
        <f>BQ942</f>
        <v>-21</v>
      </c>
      <c r="BR884" s="65">
        <f>BR942</f>
        <v>-31</v>
      </c>
      <c r="BT884" s="65">
        <f>BT942</f>
        <v>-138</v>
      </c>
      <c r="BU884" s="65">
        <f>BU942</f>
        <v>-140</v>
      </c>
      <c r="BV884" s="65">
        <f>BV942</f>
        <v>-278</v>
      </c>
      <c r="BW884" s="96"/>
      <c r="BX884" s="65">
        <f>BX942</f>
        <v>-36</v>
      </c>
      <c r="BY884" s="65">
        <f>BY942</f>
        <v>-26</v>
      </c>
      <c r="BZ884" s="65">
        <f>BZ942</f>
        <v>-62</v>
      </c>
      <c r="CB884" s="65">
        <f t="shared" ref="CB884:CD886" si="1349">CB942</f>
        <v>-78</v>
      </c>
      <c r="CC884" s="65">
        <f t="shared" si="1349"/>
        <v>-149</v>
      </c>
      <c r="CD884" s="65">
        <f t="shared" si="1349"/>
        <v>-227</v>
      </c>
      <c r="CF884" s="67">
        <v>-51</v>
      </c>
      <c r="CG884" s="67">
        <v>-26</v>
      </c>
      <c r="CH884" s="65">
        <f t="shared" ref="CH884:CH891" si="1350">CH942</f>
        <v>-23</v>
      </c>
      <c r="CJ884" s="67">
        <v>-105</v>
      </c>
      <c r="CK884" s="67">
        <v>-56</v>
      </c>
      <c r="CL884" s="65">
        <f t="shared" ref="CL884:CL891" si="1351">CL942</f>
        <v>-47</v>
      </c>
      <c r="CN884" s="67">
        <f>-105-69</f>
        <v>-174</v>
      </c>
      <c r="CO884" s="67">
        <v>-22</v>
      </c>
      <c r="CP884" s="65">
        <f>+CN884+CO884</f>
        <v>-196</v>
      </c>
      <c r="CR884" s="67">
        <v>-30</v>
      </c>
      <c r="CS884" s="67">
        <f>-51-47</f>
        <v>-98</v>
      </c>
      <c r="CT884" s="65">
        <f>+CR884+CS884</f>
        <v>-128</v>
      </c>
      <c r="CV884" s="67">
        <v>-54</v>
      </c>
      <c r="CW884" s="67">
        <v>-115</v>
      </c>
      <c r="CX884" s="65">
        <f>+CV884+CW884</f>
        <v>-169</v>
      </c>
      <c r="CZ884" s="67">
        <v>-141</v>
      </c>
      <c r="DA884" s="67">
        <v>0</v>
      </c>
      <c r="DB884" s="65">
        <f>+CZ884+DA884</f>
        <v>-141</v>
      </c>
      <c r="DD884" s="67">
        <v>0</v>
      </c>
      <c r="DE884" s="67">
        <v>-585</v>
      </c>
      <c r="DF884" s="65">
        <f>+DD884+DE884</f>
        <v>-585</v>
      </c>
      <c r="DH884" s="65">
        <f t="shared" ref="DH884:DI884" si="1352">DH876</f>
        <v>0</v>
      </c>
      <c r="DI884" s="65">
        <f t="shared" si="1352"/>
        <v>0</v>
      </c>
      <c r="DJ884" s="65">
        <f>+DI884+DH884</f>
        <v>0</v>
      </c>
      <c r="DL884" s="65">
        <f t="shared" ref="DL884:DM884" si="1353">DL876</f>
        <v>0</v>
      </c>
      <c r="DM884" s="65">
        <f t="shared" si="1353"/>
        <v>0</v>
      </c>
      <c r="DN884" s="65">
        <f>+DM884+DL884</f>
        <v>0</v>
      </c>
      <c r="DP884" s="65">
        <f t="shared" ref="DP884:DQ884" si="1354">DP876</f>
        <v>0</v>
      </c>
      <c r="DQ884" s="65">
        <f t="shared" si="1354"/>
        <v>0</v>
      </c>
      <c r="DR884" s="65">
        <f>+DQ884+DP884</f>
        <v>0</v>
      </c>
    </row>
    <row r="885" spans="1:126" s="20" customFormat="1" ht="13.8">
      <c r="A885" s="533" t="s">
        <v>1170</v>
      </c>
      <c r="B885" s="547"/>
      <c r="C885" s="533"/>
      <c r="D885" s="533"/>
      <c r="E885" s="533"/>
      <c r="F885" s="533"/>
      <c r="G885" s="533"/>
      <c r="H885" s="533"/>
      <c r="I885" s="533"/>
      <c r="J885" s="533"/>
      <c r="K885" s="533"/>
      <c r="L885" s="533"/>
      <c r="M885" s="533"/>
      <c r="N885" s="533"/>
      <c r="O885" s="533"/>
      <c r="P885" s="533"/>
      <c r="Q885" s="533"/>
      <c r="R885" s="533"/>
      <c r="S885" s="533"/>
      <c r="T885" s="533"/>
      <c r="U885" s="533"/>
      <c r="V885" s="533"/>
      <c r="W885" s="533"/>
      <c r="X885" s="533"/>
      <c r="Y885" s="533"/>
      <c r="Z885" s="533"/>
      <c r="AA885" s="533"/>
      <c r="AB885" s="533"/>
      <c r="AC885" s="533"/>
      <c r="AD885" s="533"/>
      <c r="AE885" s="533"/>
      <c r="AF885" s="533"/>
      <c r="AG885" s="533"/>
      <c r="AH885" s="533"/>
      <c r="AI885" s="533"/>
      <c r="AJ885" s="533"/>
      <c r="AK885" s="533"/>
      <c r="AL885" s="533"/>
      <c r="AM885" s="533"/>
      <c r="AN885" s="533"/>
      <c r="AO885" s="533"/>
      <c r="AP885" s="533"/>
      <c r="AQ885" s="533"/>
      <c r="AR885" s="533"/>
      <c r="AS885" s="533"/>
      <c r="AT885" s="533"/>
      <c r="AU885" s="533"/>
      <c r="AV885" s="533"/>
      <c r="AW885" s="533"/>
      <c r="AX885" s="533"/>
      <c r="AY885" s="533"/>
      <c r="AZ885" s="533"/>
      <c r="BA885" s="533"/>
      <c r="BB885" s="533"/>
      <c r="BC885" s="533"/>
      <c r="BD885" s="533"/>
      <c r="BE885" s="533"/>
      <c r="BF885" s="533"/>
      <c r="BG885" s="533"/>
      <c r="BH885" s="547"/>
      <c r="BI885" s="547"/>
      <c r="BJ885" s="547"/>
      <c r="BK885" s="547"/>
      <c r="BL885" s="547"/>
      <c r="BM885" s="547"/>
      <c r="BN885" s="547"/>
      <c r="BO885" s="547"/>
      <c r="BP885" s="583"/>
      <c r="BQ885" s="583"/>
      <c r="BR885" s="583"/>
      <c r="BS885" s="533"/>
      <c r="BT885" s="583"/>
      <c r="BU885" s="583"/>
      <c r="BV885" s="583"/>
      <c r="BW885" s="577"/>
      <c r="BX885" s="583"/>
      <c r="BY885" s="583"/>
      <c r="BZ885" s="583"/>
      <c r="CA885" s="533"/>
      <c r="CB885" s="583">
        <f t="shared" si="1349"/>
        <v>-16</v>
      </c>
      <c r="CC885" s="583">
        <f t="shared" si="1349"/>
        <v>-39</v>
      </c>
      <c r="CD885" s="583">
        <f t="shared" si="1349"/>
        <v>-55</v>
      </c>
      <c r="CE885" s="533"/>
      <c r="CF885" s="599">
        <v>-13</v>
      </c>
      <c r="CG885" s="599">
        <v>-2</v>
      </c>
      <c r="CH885" s="583">
        <f t="shared" si="1350"/>
        <v>-15</v>
      </c>
      <c r="CI885" s="533"/>
      <c r="CJ885" s="599">
        <v>0</v>
      </c>
      <c r="CK885" s="599">
        <v>0</v>
      </c>
      <c r="CL885" s="583">
        <f t="shared" si="1351"/>
        <v>0</v>
      </c>
      <c r="CM885" s="533"/>
      <c r="CN885" s="599">
        <v>0</v>
      </c>
      <c r="CO885" s="599">
        <v>0</v>
      </c>
      <c r="CP885" s="583">
        <f t="shared" ref="CP885:CP891" si="1355">CP943</f>
        <v>0</v>
      </c>
      <c r="CQ885" s="533"/>
      <c r="CR885" s="599">
        <v>0</v>
      </c>
      <c r="CS885" s="599">
        <v>0</v>
      </c>
      <c r="CT885" s="583">
        <f t="shared" ref="CT885:CT891" si="1356">CT943</f>
        <v>0</v>
      </c>
      <c r="CU885" s="325"/>
      <c r="CV885" s="599">
        <v>0</v>
      </c>
      <c r="CW885" s="599">
        <v>-40</v>
      </c>
      <c r="CX885" s="583">
        <f t="shared" ref="CX885:CX891" si="1357">CX943</f>
        <v>-40</v>
      </c>
      <c r="CY885" s="325"/>
      <c r="CZ885" s="599">
        <v>0</v>
      </c>
      <c r="DA885" s="599">
        <v>0</v>
      </c>
      <c r="DB885" s="583">
        <f t="shared" ref="DB885:DB891" si="1358">DB943</f>
        <v>0</v>
      </c>
      <c r="DC885" s="325"/>
      <c r="DD885" s="599">
        <v>0</v>
      </c>
      <c r="DE885" s="599">
        <v>-271</v>
      </c>
      <c r="DF885" s="583">
        <f t="shared" ref="DF885:DF891" si="1359">DF943</f>
        <v>-271</v>
      </c>
      <c r="DG885" s="325"/>
      <c r="DH885" s="599">
        <v>0</v>
      </c>
      <c r="DI885" s="599">
        <v>0</v>
      </c>
      <c r="DJ885" s="583">
        <f>+DI885+DH885</f>
        <v>0</v>
      </c>
      <c r="DK885" s="325"/>
      <c r="DL885" s="599">
        <v>0</v>
      </c>
      <c r="DM885" s="599">
        <v>0</v>
      </c>
      <c r="DN885" s="583">
        <f>+DM885+DL885</f>
        <v>0</v>
      </c>
      <c r="DO885" s="325"/>
      <c r="DP885" s="599">
        <v>0</v>
      </c>
      <c r="DQ885" s="599">
        <v>0</v>
      </c>
      <c r="DR885" s="583">
        <f>+DQ885+DP885</f>
        <v>0</v>
      </c>
      <c r="DS885" s="325"/>
      <c r="DT885" s="325"/>
      <c r="DU885" s="325"/>
      <c r="DV885" s="325"/>
    </row>
    <row r="886" spans="1:126" s="20" customFormat="1" ht="13.8">
      <c r="A886" s="20" t="s">
        <v>926</v>
      </c>
      <c r="B886" s="49"/>
      <c r="BH886" s="49"/>
      <c r="BI886" s="49"/>
      <c r="BJ886" s="49"/>
      <c r="BK886" s="49"/>
      <c r="BL886" s="49"/>
      <c r="BM886" s="49"/>
      <c r="BN886" s="49"/>
      <c r="BO886" s="49"/>
      <c r="BP886" s="65"/>
      <c r="BQ886" s="65"/>
      <c r="BR886" s="65"/>
      <c r="BT886" s="65"/>
      <c r="BU886" s="65"/>
      <c r="BV886" s="65"/>
      <c r="BW886" s="96"/>
      <c r="BX886" s="65"/>
      <c r="BY886" s="65"/>
      <c r="BZ886" s="65"/>
      <c r="CB886" s="65">
        <f t="shared" si="1349"/>
        <v>-35</v>
      </c>
      <c r="CC886" s="65">
        <f t="shared" si="1349"/>
        <v>-156</v>
      </c>
      <c r="CD886" s="65">
        <f t="shared" si="1349"/>
        <v>-191</v>
      </c>
      <c r="CF886" s="603">
        <v>-36</v>
      </c>
      <c r="CG886" s="603">
        <v>-337</v>
      </c>
      <c r="CH886" s="65">
        <f t="shared" si="1350"/>
        <v>-346</v>
      </c>
      <c r="CJ886" s="603">
        <v>-71</v>
      </c>
      <c r="CK886" s="603">
        <v>-138</v>
      </c>
      <c r="CL886" s="65">
        <f t="shared" si="1351"/>
        <v>-111</v>
      </c>
      <c r="CN886" s="67">
        <v>-92</v>
      </c>
      <c r="CO886" s="603">
        <v>-93</v>
      </c>
      <c r="CP886" s="65">
        <f>+CN886+CO886</f>
        <v>-185</v>
      </c>
      <c r="CR886" s="67">
        <f>-148-10</f>
        <v>-158</v>
      </c>
      <c r="CS886" s="603">
        <v>-42</v>
      </c>
      <c r="CT886" s="65">
        <f>+CR886+CS886</f>
        <v>-200</v>
      </c>
      <c r="CV886" s="67">
        <v>-43</v>
      </c>
      <c r="CW886" s="603">
        <v>-41</v>
      </c>
      <c r="CX886" s="65">
        <f>+CV886+CW886</f>
        <v>-84</v>
      </c>
      <c r="CZ886" s="67">
        <v>0</v>
      </c>
      <c r="DA886" s="67">
        <v>0</v>
      </c>
      <c r="DB886" s="65">
        <f>+CZ886+DA886</f>
        <v>0</v>
      </c>
      <c r="DD886" s="67">
        <v>0</v>
      </c>
      <c r="DE886" s="65">
        <v>0</v>
      </c>
      <c r="DF886" s="65">
        <f>+DD886+DE886</f>
        <v>0</v>
      </c>
      <c r="DH886" s="65">
        <f t="shared" ref="DH886:DI886" si="1360">DH880</f>
        <v>0</v>
      </c>
      <c r="DI886" s="65">
        <f t="shared" si="1360"/>
        <v>0</v>
      </c>
      <c r="DJ886" s="65">
        <f>+DI886+DH886</f>
        <v>0</v>
      </c>
      <c r="DL886" s="65">
        <f t="shared" ref="DL886:DM886" si="1361">DL880</f>
        <v>0</v>
      </c>
      <c r="DM886" s="65">
        <f t="shared" si="1361"/>
        <v>0</v>
      </c>
      <c r="DN886" s="65">
        <f>+DM886+DL886</f>
        <v>0</v>
      </c>
      <c r="DP886" s="65">
        <f t="shared" ref="DP886:DQ886" si="1362">DP880</f>
        <v>0</v>
      </c>
      <c r="DQ886" s="65">
        <f t="shared" si="1362"/>
        <v>0</v>
      </c>
      <c r="DR886" s="65">
        <f>+DQ886+DP886</f>
        <v>0</v>
      </c>
    </row>
    <row r="887" spans="1:126" s="20" customFormat="1" ht="13.8">
      <c r="A887" s="533" t="s">
        <v>985</v>
      </c>
      <c r="B887" s="547"/>
      <c r="C887" s="533"/>
      <c r="D887" s="533"/>
      <c r="E887" s="533"/>
      <c r="F887" s="533"/>
      <c r="G887" s="533"/>
      <c r="H887" s="533"/>
      <c r="I887" s="533"/>
      <c r="J887" s="533"/>
      <c r="K887" s="533"/>
      <c r="L887" s="533"/>
      <c r="M887" s="533"/>
      <c r="N887" s="533"/>
      <c r="O887" s="533"/>
      <c r="P887" s="533"/>
      <c r="Q887" s="533"/>
      <c r="R887" s="533"/>
      <c r="S887" s="533"/>
      <c r="T887" s="533"/>
      <c r="U887" s="533"/>
      <c r="V887" s="533"/>
      <c r="W887" s="533"/>
      <c r="X887" s="533"/>
      <c r="Y887" s="533"/>
      <c r="Z887" s="533"/>
      <c r="AA887" s="533"/>
      <c r="AB887" s="533"/>
      <c r="AC887" s="533"/>
      <c r="AD887" s="533"/>
      <c r="AE887" s="533"/>
      <c r="AF887" s="533"/>
      <c r="AG887" s="533"/>
      <c r="AH887" s="533"/>
      <c r="AI887" s="533"/>
      <c r="AJ887" s="533"/>
      <c r="AK887" s="533"/>
      <c r="AL887" s="533"/>
      <c r="AM887" s="533"/>
      <c r="AN887" s="533"/>
      <c r="AO887" s="533"/>
      <c r="AP887" s="533"/>
      <c r="AQ887" s="533"/>
      <c r="AR887" s="533"/>
      <c r="AS887" s="533"/>
      <c r="AT887" s="533"/>
      <c r="AU887" s="533"/>
      <c r="AV887" s="533"/>
      <c r="AW887" s="533"/>
      <c r="AX887" s="533"/>
      <c r="AY887" s="533"/>
      <c r="AZ887" s="533"/>
      <c r="BA887" s="533"/>
      <c r="BB887" s="533"/>
      <c r="BC887" s="533"/>
      <c r="BD887" s="533"/>
      <c r="BE887" s="533"/>
      <c r="BF887" s="533"/>
      <c r="BG887" s="533"/>
      <c r="BH887" s="547"/>
      <c r="BI887" s="547"/>
      <c r="BJ887" s="547"/>
      <c r="BK887" s="547"/>
      <c r="BL887" s="547"/>
      <c r="BM887" s="547"/>
      <c r="BN887" s="547"/>
      <c r="BO887" s="547"/>
      <c r="BP887" s="583"/>
      <c r="BQ887" s="583"/>
      <c r="BR887" s="583"/>
      <c r="BS887" s="533"/>
      <c r="BT887" s="583"/>
      <c r="BU887" s="583"/>
      <c r="BV887" s="583"/>
      <c r="BW887" s="577"/>
      <c r="BX887" s="583"/>
      <c r="BY887" s="583"/>
      <c r="BZ887" s="583"/>
      <c r="CA887" s="533"/>
      <c r="CB887" s="583">
        <f>CB945</f>
        <v>0</v>
      </c>
      <c r="CC887" s="583">
        <f>CC945</f>
        <v>0</v>
      </c>
      <c r="CD887" s="583">
        <f>CD945</f>
        <v>0</v>
      </c>
      <c r="CE887" s="533"/>
      <c r="CF887" s="914">
        <v>0</v>
      </c>
      <c r="CG887" s="914">
        <v>0</v>
      </c>
      <c r="CH887" s="583">
        <f t="shared" si="1350"/>
        <v>0</v>
      </c>
      <c r="CI887" s="533"/>
      <c r="CJ887" s="599">
        <v>-50</v>
      </c>
      <c r="CK887" s="599">
        <v>0</v>
      </c>
      <c r="CL887" s="583">
        <f t="shared" si="1351"/>
        <v>-50</v>
      </c>
      <c r="CM887" s="533"/>
      <c r="CN887" s="599">
        <v>0</v>
      </c>
      <c r="CO887" s="599">
        <v>0</v>
      </c>
      <c r="CP887" s="583">
        <f t="shared" si="1355"/>
        <v>0</v>
      </c>
      <c r="CQ887" s="325"/>
      <c r="CR887" s="599">
        <v>0</v>
      </c>
      <c r="CS887" s="599">
        <v>0</v>
      </c>
      <c r="CT887" s="583">
        <f t="shared" si="1356"/>
        <v>0</v>
      </c>
      <c r="CU887" s="325"/>
      <c r="CV887" s="599">
        <v>0</v>
      </c>
      <c r="CW887" s="599">
        <v>0</v>
      </c>
      <c r="CX887" s="583">
        <f t="shared" si="1357"/>
        <v>0</v>
      </c>
      <c r="CY887" s="325"/>
      <c r="CZ887" s="599">
        <v>0</v>
      </c>
      <c r="DA887" s="599">
        <v>0</v>
      </c>
      <c r="DB887" s="583">
        <f t="shared" si="1358"/>
        <v>0</v>
      </c>
      <c r="DC887" s="325"/>
      <c r="DD887" s="599">
        <v>0</v>
      </c>
      <c r="DE887" s="701">
        <v>-97</v>
      </c>
      <c r="DF887" s="583">
        <f t="shared" si="1359"/>
        <v>-97</v>
      </c>
      <c r="DG887" s="325"/>
      <c r="DH887" s="599">
        <v>0</v>
      </c>
      <c r="DI887" s="599">
        <v>0</v>
      </c>
      <c r="DJ887" s="583">
        <f>+DI887+DH887</f>
        <v>0</v>
      </c>
      <c r="DK887" s="325"/>
      <c r="DL887" s="599">
        <v>0</v>
      </c>
      <c r="DM887" s="599">
        <v>0</v>
      </c>
      <c r="DN887" s="583">
        <f>+DM887+DL887</f>
        <v>0</v>
      </c>
      <c r="DO887" s="325"/>
      <c r="DP887" s="599">
        <v>0</v>
      </c>
      <c r="DQ887" s="599">
        <v>0</v>
      </c>
      <c r="DR887" s="583">
        <f>+DQ887+DP887</f>
        <v>0</v>
      </c>
      <c r="DS887" s="325"/>
      <c r="DT887" s="325"/>
      <c r="DU887" s="325"/>
      <c r="DV887" s="325"/>
    </row>
    <row r="888" spans="1:126" s="20" customFormat="1" ht="13.8">
      <c r="A888" s="533" t="s">
        <v>968</v>
      </c>
      <c r="B888" s="547"/>
      <c r="C888" s="533"/>
      <c r="D888" s="533"/>
      <c r="E888" s="533"/>
      <c r="F888" s="533"/>
      <c r="G888" s="533"/>
      <c r="H888" s="533"/>
      <c r="I888" s="533"/>
      <c r="J888" s="533"/>
      <c r="K888" s="533"/>
      <c r="L888" s="533"/>
      <c r="M888" s="533"/>
      <c r="N888" s="533"/>
      <c r="O888" s="533"/>
      <c r="P888" s="533"/>
      <c r="Q888" s="533"/>
      <c r="R888" s="533"/>
      <c r="S888" s="533"/>
      <c r="T888" s="533"/>
      <c r="U888" s="533"/>
      <c r="V888" s="533"/>
      <c r="W888" s="533"/>
      <c r="X888" s="533"/>
      <c r="Y888" s="533"/>
      <c r="Z888" s="533"/>
      <c r="AA888" s="533"/>
      <c r="AB888" s="533"/>
      <c r="AC888" s="533"/>
      <c r="AD888" s="533"/>
      <c r="AE888" s="533"/>
      <c r="AF888" s="533"/>
      <c r="AG888" s="533"/>
      <c r="AH888" s="533"/>
      <c r="AI888" s="533"/>
      <c r="AJ888" s="533"/>
      <c r="AK888" s="533"/>
      <c r="AL888" s="533"/>
      <c r="AM888" s="533"/>
      <c r="AN888" s="533"/>
      <c r="AO888" s="533"/>
      <c r="AP888" s="533"/>
      <c r="AQ888" s="533"/>
      <c r="AR888" s="533"/>
      <c r="AS888" s="533"/>
      <c r="AT888" s="533"/>
      <c r="AU888" s="533"/>
      <c r="AV888" s="533"/>
      <c r="AW888" s="533"/>
      <c r="AX888" s="533"/>
      <c r="AY888" s="533"/>
      <c r="AZ888" s="533"/>
      <c r="BA888" s="533"/>
      <c r="BB888" s="533"/>
      <c r="BC888" s="533"/>
      <c r="BD888" s="533"/>
      <c r="BE888" s="533"/>
      <c r="BF888" s="533"/>
      <c r="BG888" s="533"/>
      <c r="BH888" s="547"/>
      <c r="BI888" s="547"/>
      <c r="BJ888" s="547"/>
      <c r="BK888" s="547"/>
      <c r="BL888" s="547"/>
      <c r="BM888" s="547"/>
      <c r="BN888" s="547"/>
      <c r="BO888" s="547"/>
      <c r="BP888" s="583"/>
      <c r="BQ888" s="583"/>
      <c r="BR888" s="583"/>
      <c r="BS888" s="533"/>
      <c r="BT888" s="583"/>
      <c r="BU888" s="583"/>
      <c r="BV888" s="583"/>
      <c r="BW888" s="577"/>
      <c r="BX888" s="583"/>
      <c r="BY888" s="583"/>
      <c r="BZ888" s="583"/>
      <c r="CA888" s="533"/>
      <c r="CB888" s="583">
        <f>CB946</f>
        <v>0</v>
      </c>
      <c r="CC888" s="583">
        <f t="shared" ref="CC888:CD888" si="1363">CC946</f>
        <v>-10</v>
      </c>
      <c r="CD888" s="583">
        <f t="shared" si="1363"/>
        <v>-10</v>
      </c>
      <c r="CE888" s="533"/>
      <c r="CF888" s="701">
        <v>0</v>
      </c>
      <c r="CG888" s="701">
        <v>0</v>
      </c>
      <c r="CH888" s="583">
        <f t="shared" si="1350"/>
        <v>0</v>
      </c>
      <c r="CI888" s="533"/>
      <c r="CJ888" s="701">
        <v>0</v>
      </c>
      <c r="CK888" s="701">
        <v>-6</v>
      </c>
      <c r="CL888" s="583">
        <f t="shared" si="1351"/>
        <v>-6</v>
      </c>
      <c r="CM888" s="533"/>
      <c r="CN888" s="701">
        <v>0</v>
      </c>
      <c r="CO888" s="701">
        <v>0</v>
      </c>
      <c r="CP888" s="583">
        <f t="shared" si="1355"/>
        <v>0</v>
      </c>
      <c r="CQ888" s="533"/>
      <c r="CR888" s="701">
        <v>0</v>
      </c>
      <c r="CS888" s="701">
        <v>-12</v>
      </c>
      <c r="CT888" s="583">
        <f t="shared" si="1356"/>
        <v>-12</v>
      </c>
      <c r="CU888" s="533"/>
      <c r="CV888" s="701">
        <v>0</v>
      </c>
      <c r="CW888" s="701">
        <v>0</v>
      </c>
      <c r="CX888" s="583">
        <f t="shared" si="1357"/>
        <v>0</v>
      </c>
      <c r="CY888" s="533"/>
      <c r="CZ888" s="701">
        <v>0</v>
      </c>
      <c r="DA888" s="701">
        <v>0</v>
      </c>
      <c r="DB888" s="583">
        <f t="shared" si="1358"/>
        <v>0</v>
      </c>
      <c r="DC888" s="533"/>
      <c r="DD888" s="701">
        <v>0</v>
      </c>
      <c r="DE888" s="701">
        <v>0</v>
      </c>
      <c r="DF888" s="547">
        <f t="shared" si="1359"/>
        <v>0</v>
      </c>
      <c r="DG888" s="533"/>
      <c r="DH888" s="701">
        <v>0</v>
      </c>
      <c r="DI888" s="701">
        <v>0</v>
      </c>
      <c r="DJ888" s="547">
        <f>+DH888+DI888</f>
        <v>0</v>
      </c>
      <c r="DK888" s="533"/>
      <c r="DL888" s="701">
        <v>0</v>
      </c>
      <c r="DM888" s="701">
        <v>0</v>
      </c>
      <c r="DN888" s="547">
        <f>+DL888+DM888</f>
        <v>0</v>
      </c>
      <c r="DO888" s="533"/>
      <c r="DP888" s="701">
        <v>0</v>
      </c>
      <c r="DQ888" s="701">
        <v>0</v>
      </c>
      <c r="DR888" s="547">
        <f>+DP888+DQ888</f>
        <v>0</v>
      </c>
      <c r="DS888" s="533"/>
      <c r="DT888" s="533"/>
      <c r="DU888" s="533"/>
      <c r="DV888" s="533"/>
    </row>
    <row r="889" spans="1:126" s="20" customFormat="1" ht="13.8">
      <c r="A889" s="533" t="s">
        <v>933</v>
      </c>
      <c r="B889" s="547"/>
      <c r="C889" s="533"/>
      <c r="D889" s="533"/>
      <c r="E889" s="533"/>
      <c r="F889" s="533"/>
      <c r="G889" s="533"/>
      <c r="H889" s="533"/>
      <c r="I889" s="533"/>
      <c r="J889" s="533"/>
      <c r="K889" s="533"/>
      <c r="L889" s="533"/>
      <c r="M889" s="533"/>
      <c r="N889" s="533"/>
      <c r="O889" s="533"/>
      <c r="P889" s="533"/>
      <c r="Q889" s="533"/>
      <c r="R889" s="533"/>
      <c r="S889" s="533"/>
      <c r="T889" s="533"/>
      <c r="U889" s="533"/>
      <c r="V889" s="533"/>
      <c r="W889" s="533"/>
      <c r="X889" s="533"/>
      <c r="Y889" s="533"/>
      <c r="Z889" s="533"/>
      <c r="AA889" s="533"/>
      <c r="AB889" s="533"/>
      <c r="AC889" s="533"/>
      <c r="AD889" s="533"/>
      <c r="AE889" s="533"/>
      <c r="AF889" s="533"/>
      <c r="AG889" s="533"/>
      <c r="AH889" s="533"/>
      <c r="AI889" s="533"/>
      <c r="AJ889" s="533"/>
      <c r="AK889" s="533"/>
      <c r="AL889" s="533"/>
      <c r="AM889" s="533"/>
      <c r="AN889" s="533"/>
      <c r="AO889" s="533"/>
      <c r="AP889" s="533"/>
      <c r="AQ889" s="533"/>
      <c r="AR889" s="533"/>
      <c r="AS889" s="533"/>
      <c r="AT889" s="533"/>
      <c r="AU889" s="533"/>
      <c r="AV889" s="533"/>
      <c r="AW889" s="533"/>
      <c r="AX889" s="533"/>
      <c r="AY889" s="533"/>
      <c r="AZ889" s="533"/>
      <c r="BA889" s="533"/>
      <c r="BB889" s="533"/>
      <c r="BC889" s="533"/>
      <c r="BD889" s="533"/>
      <c r="BE889" s="533"/>
      <c r="BF889" s="533"/>
      <c r="BG889" s="533"/>
      <c r="BH889" s="547"/>
      <c r="BI889" s="547"/>
      <c r="BJ889" s="547"/>
      <c r="BK889" s="547"/>
      <c r="BL889" s="547"/>
      <c r="BM889" s="547"/>
      <c r="BN889" s="547"/>
      <c r="BO889" s="547"/>
      <c r="BP889" s="583"/>
      <c r="BQ889" s="583"/>
      <c r="BR889" s="583"/>
      <c r="BS889" s="533"/>
      <c r="BT889" s="583"/>
      <c r="BU889" s="583"/>
      <c r="BV889" s="583"/>
      <c r="BW889" s="577"/>
      <c r="BX889" s="583"/>
      <c r="BY889" s="583"/>
      <c r="BZ889" s="583"/>
      <c r="CA889" s="533"/>
      <c r="CB889" s="583">
        <f t="shared" ref="CB889:CD889" si="1364">CB947</f>
        <v>-60</v>
      </c>
      <c r="CC889" s="583">
        <f t="shared" si="1364"/>
        <v>-44</v>
      </c>
      <c r="CD889" s="583">
        <f t="shared" si="1364"/>
        <v>-132</v>
      </c>
      <c r="CE889" s="533"/>
      <c r="CF889" s="701">
        <v>-25</v>
      </c>
      <c r="CG889" s="701">
        <f>-19</f>
        <v>-19</v>
      </c>
      <c r="CH889" s="583">
        <f t="shared" si="1350"/>
        <v>-44</v>
      </c>
      <c r="CI889" s="533"/>
      <c r="CJ889" s="701">
        <v>-18</v>
      </c>
      <c r="CK889" s="701">
        <v>-16</v>
      </c>
      <c r="CL889" s="583">
        <f t="shared" si="1351"/>
        <v>-34</v>
      </c>
      <c r="CM889" s="533"/>
      <c r="CN889" s="701">
        <v>0</v>
      </c>
      <c r="CO889" s="701">
        <v>0</v>
      </c>
      <c r="CP889" s="583">
        <f t="shared" si="1355"/>
        <v>0</v>
      </c>
      <c r="CQ889" s="533"/>
      <c r="CR889" s="701">
        <v>-59</v>
      </c>
      <c r="CS889" s="701">
        <v>-10</v>
      </c>
      <c r="CT889" s="583">
        <f t="shared" si="1356"/>
        <v>-69</v>
      </c>
      <c r="CU889" s="533"/>
      <c r="CV889" s="701">
        <v>-56</v>
      </c>
      <c r="CW889" s="701">
        <v>-72</v>
      </c>
      <c r="CX889" s="583">
        <f t="shared" si="1357"/>
        <v>-128</v>
      </c>
      <c r="CY889" s="533"/>
      <c r="CZ889" s="701">
        <v>0</v>
      </c>
      <c r="DA889" s="701">
        <v>0</v>
      </c>
      <c r="DB889" s="583">
        <f t="shared" si="1358"/>
        <v>0</v>
      </c>
      <c r="DC889" s="533"/>
      <c r="DD889" s="701">
        <v>0</v>
      </c>
      <c r="DE889" s="701">
        <v>-78</v>
      </c>
      <c r="DF889" s="547">
        <f t="shared" si="1359"/>
        <v>-78</v>
      </c>
      <c r="DG889" s="533"/>
      <c r="DH889" s="701">
        <v>0</v>
      </c>
      <c r="DI889" s="701">
        <v>0</v>
      </c>
      <c r="DJ889" s="547">
        <f>+DH889+DI889</f>
        <v>0</v>
      </c>
      <c r="DK889" s="533"/>
      <c r="DL889" s="701">
        <v>0</v>
      </c>
      <c r="DM889" s="701">
        <v>0</v>
      </c>
      <c r="DN889" s="547">
        <f>+DL889+DM889</f>
        <v>0</v>
      </c>
      <c r="DO889" s="533"/>
      <c r="DP889" s="701">
        <v>0</v>
      </c>
      <c r="DQ889" s="701">
        <v>0</v>
      </c>
      <c r="DR889" s="547">
        <f>+DP889+DQ889</f>
        <v>0</v>
      </c>
      <c r="DS889" s="533"/>
      <c r="DT889" s="533"/>
      <c r="DU889" s="533"/>
      <c r="DV889" s="533"/>
    </row>
    <row r="890" spans="1:126" s="20" customFormat="1" ht="13.8">
      <c r="A890" s="533" t="s">
        <v>803</v>
      </c>
      <c r="B890" s="547"/>
      <c r="C890" s="533"/>
      <c r="D890" s="533"/>
      <c r="E890" s="533"/>
      <c r="F890" s="533"/>
      <c r="G890" s="533"/>
      <c r="H890" s="533"/>
      <c r="I890" s="533"/>
      <c r="J890" s="533"/>
      <c r="K890" s="533"/>
      <c r="L890" s="533"/>
      <c r="M890" s="533"/>
      <c r="N890" s="533"/>
      <c r="O890" s="533"/>
      <c r="P890" s="533"/>
      <c r="Q890" s="533"/>
      <c r="R890" s="533"/>
      <c r="S890" s="533"/>
      <c r="T890" s="533"/>
      <c r="U890" s="533"/>
      <c r="V890" s="533"/>
      <c r="W890" s="533"/>
      <c r="X890" s="533"/>
      <c r="Y890" s="533"/>
      <c r="Z890" s="533"/>
      <c r="AA890" s="533"/>
      <c r="AB890" s="533"/>
      <c r="AC890" s="533"/>
      <c r="AD890" s="533"/>
      <c r="AE890" s="533"/>
      <c r="AF890" s="533"/>
      <c r="AG890" s="533"/>
      <c r="AH890" s="533"/>
      <c r="AI890" s="533"/>
      <c r="AJ890" s="533"/>
      <c r="AK890" s="533"/>
      <c r="AL890" s="533"/>
      <c r="AM890" s="533"/>
      <c r="AN890" s="533"/>
      <c r="AO890" s="533"/>
      <c r="AP890" s="533"/>
      <c r="AQ890" s="533"/>
      <c r="AR890" s="533"/>
      <c r="AS890" s="533"/>
      <c r="AT890" s="533"/>
      <c r="AU890" s="533"/>
      <c r="AV890" s="533"/>
      <c r="AW890" s="533"/>
      <c r="AX890" s="533"/>
      <c r="AY890" s="533"/>
      <c r="AZ890" s="533"/>
      <c r="BA890" s="533"/>
      <c r="BB890" s="533"/>
      <c r="BC890" s="533"/>
      <c r="BD890" s="533"/>
      <c r="BE890" s="533"/>
      <c r="BF890" s="533"/>
      <c r="BG890" s="533"/>
      <c r="BH890" s="547"/>
      <c r="BI890" s="547"/>
      <c r="BJ890" s="547"/>
      <c r="BK890" s="547"/>
      <c r="BL890" s="547"/>
      <c r="BM890" s="547"/>
      <c r="BN890" s="547"/>
      <c r="BO890" s="547"/>
      <c r="BP890" s="583"/>
      <c r="BQ890" s="583"/>
      <c r="BR890" s="583"/>
      <c r="BS890" s="533"/>
      <c r="BT890" s="583"/>
      <c r="BU890" s="583"/>
      <c r="BV890" s="583"/>
      <c r="BW890" s="577"/>
      <c r="BX890" s="583"/>
      <c r="BY890" s="583"/>
      <c r="BZ890" s="583"/>
      <c r="CA890" s="533"/>
      <c r="CB890" s="583">
        <f t="shared" ref="CB890:CD890" si="1365">CB948</f>
        <v>0</v>
      </c>
      <c r="CC890" s="583">
        <f t="shared" si="1365"/>
        <v>0</v>
      </c>
      <c r="CD890" s="583">
        <f t="shared" si="1365"/>
        <v>0</v>
      </c>
      <c r="CE890" s="533"/>
      <c r="CF890" s="701">
        <v>0</v>
      </c>
      <c r="CG890" s="701">
        <v>0</v>
      </c>
      <c r="CH890" s="583">
        <f t="shared" si="1350"/>
        <v>0</v>
      </c>
      <c r="CI890" s="533"/>
      <c r="CJ890" s="701">
        <v>0</v>
      </c>
      <c r="CK890" s="701">
        <v>0</v>
      </c>
      <c r="CL890" s="583">
        <f t="shared" si="1351"/>
        <v>0</v>
      </c>
      <c r="CM890" s="533"/>
      <c r="CN890" s="701">
        <v>0</v>
      </c>
      <c r="CO890" s="701">
        <v>0</v>
      </c>
      <c r="CP890" s="583">
        <f t="shared" si="1355"/>
        <v>0</v>
      </c>
      <c r="CQ890" s="533"/>
      <c r="CR890" s="701">
        <v>0</v>
      </c>
      <c r="CS890" s="701">
        <v>0</v>
      </c>
      <c r="CT890" s="583">
        <f t="shared" si="1356"/>
        <v>0</v>
      </c>
      <c r="CU890" s="533"/>
      <c r="CV890" s="701">
        <v>0</v>
      </c>
      <c r="CW890" s="701">
        <v>0</v>
      </c>
      <c r="CX890" s="583">
        <f t="shared" si="1357"/>
        <v>0</v>
      </c>
      <c r="CY890" s="533"/>
      <c r="CZ890" s="701">
        <v>0</v>
      </c>
      <c r="DA890" s="701">
        <v>0</v>
      </c>
      <c r="DB890" s="583">
        <f t="shared" si="1358"/>
        <v>0</v>
      </c>
      <c r="DC890" s="533"/>
      <c r="DD890" s="701">
        <v>0</v>
      </c>
      <c r="DE890" s="701">
        <v>0</v>
      </c>
      <c r="DF890" s="547">
        <f t="shared" si="1359"/>
        <v>0</v>
      </c>
      <c r="DG890" s="533"/>
      <c r="DH890" s="701">
        <v>0</v>
      </c>
      <c r="DI890" s="701">
        <v>0</v>
      </c>
      <c r="DJ890" s="547">
        <f>+DH890+DI890</f>
        <v>0</v>
      </c>
      <c r="DK890" s="533"/>
      <c r="DL890" s="701">
        <v>0</v>
      </c>
      <c r="DM890" s="701">
        <v>0</v>
      </c>
      <c r="DN890" s="547">
        <f>+DL890+DM890</f>
        <v>0</v>
      </c>
      <c r="DO890" s="533"/>
      <c r="DP890" s="701">
        <v>0</v>
      </c>
      <c r="DQ890" s="701">
        <v>0</v>
      </c>
      <c r="DR890" s="547">
        <f>+DP890+DQ890</f>
        <v>0</v>
      </c>
      <c r="DS890" s="533"/>
      <c r="DT890" s="533"/>
      <c r="DU890" s="533"/>
      <c r="DV890" s="533"/>
    </row>
    <row r="891" spans="1:126" s="20" customFormat="1" ht="13.8">
      <c r="A891" s="533" t="s">
        <v>1017</v>
      </c>
      <c r="B891" s="547"/>
      <c r="C891" s="533"/>
      <c r="D891" s="533"/>
      <c r="E891" s="533"/>
      <c r="F891" s="533"/>
      <c r="G891" s="533"/>
      <c r="H891" s="533"/>
      <c r="I891" s="533"/>
      <c r="J891" s="533"/>
      <c r="K891" s="533"/>
      <c r="L891" s="533"/>
      <c r="M891" s="533"/>
      <c r="N891" s="533"/>
      <c r="O891" s="533"/>
      <c r="P891" s="533"/>
      <c r="Q891" s="533"/>
      <c r="R891" s="533"/>
      <c r="S891" s="533"/>
      <c r="T891" s="533"/>
      <c r="U891" s="533"/>
      <c r="V891" s="533"/>
      <c r="W891" s="533"/>
      <c r="X891" s="533"/>
      <c r="Y891" s="533"/>
      <c r="Z891" s="533"/>
      <c r="AA891" s="533"/>
      <c r="AB891" s="533"/>
      <c r="AC891" s="533"/>
      <c r="AD891" s="533"/>
      <c r="AE891" s="533"/>
      <c r="AF891" s="533"/>
      <c r="AG891" s="533"/>
      <c r="AH891" s="533"/>
      <c r="AI891" s="533"/>
      <c r="AJ891" s="533"/>
      <c r="AK891" s="533"/>
      <c r="AL891" s="533"/>
      <c r="AM891" s="533"/>
      <c r="AN891" s="533"/>
      <c r="AO891" s="533"/>
      <c r="AP891" s="533"/>
      <c r="AQ891" s="533"/>
      <c r="AR891" s="533"/>
      <c r="AS891" s="533"/>
      <c r="AT891" s="533"/>
      <c r="AU891" s="533"/>
      <c r="AV891" s="533"/>
      <c r="AW891" s="533"/>
      <c r="AX891" s="533"/>
      <c r="AY891" s="533"/>
      <c r="AZ891" s="533"/>
      <c r="BA891" s="533"/>
      <c r="BB891" s="533"/>
      <c r="BC891" s="533"/>
      <c r="BD891" s="533"/>
      <c r="BE891" s="533"/>
      <c r="BF891" s="533"/>
      <c r="BG891" s="533"/>
      <c r="BH891" s="547"/>
      <c r="BI891" s="547"/>
      <c r="BJ891" s="547"/>
      <c r="BK891" s="547"/>
      <c r="BL891" s="547"/>
      <c r="BM891" s="547"/>
      <c r="BN891" s="547"/>
      <c r="BO891" s="547"/>
      <c r="BP891" s="583"/>
      <c r="BQ891" s="583"/>
      <c r="BR891" s="583"/>
      <c r="BS891" s="533"/>
      <c r="BT891" s="583"/>
      <c r="BU891" s="583"/>
      <c r="BV891" s="583"/>
      <c r="BW891" s="577"/>
      <c r="BX891" s="583"/>
      <c r="BY891" s="583"/>
      <c r="BZ891" s="583"/>
      <c r="CA891" s="533"/>
      <c r="CB891" s="583">
        <f t="shared" ref="CB891:CD891" si="1366">CB949</f>
        <v>0</v>
      </c>
      <c r="CC891" s="583">
        <f t="shared" si="1366"/>
        <v>0</v>
      </c>
      <c r="CD891" s="583">
        <f t="shared" si="1366"/>
        <v>0</v>
      </c>
      <c r="CE891" s="533"/>
      <c r="CF891" s="701"/>
      <c r="CG891" s="701"/>
      <c r="CH891" s="583">
        <f t="shared" si="1350"/>
        <v>0</v>
      </c>
      <c r="CI891" s="533"/>
      <c r="CJ891" s="701">
        <v>0</v>
      </c>
      <c r="CK891" s="701">
        <v>-77</v>
      </c>
      <c r="CL891" s="583">
        <f t="shared" si="1351"/>
        <v>-77</v>
      </c>
      <c r="CM891" s="533"/>
      <c r="CN891" s="701">
        <v>0</v>
      </c>
      <c r="CO891" s="701">
        <v>0</v>
      </c>
      <c r="CP891" s="583">
        <f t="shared" si="1355"/>
        <v>0</v>
      </c>
      <c r="CQ891" s="533"/>
      <c r="CR891" s="701">
        <v>0</v>
      </c>
      <c r="CS891" s="701">
        <v>0</v>
      </c>
      <c r="CT891" s="583">
        <f t="shared" si="1356"/>
        <v>0</v>
      </c>
      <c r="CU891" s="533"/>
      <c r="CV891" s="701">
        <v>0</v>
      </c>
      <c r="CW891" s="701">
        <v>0</v>
      </c>
      <c r="CX891" s="583">
        <f t="shared" si="1357"/>
        <v>0</v>
      </c>
      <c r="CY891" s="533"/>
      <c r="CZ891" s="701">
        <v>0</v>
      </c>
      <c r="DA891" s="701">
        <v>0</v>
      </c>
      <c r="DB891" s="583">
        <f t="shared" si="1358"/>
        <v>0</v>
      </c>
      <c r="DC891" s="533"/>
      <c r="DD891" s="701">
        <v>0</v>
      </c>
      <c r="DE891" s="701">
        <v>0</v>
      </c>
      <c r="DF891" s="547">
        <f t="shared" si="1359"/>
        <v>0</v>
      </c>
      <c r="DG891" s="533"/>
      <c r="DH891" s="701">
        <v>0</v>
      </c>
      <c r="DI891" s="701">
        <v>0</v>
      </c>
      <c r="DJ891" s="547">
        <f>+DH891+DI891</f>
        <v>0</v>
      </c>
      <c r="DK891" s="533"/>
      <c r="DL891" s="701">
        <v>0</v>
      </c>
      <c r="DM891" s="701">
        <v>0</v>
      </c>
      <c r="DN891" s="547">
        <f>+DL891+DM891</f>
        <v>0</v>
      </c>
      <c r="DO891" s="533"/>
      <c r="DP891" s="701">
        <v>0</v>
      </c>
      <c r="DQ891" s="701">
        <v>0</v>
      </c>
      <c r="DR891" s="547">
        <f>+DP891+DQ891</f>
        <v>0</v>
      </c>
      <c r="DS891" s="533"/>
      <c r="DT891" s="533"/>
      <c r="DU891" s="533"/>
      <c r="DV891" s="533"/>
    </row>
    <row r="892" spans="1:126" s="20" customFormat="1" ht="13.8">
      <c r="A892" s="21" t="s">
        <v>529</v>
      </c>
      <c r="B892" s="27"/>
      <c r="C892" s="21"/>
      <c r="D892" s="21"/>
      <c r="E892" s="21"/>
      <c r="F892" s="21"/>
      <c r="G892" s="21"/>
      <c r="H892" s="21"/>
      <c r="I892" s="21"/>
      <c r="J892" s="21"/>
      <c r="K892" s="21"/>
      <c r="L892" s="21"/>
      <c r="M892" s="21"/>
      <c r="N892" s="21"/>
      <c r="O892" s="21"/>
      <c r="P892" s="21"/>
      <c r="Q892" s="21"/>
      <c r="R892" s="21"/>
      <c r="S892" s="21"/>
      <c r="T892" s="21"/>
      <c r="U892" s="21"/>
      <c r="V892" s="21"/>
      <c r="W892" s="21"/>
      <c r="X892" s="21"/>
      <c r="Y892" s="21"/>
      <c r="Z892" s="21"/>
      <c r="AA892" s="21"/>
      <c r="AB892" s="21"/>
      <c r="AC892" s="21"/>
      <c r="AD892" s="21"/>
      <c r="AE892" s="21"/>
      <c r="AF892" s="21"/>
      <c r="AG892" s="21"/>
      <c r="AH892" s="21"/>
      <c r="AI892" s="21"/>
      <c r="AJ892" s="21"/>
      <c r="AK892" s="21"/>
      <c r="AL892" s="21"/>
      <c r="AM892" s="21"/>
      <c r="AN892" s="21"/>
      <c r="AO892" s="21"/>
      <c r="AP892" s="21"/>
      <c r="AQ892" s="21"/>
      <c r="AR892" s="21"/>
      <c r="AS892" s="21"/>
      <c r="AT892" s="21"/>
      <c r="AU892" s="21"/>
      <c r="AV892" s="21"/>
      <c r="AW892" s="21"/>
      <c r="AX892" s="21"/>
      <c r="AY892" s="21"/>
      <c r="AZ892" s="21"/>
      <c r="BA892" s="21"/>
      <c r="BB892" s="21"/>
      <c r="BC892" s="21"/>
      <c r="BD892" s="21"/>
      <c r="BE892" s="21"/>
      <c r="BF892" s="21"/>
      <c r="BG892" s="21"/>
      <c r="BH892" s="27"/>
      <c r="BI892" s="27"/>
      <c r="BJ892" s="27"/>
      <c r="BK892" s="27"/>
      <c r="BL892" s="27"/>
      <c r="BM892" s="27"/>
      <c r="BN892" s="27"/>
      <c r="BO892" s="27"/>
      <c r="BP892" s="72">
        <f ca="1">SUM(BP883:BP891)</f>
        <v>-10</v>
      </c>
      <c r="BQ892" s="72">
        <f t="shared" ref="BQ892" ca="1" si="1367">SUM(BQ883:BQ891)</f>
        <v>-21</v>
      </c>
      <c r="BR892" s="72">
        <f t="shared" ref="BR892" ca="1" si="1368">SUM(BR883:BR891)</f>
        <v>-31</v>
      </c>
      <c r="BS892" s="21"/>
      <c r="BT892" s="72">
        <f>SUM(BT883:BT891)</f>
        <v>-694</v>
      </c>
      <c r="BU892" s="72">
        <f t="shared" ref="BU892" si="1369">SUM(BU883:BU891)</f>
        <v>-140</v>
      </c>
      <c r="BV892" s="72">
        <f t="shared" ref="BV892" si="1370">SUM(BV883:BV891)</f>
        <v>-834</v>
      </c>
      <c r="BW892" s="79"/>
      <c r="BX892" s="72">
        <f>SUM(BX883:BX891)</f>
        <v>-36</v>
      </c>
      <c r="BY892" s="72">
        <f t="shared" ref="BY892" si="1371">SUM(BY883:BY891)</f>
        <v>-26</v>
      </c>
      <c r="BZ892" s="72">
        <f t="shared" ref="BZ892" si="1372">SUM(BZ883:BZ891)</f>
        <v>-62</v>
      </c>
      <c r="CA892" s="21"/>
      <c r="CB892" s="72">
        <f>SUM(CB883:CB891)</f>
        <v>-189</v>
      </c>
      <c r="CC892" s="72">
        <f t="shared" ref="CC892:CD892" si="1373">SUM(CC883:CC891)</f>
        <v>-649</v>
      </c>
      <c r="CD892" s="72">
        <f t="shared" si="1373"/>
        <v>-866</v>
      </c>
      <c r="CE892" s="21"/>
      <c r="CF892" s="72">
        <f>SUM(CF883:CF891)</f>
        <v>-125</v>
      </c>
      <c r="CG892" s="72">
        <f t="shared" ref="CG892" si="1374">SUM(CG883:CG891)</f>
        <v>-384</v>
      </c>
      <c r="CH892" s="72">
        <f t="shared" ref="CH892" si="1375">SUM(CH883:CH891)</f>
        <v>-428</v>
      </c>
      <c r="CI892" s="21"/>
      <c r="CJ892" s="72">
        <f>SUM(CJ883:CJ891)</f>
        <v>-244</v>
      </c>
      <c r="CK892" s="72">
        <f t="shared" ref="CK892" si="1376">SUM(CK883:CK891)</f>
        <v>-490</v>
      </c>
      <c r="CL892" s="72">
        <f t="shared" ref="CL892:CO892" si="1377">SUM(CL883:CL891)</f>
        <v>-522</v>
      </c>
      <c r="CM892" s="21"/>
      <c r="CN892" s="72">
        <f t="shared" si="1377"/>
        <v>-266</v>
      </c>
      <c r="CO892" s="72">
        <f t="shared" si="1377"/>
        <v>-115</v>
      </c>
      <c r="CP892" s="72">
        <f t="shared" ref="CP892" si="1378">SUM(CP883:CP891)</f>
        <v>-381</v>
      </c>
      <c r="CQ892" s="21"/>
      <c r="CR892" s="72">
        <f t="shared" ref="CR892" si="1379">SUM(CR883:CR891)</f>
        <v>-247</v>
      </c>
      <c r="CS892" s="72">
        <f t="shared" ref="CS892:CT892" si="1380">SUM(CS883:CS891)</f>
        <v>-162</v>
      </c>
      <c r="CT892" s="72">
        <f t="shared" si="1380"/>
        <v>-409</v>
      </c>
      <c r="CU892" s="21"/>
      <c r="CV892" s="72">
        <f>SUM(CV883:CV891)</f>
        <v>-153</v>
      </c>
      <c r="CW892" s="72">
        <f t="shared" ref="CW892:CX892" si="1381">SUM(CW883:CW891)</f>
        <v>-268</v>
      </c>
      <c r="CX892" s="72">
        <f t="shared" si="1381"/>
        <v>-421</v>
      </c>
      <c r="CY892" s="21"/>
      <c r="CZ892" s="72">
        <f>SUM(CZ883:CZ891)</f>
        <v>-141</v>
      </c>
      <c r="DA892" s="72">
        <f t="shared" ref="DA892:DB892" si="1382">SUM(DA883:DA891)</f>
        <v>0</v>
      </c>
      <c r="DB892" s="72">
        <f t="shared" si="1382"/>
        <v>-141</v>
      </c>
      <c r="DC892" s="21"/>
      <c r="DD892" s="72">
        <f>SUM(DD883:DD891)</f>
        <v>0</v>
      </c>
      <c r="DE892" s="72">
        <f t="shared" ref="DE892:DF892" si="1383">SUM(DE883:DE891)</f>
        <v>-1031</v>
      </c>
      <c r="DF892" s="72">
        <f t="shared" si="1383"/>
        <v>-1031</v>
      </c>
      <c r="DG892" s="21"/>
      <c r="DH892" s="72">
        <f t="shared" ref="DH892:DJ892" si="1384">SUM(DH883:DH891)</f>
        <v>0</v>
      </c>
      <c r="DI892" s="72">
        <f t="shared" si="1384"/>
        <v>0</v>
      </c>
      <c r="DJ892" s="72">
        <f t="shared" si="1384"/>
        <v>0</v>
      </c>
      <c r="DK892" s="21"/>
      <c r="DL892" s="72">
        <f t="shared" ref="DL892:DN892" si="1385">SUM(DL883:DL891)</f>
        <v>0</v>
      </c>
      <c r="DM892" s="72">
        <f t="shared" si="1385"/>
        <v>0</v>
      </c>
      <c r="DN892" s="72">
        <f t="shared" si="1385"/>
        <v>0</v>
      </c>
      <c r="DO892" s="21"/>
      <c r="DP892" s="72">
        <f t="shared" ref="DP892:DR892" si="1386">SUM(DP883:DP891)</f>
        <v>0</v>
      </c>
      <c r="DQ892" s="72">
        <f t="shared" si="1386"/>
        <v>0</v>
      </c>
      <c r="DR892" s="72">
        <f t="shared" si="1386"/>
        <v>0</v>
      </c>
      <c r="DS892" s="21"/>
      <c r="DT892" s="21"/>
      <c r="DU892" s="21"/>
      <c r="DV892" s="21"/>
    </row>
    <row r="893" spans="1:126" s="20" customFormat="1" ht="13.8">
      <c r="B893" s="49"/>
      <c r="BH893" s="49"/>
      <c r="BI893" s="49"/>
      <c r="BJ893" s="49"/>
      <c r="BK893" s="49"/>
      <c r="BL893" s="49"/>
      <c r="BM893" s="49"/>
      <c r="BN893" s="49"/>
      <c r="BO893" s="49"/>
      <c r="BP893" s="49"/>
      <c r="BQ893" s="49"/>
      <c r="BR893" s="49"/>
      <c r="BT893" s="49"/>
      <c r="BU893" s="561"/>
      <c r="BV893" s="561"/>
      <c r="BW893" s="75"/>
      <c r="BX893" s="49"/>
      <c r="BY893" s="561"/>
      <c r="BZ893" s="561"/>
      <c r="CB893" s="49"/>
      <c r="CC893" s="561"/>
      <c r="CD893" s="561"/>
      <c r="CF893" s="49"/>
      <c r="CG893" s="561"/>
      <c r="CH893" s="561"/>
      <c r="CJ893" s="49"/>
      <c r="CK893" s="561"/>
      <c r="CL893" s="561"/>
      <c r="CN893" s="49"/>
      <c r="CR893" s="49"/>
      <c r="CV893" s="49"/>
      <c r="CZ893" s="49"/>
      <c r="DD893" s="49"/>
      <c r="DH893" s="49"/>
      <c r="DL893" s="49"/>
      <c r="DP893" s="49"/>
    </row>
    <row r="894" spans="1:126" s="20" customFormat="1" ht="13.8">
      <c r="A894" s="1008" t="s">
        <v>1052</v>
      </c>
      <c r="B894" s="1009"/>
      <c r="C894" s="1010"/>
      <c r="D894" s="1010"/>
      <c r="E894" s="1010"/>
      <c r="F894" s="1010"/>
      <c r="G894" s="1010"/>
      <c r="H894" s="1010"/>
      <c r="I894" s="1010"/>
      <c r="J894" s="1010"/>
      <c r="K894" s="1010"/>
      <c r="L894" s="1010"/>
      <c r="M894" s="1010"/>
      <c r="N894" s="1010"/>
      <c r="O894" s="1010"/>
      <c r="P894" s="1010"/>
      <c r="Q894" s="1010"/>
      <c r="R894" s="1010"/>
      <c r="S894" s="1010"/>
      <c r="T894" s="1010"/>
      <c r="U894" s="1010"/>
      <c r="V894" s="1010"/>
      <c r="W894" s="1010"/>
      <c r="X894" s="1010"/>
      <c r="Y894" s="1010"/>
      <c r="Z894" s="1010"/>
      <c r="AA894" s="1010"/>
      <c r="AB894" s="1010"/>
      <c r="AC894" s="1010"/>
      <c r="AD894" s="1010"/>
      <c r="AE894" s="1010"/>
      <c r="AF894" s="1010"/>
      <c r="AG894" s="1010"/>
      <c r="AH894" s="1010"/>
      <c r="AI894" s="1010"/>
      <c r="AJ894" s="1010"/>
      <c r="AK894" s="1010"/>
      <c r="AL894" s="1010"/>
      <c r="AM894" s="1010"/>
      <c r="AN894" s="1010"/>
      <c r="AO894" s="1010"/>
      <c r="AP894" s="1010"/>
      <c r="AQ894" s="1010"/>
      <c r="AR894" s="1010"/>
      <c r="AS894" s="1010"/>
      <c r="AT894" s="1010"/>
      <c r="AU894" s="1010"/>
      <c r="AV894" s="1010"/>
      <c r="AW894" s="1010"/>
      <c r="AX894" s="1010"/>
      <c r="AY894" s="1010"/>
      <c r="AZ894" s="1010"/>
      <c r="BA894" s="1010"/>
      <c r="BB894" s="1010"/>
      <c r="BC894" s="1010"/>
      <c r="BD894" s="1010"/>
      <c r="BE894" s="1010"/>
      <c r="BF894" s="1010"/>
      <c r="BG894" s="1010"/>
      <c r="BH894" s="1009"/>
      <c r="BI894" s="1009"/>
      <c r="BJ894" s="1009"/>
      <c r="BK894" s="1009"/>
      <c r="BL894" s="1009"/>
      <c r="BM894" s="1009"/>
      <c r="BN894" s="1009"/>
      <c r="BO894" s="1009"/>
      <c r="BP894" s="1009"/>
      <c r="BQ894" s="1009"/>
      <c r="BR894" s="1009"/>
      <c r="BS894" s="1010"/>
      <c r="BT894" s="1009"/>
      <c r="BU894" s="1011"/>
      <c r="BV894" s="1011"/>
      <c r="BW894" s="1012"/>
      <c r="BX894" s="1009"/>
      <c r="BY894" s="1011"/>
      <c r="BZ894" s="1011"/>
      <c r="CA894" s="1010"/>
      <c r="CB894" s="1009"/>
      <c r="CC894" s="1011"/>
      <c r="CD894" s="1011"/>
      <c r="CE894" s="1010"/>
      <c r="CF894" s="1009"/>
      <c r="CG894" s="1011"/>
      <c r="CH894" s="1011"/>
      <c r="CI894" s="1010"/>
      <c r="CJ894" s="1009"/>
      <c r="CK894" s="1011"/>
      <c r="CL894" s="1011"/>
      <c r="CM894" s="1010"/>
      <c r="CN894" s="1009"/>
      <c r="CO894" s="1010"/>
      <c r="CP894" s="1010"/>
      <c r="CQ894" s="1010"/>
      <c r="CR894" s="1009"/>
      <c r="CS894" s="1010"/>
      <c r="CT894" s="1010"/>
      <c r="CU894" s="1010"/>
      <c r="CV894" s="1009"/>
      <c r="CW894" s="1010"/>
      <c r="CX894" s="1010"/>
      <c r="CY894" s="1010"/>
      <c r="CZ894" s="1009"/>
      <c r="DA894" s="1010"/>
      <c r="DB894" s="1010"/>
      <c r="DC894" s="1010"/>
      <c r="DD894" s="1009"/>
      <c r="DE894" s="1010"/>
      <c r="DF894" s="1010"/>
      <c r="DG894" s="1010"/>
      <c r="DH894" s="1009"/>
      <c r="DI894" s="1010"/>
      <c r="DJ894" s="1010"/>
      <c r="DK894" s="1010"/>
      <c r="DL894" s="1009"/>
      <c r="DM894" s="1010"/>
      <c r="DN894" s="1010"/>
      <c r="DO894" s="1010"/>
      <c r="DP894" s="1009"/>
      <c r="DQ894" s="1010"/>
      <c r="DR894" s="1010"/>
      <c r="DS894" s="1010"/>
      <c r="DT894" s="1540"/>
      <c r="DU894" s="1540"/>
      <c r="DV894" s="1010"/>
    </row>
    <row r="895" spans="1:126" s="20" customFormat="1" ht="13.8">
      <c r="B895" s="49"/>
      <c r="BH895" s="49"/>
      <c r="BI895" s="49"/>
      <c r="BJ895" s="49"/>
      <c r="BK895" s="49"/>
      <c r="BL895" s="49"/>
      <c r="BM895" s="49"/>
      <c r="BN895" s="49"/>
      <c r="BO895" s="49"/>
      <c r="BP895" s="49"/>
      <c r="BQ895" s="49"/>
      <c r="BR895" s="49"/>
      <c r="BT895" s="49"/>
      <c r="BU895" s="561"/>
      <c r="BV895" s="561"/>
      <c r="BW895" s="75"/>
      <c r="BX895" s="49"/>
      <c r="BY895" s="561"/>
      <c r="BZ895" s="561"/>
      <c r="CB895" s="49"/>
      <c r="CC895" s="561"/>
      <c r="CD895" s="561"/>
      <c r="CF895" s="49"/>
      <c r="CG895" s="561"/>
      <c r="CH895" s="561"/>
      <c r="CJ895" s="49"/>
      <c r="CK895" s="561"/>
      <c r="CL895" s="561"/>
      <c r="CN895" s="49"/>
      <c r="CR895"/>
      <c r="CV895" s="49"/>
      <c r="CZ895" s="49"/>
      <c r="DB895" s="28"/>
      <c r="DD895" s="49"/>
      <c r="DH895" s="49"/>
      <c r="DL895" s="49"/>
      <c r="DP895" s="49"/>
    </row>
    <row r="896" spans="1:126" s="21" customFormat="1" ht="13.8">
      <c r="A896" s="21" t="s">
        <v>1043</v>
      </c>
      <c r="B896" s="27"/>
      <c r="BH896" s="27"/>
      <c r="BI896" s="27"/>
      <c r="BJ896" s="27"/>
      <c r="BK896" s="27"/>
      <c r="BL896" s="27"/>
      <c r="BM896" s="27"/>
      <c r="BN896" s="27"/>
      <c r="BO896" s="27"/>
      <c r="BP896" s="27"/>
      <c r="BQ896" s="27"/>
      <c r="BR896" s="27"/>
      <c r="BT896" s="27"/>
      <c r="BU896" s="561"/>
      <c r="BV896" s="561"/>
      <c r="BW896" s="79"/>
      <c r="BX896" s="27"/>
      <c r="BY896" s="561"/>
      <c r="BZ896" s="561"/>
      <c r="CB896" s="27"/>
      <c r="CC896" s="561"/>
      <c r="CD896" s="561"/>
      <c r="CF896" s="72">
        <f>CF847</f>
        <v>-4240</v>
      </c>
      <c r="CG896" s="72">
        <f>CG847</f>
        <v>-4322</v>
      </c>
      <c r="CH896" s="72">
        <f>CH847</f>
        <v>-8562</v>
      </c>
      <c r="CJ896" s="72">
        <f>CJ847</f>
        <v>-4361</v>
      </c>
      <c r="CK896" s="72">
        <f>CK847</f>
        <v>-4288</v>
      </c>
      <c r="CL896" s="72">
        <f>CL847</f>
        <v>-8649</v>
      </c>
      <c r="CM896" s="79">
        <f>+CL896/CH896-1</f>
        <v>1.0161177295024526E-2</v>
      </c>
      <c r="CN896" s="72">
        <f>CN847</f>
        <v>-4216</v>
      </c>
      <c r="CO896" s="72">
        <f>CO847</f>
        <v>-4454</v>
      </c>
      <c r="CP896" s="72">
        <f>CP847</f>
        <v>-8670</v>
      </c>
      <c r="CQ896" s="79">
        <f>+CP896/CL896-1</f>
        <v>2.4280263614291364E-3</v>
      </c>
      <c r="CR896" s="72">
        <f>CR847</f>
        <v>-4544</v>
      </c>
      <c r="CS896" s="72">
        <f>CS847</f>
        <v>-4626</v>
      </c>
      <c r="CT896" s="72">
        <f>CT847</f>
        <v>-9170</v>
      </c>
      <c r="CU896" s="79">
        <f>+CT896/CP896-1</f>
        <v>5.7670126874279193E-2</v>
      </c>
      <c r="CV896" s="72">
        <f>CV847</f>
        <v>-4844</v>
      </c>
      <c r="CW896" s="72">
        <f>CW847</f>
        <v>-4874</v>
      </c>
      <c r="CX896" s="72">
        <f>CX847</f>
        <v>-9718</v>
      </c>
      <c r="CY896" s="79">
        <f>+CX896/CT896-1</f>
        <v>5.9760087241003346E-2</v>
      </c>
      <c r="CZ896" s="72">
        <f>CZ847</f>
        <v>-5074</v>
      </c>
      <c r="DA896" s="72">
        <f>DA847</f>
        <v>-5526</v>
      </c>
      <c r="DB896" s="72">
        <f>DB847</f>
        <v>-10600</v>
      </c>
      <c r="DC896" s="79">
        <f>+DB896/CX896-1</f>
        <v>9.0759415517596143E-2</v>
      </c>
      <c r="DD896" s="72">
        <f>DD847</f>
        <v>-5742</v>
      </c>
      <c r="DE896" s="72">
        <f>DE847</f>
        <v>-6107</v>
      </c>
      <c r="DF896" s="72">
        <f>DF847</f>
        <v>-11849</v>
      </c>
      <c r="DG896" s="79">
        <f>+DF896/DB896-1</f>
        <v>0.11783018867924522</v>
      </c>
      <c r="DH896" s="72">
        <f>DH847</f>
        <v>-5800.8062475343522</v>
      </c>
      <c r="DI896" s="72">
        <f>DI847</f>
        <v>-5574.622973129075</v>
      </c>
      <c r="DJ896" s="72">
        <f>DJ847</f>
        <v>-11375.429220663427</v>
      </c>
      <c r="DK896" s="79">
        <f>+DJ896/DF896-1</f>
        <v>-3.9967151602377626E-2</v>
      </c>
      <c r="DL896" s="72">
        <f>DL847</f>
        <v>-5558.5700572482638</v>
      </c>
      <c r="DM896" s="72">
        <f>DM847</f>
        <v>-5699.0026403776892</v>
      </c>
      <c r="DN896" s="72">
        <f>DN847</f>
        <v>-11257.572697625954</v>
      </c>
      <c r="DO896" s="79">
        <f>+DN896/DJ896-1</f>
        <v>-1.03606220698369E-2</v>
      </c>
      <c r="DP896" s="72">
        <f>DP847</f>
        <v>-5690.9196519848028</v>
      </c>
      <c r="DQ896" s="72">
        <f>DQ847</f>
        <v>-5623.3690907090013</v>
      </c>
      <c r="DR896" s="72">
        <f>DR847</f>
        <v>-11314.288742693803</v>
      </c>
      <c r="DS896" s="79">
        <f>+DR896/DN896-1</f>
        <v>5.0380349824266091E-3</v>
      </c>
      <c r="DT896" s="79"/>
      <c r="DU896" s="79"/>
    </row>
    <row r="897" spans="1:128" s="20" customFormat="1" ht="13.8">
      <c r="A897" s="20" t="s">
        <v>1044</v>
      </c>
      <c r="B897" s="49"/>
      <c r="BH897" s="49"/>
      <c r="BI897" s="49"/>
      <c r="BJ897" s="49"/>
      <c r="BK897" s="49"/>
      <c r="BL897" s="49"/>
      <c r="BM897" s="49"/>
      <c r="BN897" s="49"/>
      <c r="BO897" s="49"/>
      <c r="BP897" s="49"/>
      <c r="BQ897" s="49"/>
      <c r="BR897" s="49"/>
      <c r="BT897" s="49"/>
      <c r="BU897" s="561"/>
      <c r="BV897" s="561"/>
      <c r="BW897" s="75"/>
      <c r="BX897" s="49"/>
      <c r="BY897" s="561"/>
      <c r="BZ897" s="561"/>
      <c r="CB897" s="49"/>
      <c r="CC897" s="561"/>
      <c r="CD897" s="561"/>
      <c r="CF897" s="65">
        <f>-CF420</f>
        <v>-330.48</v>
      </c>
      <c r="CG897" s="65">
        <f>-CG420</f>
        <v>-464</v>
      </c>
      <c r="CH897" s="65">
        <f>-CH420</f>
        <v>-794.48</v>
      </c>
      <c r="CJ897" s="1075">
        <f>-CJ420+60</f>
        <v>-410.73</v>
      </c>
      <c r="CK897" s="1075">
        <f>-CK420+62+4</f>
        <v>-517.91999999999996</v>
      </c>
      <c r="CL897" s="65">
        <f>+CJ897+CK897</f>
        <v>-928.65</v>
      </c>
      <c r="CM897" s="75">
        <f t="shared" ref="CM897:CM898" si="1387">+CL897/CH897-1</f>
        <v>0.16887775651998793</v>
      </c>
      <c r="CN897" s="1075">
        <f>-CN420+70</f>
        <v>-524.08000000000004</v>
      </c>
      <c r="CO897" s="1075">
        <f>-CO420+71</f>
        <v>-764.82</v>
      </c>
      <c r="CP897" s="65">
        <f>+CN897+CO897</f>
        <v>-1288.9000000000001</v>
      </c>
      <c r="CQ897" s="75">
        <f t="shared" ref="CQ897:CQ898" si="1388">+CP897/CL897-1</f>
        <v>0.38792871372422355</v>
      </c>
      <c r="CR897" s="1212">
        <f>-CR427</f>
        <v>-857</v>
      </c>
      <c r="CS897" s="1212">
        <f>-CS427</f>
        <v>-941</v>
      </c>
      <c r="CT897" s="65">
        <f>+CR897+CS897</f>
        <v>-1798</v>
      </c>
      <c r="CU897" s="75">
        <f t="shared" ref="CU897:CU898" si="1389">+CT897/CP897-1</f>
        <v>0.39498797424160137</v>
      </c>
      <c r="CV897" s="1212">
        <f>-CV427</f>
        <v>-552.5</v>
      </c>
      <c r="CW897" s="1212">
        <f>-CW427</f>
        <v>-687.5</v>
      </c>
      <c r="CX897" s="65">
        <f>+CV897+CW897</f>
        <v>-1240</v>
      </c>
      <c r="CY897" s="75">
        <f t="shared" ref="CY897:CY898" si="1390">+CX897/CT897-1</f>
        <v>-0.31034482758620685</v>
      </c>
      <c r="CZ897" s="1212">
        <f>-CZ427</f>
        <v>-550</v>
      </c>
      <c r="DA897" s="1212">
        <f>-DA427</f>
        <v>-707</v>
      </c>
      <c r="DB897" s="65">
        <f>+CZ897+DA897</f>
        <v>-1257</v>
      </c>
      <c r="DC897" s="75">
        <f t="shared" ref="DC897:DC898" si="1391">+DB897/CX897-1</f>
        <v>1.3709677419354804E-2</v>
      </c>
      <c r="DD897" s="1212">
        <f>-DD427</f>
        <v>-612</v>
      </c>
      <c r="DE897" s="1212">
        <f>-DE427</f>
        <v>-777</v>
      </c>
      <c r="DF897" s="65">
        <f>+DD897+DE897</f>
        <v>-1389</v>
      </c>
      <c r="DG897" s="75">
        <f t="shared" ref="DG897:DG898" si="1392">+DF897/DB897-1</f>
        <v>0.1050119331742243</v>
      </c>
      <c r="DH897" s="1212">
        <f t="shared" ref="DH897:DI897" si="1393">-DH427</f>
        <v>-553</v>
      </c>
      <c r="DI897" s="1212">
        <f t="shared" si="1393"/>
        <v>-632</v>
      </c>
      <c r="DJ897" s="65">
        <f>+DH897+DI897</f>
        <v>-1185</v>
      </c>
      <c r="DK897" s="75">
        <f t="shared" ref="DK897:DK898" si="1394">+DJ897/DF897-1</f>
        <v>-0.14686825053995678</v>
      </c>
      <c r="DL897" s="1212">
        <f t="shared" ref="DL897:DM897" si="1395">-DL427</f>
        <v>-553</v>
      </c>
      <c r="DM897" s="1212">
        <f t="shared" si="1395"/>
        <v>-632</v>
      </c>
      <c r="DN897" s="65">
        <f>+DL897+DM897</f>
        <v>-1185</v>
      </c>
      <c r="DO897" s="75">
        <f t="shared" ref="DO897:DO898" si="1396">+DN897/DJ897-1</f>
        <v>0</v>
      </c>
      <c r="DP897" s="1212">
        <f t="shared" ref="DP897:DQ897" si="1397">-DP427</f>
        <v>-553</v>
      </c>
      <c r="DQ897" s="1212">
        <f t="shared" si="1397"/>
        <v>-632</v>
      </c>
      <c r="DR897" s="65">
        <f>+DP897+DQ897</f>
        <v>-1185</v>
      </c>
      <c r="DS897" s="75">
        <f t="shared" ref="DS897:DS898" si="1398">+DR897/DN897-1</f>
        <v>0</v>
      </c>
      <c r="DT897" s="75"/>
      <c r="DU897" s="75"/>
    </row>
    <row r="898" spans="1:128" s="21" customFormat="1" ht="13.8">
      <c r="A898" s="941" t="s">
        <v>1045</v>
      </c>
      <c r="B898" s="942"/>
      <c r="C898" s="941"/>
      <c r="D898" s="941"/>
      <c r="E898" s="941"/>
      <c r="F898" s="941"/>
      <c r="G898" s="941"/>
      <c r="H898" s="941"/>
      <c r="I898" s="941"/>
      <c r="J898" s="941"/>
      <c r="K898" s="941"/>
      <c r="L898" s="941"/>
      <c r="M898" s="941"/>
      <c r="N898" s="941"/>
      <c r="O898" s="941"/>
      <c r="P898" s="941"/>
      <c r="Q898" s="941"/>
      <c r="R898" s="941"/>
      <c r="S898" s="941"/>
      <c r="T898" s="941"/>
      <c r="U898" s="941"/>
      <c r="V898" s="941"/>
      <c r="W898" s="941"/>
      <c r="X898" s="941"/>
      <c r="Y898" s="941"/>
      <c r="Z898" s="941"/>
      <c r="AA898" s="941"/>
      <c r="AB898" s="941"/>
      <c r="AC898" s="941"/>
      <c r="AD898" s="941"/>
      <c r="AE898" s="941"/>
      <c r="AF898" s="941"/>
      <c r="AG898" s="941"/>
      <c r="AH898" s="941"/>
      <c r="AI898" s="941"/>
      <c r="AJ898" s="941"/>
      <c r="AK898" s="941"/>
      <c r="AL898" s="941"/>
      <c r="AM898" s="941"/>
      <c r="AN898" s="941"/>
      <c r="AO898" s="941"/>
      <c r="AP898" s="941"/>
      <c r="AQ898" s="941"/>
      <c r="AR898" s="941"/>
      <c r="AS898" s="941"/>
      <c r="AT898" s="941"/>
      <c r="AU898" s="941"/>
      <c r="AV898" s="941"/>
      <c r="AW898" s="941"/>
      <c r="AX898" s="941"/>
      <c r="AY898" s="941"/>
      <c r="AZ898" s="941"/>
      <c r="BA898" s="941"/>
      <c r="BB898" s="941"/>
      <c r="BC898" s="941"/>
      <c r="BD898" s="941"/>
      <c r="BE898" s="941"/>
      <c r="BF898" s="941"/>
      <c r="BG898" s="941"/>
      <c r="BH898" s="942"/>
      <c r="BI898" s="942"/>
      <c r="BJ898" s="942"/>
      <c r="BK898" s="942"/>
      <c r="BL898" s="942"/>
      <c r="BM898" s="942"/>
      <c r="BN898" s="942"/>
      <c r="BO898" s="942"/>
      <c r="BP898" s="942"/>
      <c r="BQ898" s="942"/>
      <c r="BR898" s="942"/>
      <c r="BS898" s="941"/>
      <c r="BT898" s="942"/>
      <c r="BU898" s="1007"/>
      <c r="BV898" s="1007"/>
      <c r="BW898" s="1015"/>
      <c r="BX898" s="942"/>
      <c r="BY898" s="1007"/>
      <c r="BZ898" s="1007"/>
      <c r="CA898" s="941"/>
      <c r="CB898" s="942"/>
      <c r="CC898" s="1007"/>
      <c r="CD898" s="1007"/>
      <c r="CE898" s="941"/>
      <c r="CF898" s="943">
        <f>+CF896-CF897</f>
        <v>-3909.52</v>
      </c>
      <c r="CG898" s="943">
        <f t="shared" ref="CG898:CH898" si="1399">+CG896-CG897</f>
        <v>-3858</v>
      </c>
      <c r="CH898" s="943">
        <f t="shared" si="1399"/>
        <v>-7767.52</v>
      </c>
      <c r="CI898" s="941"/>
      <c r="CJ898" s="943">
        <f>+CJ896-CJ897</f>
        <v>-3950.27</v>
      </c>
      <c r="CK898" s="943">
        <f t="shared" ref="CK898" si="1400">+CK896-CK897</f>
        <v>-3770.08</v>
      </c>
      <c r="CL898" s="943">
        <f t="shared" ref="CL898" si="1401">+CL896-CL897</f>
        <v>-7720.35</v>
      </c>
      <c r="CM898" s="1015">
        <f t="shared" si="1387"/>
        <v>-6.0727233402682046E-3</v>
      </c>
      <c r="CN898" s="943">
        <f>+CN896-CN897</f>
        <v>-3691.92</v>
      </c>
      <c r="CO898" s="943">
        <f t="shared" ref="CO898:CP898" si="1402">+CO896-CO897</f>
        <v>-3689.18</v>
      </c>
      <c r="CP898" s="943">
        <f t="shared" si="1402"/>
        <v>-7381.1</v>
      </c>
      <c r="CQ898" s="1015">
        <f t="shared" si="1388"/>
        <v>-4.3942308315037537E-2</v>
      </c>
      <c r="CR898" s="943">
        <f>+CR896-CR897</f>
        <v>-3687</v>
      </c>
      <c r="CS898" s="943">
        <f t="shared" ref="CS898:CT898" si="1403">+CS896-CS897</f>
        <v>-3685</v>
      </c>
      <c r="CT898" s="943">
        <f t="shared" si="1403"/>
        <v>-7372</v>
      </c>
      <c r="CU898" s="1015">
        <f t="shared" si="1389"/>
        <v>-1.2328785682351739E-3</v>
      </c>
      <c r="CV898" s="943">
        <f>+CV896-CV897</f>
        <v>-4291.5</v>
      </c>
      <c r="CW898" s="943">
        <f t="shared" ref="CW898:CX898" si="1404">+CW896-CW897</f>
        <v>-4186.5</v>
      </c>
      <c r="CX898" s="943">
        <f t="shared" si="1404"/>
        <v>-8478</v>
      </c>
      <c r="CY898" s="1015">
        <f t="shared" si="1390"/>
        <v>0.15002712967986986</v>
      </c>
      <c r="CZ898" s="943">
        <f>+CZ896-CZ897</f>
        <v>-4524</v>
      </c>
      <c r="DA898" s="943">
        <f t="shared" ref="DA898:DB898" si="1405">+DA896-DA897</f>
        <v>-4819</v>
      </c>
      <c r="DB898" s="943">
        <f t="shared" si="1405"/>
        <v>-9343</v>
      </c>
      <c r="DC898" s="1015">
        <f t="shared" si="1391"/>
        <v>0.10202878037272933</v>
      </c>
      <c r="DD898" s="943">
        <f>+DD896-DD897</f>
        <v>-5130</v>
      </c>
      <c r="DE898" s="943">
        <f t="shared" ref="DE898:DF898" si="1406">+DE896-DE897</f>
        <v>-5330</v>
      </c>
      <c r="DF898" s="943">
        <f t="shared" si="1406"/>
        <v>-10460</v>
      </c>
      <c r="DG898" s="1015">
        <f t="shared" si="1392"/>
        <v>0.11955474686931389</v>
      </c>
      <c r="DH898" s="943">
        <f>+DH896-DH897</f>
        <v>-5247.8062475343522</v>
      </c>
      <c r="DI898" s="943">
        <f t="shared" ref="DI898:DJ898" si="1407">+DI896-DI897</f>
        <v>-4942.622973129075</v>
      </c>
      <c r="DJ898" s="943">
        <f t="shared" si="1407"/>
        <v>-10190.429220663427</v>
      </c>
      <c r="DK898" s="1015">
        <f t="shared" si="1394"/>
        <v>-2.5771585022616894E-2</v>
      </c>
      <c r="DL898" s="943">
        <f>+DL896-DL897</f>
        <v>-5005.5700572482638</v>
      </c>
      <c r="DM898" s="943">
        <f t="shared" ref="DM898:DN898" si="1408">+DM896-DM897</f>
        <v>-5067.0026403776892</v>
      </c>
      <c r="DN898" s="943">
        <f t="shared" si="1408"/>
        <v>-10072.572697625954</v>
      </c>
      <c r="DO898" s="1015">
        <f t="shared" si="1396"/>
        <v>-1.1565413044476336E-2</v>
      </c>
      <c r="DP898" s="943">
        <f>+DP896-DP897</f>
        <v>-5137.9196519848028</v>
      </c>
      <c r="DQ898" s="943">
        <f t="shared" ref="DQ898:DR898" si="1409">+DQ896-DQ897</f>
        <v>-4991.3690907090013</v>
      </c>
      <c r="DR898" s="943">
        <f t="shared" si="1409"/>
        <v>-10129.288742693803</v>
      </c>
      <c r="DS898" s="1015">
        <f t="shared" si="1398"/>
        <v>5.6307407025433243E-3</v>
      </c>
      <c r="DT898" s="1015"/>
      <c r="DU898" s="1015"/>
      <c r="DV898" s="941"/>
    </row>
    <row r="899" spans="1:128" s="20" customFormat="1" ht="13.8">
      <c r="B899" s="49"/>
      <c r="BH899" s="49"/>
      <c r="BI899" s="49"/>
      <c r="BJ899" s="49"/>
      <c r="BK899" s="49"/>
      <c r="BL899" s="49"/>
      <c r="BM899" s="49"/>
      <c r="BN899" s="49"/>
      <c r="BO899" s="49"/>
      <c r="BP899" s="49"/>
      <c r="BQ899" s="49"/>
      <c r="BR899" s="49"/>
      <c r="BT899" s="49"/>
      <c r="BU899" s="561"/>
      <c r="BV899" s="561"/>
      <c r="BW899" s="75"/>
      <c r="BX899" s="49"/>
      <c r="BY899" s="561"/>
      <c r="BZ899" s="561"/>
      <c r="CB899" s="49"/>
      <c r="CC899" s="561"/>
      <c r="CD899" s="561"/>
      <c r="CF899" s="49"/>
      <c r="CG899" s="561"/>
      <c r="CH899" s="561"/>
      <c r="CJ899" s="49"/>
      <c r="CK899" s="561"/>
      <c r="CL899" s="985">
        <v>-7716</v>
      </c>
      <c r="CN899" s="49"/>
      <c r="CO899" s="561"/>
      <c r="CP899" s="985">
        <v>-7381</v>
      </c>
      <c r="CR899" s="985">
        <v>-3657</v>
      </c>
      <c r="CS899" s="985">
        <v>-3672</v>
      </c>
      <c r="CT899" s="985">
        <f>CR899+CS899</f>
        <v>-7329</v>
      </c>
      <c r="CV899"/>
      <c r="CW899" s="985"/>
      <c r="CX899" s="985"/>
      <c r="CZ899"/>
      <c r="DA899" s="985"/>
      <c r="DB899" s="985"/>
      <c r="DD899"/>
      <c r="DE899" s="985"/>
      <c r="DF899" s="985"/>
      <c r="DH899" s="49"/>
      <c r="DL899" s="49"/>
      <c r="DP899" s="49"/>
    </row>
    <row r="900" spans="1:128" s="20" customFormat="1" ht="13.8">
      <c r="B900" s="49"/>
      <c r="BH900" s="49"/>
      <c r="BI900" s="49"/>
      <c r="BJ900" s="49"/>
      <c r="BK900" s="49"/>
      <c r="BL900" s="49"/>
      <c r="BM900" s="49"/>
      <c r="BN900" s="49"/>
      <c r="BO900" s="49"/>
      <c r="BP900" s="49"/>
      <c r="BQ900" s="49"/>
      <c r="BR900" s="49"/>
      <c r="BT900" s="49"/>
      <c r="BU900" s="561"/>
      <c r="BV900" s="561"/>
      <c r="BW900" s="75"/>
      <c r="BX900" s="49"/>
      <c r="BY900" s="561"/>
      <c r="BZ900" s="561"/>
      <c r="CB900" s="49"/>
      <c r="CC900" s="561"/>
      <c r="CD900" s="561"/>
      <c r="CF900" s="49"/>
      <c r="CG900" s="561"/>
      <c r="CH900" s="561"/>
      <c r="CJ900" s="49"/>
      <c r="CK900" s="561"/>
      <c r="CL900" s="561"/>
      <c r="CN900" s="49"/>
      <c r="CO900" s="561"/>
      <c r="CP900" s="561"/>
      <c r="CR900" s="65">
        <f>CR898-CR899</f>
        <v>-30</v>
      </c>
      <c r="CS900" s="65">
        <f t="shared" ref="CS900" si="1410">CS898-CS899</f>
        <v>-13</v>
      </c>
      <c r="CT900" s="65">
        <f>CT898-CT899</f>
        <v>-43</v>
      </c>
      <c r="CV900" s="65">
        <f>CV898-CV899</f>
        <v>-4291.5</v>
      </c>
      <c r="CW900" s="65">
        <f t="shared" ref="CW900" si="1411">CW898-CW899</f>
        <v>-4186.5</v>
      </c>
      <c r="CX900" s="65">
        <f>CX898-CX899</f>
        <v>-8478</v>
      </c>
      <c r="CZ900" s="65">
        <f>CZ898-CZ899</f>
        <v>-4524</v>
      </c>
      <c r="DA900" s="65">
        <f t="shared" ref="DA900" si="1412">DA898-DA899</f>
        <v>-4819</v>
      </c>
      <c r="DB900" s="65">
        <f>DB898-DB899</f>
        <v>-9343</v>
      </c>
      <c r="DD900" s="65">
        <f>DD898-DD899</f>
        <v>-5130</v>
      </c>
      <c r="DE900" s="65">
        <f t="shared" ref="DE900" si="1413">DE898-DE899</f>
        <v>-5330</v>
      </c>
      <c r="DF900" s="65">
        <f>DF898-DF899</f>
        <v>-10460</v>
      </c>
      <c r="DH900" s="49"/>
      <c r="DL900" s="49"/>
      <c r="DP900" s="49"/>
    </row>
    <row r="901" spans="1:128" s="47" customFormat="1" ht="13.8">
      <c r="A901" s="47" t="s">
        <v>149</v>
      </c>
      <c r="B901" s="92"/>
      <c r="BH901" s="75">
        <f>-BH844/BH26</f>
        <v>0.44478662560492743</v>
      </c>
      <c r="BI901" s="75">
        <f>-BI844/BI26</f>
        <v>0.45305946876008174</v>
      </c>
      <c r="BJ901" s="75">
        <f>-BJ844/BJ26</f>
        <v>0.44896960469795011</v>
      </c>
      <c r="BK901" s="92"/>
      <c r="BL901" s="75">
        <f>-BL844/BL26</f>
        <v>0.44331816301199833</v>
      </c>
      <c r="BM901" s="75">
        <f>-BM844/BM26</f>
        <v>0.45146316851664986</v>
      </c>
      <c r="BN901" s="75">
        <f>-BN844/BN26</f>
        <v>0.44744100520992952</v>
      </c>
      <c r="BO901" s="92"/>
      <c r="BP901" s="75">
        <f>-BP844/BP26</f>
        <v>0.45149583128984794</v>
      </c>
      <c r="BQ901" s="75">
        <f>-BQ844/BQ26</f>
        <v>0.46170953393927672</v>
      </c>
      <c r="BR901" s="75">
        <f>-BR844/BR26</f>
        <v>0.45663923649997568</v>
      </c>
      <c r="BT901" s="75">
        <f>-BT844/BT26</f>
        <v>0.53152542372881351</v>
      </c>
      <c r="BU901" s="75">
        <f>-BU844/BU26</f>
        <v>0.48213068458467234</v>
      </c>
      <c r="BV901" s="75">
        <f>-BV844/BV26</f>
        <v>0.50689521219772748</v>
      </c>
      <c r="BW901" s="75"/>
      <c r="BX901" s="75">
        <f>-BX844/BX26</f>
        <v>0.44977947072975138</v>
      </c>
      <c r="BY901" s="75">
        <f>-BY844/BY26</f>
        <v>0.45528455284552843</v>
      </c>
      <c r="BZ901" s="75">
        <f>-BZ844/BZ26</f>
        <v>0.45251312071053695</v>
      </c>
      <c r="CB901" s="75">
        <f>-CB844/CB26</f>
        <v>0.45319148936170212</v>
      </c>
      <c r="CC901" s="75">
        <f>-CC844/CC26</f>
        <v>0.51890070548594291</v>
      </c>
      <c r="CD901" s="75">
        <f>-CD844/CD26</f>
        <v>0.48541333195642072</v>
      </c>
      <c r="CF901" s="75">
        <f>-CF844/CF26</f>
        <v>0.44787605171352352</v>
      </c>
      <c r="CG901" s="75">
        <f>-CG844/CG26</f>
        <v>0.50694818485403426</v>
      </c>
      <c r="CH901" s="75">
        <f>-CH844/CH26</f>
        <v>0.47669346786483791</v>
      </c>
      <c r="CJ901" s="75">
        <f>-CJ844/CJ26</f>
        <v>0.53677584800093248</v>
      </c>
      <c r="CK901" s="75">
        <f>-CK844/CK26</f>
        <v>0.52087648533740327</v>
      </c>
      <c r="CL901" s="75">
        <f>-CL844/CL26</f>
        <v>0.52856016223524105</v>
      </c>
      <c r="CN901" s="75">
        <f>-CN844/CN26</f>
        <v>0.53211444853377654</v>
      </c>
      <c r="CO901" s="75">
        <f>-CO844/CO26</f>
        <v>0.50631648936170215</v>
      </c>
      <c r="CP901" s="75">
        <f>-CP844/CP26</f>
        <v>0.51877113543875741</v>
      </c>
      <c r="CR901" s="75">
        <f>-CR844/CR26</f>
        <v>0.53542691104157358</v>
      </c>
      <c r="CS901" s="75">
        <f>-CS844/CS26</f>
        <v>0.49880195853734766</v>
      </c>
      <c r="CT901" s="75">
        <f>-CT844/CT26</f>
        <v>0.51647166657680488</v>
      </c>
      <c r="CV901" s="75">
        <f>-CV844/CV26</f>
        <v>0.47409867172675524</v>
      </c>
      <c r="CW901" s="75">
        <f>-CW844/CW26</f>
        <v>0.49609261939218524</v>
      </c>
      <c r="CX901" s="75">
        <f>-CX844/CX26</f>
        <v>0.48500358765845492</v>
      </c>
      <c r="CZ901" s="75">
        <f>-CZ844/CZ26</f>
        <v>0.50401082439354405</v>
      </c>
      <c r="DA901" s="75">
        <f>-DA844/DA26</f>
        <v>0.52819728541387878</v>
      </c>
      <c r="DB901" s="75">
        <f>-DB844/DB26</f>
        <v>0.51617088759671292</v>
      </c>
      <c r="DD901" s="75">
        <f>-DD844/DD26</f>
        <v>0.52223738062755798</v>
      </c>
      <c r="DE901" s="75">
        <f>-DE844/DE26</f>
        <v>0.65462215700660309</v>
      </c>
      <c r="DF901" s="75">
        <f>-DF844/DF26</f>
        <v>0.58815471026074251</v>
      </c>
      <c r="DH901" s="75">
        <f ca="1">-DH844/DH26</f>
        <v>0.5138466111486335</v>
      </c>
      <c r="DI901" s="75">
        <f ca="1">-DI844/DI26</f>
        <v>0.49009760898868016</v>
      </c>
      <c r="DJ901" s="75">
        <f ca="1">-DJ844/DJ26</f>
        <v>0.50192729593466046</v>
      </c>
      <c r="DL901" s="75">
        <f ca="1">-DL844/DL26</f>
        <v>0.47809807839455376</v>
      </c>
      <c r="DM901" s="75">
        <f ca="1">-DM844/DM26</f>
        <v>0.48303147098026744</v>
      </c>
      <c r="DN901" s="75">
        <f ca="1">-DN844/DN26</f>
        <v>0.48058288531538934</v>
      </c>
      <c r="DP901" s="75">
        <f ca="1">-DP844/DP26</f>
        <v>0.47111689042003135</v>
      </c>
      <c r="DQ901" s="75">
        <f ca="1">-DQ844/DQ26</f>
        <v>0.45924160849062856</v>
      </c>
      <c r="DR901" s="75">
        <f ca="1">-DR844/DR26</f>
        <v>0.46513890709514677</v>
      </c>
      <c r="DW901" s="20"/>
      <c r="DX901" s="20"/>
    </row>
    <row r="902" spans="1:128" s="47" customFormat="1" ht="13.8">
      <c r="A902" s="47" t="s">
        <v>1163</v>
      </c>
      <c r="B902" s="92"/>
      <c r="BH902" s="75"/>
      <c r="BI902" s="75"/>
      <c r="BJ902" s="75"/>
      <c r="BK902" s="92"/>
      <c r="BL902" s="75"/>
      <c r="BM902" s="75"/>
      <c r="BN902" s="75"/>
      <c r="BO902" s="92"/>
      <c r="BP902" s="75"/>
      <c r="BQ902" s="75"/>
      <c r="BR902" s="75"/>
      <c r="BT902" s="75"/>
      <c r="BU902" s="75"/>
      <c r="BV902" s="75"/>
      <c r="BW902" s="75"/>
      <c r="BX902" s="75"/>
      <c r="BY902" s="75"/>
      <c r="BZ902" s="75"/>
      <c r="CB902" s="75">
        <f>-CB847/CB555</f>
        <v>0.4526627218934911</v>
      </c>
      <c r="CC902" s="75">
        <f t="shared" ref="CC902:CD902" si="1414">-CC847/CC555</f>
        <v>0.44966372425388818</v>
      </c>
      <c r="CD902" s="75">
        <f t="shared" si="1414"/>
        <v>0.45115911485774501</v>
      </c>
      <c r="CF902" s="75">
        <f>-CF847/CF555</f>
        <v>0.44594026083298277</v>
      </c>
      <c r="CG902" s="75">
        <f t="shared" ref="CG902:CH902" si="1415">-CG847/CG555</f>
        <v>0.46086585625933035</v>
      </c>
      <c r="CH902" s="75">
        <f t="shared" si="1415"/>
        <v>0.45335168908185958</v>
      </c>
      <c r="CJ902" s="75">
        <f>-CJ847/CJ555</f>
        <v>0.46512372013651876</v>
      </c>
      <c r="CK902" s="75">
        <f t="shared" ref="CK902:CL902" si="1416">-CK847/CK555</f>
        <v>0.45934654525977503</v>
      </c>
      <c r="CL902" s="75">
        <f t="shared" si="1416"/>
        <v>0.46224146224146223</v>
      </c>
      <c r="CN902" s="75">
        <f>-CN847/CN555</f>
        <v>0.46421493063201935</v>
      </c>
      <c r="CO902" s="75">
        <f t="shared" ref="CO902:CP902" si="1417">-CO847/CO555</f>
        <v>0.48988121425428949</v>
      </c>
      <c r="CP902" s="75">
        <f t="shared" si="1417"/>
        <v>0.47705513370749425</v>
      </c>
      <c r="CR902" s="75">
        <f>-CR847/CR555</f>
        <v>0.52356262242193796</v>
      </c>
      <c r="CS902" s="75">
        <f t="shared" ref="CS902:CT902" si="1418">-CS847/CS555</f>
        <v>0.48283060223358731</v>
      </c>
      <c r="CT902" s="75">
        <f t="shared" si="1418"/>
        <v>0.50219058050383347</v>
      </c>
      <c r="CV902" s="75">
        <f>-CV847/CV555</f>
        <v>0.4569811320754717</v>
      </c>
      <c r="CW902" s="75">
        <f t="shared" ref="CW902:CX902" si="1419">-CW847/CW555</f>
        <v>0.47182962245885768</v>
      </c>
      <c r="CX902" s="75">
        <f t="shared" si="1419"/>
        <v>0.46430960344003824</v>
      </c>
      <c r="CZ902" s="75">
        <f>-CZ847/CZ555</f>
        <v>0.48939043209876543</v>
      </c>
      <c r="DA902" s="75">
        <f t="shared" ref="DA902:DB902" si="1420">-DA847/DA555</f>
        <v>0.52819728541387878</v>
      </c>
      <c r="DB902" s="75">
        <f t="shared" si="1420"/>
        <v>0.50888142102736433</v>
      </c>
      <c r="DD902" s="75">
        <f>-DD847/DD555</f>
        <v>0.52223738062755798</v>
      </c>
      <c r="DE902" s="75">
        <f t="shared" ref="DE902:DF902" si="1421">-DE847/DE555</f>
        <v>0.54580391455894184</v>
      </c>
      <c r="DF902" s="75">
        <f t="shared" si="1421"/>
        <v>0.5341236927515326</v>
      </c>
      <c r="DH902" s="75">
        <f t="shared" ref="DH902:DJ902" ca="1" si="1422">-DH847/DH555</f>
        <v>0.5138466111486335</v>
      </c>
      <c r="DI902" s="75">
        <f t="shared" ca="1" si="1422"/>
        <v>0.49009760898868016</v>
      </c>
      <c r="DJ902" s="75">
        <f t="shared" ca="1" si="1422"/>
        <v>0.50192729593466046</v>
      </c>
      <c r="DL902" s="75">
        <f t="shared" ref="DL902:DN902" ca="1" si="1423">-DL847/DL555</f>
        <v>0.47809807839455376</v>
      </c>
      <c r="DM902" s="75">
        <f t="shared" ca="1" si="1423"/>
        <v>0.48303147098026744</v>
      </c>
      <c r="DN902" s="75">
        <f t="shared" ca="1" si="1423"/>
        <v>0.48058288531538934</v>
      </c>
      <c r="DP902" s="75">
        <f t="shared" ref="DP902:DR902" ca="1" si="1424">-DP847/DP555</f>
        <v>0.47111689042003135</v>
      </c>
      <c r="DQ902" s="75">
        <f t="shared" ca="1" si="1424"/>
        <v>0.45924160849062856</v>
      </c>
      <c r="DR902" s="75">
        <f t="shared" ca="1" si="1424"/>
        <v>0.46513890709514677</v>
      </c>
      <c r="DW902" s="20"/>
      <c r="DX902" s="20"/>
    </row>
    <row r="903" spans="1:128" s="47" customFormat="1" ht="13.8">
      <c r="A903" s="47" t="s">
        <v>111</v>
      </c>
      <c r="B903" s="92"/>
      <c r="BH903" s="76">
        <f>-BH844*(BH$4/BH$3)/(BH465)</f>
        <v>1.2391493004908763E-2</v>
      </c>
      <c r="BI903" s="76">
        <f>-BI844*(BI$4/BI$3)/(BI465)</f>
        <v>1.2073365884536919E-2</v>
      </c>
      <c r="BJ903" s="76">
        <f>-BJ844*(BJ$4/BJ$3)/(BJ465)</f>
        <v>1.2227085875398339E-2</v>
      </c>
      <c r="BK903" s="92"/>
      <c r="BL903" s="76">
        <f>-BL844*(BL$4/BL$3)/(BL465)</f>
        <v>1.1701900978634947E-2</v>
      </c>
      <c r="BM903" s="76">
        <f>-BM844*(BM$4/BM$3)/(BM465)</f>
        <v>1.1679307991864786E-2</v>
      </c>
      <c r="BN903" s="76">
        <f>-BN844*(BN$4/BN$3)/(BN465)</f>
        <v>1.1690381058379841E-2</v>
      </c>
      <c r="BO903" s="92"/>
      <c r="BP903" s="76">
        <f>-BP844*(BP$4/BP$3)/(BP465)</f>
        <v>1.1117309395872849E-2</v>
      </c>
      <c r="BQ903" s="76">
        <f>-BQ844*(BQ$4/BQ$3)/(BQ465)</f>
        <v>1.0926861484072644E-2</v>
      </c>
      <c r="BR903" s="76">
        <f>-BR844*(BR$4/BR$3)/(BR465)</f>
        <v>1.1019510337988052E-2</v>
      </c>
      <c r="BT903" s="76">
        <f>-BT844*(BT$4/BT$3)/(BT465)</f>
        <v>1.2185428110858975E-2</v>
      </c>
      <c r="BU903" s="76">
        <f>-BU844*(BU$4/BU$3)/(BU465)</f>
        <v>1.08210300851301E-2</v>
      </c>
      <c r="BV903" s="76">
        <f>-BV844*(BV$4/BV$3)/(BV465)</f>
        <v>1.1497848352643272E-2</v>
      </c>
      <c r="BX903" s="76">
        <f>-BX844*(BX$4/BX$3)/(BX465)</f>
        <v>9.8035871747215314E-3</v>
      </c>
      <c r="BY903" s="76">
        <f>-BY844*(BY$4/BY$3)/(BY465)</f>
        <v>9.7096817622706628E-3</v>
      </c>
      <c r="BZ903" s="76">
        <f>-BZ844*(BZ$4/BZ$3)/(BZ465)</f>
        <v>9.7564797028337532E-3</v>
      </c>
      <c r="CB903" s="76">
        <f>-CB844*(CB$4/CB$3)/(CB465)</f>
        <v>9.6045234964608206E-3</v>
      </c>
      <c r="CC903" s="76">
        <f>-CC844*(CC$4/CC$3)/(CC465)</f>
        <v>1.0301098264002766E-2</v>
      </c>
      <c r="CD903" s="76">
        <f>-CD844*(CD$4/CD$3)/(CD465)</f>
        <v>9.9574944948327155E-3</v>
      </c>
      <c r="CF903" s="76">
        <f>-CF844*(CF$4/CF$3)/(CF465)</f>
        <v>8.9859006257330606E-3</v>
      </c>
      <c r="CG903" s="76">
        <f>-CG844*(CG$4/CG$3)/(CG465)</f>
        <v>9.5028941673328052E-3</v>
      </c>
      <c r="CH903" s="76">
        <f>-CH844*(CH$4/CH$3)/(CH465)</f>
        <v>9.2468849995769528E-3</v>
      </c>
      <c r="CJ903" s="76">
        <f>-CJ844*(CJ$4/CJ$3)/(CJ465)</f>
        <v>9.0012255740358135E-3</v>
      </c>
      <c r="CK903" s="76">
        <f>-CK844*(CK$4/CK$3)/(CK465)</f>
        <v>8.8321684655724743E-3</v>
      </c>
      <c r="CL903" s="76">
        <f>-CL844*(CL$4/CL$3)/(CL465)</f>
        <v>8.9143460833595381E-3</v>
      </c>
      <c r="CN903" s="76">
        <f>-CN844*(CN$4/CN$3)/(CN465)</f>
        <v>8.5968835825373131E-3</v>
      </c>
      <c r="CO903" s="76">
        <f>-CO844*(CO$4/CO$3)/(CO465)</f>
        <v>8.8753249585211726E-3</v>
      </c>
      <c r="CP903" s="76">
        <f>-CP844*(CP$4/CP$3)/(CP465)</f>
        <v>8.7352301647735994E-3</v>
      </c>
      <c r="CR903" s="76">
        <f>-CR844*(CR$4/CR$3)/(CR465)</f>
        <v>9.5153025778233757E-3</v>
      </c>
      <c r="CS903" s="76">
        <f>-CS844*(CS$4/CS$3)/(CS465)</f>
        <v>8.9921433358823473E-3</v>
      </c>
      <c r="CT903" s="76">
        <f>-CT844*(CT$4/CT$3)/(CT465)</f>
        <v>9.2464156746003019E-3</v>
      </c>
      <c r="CV903" s="76">
        <f>-CV844*(CV$4/CV$3)/(CV465)</f>
        <v>9.0095404938489096E-3</v>
      </c>
      <c r="CW903" s="76">
        <f>-CW844*(CW$4/CW$3)/(CW465)</f>
        <v>9.1953965546916708E-3</v>
      </c>
      <c r="CX903" s="76">
        <f>-CX844*(CX$4/CX$3)/(CX465)</f>
        <v>9.102841731398385E-3</v>
      </c>
      <c r="CZ903" s="76">
        <f>-CZ844*(CZ$4/CZ$3)/(CZ465)</f>
        <v>8.9682165716821038E-3</v>
      </c>
      <c r="DA903" s="76">
        <f>-DA844*(DA$4/DA$3)/(DA465)</f>
        <v>9.3524455392676627E-3</v>
      </c>
      <c r="DB903" s="76">
        <f>-DB844*(DB$4/DB$3)/(DB465)</f>
        <v>9.161869359129755E-3</v>
      </c>
      <c r="DD903" s="76">
        <f>-DD844*(DD$4/DD$3)/(DD465)</f>
        <v>8.7373446951707137E-3</v>
      </c>
      <c r="DE903" s="76">
        <f>-DE844*(DE$4/DE$3)/(DE465)</f>
        <v>1.0552370549053404E-2</v>
      </c>
      <c r="DF903" s="76">
        <f>-DF844*(DF$4/DF$3)/(DF465)</f>
        <v>9.657959756001545E-3</v>
      </c>
      <c r="DH903" s="76">
        <f ca="1">-DH844*(DH$4/DH$3)/(DH465)</f>
        <v>8.6124386686699823E-3</v>
      </c>
      <c r="DI903" s="76">
        <f ca="1">-DI844*(DI$4/DI$3)/(DI465)</f>
        <v>8.1164803093907081E-3</v>
      </c>
      <c r="DJ903" s="76">
        <f ca="1">-DJ844*(DJ$4/DJ$3)/(DJ465)</f>
        <v>8.3621980160659901E-3</v>
      </c>
      <c r="DL903" s="76">
        <f ca="1">-DL844*(DL$4/DL$3)/(DL465)</f>
        <v>7.9628761526735342E-3</v>
      </c>
      <c r="DM903" s="76">
        <f ca="1">-DM844*(DM$4/DM$3)/(DM465)</f>
        <v>7.9354121131612106E-3</v>
      </c>
      <c r="DN903" s="76">
        <f ca="1">-DN844*(DN$4/DN$3)/(DN465)</f>
        <v>7.9491987426362019E-3</v>
      </c>
      <c r="DP903" s="76">
        <f ca="1">-DP844*(DP$4/DP$3)/(DP465)</f>
        <v>7.7744421247422351E-3</v>
      </c>
      <c r="DQ903" s="76">
        <f ca="1">-DQ844*(DQ$4/DQ$3)/(DQ465)</f>
        <v>7.5256477499575265E-3</v>
      </c>
      <c r="DR903" s="76">
        <f ca="1">-DR844*(DR$4/DR$3)/(DR465)</f>
        <v>7.64876469155639E-3</v>
      </c>
      <c r="DW903" s="20"/>
      <c r="DX903" s="20"/>
    </row>
    <row r="904" spans="1:128" s="20" customFormat="1" ht="13.8">
      <c r="B904" s="49"/>
      <c r="BH904" s="49"/>
      <c r="BI904" s="49"/>
      <c r="BJ904" s="49"/>
      <c r="BK904" s="49"/>
      <c r="BL904" s="49"/>
      <c r="BM904" s="49"/>
      <c r="BN904" s="49"/>
      <c r="BO904" s="49"/>
      <c r="BP904" s="49"/>
      <c r="BQ904" s="49"/>
      <c r="BR904" s="49"/>
      <c r="BS904" s="49"/>
      <c r="BT904" s="49"/>
      <c r="BU904" s="49"/>
      <c r="BV904" s="49"/>
      <c r="BW904" s="49"/>
      <c r="BX904" s="49"/>
      <c r="BY904" s="49"/>
      <c r="BZ904" s="49"/>
      <c r="CB904" s="49"/>
      <c r="CF904" s="49"/>
      <c r="CJ904" s="49"/>
      <c r="CN904" s="49"/>
      <c r="CR904" s="49"/>
      <c r="CV904" s="49"/>
      <c r="CZ904" s="49"/>
      <c r="DD904" s="49"/>
      <c r="DH904" s="28"/>
      <c r="DI904" s="28"/>
      <c r="DJ904" s="28"/>
      <c r="DL904" s="28"/>
      <c r="DM904" s="28"/>
      <c r="DN904" s="28"/>
      <c r="DP904" s="28"/>
      <c r="DQ904" s="28"/>
      <c r="DR904" s="28"/>
    </row>
    <row r="905" spans="1:128" s="21" customFormat="1" ht="13.8">
      <c r="A905" s="60" t="s">
        <v>587</v>
      </c>
      <c r="B905" s="27"/>
      <c r="BH905" s="72">
        <f>BH840</f>
        <v>-2347</v>
      </c>
      <c r="BI905" s="72">
        <f>BI840</f>
        <v>-2417</v>
      </c>
      <c r="BJ905" s="72">
        <f>+BI905+BH905</f>
        <v>-4764</v>
      </c>
      <c r="BK905" s="27"/>
      <c r="BL905" s="72">
        <f>BL840</f>
        <v>-2530</v>
      </c>
      <c r="BM905" s="72">
        <f>BM840</f>
        <v>-2558</v>
      </c>
      <c r="BN905" s="72">
        <f>+BM905+BL905</f>
        <v>-5088</v>
      </c>
      <c r="BO905" s="27"/>
      <c r="BP905" s="72">
        <f>BP840</f>
        <v>-2715</v>
      </c>
      <c r="BQ905" s="72">
        <f>BQ840</f>
        <v>-2764</v>
      </c>
      <c r="BR905" s="72">
        <f>+BQ905+BP905</f>
        <v>-5479</v>
      </c>
      <c r="BS905" s="79">
        <f>+BR905/BN905-1</f>
        <v>7.6847484276729494E-2</v>
      </c>
      <c r="BT905" s="72">
        <f>BT840</f>
        <v>-2801</v>
      </c>
      <c r="BU905" s="72">
        <f>BU840</f>
        <v>-2740</v>
      </c>
      <c r="BV905" s="72">
        <f>+BU905+BT905</f>
        <v>-5541</v>
      </c>
      <c r="BW905" s="79">
        <f>+BV905/BR905-1</f>
        <v>1.1315933564518987E-2</v>
      </c>
      <c r="BX905" s="72">
        <f>BX840</f>
        <v>-2519</v>
      </c>
      <c r="BY905" s="72">
        <f>BY840</f>
        <v>-2405</v>
      </c>
      <c r="BZ905" s="72">
        <f>+BY905+BX905</f>
        <v>-4924</v>
      </c>
      <c r="CA905" s="79">
        <f>+BZ905/BV905-1</f>
        <v>-0.11135174156289473</v>
      </c>
      <c r="CB905" s="72">
        <f>CB840</f>
        <v>-2402</v>
      </c>
      <c r="CC905" s="72">
        <f>CC840</f>
        <v>-2356</v>
      </c>
      <c r="CD905" s="72">
        <f>+CC905+CB905</f>
        <v>-4758</v>
      </c>
      <c r="CE905" s="79">
        <f>+CD905/BZ905-1</f>
        <v>-3.3712428919577597E-2</v>
      </c>
      <c r="CF905" s="72">
        <f>CF840</f>
        <v>-2370</v>
      </c>
      <c r="CG905" s="72">
        <f>CG840</f>
        <v>-2395</v>
      </c>
      <c r="CH905" s="72">
        <f>+CG905+CF905</f>
        <v>-4765</v>
      </c>
      <c r="CI905" s="79">
        <f>+CH905/CD905-1</f>
        <v>1.4712063892392546E-3</v>
      </c>
      <c r="CJ905" s="72">
        <f>CJ840</f>
        <v>-2465</v>
      </c>
      <c r="CK905" s="72">
        <f>CK840</f>
        <v>-2413</v>
      </c>
      <c r="CL905" s="72">
        <f>+CK905+CJ905</f>
        <v>-4878</v>
      </c>
      <c r="CM905" s="79">
        <f>+CL905/CH905-1</f>
        <v>2.3714585519412301E-2</v>
      </c>
      <c r="CN905" s="72">
        <f>CN840</f>
        <v>-2449</v>
      </c>
      <c r="CO905" s="72">
        <f>CO840</f>
        <v>-2497</v>
      </c>
      <c r="CP905" s="72">
        <f>+CO905+CN905</f>
        <v>-4946</v>
      </c>
      <c r="CQ905" s="79">
        <f>+CP905/CL905-1</f>
        <v>1.3940139401394047E-2</v>
      </c>
      <c r="CR905" s="72">
        <f>CR840</f>
        <v>-2654</v>
      </c>
      <c r="CS905" s="72">
        <f>CS840</f>
        <v>-2642</v>
      </c>
      <c r="CT905" s="72">
        <f>+CS905+CR905</f>
        <v>-5296</v>
      </c>
      <c r="CU905" s="79">
        <f>+CT905/CP905-1</f>
        <v>7.0764253942579902E-2</v>
      </c>
      <c r="CV905" s="72">
        <f>CV840</f>
        <v>-2893</v>
      </c>
      <c r="CW905" s="72">
        <f>CW840</f>
        <v>-2869</v>
      </c>
      <c r="CX905" s="72">
        <f>+CW905+CV905</f>
        <v>-5762</v>
      </c>
      <c r="CY905" s="79">
        <f>+CX905/CT905-1</f>
        <v>8.7990936555891297E-2</v>
      </c>
      <c r="CZ905" s="72">
        <f>CZ840</f>
        <v>-3062</v>
      </c>
      <c r="DA905" s="72">
        <f>DA840</f>
        <v>-3116</v>
      </c>
      <c r="DB905" s="72">
        <f>+DA905+CZ905</f>
        <v>-6178</v>
      </c>
      <c r="DC905" s="79">
        <f>+DB905/CX905-1</f>
        <v>7.2197153766053512E-2</v>
      </c>
      <c r="DD905" s="72">
        <f>DD840</f>
        <v>-3312</v>
      </c>
      <c r="DE905" s="72">
        <f>DE840</f>
        <v>-3443</v>
      </c>
      <c r="DF905" s="72">
        <f>+DE905+DD905</f>
        <v>-6755</v>
      </c>
      <c r="DG905" s="79">
        <f>+DF905/DB905-1</f>
        <v>9.3395921010035687E-2</v>
      </c>
      <c r="DH905" s="72">
        <f t="shared" ref="DH905:DI905" si="1425">DH907+DH906</f>
        <v>-2726.1065605000754</v>
      </c>
      <c r="DI905" s="72">
        <f t="shared" si="1425"/>
        <v>-2605.4699792897695</v>
      </c>
      <c r="DJ905" s="72">
        <f>+DH905+DI905</f>
        <v>-5331.5765397898449</v>
      </c>
      <c r="DK905" s="79">
        <f>+DJ905/DF905-1</f>
        <v>-0.2107214596906225</v>
      </c>
      <c r="DL905" s="72">
        <f t="shared" ref="DL905:DM905" si="1426">DL907+DL906</f>
        <v>-2519.627389357669</v>
      </c>
      <c r="DM905" s="72">
        <f t="shared" si="1426"/>
        <v>-2571.2202211814015</v>
      </c>
      <c r="DN905" s="72">
        <f>+DL905+DM905</f>
        <v>-5090.847610539071</v>
      </c>
      <c r="DO905" s="79">
        <f>+DN905/DJ905-1</f>
        <v>-4.5151547099474443E-2</v>
      </c>
      <c r="DP905" s="72">
        <f t="shared" ref="DP905:DQ905" si="1427">DP907+DP906</f>
        <v>-2499.9645209162086</v>
      </c>
      <c r="DQ905" s="72">
        <f t="shared" si="1427"/>
        <v>-2411.5042378684047</v>
      </c>
      <c r="DR905" s="72">
        <f>+DP905+DQ905</f>
        <v>-4911.4687587846129</v>
      </c>
      <c r="DS905" s="79">
        <f>+DR905/DN905-1</f>
        <v>-3.5235557116875427E-2</v>
      </c>
      <c r="DT905" s="79"/>
      <c r="DU905" s="79"/>
      <c r="DV905" s="79"/>
      <c r="DW905" s="20"/>
      <c r="DX905" s="20"/>
    </row>
    <row r="906" spans="1:128" s="20" customFormat="1" ht="13.8">
      <c r="A906" s="61" t="str">
        <f>A905&amp;" ex notable items"</f>
        <v>Personnel Expenses ex notable items</v>
      </c>
      <c r="B906" s="49"/>
      <c r="BH906" s="65"/>
      <c r="BI906" s="65"/>
      <c r="BJ906" s="65"/>
      <c r="BK906" s="49"/>
      <c r="BL906" s="65"/>
      <c r="BM906" s="65"/>
      <c r="BN906" s="65"/>
      <c r="BO906" s="49"/>
      <c r="BP906" s="65"/>
      <c r="BQ906" s="65"/>
      <c r="BR906" s="65"/>
      <c r="BS906" s="75"/>
      <c r="BT906" s="65"/>
      <c r="BU906" s="65"/>
      <c r="BV906" s="65"/>
      <c r="BW906" s="75"/>
      <c r="BX906" s="65"/>
      <c r="BY906" s="65"/>
      <c r="BZ906" s="65"/>
      <c r="CA906" s="75"/>
      <c r="CB906" s="65"/>
      <c r="CC906" s="65"/>
      <c r="CD906" s="65"/>
      <c r="CE906" s="75"/>
      <c r="CF906" s="65">
        <f>CF851</f>
        <v>-2352</v>
      </c>
      <c r="CG906" s="65">
        <f>CG851</f>
        <v>-2341</v>
      </c>
      <c r="CH906" s="65">
        <f>+CG906+CF906</f>
        <v>-4693</v>
      </c>
      <c r="CI906" s="75"/>
      <c r="CJ906" s="65">
        <f>CJ851</f>
        <v>-2401</v>
      </c>
      <c r="CK906" s="65">
        <f>CK851</f>
        <v>-2334</v>
      </c>
      <c r="CL906" s="65">
        <f>+CK906+CJ906</f>
        <v>-4735</v>
      </c>
      <c r="CM906" s="75">
        <f>+CL906/CH906-1</f>
        <v>8.949499254208293E-3</v>
      </c>
      <c r="CN906" s="65">
        <f>CN851</f>
        <v>-2396</v>
      </c>
      <c r="CO906" s="65">
        <f>CO851</f>
        <v>-2438</v>
      </c>
      <c r="CP906" s="65">
        <f>+CO906+CN906</f>
        <v>-4834</v>
      </c>
      <c r="CQ906" s="75">
        <f>+CP906/CL906-1</f>
        <v>2.0908130939810032E-2</v>
      </c>
      <c r="CR906" s="65">
        <f>CR851</f>
        <v>-2591</v>
      </c>
      <c r="CS906" s="65">
        <f>CS851</f>
        <v>-2604</v>
      </c>
      <c r="CT906" s="65">
        <f>+CS906+CR906</f>
        <v>-5195</v>
      </c>
      <c r="CU906" s="75">
        <f>+CT906/CP906-1</f>
        <v>7.4679354571783207E-2</v>
      </c>
      <c r="CV906" s="65">
        <f>CV851</f>
        <v>-2848</v>
      </c>
      <c r="CW906" s="65">
        <f>CW851</f>
        <v>-2774</v>
      </c>
      <c r="CX906" s="65">
        <f>+CW906+CV906</f>
        <v>-5622</v>
      </c>
      <c r="CY906" s="75">
        <f>+CX906/CT906-1</f>
        <v>8.2194417709335887E-2</v>
      </c>
      <c r="CZ906" s="65">
        <f>CZ851</f>
        <v>-2972</v>
      </c>
      <c r="DA906" s="65">
        <f>DA851</f>
        <v>-3116</v>
      </c>
      <c r="DB906" s="65">
        <f>+DA906+CZ906</f>
        <v>-6088</v>
      </c>
      <c r="DC906" s="75">
        <f>+DB906/CX906-1</f>
        <v>8.2888651725364637E-2</v>
      </c>
      <c r="DD906" s="65">
        <f>DD851</f>
        <v>-3312</v>
      </c>
      <c r="DE906" s="65">
        <f>DE851</f>
        <v>-2858</v>
      </c>
      <c r="DF906" s="65">
        <f>+DE906+DD906</f>
        <v>-6170</v>
      </c>
      <c r="DG906" s="75">
        <f>+DF906/DB906-1</f>
        <v>1.3469119579500699E-2</v>
      </c>
      <c r="DH906" s="65">
        <f>-DH912/1000*(DH3/DH4)*DH911</f>
        <v>-2726.1065605000754</v>
      </c>
      <c r="DI906" s="65">
        <f>-DI912/1000*(DI3/DI4)*DI911</f>
        <v>-2605.4699792897695</v>
      </c>
      <c r="DJ906" s="65">
        <f>+DI906+DH906</f>
        <v>-5331.5765397898449</v>
      </c>
      <c r="DK906" s="75">
        <f>+DJ906/DF906-1</f>
        <v>-0.13588710862401221</v>
      </c>
      <c r="DL906" s="65">
        <f>-DL912/1000*(DL3/DL4)*DL911</f>
        <v>-2519.627389357669</v>
      </c>
      <c r="DM906" s="65">
        <f>-DM912/1000*(DM3/DM4)*DM911</f>
        <v>-2571.2202211814015</v>
      </c>
      <c r="DN906" s="65">
        <f>+DM906+DL906</f>
        <v>-5090.847610539071</v>
      </c>
      <c r="DO906" s="75">
        <f>+DN906/DJ906-1</f>
        <v>-4.5151547099474443E-2</v>
      </c>
      <c r="DP906" s="65">
        <f>-DP912/1000*(DP3/DP4)*DP911</f>
        <v>-2499.9645209162086</v>
      </c>
      <c r="DQ906" s="65">
        <f>-DQ912/1000*(DQ3/DQ4)*DQ911</f>
        <v>-2411.5042378684047</v>
      </c>
      <c r="DR906" s="65">
        <f>+DQ906+DP906</f>
        <v>-4911.4687587846129</v>
      </c>
      <c r="DS906" s="75">
        <f>+DR906/DN906-1</f>
        <v>-3.5235557116875427E-2</v>
      </c>
      <c r="DT906" s="75"/>
      <c r="DU906" s="75"/>
      <c r="DV906" s="75"/>
    </row>
    <row r="907" spans="1:128" s="20" customFormat="1" ht="13.8">
      <c r="A907" s="61" t="s">
        <v>973</v>
      </c>
      <c r="B907" s="49"/>
      <c r="BH907" s="65"/>
      <c r="BI907" s="65"/>
      <c r="BJ907" s="65"/>
      <c r="BK907" s="49"/>
      <c r="BL907" s="65"/>
      <c r="BM907" s="65"/>
      <c r="BN907" s="65"/>
      <c r="BO907" s="49"/>
      <c r="BP907" s="65"/>
      <c r="BQ907" s="65"/>
      <c r="BR907" s="65"/>
      <c r="BS907" s="96"/>
      <c r="BT907" s="65"/>
      <c r="BU907" s="65"/>
      <c r="BV907" s="65"/>
      <c r="BW907" s="96"/>
      <c r="BX907" s="65"/>
      <c r="BY907" s="65"/>
      <c r="BZ907" s="65"/>
      <c r="CA907" s="96"/>
      <c r="CB907" s="65"/>
      <c r="CC907" s="65"/>
      <c r="CD907" s="65"/>
      <c r="CE907" s="96"/>
      <c r="CF907" s="65">
        <f>CF864</f>
        <v>-18</v>
      </c>
      <c r="CG907" s="65">
        <f>CG864</f>
        <v>-54</v>
      </c>
      <c r="CH907" s="65">
        <f>+CG907+CF907</f>
        <v>-72</v>
      </c>
      <c r="CI907" s="96"/>
      <c r="CJ907" s="65">
        <f>CJ864</f>
        <v>-64</v>
      </c>
      <c r="CK907" s="65">
        <f>CK864</f>
        <v>-79</v>
      </c>
      <c r="CL907" s="65">
        <f>+CK907+CJ907</f>
        <v>-143</v>
      </c>
      <c r="CM907" s="96"/>
      <c r="CN907" s="65">
        <f>CN864</f>
        <v>-53</v>
      </c>
      <c r="CO907" s="65">
        <f>CO864</f>
        <v>-59</v>
      </c>
      <c r="CP907" s="65">
        <f>+CO907+CN907</f>
        <v>-112</v>
      </c>
      <c r="CQ907" s="96"/>
      <c r="CR907" s="65">
        <f>CR864</f>
        <v>-63</v>
      </c>
      <c r="CS907" s="65">
        <f>CS864</f>
        <v>-38</v>
      </c>
      <c r="CT907" s="65">
        <f>+CS907+CR907</f>
        <v>-101</v>
      </c>
      <c r="CU907" s="96"/>
      <c r="CV907" s="65">
        <f>CV864</f>
        <v>-45</v>
      </c>
      <c r="CW907" s="65">
        <f>CW864</f>
        <v>-95</v>
      </c>
      <c r="CX907" s="65">
        <f>+CW907+CV907</f>
        <v>-140</v>
      </c>
      <c r="CY907" s="96"/>
      <c r="CZ907" s="65">
        <f>CZ864</f>
        <v>-90</v>
      </c>
      <c r="DA907" s="65">
        <f>DA864</f>
        <v>0</v>
      </c>
      <c r="DB907" s="65">
        <f>+DA907+CZ907</f>
        <v>-90</v>
      </c>
      <c r="DC907" s="96"/>
      <c r="DD907" s="65">
        <f>DD864</f>
        <v>0</v>
      </c>
      <c r="DE907" s="65">
        <f>DE864</f>
        <v>-585</v>
      </c>
      <c r="DF907" s="65">
        <f>+DE907+DD907</f>
        <v>-585</v>
      </c>
      <c r="DG907" s="96"/>
      <c r="DH907" s="65">
        <f>+DH872+DH878</f>
        <v>0</v>
      </c>
      <c r="DI907" s="65">
        <f>+DI872+DI878</f>
        <v>0</v>
      </c>
      <c r="DJ907" s="65">
        <f>+DI907+DH907</f>
        <v>0</v>
      </c>
      <c r="DK907" s="96"/>
      <c r="DL907" s="65">
        <f>+DL872+DL878</f>
        <v>0</v>
      </c>
      <c r="DM907" s="65">
        <f>+DM872+DM878</f>
        <v>0</v>
      </c>
      <c r="DN907" s="65">
        <f>+DM907+DL907</f>
        <v>0</v>
      </c>
      <c r="DO907" s="96"/>
      <c r="DP907" s="65">
        <f>+DP872+DP878</f>
        <v>0</v>
      </c>
      <c r="DQ907" s="65">
        <f>+DQ872+DQ878</f>
        <v>0</v>
      </c>
      <c r="DR907" s="65">
        <f>+DQ907+DP907</f>
        <v>0</v>
      </c>
      <c r="DS907" s="96"/>
      <c r="DT907" s="96"/>
      <c r="DU907" s="96"/>
      <c r="DV907" s="96"/>
    </row>
    <row r="908" spans="1:128" s="20" customFormat="1" ht="13.8">
      <c r="A908" s="20" t="s">
        <v>112</v>
      </c>
      <c r="B908" s="49"/>
      <c r="BD908" s="67">
        <v>49509</v>
      </c>
      <c r="BE908" s="67">
        <v>48239</v>
      </c>
      <c r="BF908" s="65">
        <f>BE908</f>
        <v>48239</v>
      </c>
      <c r="BH908" s="67">
        <v>48871</v>
      </c>
      <c r="BI908" s="67">
        <v>49866</v>
      </c>
      <c r="BJ908" s="65">
        <f>BI908</f>
        <v>49866</v>
      </c>
      <c r="BK908" s="49"/>
      <c r="BL908" s="67">
        <v>49850</v>
      </c>
      <c r="BM908" s="67">
        <v>50328</v>
      </c>
      <c r="BN908" s="65">
        <f>BM908</f>
        <v>50328</v>
      </c>
      <c r="BO908" s="49"/>
      <c r="BP908" s="67">
        <v>51243</v>
      </c>
      <c r="BQ908" s="67">
        <v>50152</v>
      </c>
      <c r="BR908" s="65">
        <f>BQ908</f>
        <v>50152</v>
      </c>
      <c r="BS908" s="562"/>
      <c r="BT908" s="67">
        <v>48896</v>
      </c>
      <c r="BU908" s="67">
        <v>46554</v>
      </c>
      <c r="BV908" s="65">
        <f>BU908</f>
        <v>46554</v>
      </c>
      <c r="BX908" s="599">
        <v>44015</v>
      </c>
      <c r="BY908" s="67">
        <v>43011</v>
      </c>
      <c r="BZ908" s="65">
        <f>BY908</f>
        <v>43011</v>
      </c>
      <c r="CB908" s="67">
        <v>39655</v>
      </c>
      <c r="CC908" s="67">
        <v>37860</v>
      </c>
      <c r="CD908" s="65">
        <f>CC908</f>
        <v>37860</v>
      </c>
      <c r="CE908" s="28"/>
      <c r="CF908" s="67">
        <v>37364</v>
      </c>
      <c r="CG908" s="67">
        <v>37588</v>
      </c>
      <c r="CH908" s="65">
        <f>CG908</f>
        <v>37588</v>
      </c>
      <c r="CJ908" s="67">
        <v>37834</v>
      </c>
      <c r="CK908" s="67">
        <v>37506</v>
      </c>
      <c r="CL908" s="65">
        <f>CK908</f>
        <v>37506</v>
      </c>
      <c r="CN908" s="67">
        <v>37844</v>
      </c>
      <c r="CO908" s="67">
        <v>39684</v>
      </c>
      <c r="CP908" s="65">
        <f>CO908</f>
        <v>39684</v>
      </c>
      <c r="CR908" s="67">
        <v>39686</v>
      </c>
      <c r="CS908" s="67">
        <v>39172</v>
      </c>
      <c r="CT908" s="65">
        <f>CS908</f>
        <v>39172</v>
      </c>
      <c r="CV908" s="67">
        <v>39802</v>
      </c>
      <c r="CW908" s="67">
        <v>40342</v>
      </c>
      <c r="CX908" s="65">
        <f>CW908</f>
        <v>40342</v>
      </c>
      <c r="CZ908" s="67">
        <v>40262</v>
      </c>
      <c r="DA908" s="67">
        <v>42370</v>
      </c>
      <c r="DB908" s="65">
        <f>DA908</f>
        <v>42370</v>
      </c>
      <c r="DD908" s="67">
        <v>43094</v>
      </c>
      <c r="DE908" s="67">
        <v>42698</v>
      </c>
      <c r="DF908" s="65">
        <f>DE908</f>
        <v>42698</v>
      </c>
      <c r="DH908" s="102">
        <f>+DE908*(1+DH910)</f>
        <v>41203.57</v>
      </c>
      <c r="DI908" s="102">
        <f>+DH908*(1+DI910)</f>
        <v>39761.445049999995</v>
      </c>
      <c r="DJ908" s="65">
        <f>DI908</f>
        <v>39761.445049999995</v>
      </c>
      <c r="DL908" s="102">
        <f>+DI908*(1+DL910)</f>
        <v>39761.445049999995</v>
      </c>
      <c r="DM908" s="102">
        <f>+DL908*(1+DM910)</f>
        <v>39363.830599499997</v>
      </c>
      <c r="DN908" s="65">
        <f>DM908</f>
        <v>39363.830599499997</v>
      </c>
      <c r="DP908" s="102">
        <f>+DM908*(1+DP910)</f>
        <v>37395.639069524994</v>
      </c>
      <c r="DQ908" s="102">
        <f>+DP908*(1+DQ910)</f>
        <v>36647.726288134494</v>
      </c>
      <c r="DR908" s="65">
        <f>DQ908</f>
        <v>36647.726288134494</v>
      </c>
    </row>
    <row r="909" spans="1:128" s="20" customFormat="1" ht="13.8">
      <c r="A909" s="47" t="s">
        <v>217</v>
      </c>
      <c r="B909" s="92"/>
      <c r="C909" s="47"/>
      <c r="D909" s="47"/>
      <c r="E909" s="47"/>
      <c r="F909" s="47"/>
      <c r="G909" s="47"/>
      <c r="H909" s="47"/>
      <c r="I909" s="47"/>
      <c r="J909" s="47"/>
      <c r="K909" s="47"/>
      <c r="L909" s="47"/>
      <c r="M909" s="47"/>
      <c r="N909" s="47"/>
      <c r="O909" s="47"/>
      <c r="P909" s="47"/>
      <c r="Q909" s="47"/>
      <c r="R909" s="47"/>
      <c r="S909" s="47"/>
      <c r="T909" s="47"/>
      <c r="U909" s="47"/>
      <c r="V909" s="47"/>
      <c r="W909" s="47"/>
      <c r="X909" s="47"/>
      <c r="Y909" s="47"/>
      <c r="Z909" s="47"/>
      <c r="AA909" s="47"/>
      <c r="AB909" s="47"/>
      <c r="AC909" s="47"/>
      <c r="AD909" s="47"/>
      <c r="AE909" s="47"/>
      <c r="AF909" s="47"/>
      <c r="AG909" s="47"/>
      <c r="AH909" s="47"/>
      <c r="AI909" s="47"/>
      <c r="AJ909" s="47"/>
      <c r="AK909" s="47"/>
      <c r="AL909" s="47"/>
      <c r="AM909" s="47"/>
      <c r="AN909" s="47"/>
      <c r="AO909" s="47"/>
      <c r="AP909" s="47"/>
      <c r="AQ909" s="47"/>
      <c r="AR909" s="47"/>
      <c r="AS909" s="47"/>
      <c r="AT909" s="47"/>
      <c r="AU909" s="47"/>
      <c r="AV909" s="47"/>
      <c r="AW909" s="47"/>
      <c r="AX909" s="47"/>
      <c r="AY909" s="47"/>
      <c r="AZ909" s="47"/>
      <c r="BA909" s="47"/>
      <c r="BB909" s="47"/>
      <c r="BC909" s="47"/>
      <c r="BD909" s="375"/>
      <c r="BE909" s="65">
        <f>BE908-BD908</f>
        <v>-1270</v>
      </c>
      <c r="BF909" s="73"/>
      <c r="BG909" s="47"/>
      <c r="BH909" s="65">
        <f>BH908-BE908</f>
        <v>632</v>
      </c>
      <c r="BI909" s="65">
        <f>BI908-BH908</f>
        <v>995</v>
      </c>
      <c r="BJ909" s="73"/>
      <c r="BK909" s="92"/>
      <c r="BL909" s="65">
        <f>BL908-BI908</f>
        <v>-16</v>
      </c>
      <c r="BM909" s="65">
        <f>BM908-BL908</f>
        <v>478</v>
      </c>
      <c r="BN909" s="73"/>
      <c r="BO909" s="92"/>
      <c r="BP909" s="65">
        <f>BP908-BM908</f>
        <v>915</v>
      </c>
      <c r="BQ909" s="65">
        <f>BQ908-BP908</f>
        <v>-1091</v>
      </c>
      <c r="BR909" s="73"/>
      <c r="BS909" s="562"/>
      <c r="BT909" s="65">
        <f>BT908-BQ908</f>
        <v>-1256</v>
      </c>
      <c r="BU909" s="65">
        <f>BU908-BT908</f>
        <v>-2342</v>
      </c>
      <c r="BV909" s="73"/>
      <c r="BW909" s="47"/>
      <c r="BX909" s="65">
        <f>BX908-BU908</f>
        <v>-2539</v>
      </c>
      <c r="BY909" s="65">
        <f>BY908-BX908</f>
        <v>-1004</v>
      </c>
      <c r="BZ909" s="73"/>
      <c r="CA909" s="47"/>
      <c r="CB909" s="65">
        <f>CB908-BY908</f>
        <v>-3356</v>
      </c>
      <c r="CC909" s="65">
        <f>CC908-CB908</f>
        <v>-1795</v>
      </c>
      <c r="CD909" s="73"/>
      <c r="CE909" s="47"/>
      <c r="CF909" s="65">
        <f>CF908-CC908</f>
        <v>-496</v>
      </c>
      <c r="CG909" s="65">
        <f>CG908-CF908</f>
        <v>224</v>
      </c>
      <c r="CH909" s="73"/>
      <c r="CI909" s="47"/>
      <c r="CJ909" s="65">
        <f>CJ908-CG908</f>
        <v>246</v>
      </c>
      <c r="CK909" s="65">
        <f>CK908-CJ908</f>
        <v>-328</v>
      </c>
      <c r="CL909" s="73"/>
      <c r="CM909" s="47"/>
      <c r="CN909" s="65">
        <f>CN908-CK908</f>
        <v>338</v>
      </c>
      <c r="CO909" s="65">
        <f>CO908-CN908</f>
        <v>1840</v>
      </c>
      <c r="CP909" s="73"/>
      <c r="CQ909" s="47"/>
      <c r="CR909" s="65">
        <f>CR908-CO908</f>
        <v>2</v>
      </c>
      <c r="CS909" s="65">
        <f>CS908-CR908</f>
        <v>-514</v>
      </c>
      <c r="CT909" s="73"/>
      <c r="CU909" s="47"/>
      <c r="CV909" s="65">
        <f>CV908-CS908</f>
        <v>630</v>
      </c>
      <c r="CW909" s="65">
        <f>CW908-CV908</f>
        <v>540</v>
      </c>
      <c r="CX909" s="73"/>
      <c r="CY909" s="47"/>
      <c r="CZ909" s="65">
        <f>CZ908-CW908</f>
        <v>-80</v>
      </c>
      <c r="DA909" s="65">
        <f>DA908-CZ908</f>
        <v>2108</v>
      </c>
      <c r="DB909" s="73"/>
      <c r="DC909" s="47"/>
      <c r="DD909" s="65">
        <f>DD908-DA908</f>
        <v>724</v>
      </c>
      <c r="DE909" s="65">
        <f>DE908-DD908</f>
        <v>-396</v>
      </c>
      <c r="DF909" s="73"/>
      <c r="DG909" s="47"/>
      <c r="DH909" s="65">
        <f>DH908-DE908</f>
        <v>-1494.4300000000003</v>
      </c>
      <c r="DI909" s="65">
        <f>DI908-DH908</f>
        <v>-1442.1249500000049</v>
      </c>
      <c r="DJ909" s="73"/>
      <c r="DK909" s="47"/>
      <c r="DL909" s="65">
        <f>DL908-DI908</f>
        <v>0</v>
      </c>
      <c r="DM909" s="65">
        <f>DM908-DL908</f>
        <v>-397.61445049999747</v>
      </c>
      <c r="DN909" s="73"/>
      <c r="DO909" s="47"/>
      <c r="DP909" s="65">
        <f>DP908-DM908</f>
        <v>-1968.1915299750035</v>
      </c>
      <c r="DQ909" s="65">
        <f>DQ908-DP908</f>
        <v>-747.91278139049973</v>
      </c>
      <c r="DR909" s="73"/>
      <c r="DS909" s="47"/>
      <c r="DT909" s="47"/>
      <c r="DU909" s="47"/>
      <c r="DV909" s="47"/>
      <c r="DW909" s="47"/>
      <c r="DX909" s="47"/>
    </row>
    <row r="910" spans="1:128" s="325" customFormat="1" ht="13.8">
      <c r="A910" s="335" t="s">
        <v>217</v>
      </c>
      <c r="B910" s="336"/>
      <c r="C910" s="335"/>
      <c r="D910" s="335"/>
      <c r="E910" s="335"/>
      <c r="F910" s="335"/>
      <c r="G910" s="335"/>
      <c r="H910" s="335"/>
      <c r="I910" s="335"/>
      <c r="J910" s="335"/>
      <c r="K910" s="335"/>
      <c r="L910" s="335"/>
      <c r="M910" s="335"/>
      <c r="N910" s="335"/>
      <c r="O910" s="335"/>
      <c r="P910" s="335"/>
      <c r="Q910" s="335"/>
      <c r="R910" s="335"/>
      <c r="S910" s="335"/>
      <c r="T910" s="335"/>
      <c r="U910" s="335"/>
      <c r="V910" s="335"/>
      <c r="W910" s="335"/>
      <c r="X910" s="335"/>
      <c r="Y910" s="335"/>
      <c r="Z910" s="335"/>
      <c r="AA910" s="335"/>
      <c r="AB910" s="335"/>
      <c r="AC910" s="335"/>
      <c r="AD910" s="335"/>
      <c r="AE910" s="335"/>
      <c r="AF910" s="335"/>
      <c r="AG910" s="335"/>
      <c r="AH910" s="335"/>
      <c r="AI910" s="335"/>
      <c r="AJ910" s="335"/>
      <c r="AK910" s="335"/>
      <c r="AL910" s="335"/>
      <c r="AM910" s="335"/>
      <c r="AN910" s="335"/>
      <c r="AO910" s="335"/>
      <c r="AP910" s="335"/>
      <c r="AQ910" s="335"/>
      <c r="AR910" s="335"/>
      <c r="AS910" s="335"/>
      <c r="AT910" s="335"/>
      <c r="AU910" s="335"/>
      <c r="AV910" s="335"/>
      <c r="AW910" s="335"/>
      <c r="AX910" s="335"/>
      <c r="AY910" s="335"/>
      <c r="AZ910" s="335"/>
      <c r="BA910" s="335"/>
      <c r="BB910" s="335"/>
      <c r="BC910" s="335"/>
      <c r="BD910" s="335"/>
      <c r="BE910" s="335"/>
      <c r="BF910" s="335"/>
      <c r="BG910" s="335"/>
      <c r="BH910" s="379">
        <f>+BH908/BE908-1</f>
        <v>1.3101432450921546E-2</v>
      </c>
      <c r="BI910" s="379">
        <f>+BI908/BH908-1</f>
        <v>2.0359722534836644E-2</v>
      </c>
      <c r="BJ910" s="380"/>
      <c r="BK910" s="336"/>
      <c r="BL910" s="379">
        <f>+BL908/BI908-1</f>
        <v>-3.2085990454422397E-4</v>
      </c>
      <c r="BM910" s="379">
        <f>+BM908/BL908-1</f>
        <v>9.5887662988967115E-3</v>
      </c>
      <c r="BN910" s="380"/>
      <c r="BO910" s="336"/>
      <c r="BP910" s="379">
        <f>+BP908/BM908-1</f>
        <v>1.8180734382451158E-2</v>
      </c>
      <c r="BQ910" s="379">
        <f>+BQ908/BP908-1</f>
        <v>-2.1290712877856444E-2</v>
      </c>
      <c r="BR910" s="380"/>
      <c r="BT910" s="379">
        <f>+BT908/BQ908-1</f>
        <v>-2.5043866645398039E-2</v>
      </c>
      <c r="BU910" s="379">
        <f>+BU908/BT908-1</f>
        <v>-4.7897578534031426E-2</v>
      </c>
      <c r="BV910" s="380"/>
      <c r="BX910" s="379">
        <f>+BX908/BU908-1</f>
        <v>-5.4538815139407948E-2</v>
      </c>
      <c r="BY910" s="379">
        <f>+BY908/BX908-1</f>
        <v>-2.2810405543564727E-2</v>
      </c>
      <c r="BZ910" s="380"/>
      <c r="CB910" s="379">
        <f>+CB908/BY908-1</f>
        <v>-7.802655134732972E-2</v>
      </c>
      <c r="CC910" s="379">
        <f>+CC908/CB908-1</f>
        <v>-4.5265414197453002E-2</v>
      </c>
      <c r="CD910" s="380"/>
      <c r="CF910" s="379">
        <f>+CF908/CC908-1</f>
        <v>-1.3100898045430576E-2</v>
      </c>
      <c r="CG910" s="379">
        <f>+CG908/CF908-1</f>
        <v>5.9950754737179146E-3</v>
      </c>
      <c r="CH910" s="380"/>
      <c r="CJ910" s="379">
        <f>+CJ908/CG908-1</f>
        <v>6.5446419069916661E-3</v>
      </c>
      <c r="CK910" s="379">
        <f>+CK908/CJ908-1</f>
        <v>-8.6694507585769465E-3</v>
      </c>
      <c r="CL910" s="380"/>
      <c r="CN910" s="379">
        <f>+CN908/CK908-1</f>
        <v>9.0118914307044662E-3</v>
      </c>
      <c r="CO910" s="379">
        <f>+CO908/CN908-1</f>
        <v>4.8620653207906095E-2</v>
      </c>
      <c r="CP910" s="380"/>
      <c r="CR910" s="379">
        <f>+CR908/CO908-1</f>
        <v>5.039814534835152E-5</v>
      </c>
      <c r="CS910" s="379">
        <f>+CS908/CR908-1</f>
        <v>-1.2951670614322452E-2</v>
      </c>
      <c r="CT910" s="380"/>
      <c r="CV910" s="379">
        <f>+CV908/CS908-1</f>
        <v>1.6082916368834965E-2</v>
      </c>
      <c r="CW910" s="379">
        <f>+CW908/CV908-1</f>
        <v>1.3567157429274834E-2</v>
      </c>
      <c r="CX910" s="380"/>
      <c r="CZ910" s="379">
        <f>+CZ908/CW908-1</f>
        <v>-1.9830449655445781E-3</v>
      </c>
      <c r="DA910" s="379">
        <f>+DA908/CZ908-1</f>
        <v>5.2357061248820225E-2</v>
      </c>
      <c r="DB910" s="380"/>
      <c r="DD910" s="379">
        <f>+DD908/DA908-1</f>
        <v>1.7087561954212793E-2</v>
      </c>
      <c r="DE910" s="379">
        <f>+DE908/DD908-1</f>
        <v>-9.1892142757692419E-3</v>
      </c>
      <c r="DF910" s="380"/>
      <c r="DH910" s="346">
        <f>-1.5%-2%</f>
        <v>-3.5000000000000003E-2</v>
      </c>
      <c r="DI910" s="346">
        <f>-1.5%-2%</f>
        <v>-3.5000000000000003E-2</v>
      </c>
      <c r="DJ910" s="336"/>
      <c r="DL910" s="346">
        <v>0</v>
      </c>
      <c r="DM910" s="346">
        <v>-0.01</v>
      </c>
      <c r="DN910" s="336"/>
      <c r="DP910" s="346">
        <v>-0.05</v>
      </c>
      <c r="DQ910" s="346">
        <v>-0.02</v>
      </c>
      <c r="DR910" s="336"/>
      <c r="DW910" s="20"/>
      <c r="DX910" s="20"/>
    </row>
    <row r="911" spans="1:128" s="20" customFormat="1" ht="13.8">
      <c r="A911" s="20" t="s">
        <v>113</v>
      </c>
      <c r="B911" s="49"/>
      <c r="BH911" s="65">
        <f>AVERAGE(BH908,BE908)</f>
        <v>48555</v>
      </c>
      <c r="BI911" s="65">
        <f>AVERAGE(BI908,BH908)</f>
        <v>49368.5</v>
      </c>
      <c r="BJ911" s="65">
        <f>AVERAGE(BH911:BI911)</f>
        <v>48961.75</v>
      </c>
      <c r="BK911" s="49"/>
      <c r="BL911" s="65">
        <f>AVERAGE(BL908,BI908)</f>
        <v>49858</v>
      </c>
      <c r="BM911" s="65">
        <f>AVERAGE(BM908,BL908)</f>
        <v>50089</v>
      </c>
      <c r="BN911" s="65">
        <f>AVERAGE(BL911:BM911)</f>
        <v>49973.5</v>
      </c>
      <c r="BO911" s="49"/>
      <c r="BP911" s="65">
        <f>AVERAGE(BP908,BM908)</f>
        <v>50785.5</v>
      </c>
      <c r="BQ911" s="65">
        <f>AVERAGE(BQ908,BP908)</f>
        <v>50697.5</v>
      </c>
      <c r="BR911" s="65">
        <f>AVERAGE(BP911:BQ911)</f>
        <v>50741.5</v>
      </c>
      <c r="BT911" s="65">
        <f>AVERAGE(BT908,BQ908)</f>
        <v>49524</v>
      </c>
      <c r="BU911" s="65">
        <f>AVERAGE(BU908,BT908)</f>
        <v>47725</v>
      </c>
      <c r="BV911" s="65">
        <f>AVERAGE(BT911:BU911)</f>
        <v>48624.5</v>
      </c>
      <c r="BX911" s="65">
        <f>AVERAGE(BX908,BU908)</f>
        <v>45284.5</v>
      </c>
      <c r="BY911" s="65">
        <f>AVERAGE(BY908,BX908)</f>
        <v>43513</v>
      </c>
      <c r="BZ911" s="65">
        <f>AVERAGE(BX911:BY911)</f>
        <v>44398.75</v>
      </c>
      <c r="CB911" s="956">
        <v>41568</v>
      </c>
      <c r="CC911" s="956">
        <v>38463</v>
      </c>
      <c r="CD911" s="956">
        <v>40016</v>
      </c>
      <c r="CF911" s="956">
        <v>37558</v>
      </c>
      <c r="CG911" s="956">
        <v>37405</v>
      </c>
      <c r="CH911" s="956">
        <v>39358</v>
      </c>
      <c r="CJ911" s="956">
        <v>37759</v>
      </c>
      <c r="CK911" s="956">
        <v>37695</v>
      </c>
      <c r="CL911" s="65">
        <f>AVERAGE(CJ911:CK911)</f>
        <v>37727</v>
      </c>
      <c r="CN911" s="956">
        <v>37594</v>
      </c>
      <c r="CO911" s="956">
        <v>38489</v>
      </c>
      <c r="CP911" s="65">
        <f>AVERAGE(CN911:CO911)</f>
        <v>38041.5</v>
      </c>
      <c r="CR911" s="956">
        <v>40092</v>
      </c>
      <c r="CS911" s="956">
        <v>39254</v>
      </c>
      <c r="CT911" s="65">
        <f>AVERAGE(CR911:CS911)</f>
        <v>39673</v>
      </c>
      <c r="CV911" s="956">
        <v>39589</v>
      </c>
      <c r="CW911" s="956">
        <v>40125</v>
      </c>
      <c r="CX911" s="65">
        <f>AVERAGE(CV911:CW911)</f>
        <v>39857</v>
      </c>
      <c r="CZ911" s="956">
        <v>40392</v>
      </c>
      <c r="DA911" s="956">
        <v>40855</v>
      </c>
      <c r="DB911" s="65">
        <f>AVERAGE(CZ911:DA911)</f>
        <v>40623.5</v>
      </c>
      <c r="DD911" s="956">
        <v>42591</v>
      </c>
      <c r="DE911" s="956">
        <v>43084</v>
      </c>
      <c r="DF911" s="65">
        <f>AVERAGE(DD911:DE911)</f>
        <v>42837.5</v>
      </c>
      <c r="DH911" s="65">
        <f>AVERAGE(DH908,DE908)</f>
        <v>41950.785000000003</v>
      </c>
      <c r="DI911" s="65">
        <f>AVERAGE(DI908,DH908)</f>
        <v>40482.507524999994</v>
      </c>
      <c r="DJ911" s="65">
        <f>AVERAGE(DH911:DI911)</f>
        <v>41216.646262499999</v>
      </c>
      <c r="DL911" s="65">
        <f>AVERAGE(DL908,DI908)</f>
        <v>39761.445049999995</v>
      </c>
      <c r="DM911" s="65">
        <f>AVERAGE(DM908,DL908)</f>
        <v>39562.637824749996</v>
      </c>
      <c r="DN911" s="65">
        <f>AVERAGE(DL911:DM911)</f>
        <v>39662.041437374995</v>
      </c>
      <c r="DP911" s="65">
        <f>AVERAGE(DP908,DM908)</f>
        <v>38379.734834512492</v>
      </c>
      <c r="DQ911" s="65">
        <f>AVERAGE(DQ908,DP908)</f>
        <v>37021.682678829748</v>
      </c>
      <c r="DR911" s="65">
        <f>AVERAGE(DP911:DQ911)</f>
        <v>37700.70875667112</v>
      </c>
    </row>
    <row r="912" spans="1:128" s="20" customFormat="1" ht="13.8">
      <c r="A912" s="20" t="s">
        <v>114</v>
      </c>
      <c r="B912" s="49"/>
      <c r="BH912" s="23">
        <f>-BH905*1000*(BH4/BH3)/BH911</f>
        <v>96.939462555773957</v>
      </c>
      <c r="BI912" s="23">
        <f>-BI905*1000*(BI4/BI3)/BI911</f>
        <v>97.649155832702547</v>
      </c>
      <c r="BJ912" s="23">
        <f>-BJ905*1000*(BJ4/BJ3)/BJ911</f>
        <v>97.300443713715296</v>
      </c>
      <c r="BK912" s="49"/>
      <c r="BL912" s="23">
        <f>-BL905*1000*(BL4/BL3)/BL911</f>
        <v>101.76704037268038</v>
      </c>
      <c r="BM912" s="23">
        <f>-BM905*1000*(BM4/BM3)/BM911</f>
        <v>101.85912791078874</v>
      </c>
      <c r="BN912" s="23">
        <f>-BN905*1000*(BN4/BN3)/BN911</f>
        <v>101.81396139954175</v>
      </c>
      <c r="BO912" s="49"/>
      <c r="BP912" s="23">
        <f>-BP905*1000*(BP4/BP3)/BP911</f>
        <v>107.21401940352231</v>
      </c>
      <c r="BQ912" s="23">
        <f>-BQ905*1000*(BQ4/BQ3)/BQ911</f>
        <v>108.74098673235146</v>
      </c>
      <c r="BR912" s="23">
        <f>-BR905*1000*(BR4/BR3)/BR911</f>
        <v>107.97867623148704</v>
      </c>
      <c r="BS912" s="75">
        <f>+BR912/BN912-1</f>
        <v>6.0548816166316355E-2</v>
      </c>
      <c r="BT912" s="23">
        <f>-BT905*1000*(BT4/BT3)/BT911</f>
        <v>113.11687262741297</v>
      </c>
      <c r="BU912" s="23">
        <f>-BU905*1000*(BU4/BU3)/BU911</f>
        <v>114.82451545311682</v>
      </c>
      <c r="BV912" s="23">
        <f>-BV905*1000*(BV4/BV3)/BV911</f>
        <v>113.95489927916996</v>
      </c>
      <c r="BW912" s="75">
        <f>+BV912/BR912-1</f>
        <v>5.5346326295675041E-2</v>
      </c>
      <c r="BX912" s="23">
        <f>-BX905*1000*(BX4/BX3)/BX911</f>
        <v>111.55783235633957</v>
      </c>
      <c r="BY912" s="23">
        <f>-BY905*1000*(BY4/BY3)/BY911</f>
        <v>110.23965075948034</v>
      </c>
      <c r="BZ912" s="23">
        <f>-BZ905*1000*(BZ4/BZ3)/BZ911</f>
        <v>110.90402319885132</v>
      </c>
      <c r="CA912" s="75">
        <f>+BZ912/BV912-1</f>
        <v>-2.6772662690390581E-2</v>
      </c>
      <c r="CB912" s="23">
        <f>-CB905*1000*(CB4/CB3)/CB911</f>
        <v>115.88716806672926</v>
      </c>
      <c r="CC912" s="23">
        <f>-CC905*1000*(CC4/CC3)/CC911</f>
        <v>122.17262519980525</v>
      </c>
      <c r="CD912" s="23">
        <f>-CD905*1000*(CD4/CD3)/CD911</f>
        <v>118.90243902439025</v>
      </c>
      <c r="CE912" s="75">
        <f>+CD912/BZ912-1</f>
        <v>7.2120159348933122E-2</v>
      </c>
      <c r="CF912" s="23">
        <f>-CF905*1000*(CF4/CF3)/CF911</f>
        <v>126.55151973007025</v>
      </c>
      <c r="CG912" s="23">
        <f>-CG905*1000*(CG4/CG3)/CG911</f>
        <v>127.70786173789629</v>
      </c>
      <c r="CH912" s="23">
        <f>-CH905*1000*(CH4/CH3)/CH911</f>
        <v>121.06814370648915</v>
      </c>
      <c r="CI912" s="75">
        <f>+CH912/CD912-1</f>
        <v>1.8214131685344581E-2</v>
      </c>
      <c r="CJ912" s="23">
        <f>-CJ906*1000*(CJ4/CJ3)/CJ911</f>
        <v>127.17497815090442</v>
      </c>
      <c r="CK912" s="23">
        <f>-CK906*1000*(CK4/CK3)/CK911</f>
        <v>123.83605252686033</v>
      </c>
      <c r="CL912" s="23">
        <f>-CL905*1000*(CL4/CL3)/CL911</f>
        <v>129.29732022159197</v>
      </c>
      <c r="CM912" s="75">
        <f>+CL912/CH912-1</f>
        <v>6.7971443710685531E-2</v>
      </c>
      <c r="CN912" s="23">
        <f>-CN906*1000*(CN4/CN3)/CN911</f>
        <v>127.81733348845121</v>
      </c>
      <c r="CO912" s="23">
        <f>-CO906*1000*(CO4/CO3)/CO911</f>
        <v>126.33941114677999</v>
      </c>
      <c r="CP912" s="23">
        <f>-CP905*1000*(CP4/CP3)/CP911</f>
        <v>130.01590368413443</v>
      </c>
      <c r="CQ912" s="75">
        <f>+CP912/CL912-1</f>
        <v>5.5576052257768627E-3</v>
      </c>
      <c r="CR912" s="23">
        <f>-CR906*1000*(CR4/CR3)/CR911</f>
        <v>129.60780863354944</v>
      </c>
      <c r="CS912" s="23">
        <f>-CS906*1000*(CS4/CS3)/CS911</f>
        <v>132.31187883536145</v>
      </c>
      <c r="CT912" s="23">
        <f>-CT905*1000*(CT4/CT3)/CT911</f>
        <v>133.49129130643007</v>
      </c>
      <c r="CU912" s="75">
        <f>+CT912/CP912-1</f>
        <v>2.6730480839781467E-2</v>
      </c>
      <c r="CV912" s="23">
        <f>-CV906*1000*(CV4/CV3)/CV911</f>
        <v>144.27362023916621</v>
      </c>
      <c r="CW912" s="23">
        <f>-CW906*1000*(CW4/CW3)/CW911</f>
        <v>137.89013159014692</v>
      </c>
      <c r="CX912" s="23">
        <f>-CX905*1000*(CX4/CX3)/CX911</f>
        <v>144.56682640439573</v>
      </c>
      <c r="CY912" s="75">
        <f>+CX912/CT912-1</f>
        <v>8.2968222043351858E-2</v>
      </c>
      <c r="CZ912" s="23">
        <f>-CZ906*1000*(CZ4/CZ3)/CZ911</f>
        <v>147.15785304020599</v>
      </c>
      <c r="DA912" s="23">
        <f>-DA906*1000*(DA4/DA3)/DA911</f>
        <v>152.53946885326152</v>
      </c>
      <c r="DB912" s="23">
        <f>-DB905*1000*(DB4/DB3)/DB911</f>
        <v>152.07946139549767</v>
      </c>
      <c r="DC912" s="75">
        <f>+DB912/CX912-1</f>
        <v>5.1966520798394811E-2</v>
      </c>
      <c r="DD912" s="23">
        <f>-DD906*1000*(DD4/DD3)/DD911</f>
        <v>155.95308403648193</v>
      </c>
      <c r="DE912" s="23">
        <f>-DE906*1000*(DE4/DE3)/DE911</f>
        <v>132.30857194460128</v>
      </c>
      <c r="DF912" s="23">
        <f>-DF905*1000*(DF4/DF3)/DF911</f>
        <v>157.68894076451707</v>
      </c>
      <c r="DG912" s="75">
        <f>+DF912/DB912-1</f>
        <v>3.6885186977559048E-2</v>
      </c>
      <c r="DH912" s="23">
        <f>+DE912*(1+DH913)</f>
        <v>130.32394336543226</v>
      </c>
      <c r="DI912" s="23">
        <f>+DH912*(1+DI913)</f>
        <v>128.36908421495076</v>
      </c>
      <c r="DJ912" s="23">
        <f>-DJ905*1000*(DJ4/DJ3)/DJ911</f>
        <v>129.35493358276108</v>
      </c>
      <c r="DK912" s="75">
        <f>+DJ912/DF912-1</f>
        <v>-0.17968290638763473</v>
      </c>
      <c r="DL912" s="23">
        <f>+DI912*(1+DL913)</f>
        <v>127.08539337280125</v>
      </c>
      <c r="DM912" s="23">
        <f>+DL912*(1+DM913)</f>
        <v>129.62710124025728</v>
      </c>
      <c r="DN912" s="23">
        <f>-DN905*1000*(DN4/DN3)/DN911</f>
        <v>128.35566264478206</v>
      </c>
      <c r="DO912" s="75">
        <f>+DN912/DJ912-1</f>
        <v>-7.725031510604774E-3</v>
      </c>
      <c r="DP912" s="23">
        <f>+DM912*(1+DP913)</f>
        <v>130.27523674645855</v>
      </c>
      <c r="DQ912" s="23">
        <f>+DP912*(1+DQ913)</f>
        <v>130.27523674645855</v>
      </c>
      <c r="DR912" s="23">
        <f>-DR905*1000*(DR4/DR3)/DR911</f>
        <v>130.27523674645855</v>
      </c>
      <c r="DS912" s="75">
        <f>+DR912/DN912-1</f>
        <v>1.4955118162482739E-2</v>
      </c>
      <c r="DT912" s="75"/>
      <c r="DU912" s="75"/>
      <c r="DV912" s="75"/>
    </row>
    <row r="913" spans="1:128" s="325" customFormat="1" ht="13.8">
      <c r="A913" s="335" t="s">
        <v>217</v>
      </c>
      <c r="B913" s="336"/>
      <c r="C913" s="335"/>
      <c r="D913" s="335"/>
      <c r="E913" s="335"/>
      <c r="F913" s="335"/>
      <c r="G913" s="335"/>
      <c r="H913" s="335"/>
      <c r="I913" s="335"/>
      <c r="J913" s="335"/>
      <c r="K913" s="335"/>
      <c r="L913" s="335"/>
      <c r="M913" s="335"/>
      <c r="N913" s="335"/>
      <c r="O913" s="335"/>
      <c r="P913" s="335"/>
      <c r="Q913" s="335"/>
      <c r="R913" s="335"/>
      <c r="S913" s="335"/>
      <c r="T913" s="335"/>
      <c r="U913" s="335"/>
      <c r="V913" s="335"/>
      <c r="W913" s="335"/>
      <c r="X913" s="335"/>
      <c r="Y913" s="335"/>
      <c r="Z913" s="335"/>
      <c r="AA913" s="335"/>
      <c r="AB913" s="335"/>
      <c r="AC913" s="335"/>
      <c r="AD913" s="335"/>
      <c r="AE913" s="335"/>
      <c r="AF913" s="335"/>
      <c r="AG913" s="335"/>
      <c r="AH913" s="335"/>
      <c r="AI913" s="335"/>
      <c r="AJ913" s="335"/>
      <c r="AK913" s="335"/>
      <c r="AL913" s="335"/>
      <c r="AM913" s="335"/>
      <c r="AN913" s="335"/>
      <c r="AO913" s="335"/>
      <c r="AP913" s="335"/>
      <c r="AQ913" s="335"/>
      <c r="AR913" s="335"/>
      <c r="AS913" s="335"/>
      <c r="AT913" s="335"/>
      <c r="AU913" s="335"/>
      <c r="AV913" s="335"/>
      <c r="AW913" s="335"/>
      <c r="AX913" s="335"/>
      <c r="AY913" s="335"/>
      <c r="AZ913" s="335"/>
      <c r="BA913" s="335"/>
      <c r="BB913" s="335"/>
      <c r="BC913" s="335"/>
      <c r="BD913" s="335"/>
      <c r="BE913" s="335"/>
      <c r="BF913" s="335"/>
      <c r="BG913" s="335"/>
      <c r="BH913" s="379"/>
      <c r="BI913" s="379">
        <f>+BI912/BH912-1</f>
        <v>7.3209945487398009E-3</v>
      </c>
      <c r="BJ913" s="380"/>
      <c r="BK913" s="336"/>
      <c r="BL913" s="379">
        <f>+BL912/BI912-1</f>
        <v>4.2170201112980532E-2</v>
      </c>
      <c r="BM913" s="379">
        <f>+BM912/BL912-1</f>
        <v>9.0488568569080385E-4</v>
      </c>
      <c r="BN913" s="380"/>
      <c r="BO913" s="336"/>
      <c r="BP913" s="379">
        <f>+BP912/BM912-1</f>
        <v>5.2571542703797158E-2</v>
      </c>
      <c r="BQ913" s="379">
        <f>+BQ912/BP912-1</f>
        <v>1.4242235645341106E-2</v>
      </c>
      <c r="BR913" s="380"/>
      <c r="BT913" s="379">
        <f>+BT912/BQ912-1</f>
        <v>4.0241366448440008E-2</v>
      </c>
      <c r="BU913" s="379">
        <f>+BU912/BT912-1</f>
        <v>1.5096269778678506E-2</v>
      </c>
      <c r="BV913" s="380"/>
      <c r="BX913" s="379">
        <f>+BX912/BU912-1</f>
        <v>-2.8449352334615652E-2</v>
      </c>
      <c r="BY913" s="379">
        <f>+BY912/BX912-1</f>
        <v>-1.1816127734076809E-2</v>
      </c>
      <c r="BZ913" s="380"/>
      <c r="CB913" s="379">
        <f>+CB912/BY912-1</f>
        <v>5.1229455720706252E-2</v>
      </c>
      <c r="CC913" s="379">
        <f>+CC912/CB912-1</f>
        <v>5.4237731734515737E-2</v>
      </c>
      <c r="CD913" s="380"/>
      <c r="CF913" s="379">
        <f>+CF912/CC912-1</f>
        <v>3.5841863290599019E-2</v>
      </c>
      <c r="CG913" s="379">
        <f>+CG912/CF912-1</f>
        <v>9.1373221775010727E-3</v>
      </c>
      <c r="CH913" s="380"/>
      <c r="CJ913" s="379">
        <f>+CJ912/CG912-1</f>
        <v>-4.1726764487337586E-3</v>
      </c>
      <c r="CK913" s="379">
        <f>+CK912/CJ912-1</f>
        <v>-2.6254579891353824E-2</v>
      </c>
      <c r="CL913" s="380"/>
      <c r="CN913" s="379">
        <f>+CN912/CK912-1</f>
        <v>3.2149611364003405E-2</v>
      </c>
      <c r="CO913" s="379">
        <f>+CO912/CN912-1</f>
        <v>-1.1562769315671462E-2</v>
      </c>
      <c r="CP913" s="380"/>
      <c r="CR913" s="379">
        <f>+CR912/CO912-1</f>
        <v>2.5869975624409403E-2</v>
      </c>
      <c r="CS913" s="379">
        <f>+CS912/CR912-1</f>
        <v>2.0863482149115375E-2</v>
      </c>
      <c r="CT913" s="380"/>
      <c r="CV913" s="379">
        <f>+CV912/CS912-1</f>
        <v>9.0405649962003842E-2</v>
      </c>
      <c r="CW913" s="379">
        <f>+CW912/CV912-1</f>
        <v>-4.4245709218616702E-2</v>
      </c>
      <c r="CX913" s="380"/>
      <c r="CZ913" s="379">
        <f>+CZ912/CW912-1</f>
        <v>6.7210911638011073E-2</v>
      </c>
      <c r="DA913" s="379">
        <f>+DA912/CZ912-1</f>
        <v>3.6570361023038123E-2</v>
      </c>
      <c r="DB913" s="380"/>
      <c r="DD913" s="379">
        <f>+DD912/DA912-1</f>
        <v>2.2378570011307719E-2</v>
      </c>
      <c r="DE913" s="379">
        <f>+DE912/DD912-1</f>
        <v>-0.15161298180130578</v>
      </c>
      <c r="DF913" s="380"/>
      <c r="DH913" s="1713">
        <v>-1.4999999999999999E-2</v>
      </c>
      <c r="DI913" s="1294">
        <v>-1.4999999999999999E-2</v>
      </c>
      <c r="DJ913" s="575"/>
      <c r="DK913" s="533"/>
      <c r="DL913" s="1713">
        <v>-0.01</v>
      </c>
      <c r="DM913" s="1294">
        <v>0.02</v>
      </c>
      <c r="DN913" s="575"/>
      <c r="DO913" s="533"/>
      <c r="DP913" s="1294">
        <v>5.0000000000000001E-3</v>
      </c>
      <c r="DQ913" s="1294">
        <v>0</v>
      </c>
      <c r="DR913" s="336"/>
      <c r="DW913" s="20"/>
      <c r="DX913" s="20"/>
    </row>
    <row r="914" spans="1:128" s="20" customFormat="1" ht="13.8">
      <c r="A914" s="47" t="s">
        <v>127</v>
      </c>
      <c r="B914" s="92"/>
      <c r="C914" s="47"/>
      <c r="D914" s="47"/>
      <c r="E914" s="47"/>
      <c r="F914" s="47"/>
      <c r="G914" s="47"/>
      <c r="H914" s="47"/>
      <c r="I914" s="47"/>
      <c r="J914" s="47"/>
      <c r="K914" s="47"/>
      <c r="L914" s="47"/>
      <c r="M914" s="47"/>
      <c r="N914" s="47"/>
      <c r="O914" s="47"/>
      <c r="P914" s="47"/>
      <c r="Q914" s="47"/>
      <c r="R914" s="47"/>
      <c r="S914" s="47"/>
      <c r="T914" s="47"/>
      <c r="U914" s="47"/>
      <c r="V914" s="47"/>
      <c r="W914" s="47"/>
      <c r="X914" s="47"/>
      <c r="Y914" s="47"/>
      <c r="Z914" s="47"/>
      <c r="AA914" s="47"/>
      <c r="AB914" s="47"/>
      <c r="AC914" s="47"/>
      <c r="AD914" s="47"/>
      <c r="AE914" s="47"/>
      <c r="AF914" s="47"/>
      <c r="AG914" s="47"/>
      <c r="AH914" s="47"/>
      <c r="AI914" s="47"/>
      <c r="AJ914" s="47"/>
      <c r="AK914" s="47"/>
      <c r="AL914" s="47"/>
      <c r="AM914" s="47"/>
      <c r="AN914" s="47"/>
      <c r="AO914" s="47"/>
      <c r="AP914" s="47"/>
      <c r="AQ914" s="47"/>
      <c r="AR914" s="47"/>
      <c r="AS914" s="47"/>
      <c r="AT914" s="47"/>
      <c r="AU914" s="47"/>
      <c r="AV914" s="47"/>
      <c r="AW914" s="47"/>
      <c r="AX914" s="47"/>
      <c r="AY914" s="47"/>
      <c r="AZ914" s="47"/>
      <c r="BA914" s="47"/>
      <c r="BB914" s="47"/>
      <c r="BC914" s="47"/>
      <c r="BD914" s="47"/>
      <c r="BE914" s="47"/>
      <c r="BF914" s="47"/>
      <c r="BG914" s="47"/>
      <c r="BH914" s="381"/>
      <c r="BI914" s="381"/>
      <c r="BJ914" s="73"/>
      <c r="BK914" s="92"/>
      <c r="BL914" s="381">
        <f>+BL912/BH912-1</f>
        <v>4.9799923474187713E-2</v>
      </c>
      <c r="BM914" s="381"/>
      <c r="BN914" s="73"/>
      <c r="BO914" s="92"/>
      <c r="BP914" s="381">
        <f>+BP912/BL912-1</f>
        <v>5.3523999625955332E-2</v>
      </c>
      <c r="BQ914" s="381"/>
      <c r="BR914" s="73"/>
      <c r="BT914" s="381">
        <f>+BT912/BP912-1</f>
        <v>5.5056729117430425E-2</v>
      </c>
      <c r="BU914" s="381"/>
      <c r="BV914" s="73"/>
      <c r="BX914" s="381">
        <f>+BX912/BT912-1</f>
        <v>-1.37825616538092E-2</v>
      </c>
      <c r="BY914" s="381"/>
      <c r="BZ914" s="73"/>
      <c r="CB914" s="381">
        <f>+CB912/BX912-1</f>
        <v>3.8807994194086426E-2</v>
      </c>
      <c r="CC914" s="381"/>
      <c r="CD914" s="73"/>
      <c r="CF914" s="381">
        <f>+CF912/CB912-1</f>
        <v>9.2023576391135231E-2</v>
      </c>
      <c r="CG914" s="381"/>
      <c r="CH914" s="73"/>
      <c r="CJ914" s="381">
        <f>+CJ912/CF912-1</f>
        <v>4.9265186397127181E-3</v>
      </c>
      <c r="CK914" s="381"/>
      <c r="CL914" s="73"/>
      <c r="CN914" s="381">
        <f>+CN912/CJ912-1</f>
        <v>5.0509569326175896E-3</v>
      </c>
      <c r="CO914" s="381"/>
      <c r="CP914" s="73"/>
      <c r="CR914" s="381">
        <f>+CR912/CN912-1</f>
        <v>1.4008077748390857E-2</v>
      </c>
      <c r="CS914" s="381"/>
      <c r="CT914" s="73"/>
      <c r="CV914" s="381">
        <f>+CV912/CR912-1</f>
        <v>0.11315530877528057</v>
      </c>
      <c r="CW914" s="381"/>
      <c r="CX914" s="73"/>
      <c r="CZ914" s="381">
        <f>+CZ912/CV912-1</f>
        <v>1.9991407966740704E-2</v>
      </c>
      <c r="DA914" s="381"/>
      <c r="DB914" s="73"/>
      <c r="DD914" s="381">
        <f>+DD912/CZ912-1</f>
        <v>5.9767323418838725E-2</v>
      </c>
      <c r="DE914" s="381"/>
      <c r="DF914" s="73"/>
      <c r="DH914" s="381">
        <f>+DH912/DD912-1</f>
        <v>-0.16433878707428617</v>
      </c>
      <c r="DI914" s="381">
        <f>+DI912/DE912-1</f>
        <v>-2.9775000000000107E-2</v>
      </c>
      <c r="DJ914" s="381">
        <f>+DJ912/DF912-1</f>
        <v>-0.17968290638763473</v>
      </c>
      <c r="DL914" s="381">
        <f>+DL912/DH912-1</f>
        <v>-2.485000000000015E-2</v>
      </c>
      <c r="DM914" s="381">
        <f>+DM912/DI912-1</f>
        <v>9.8000000000000309E-3</v>
      </c>
      <c r="DN914" s="381">
        <f>+DN912/DJ912-1</f>
        <v>-7.725031510604774E-3</v>
      </c>
      <c r="DP914" s="381">
        <f>+DP912/DL912-1</f>
        <v>2.50999999999999E-2</v>
      </c>
      <c r="DQ914" s="381">
        <f>+DQ912/DM912-1</f>
        <v>4.9999999999998934E-3</v>
      </c>
      <c r="DR914" s="381">
        <f>+DR912/DN912-1</f>
        <v>1.4955118162482739E-2</v>
      </c>
    </row>
    <row r="915" spans="1:128" s="20" customFormat="1" ht="13.8">
      <c r="B915" s="49"/>
      <c r="BH915" s="49"/>
      <c r="BI915" s="49"/>
      <c r="BJ915" s="49"/>
      <c r="BK915" s="49"/>
      <c r="BL915" s="49"/>
      <c r="BM915" s="49"/>
      <c r="BN915" s="49"/>
      <c r="BO915" s="49"/>
      <c r="BP915" s="49"/>
      <c r="BQ915" s="49"/>
      <c r="BR915" s="49"/>
      <c r="BT915" s="49"/>
      <c r="BU915" s="49"/>
      <c r="BV915" s="49"/>
      <c r="BX915" s="49"/>
      <c r="BY915" s="49"/>
      <c r="BZ915" s="49"/>
      <c r="CB915" s="49"/>
      <c r="CC915" s="49"/>
      <c r="CD915" s="49"/>
      <c r="CF915" s="49"/>
      <c r="CG915" s="49"/>
      <c r="CH915" s="49"/>
      <c r="CJ915" s="49"/>
      <c r="CK915" s="49"/>
      <c r="CL915" s="49"/>
      <c r="CN915" s="49"/>
      <c r="CO915" s="49"/>
      <c r="CP915" s="49"/>
      <c r="CR915" s="49"/>
      <c r="CS915" s="49"/>
      <c r="CT915" s="49"/>
      <c r="CV915" s="49"/>
      <c r="CW915" s="49"/>
      <c r="CX915" s="49"/>
      <c r="CZ915" s="28"/>
      <c r="DA915" s="49"/>
      <c r="DB915" s="49"/>
      <c r="DD915" s="28"/>
      <c r="DE915" s="49"/>
      <c r="DF915" s="49"/>
      <c r="DH915" s="28"/>
      <c r="DI915" s="28"/>
      <c r="DL915" s="28"/>
      <c r="DM915" s="28"/>
      <c r="DP915" s="28"/>
      <c r="DQ915" s="28"/>
    </row>
    <row r="916" spans="1:128" s="21" customFormat="1" ht="13.8">
      <c r="A916" s="21" t="s">
        <v>458</v>
      </c>
      <c r="B916" s="27"/>
      <c r="BH916" s="72">
        <f>BH841</f>
        <v>-356</v>
      </c>
      <c r="BI916" s="72">
        <f>BI841</f>
        <v>-377</v>
      </c>
      <c r="BJ916" s="72">
        <f>+BH916+BI916</f>
        <v>-733</v>
      </c>
      <c r="BK916" s="27"/>
      <c r="BL916" s="72">
        <f>BL841</f>
        <v>-442</v>
      </c>
      <c r="BM916" s="72">
        <f>BM841</f>
        <v>-446</v>
      </c>
      <c r="BN916" s="72">
        <f>+BL916+BM916</f>
        <v>-888</v>
      </c>
      <c r="BO916" s="27"/>
      <c r="BP916" s="72">
        <f>BP841</f>
        <v>-455</v>
      </c>
      <c r="BQ916" s="72">
        <f>BQ841</f>
        <v>-467</v>
      </c>
      <c r="BR916" s="72">
        <f>+BP916+BQ916</f>
        <v>-922</v>
      </c>
      <c r="BS916" s="79">
        <f>+BR916/BN916-1</f>
        <v>3.828828828828823E-2</v>
      </c>
      <c r="BT916" s="72">
        <f>BT841</f>
        <v>-458</v>
      </c>
      <c r="BU916" s="72">
        <f>BU841</f>
        <v>-470</v>
      </c>
      <c r="BV916" s="72">
        <f>+BT916+BU916</f>
        <v>-928</v>
      </c>
      <c r="BW916" s="79">
        <f>+BV916/BR916-1</f>
        <v>6.5075921908894774E-3</v>
      </c>
      <c r="BX916" s="72">
        <f>BX841</f>
        <v>-432</v>
      </c>
      <c r="BY916" s="72">
        <f>BY841</f>
        <v>-430</v>
      </c>
      <c r="BZ916" s="72">
        <f>+BX916+BY916</f>
        <v>-862</v>
      </c>
      <c r="CA916" s="79">
        <f>+BZ916/BV916-1</f>
        <v>-7.1120689655172376E-2</v>
      </c>
      <c r="CB916" s="72">
        <f>CB841</f>
        <v>-395</v>
      </c>
      <c r="CC916" s="72">
        <f>CC841</f>
        <v>-416</v>
      </c>
      <c r="CD916" s="72">
        <f>+CB916+CC916</f>
        <v>-811</v>
      </c>
      <c r="CE916" s="79">
        <f>+CD916/BZ916-1</f>
        <v>-5.9164733178654338E-2</v>
      </c>
      <c r="CF916" s="72">
        <f>CF841</f>
        <v>-406</v>
      </c>
      <c r="CG916" s="72">
        <f>CG841</f>
        <v>-389</v>
      </c>
      <c r="CH916" s="72">
        <f>+CF916+CG916</f>
        <v>-795</v>
      </c>
      <c r="CI916" s="79">
        <f>+CH916/CD916-1</f>
        <v>-1.9728729963008673E-2</v>
      </c>
      <c r="CJ916" s="72">
        <f>CJ841</f>
        <v>-405</v>
      </c>
      <c r="CK916" s="72">
        <f>CK841</f>
        <v>-384</v>
      </c>
      <c r="CL916" s="72">
        <f>+CJ916+CK916</f>
        <v>-789</v>
      </c>
      <c r="CM916" s="79">
        <f>+CL916/CH916-1</f>
        <v>-7.547169811320753E-3</v>
      </c>
      <c r="CN916" s="72">
        <f>CN841</f>
        <v>-350</v>
      </c>
      <c r="CO916" s="72">
        <f>CO841</f>
        <v>-355</v>
      </c>
      <c r="CP916" s="72">
        <f>+CN916+CO916</f>
        <v>-705</v>
      </c>
      <c r="CQ916" s="79">
        <f>+CP916/CL916-1</f>
        <v>-0.10646387832699622</v>
      </c>
      <c r="CR916" s="72">
        <f>CR841</f>
        <v>-341</v>
      </c>
      <c r="CS916" s="72">
        <f>CS841</f>
        <v>-380</v>
      </c>
      <c r="CT916" s="72">
        <f>+CR916+CS916</f>
        <v>-721</v>
      </c>
      <c r="CU916" s="79">
        <f>+CT916/CP916-1</f>
        <v>2.2695035460992941E-2</v>
      </c>
      <c r="CV916" s="72">
        <f>CV841</f>
        <v>-334</v>
      </c>
      <c r="CW916" s="72">
        <f>CW841</f>
        <v>-324</v>
      </c>
      <c r="CX916" s="72">
        <f>+CV916+CW916</f>
        <v>-658</v>
      </c>
      <c r="CY916" s="79">
        <f>+CX916/CT916-1</f>
        <v>-8.737864077669899E-2</v>
      </c>
      <c r="CZ916" s="72">
        <f>CZ841</f>
        <v>-321</v>
      </c>
      <c r="DA916" s="72">
        <f>DA841</f>
        <v>-338</v>
      </c>
      <c r="DB916" s="72">
        <f>+CZ916+DA916</f>
        <v>-659</v>
      </c>
      <c r="DC916" s="79">
        <f>+DB916/CX916-1</f>
        <v>1.5197568389058169E-3</v>
      </c>
      <c r="DD916" s="72">
        <f>DD841</f>
        <v>-348</v>
      </c>
      <c r="DE916" s="72">
        <f>DE841</f>
        <v>-362</v>
      </c>
      <c r="DF916" s="72">
        <f>+DD916+DE916</f>
        <v>-710</v>
      </c>
      <c r="DG916" s="79">
        <f>+DF916/DB916-1</f>
        <v>7.7389984825493086E-2</v>
      </c>
      <c r="DH916" s="104">
        <f>DH918+DH917</f>
        <v>-362</v>
      </c>
      <c r="DI916" s="104">
        <f>DI918+DI917</f>
        <v>-362</v>
      </c>
      <c r="DJ916" s="72">
        <f>+DH916+DI916</f>
        <v>-724</v>
      </c>
      <c r="DK916" s="79">
        <f>+DJ916/DF916-1</f>
        <v>1.9718309859154903E-2</v>
      </c>
      <c r="DL916" s="104">
        <f>DL918+DL917</f>
        <v>-362</v>
      </c>
      <c r="DM916" s="104">
        <f>DM918+DM917</f>
        <v>-362</v>
      </c>
      <c r="DN916" s="72">
        <f>+DL916+DM916</f>
        <v>-724</v>
      </c>
      <c r="DO916" s="79">
        <f>+DN916/DJ916-1</f>
        <v>0</v>
      </c>
      <c r="DP916" s="104">
        <f>DP918+DP917</f>
        <v>-362</v>
      </c>
      <c r="DQ916" s="104">
        <f>DQ918+DQ917</f>
        <v>-362</v>
      </c>
      <c r="DR916" s="72">
        <f>+DP916+DQ916</f>
        <v>-724</v>
      </c>
      <c r="DS916" s="79">
        <f>+DR916/DN916-1</f>
        <v>0</v>
      </c>
      <c r="DT916" s="79"/>
      <c r="DU916" s="79"/>
      <c r="DV916" s="79"/>
      <c r="DW916" s="20"/>
      <c r="DX916" s="20"/>
    </row>
    <row r="917" spans="1:128" s="20" customFormat="1" ht="13.8">
      <c r="A917" s="61" t="s">
        <v>973</v>
      </c>
      <c r="B917" s="49"/>
      <c r="BH917" s="65"/>
      <c r="BI917" s="65"/>
      <c r="BJ917" s="65"/>
      <c r="BK917" s="49"/>
      <c r="BL917" s="65"/>
      <c r="BM917" s="65"/>
      <c r="BN917" s="65"/>
      <c r="BO917" s="49"/>
      <c r="BP917" s="65"/>
      <c r="BQ917" s="65"/>
      <c r="BR917" s="65"/>
      <c r="BS917" s="96"/>
      <c r="BT917" s="65"/>
      <c r="BU917" s="65"/>
      <c r="BV917" s="65"/>
      <c r="BW917" s="96"/>
      <c r="BX917" s="65"/>
      <c r="BY917" s="65"/>
      <c r="BZ917" s="65"/>
      <c r="CA917" s="96"/>
      <c r="CB917" s="65"/>
      <c r="CC917" s="65"/>
      <c r="CD917" s="65"/>
      <c r="CE917" s="96"/>
      <c r="CF917" s="65">
        <f>CF865</f>
        <v>-3</v>
      </c>
      <c r="CG917" s="65">
        <f>CG865</f>
        <v>-2</v>
      </c>
      <c r="CH917" s="65">
        <f>+CG917+CF917</f>
        <v>-5</v>
      </c>
      <c r="CI917" s="96"/>
      <c r="CJ917" s="65">
        <f>CJ865</f>
        <v>-1</v>
      </c>
      <c r="CK917" s="65">
        <f>CK865</f>
        <v>-1</v>
      </c>
      <c r="CL917" s="65">
        <f>+CK917+CJ917</f>
        <v>-2</v>
      </c>
      <c r="CM917" s="96"/>
      <c r="CN917" s="65">
        <f>CN865</f>
        <v>1</v>
      </c>
      <c r="CO917" s="65">
        <f>CO865</f>
        <v>0</v>
      </c>
      <c r="CP917" s="65">
        <f>+CO917+CN917</f>
        <v>1</v>
      </c>
      <c r="CQ917" s="96"/>
      <c r="CR917" s="65">
        <f>CR865</f>
        <v>0</v>
      </c>
      <c r="CS917" s="65">
        <f>CS865</f>
        <v>-47</v>
      </c>
      <c r="CT917" s="65">
        <f>+CS917+CR917</f>
        <v>-47</v>
      </c>
      <c r="CU917" s="96"/>
      <c r="CV917" s="65">
        <f>CV865</f>
        <v>0</v>
      </c>
      <c r="CW917" s="65">
        <f>CW865</f>
        <v>0</v>
      </c>
      <c r="CX917" s="65">
        <f>+CW917+CV917</f>
        <v>0</v>
      </c>
      <c r="CY917" s="96"/>
      <c r="CZ917" s="65">
        <f>CZ865</f>
        <v>0</v>
      </c>
      <c r="DA917" s="65">
        <f>DA865</f>
        <v>0</v>
      </c>
      <c r="DB917" s="65">
        <f>+DA917+CZ917</f>
        <v>0</v>
      </c>
      <c r="DC917" s="96"/>
      <c r="DD917" s="65">
        <f>DD865</f>
        <v>0</v>
      </c>
      <c r="DE917" s="65">
        <f>DE865</f>
        <v>0</v>
      </c>
      <c r="DF917" s="65">
        <f>+DE917+DD917</f>
        <v>0</v>
      </c>
      <c r="DG917" s="96"/>
      <c r="DH917" s="65">
        <f>DH865</f>
        <v>0</v>
      </c>
      <c r="DI917" s="65">
        <f>DI865</f>
        <v>0</v>
      </c>
      <c r="DJ917" s="65">
        <f>+DH917+DI917</f>
        <v>0</v>
      </c>
      <c r="DK917" s="96"/>
      <c r="DL917" s="65">
        <f>DL865</f>
        <v>0</v>
      </c>
      <c r="DM917" s="65">
        <f>DM865</f>
        <v>0</v>
      </c>
      <c r="DN917" s="65">
        <f>+DL917+DM917</f>
        <v>0</v>
      </c>
      <c r="DO917" s="96"/>
      <c r="DP917" s="65">
        <f>DP865</f>
        <v>0</v>
      </c>
      <c r="DQ917" s="65">
        <f>DQ865</f>
        <v>0</v>
      </c>
      <c r="DR917" s="65">
        <f>+DP917+DQ917</f>
        <v>0</v>
      </c>
      <c r="DS917" s="96"/>
      <c r="DT917" s="96"/>
      <c r="DU917" s="96"/>
      <c r="DV917" s="96"/>
    </row>
    <row r="918" spans="1:128" s="21" customFormat="1" ht="13.8">
      <c r="A918" s="60" t="str">
        <f>A916&amp;" Ex Notable Items"</f>
        <v>Premises Expenses Ex Notable Items</v>
      </c>
      <c r="B918" s="27"/>
      <c r="BH918" s="72"/>
      <c r="BI918" s="72"/>
      <c r="BJ918" s="72"/>
      <c r="BK918" s="27"/>
      <c r="BL918" s="72"/>
      <c r="BM918" s="72"/>
      <c r="BN918" s="72"/>
      <c r="BO918" s="27"/>
      <c r="BP918" s="72"/>
      <c r="BQ918" s="72"/>
      <c r="BR918" s="72"/>
      <c r="BS918" s="79"/>
      <c r="BT918" s="72"/>
      <c r="BU918" s="72"/>
      <c r="BV918" s="72"/>
      <c r="BW918" s="79"/>
      <c r="BX918" s="72"/>
      <c r="BY918" s="72"/>
      <c r="BZ918" s="72"/>
      <c r="CA918" s="79"/>
      <c r="CB918" s="72"/>
      <c r="CC918" s="72"/>
      <c r="CD918" s="72"/>
      <c r="CE918" s="79"/>
      <c r="CF918" s="72">
        <f>CF852</f>
        <v>-403</v>
      </c>
      <c r="CG918" s="72">
        <f>CG852</f>
        <v>-387</v>
      </c>
      <c r="CH918" s="72">
        <f>+CG918+CF918</f>
        <v>-790</v>
      </c>
      <c r="CI918" s="79"/>
      <c r="CJ918" s="72">
        <f>CJ852</f>
        <v>-404</v>
      </c>
      <c r="CK918" s="72">
        <f>CK852</f>
        <v>-383</v>
      </c>
      <c r="CL918" s="72">
        <f>+CK918+CJ918</f>
        <v>-787</v>
      </c>
      <c r="CM918" s="79">
        <f>+CL918/CH918-1</f>
        <v>-3.7974683544304E-3</v>
      </c>
      <c r="CN918" s="72">
        <f>CN852</f>
        <v>-351</v>
      </c>
      <c r="CO918" s="72">
        <f>CO852</f>
        <v>-355</v>
      </c>
      <c r="CP918" s="72">
        <f>+CO918+CN918</f>
        <v>-706</v>
      </c>
      <c r="CQ918" s="79">
        <f>+CP918/CL918-1</f>
        <v>-0.10292249047013979</v>
      </c>
      <c r="CR918" s="72">
        <f>CR852</f>
        <v>-341</v>
      </c>
      <c r="CS918" s="72">
        <f>CS852</f>
        <v>-333</v>
      </c>
      <c r="CT918" s="72">
        <f>+CS918+CR918</f>
        <v>-674</v>
      </c>
      <c r="CU918" s="79"/>
      <c r="CV918" s="72">
        <f>CV852</f>
        <v>-334</v>
      </c>
      <c r="CW918" s="72">
        <f>CW852</f>
        <v>-324</v>
      </c>
      <c r="CX918" s="72">
        <f>+CW918+CV918</f>
        <v>-658</v>
      </c>
      <c r="CY918" s="79"/>
      <c r="CZ918" s="72">
        <f>CZ852</f>
        <v>-321</v>
      </c>
      <c r="DA918" s="72">
        <f>DA852</f>
        <v>-338</v>
      </c>
      <c r="DB918" s="72">
        <f>+DA918+CZ918</f>
        <v>-659</v>
      </c>
      <c r="DC918" s="79"/>
      <c r="DD918" s="72">
        <f>DD852</f>
        <v>-348</v>
      </c>
      <c r="DE918" s="72">
        <f>DE852</f>
        <v>-362</v>
      </c>
      <c r="DF918" s="72">
        <f>+DE918+DD918</f>
        <v>-710</v>
      </c>
      <c r="DG918" s="79"/>
      <c r="DH918" s="104">
        <f>+DE918*(1+DH919)</f>
        <v>-362</v>
      </c>
      <c r="DI918" s="104">
        <f>+DH918*(1+DI919)</f>
        <v>-362</v>
      </c>
      <c r="DJ918" s="72">
        <f t="shared" ref="DJ918" si="1428">+DH918+DI918</f>
        <v>-724</v>
      </c>
      <c r="DK918" s="79"/>
      <c r="DL918" s="104">
        <f>+DI918*(1+DL919)</f>
        <v>-362</v>
      </c>
      <c r="DM918" s="104">
        <f>+DL918*(1+DM919)</f>
        <v>-362</v>
      </c>
      <c r="DN918" s="72">
        <f t="shared" ref="DN918" si="1429">+DL918+DM918</f>
        <v>-724</v>
      </c>
      <c r="DO918" s="79"/>
      <c r="DP918" s="104">
        <f>+DM918*(1+DP919)</f>
        <v>-362</v>
      </c>
      <c r="DQ918" s="104">
        <f>+DP918*(1+DQ919)</f>
        <v>-362</v>
      </c>
      <c r="DR918" s="72">
        <f t="shared" ref="DR918" si="1430">+DP918+DQ918</f>
        <v>-724</v>
      </c>
      <c r="DS918" s="79"/>
      <c r="DT918" s="79"/>
      <c r="DU918" s="79"/>
      <c r="DV918" s="79"/>
    </row>
    <row r="919" spans="1:128" s="325" customFormat="1" ht="13.8">
      <c r="A919" s="335" t="s">
        <v>217</v>
      </c>
      <c r="B919" s="336"/>
      <c r="C919" s="335"/>
      <c r="D919" s="335"/>
      <c r="E919" s="335"/>
      <c r="F919" s="335"/>
      <c r="G919" s="335"/>
      <c r="H919" s="335"/>
      <c r="I919" s="335"/>
      <c r="J919" s="335"/>
      <c r="K919" s="335"/>
      <c r="L919" s="335"/>
      <c r="M919" s="335"/>
      <c r="N919" s="335"/>
      <c r="O919" s="335"/>
      <c r="P919" s="335"/>
      <c r="Q919" s="335"/>
      <c r="R919" s="335"/>
      <c r="S919" s="335"/>
      <c r="T919" s="335"/>
      <c r="U919" s="335"/>
      <c r="V919" s="335"/>
      <c r="W919" s="335"/>
      <c r="X919" s="335"/>
      <c r="Y919" s="335"/>
      <c r="Z919" s="335"/>
      <c r="AA919" s="335"/>
      <c r="AB919" s="335"/>
      <c r="AC919" s="335"/>
      <c r="AD919" s="335"/>
      <c r="AE919" s="335"/>
      <c r="AF919" s="335"/>
      <c r="AG919" s="335"/>
      <c r="AH919" s="335"/>
      <c r="AI919" s="335"/>
      <c r="AJ919" s="335"/>
      <c r="AK919" s="335"/>
      <c r="AL919" s="335"/>
      <c r="AM919" s="335"/>
      <c r="AN919" s="335"/>
      <c r="AO919" s="335"/>
      <c r="AP919" s="335"/>
      <c r="AQ919" s="335"/>
      <c r="AR919" s="335"/>
      <c r="AS919" s="335"/>
      <c r="AT919" s="335"/>
      <c r="AU919" s="335"/>
      <c r="AV919" s="335"/>
      <c r="AW919" s="335"/>
      <c r="AX919" s="335"/>
      <c r="AY919" s="335"/>
      <c r="AZ919" s="335"/>
      <c r="BA919" s="335"/>
      <c r="BB919" s="335"/>
      <c r="BC919" s="335"/>
      <c r="BD919" s="335"/>
      <c r="BE919" s="335"/>
      <c r="BF919" s="335"/>
      <c r="BG919" s="335"/>
      <c r="BH919" s="379"/>
      <c r="BI919" s="379">
        <f>+BI916/BH916-1</f>
        <v>5.8988764044943798E-2</v>
      </c>
      <c r="BJ919" s="380"/>
      <c r="BK919" s="336"/>
      <c r="BL919" s="379">
        <f>+BL916/BI916-1</f>
        <v>0.17241379310344818</v>
      </c>
      <c r="BM919" s="379">
        <f>+BM916/BL916-1</f>
        <v>9.0497737556560764E-3</v>
      </c>
      <c r="BN919" s="380"/>
      <c r="BO919" s="336"/>
      <c r="BP919" s="379">
        <f>+BP916/BM916-1</f>
        <v>2.0179372197309364E-2</v>
      </c>
      <c r="BQ919" s="379">
        <f>+BQ916/BP916-1</f>
        <v>2.637362637362628E-2</v>
      </c>
      <c r="BR919" s="380"/>
      <c r="BT919" s="379">
        <f>+BT916/BQ916-1</f>
        <v>-1.9271948608137079E-2</v>
      </c>
      <c r="BU919" s="379">
        <f>+BU916/BT916-1</f>
        <v>2.6200873362445476E-2</v>
      </c>
      <c r="BV919" s="380"/>
      <c r="BX919" s="379">
        <f>+BX916/BU916-1</f>
        <v>-8.085106382978724E-2</v>
      </c>
      <c r="BY919" s="379">
        <f>+BY916/BX916-1</f>
        <v>-4.6296296296296502E-3</v>
      </c>
      <c r="BZ919" s="380"/>
      <c r="CB919" s="379">
        <f>+CB916/BY916-1</f>
        <v>-8.1395348837209336E-2</v>
      </c>
      <c r="CC919" s="379">
        <f>+CC916/CB916-1</f>
        <v>5.3164556962025378E-2</v>
      </c>
      <c r="CD919" s="380"/>
      <c r="CF919" s="379">
        <f>+CF916/CC916-1</f>
        <v>-2.4038461538461564E-2</v>
      </c>
      <c r="CG919" s="379">
        <f>+CG916/CF916-1</f>
        <v>-4.1871921182266014E-2</v>
      </c>
      <c r="CH919" s="380"/>
      <c r="CJ919" s="379">
        <f>+CJ918/CG918-1</f>
        <v>4.3927648578811374E-2</v>
      </c>
      <c r="CK919" s="379">
        <f>+CK918/CJ918-1</f>
        <v>-5.1980198019802026E-2</v>
      </c>
      <c r="CL919" s="380"/>
      <c r="CN919" s="379">
        <f>+CN916/CK916-1</f>
        <v>-8.854166666666663E-2</v>
      </c>
      <c r="CO919" s="379">
        <f>+CO918/CN918-1</f>
        <v>1.139601139601143E-2</v>
      </c>
      <c r="CP919" s="380"/>
      <c r="CR919" s="379">
        <f>+CR916/CO916-1</f>
        <v>-3.9436619718309807E-2</v>
      </c>
      <c r="CS919" s="379">
        <f>+CS918/CR918-1</f>
        <v>-2.346041055718473E-2</v>
      </c>
      <c r="CT919" s="380"/>
      <c r="CV919" s="379">
        <f>+CV916/CS916-1</f>
        <v>-0.12105263157894741</v>
      </c>
      <c r="CW919" s="379">
        <f>+CW918/CV918-1</f>
        <v>-2.9940119760479056E-2</v>
      </c>
      <c r="CX919" s="380"/>
      <c r="CZ919" s="379">
        <f>+CZ916/CW916-1</f>
        <v>-9.2592592592593004E-3</v>
      </c>
      <c r="DA919" s="379">
        <f>+DA918/CZ918-1</f>
        <v>5.2959501557632294E-2</v>
      </c>
      <c r="DB919" s="380"/>
      <c r="DD919" s="379">
        <f>+DD916/DA916-1</f>
        <v>2.9585798816567976E-2</v>
      </c>
      <c r="DE919" s="379">
        <f>+DE918/DD918-1</f>
        <v>4.022988505747116E-2</v>
      </c>
      <c r="DF919" s="380"/>
      <c r="DH919" s="346">
        <v>0</v>
      </c>
      <c r="DI919" s="346">
        <v>0</v>
      </c>
      <c r="DJ919" s="336"/>
      <c r="DL919" s="346">
        <v>0</v>
      </c>
      <c r="DM919" s="346">
        <v>0</v>
      </c>
      <c r="DN919" s="336"/>
      <c r="DP919" s="346">
        <v>0</v>
      </c>
      <c r="DQ919" s="346">
        <v>0</v>
      </c>
      <c r="DR919" s="336"/>
      <c r="DW919" s="20"/>
      <c r="DX919" s="431"/>
    </row>
    <row r="920" spans="1:128" s="20" customFormat="1" ht="13.8">
      <c r="A920" s="47" t="s">
        <v>127</v>
      </c>
      <c r="B920" s="92"/>
      <c r="C920" s="47"/>
      <c r="D920" s="47"/>
      <c r="E920" s="47"/>
      <c r="F920" s="47"/>
      <c r="G920" s="47"/>
      <c r="H920" s="47"/>
      <c r="I920" s="47"/>
      <c r="J920" s="47"/>
      <c r="K920" s="47"/>
      <c r="L920" s="47"/>
      <c r="M920" s="47"/>
      <c r="N920" s="47"/>
      <c r="O920" s="47"/>
      <c r="P920" s="47"/>
      <c r="Q920" s="47"/>
      <c r="R920" s="47"/>
      <c r="S920" s="47"/>
      <c r="T920" s="47"/>
      <c r="U920" s="47"/>
      <c r="V920" s="47"/>
      <c r="W920" s="47"/>
      <c r="X920" s="47"/>
      <c r="Y920" s="47"/>
      <c r="Z920" s="47"/>
      <c r="AA920" s="47"/>
      <c r="AB920" s="47"/>
      <c r="AC920" s="47"/>
      <c r="AD920" s="47"/>
      <c r="AE920" s="47"/>
      <c r="AF920" s="47"/>
      <c r="AG920" s="47"/>
      <c r="AH920" s="47"/>
      <c r="AI920" s="47"/>
      <c r="AJ920" s="47"/>
      <c r="AK920" s="47"/>
      <c r="AL920" s="47"/>
      <c r="AM920" s="47"/>
      <c r="AN920" s="47"/>
      <c r="AO920" s="47"/>
      <c r="AP920" s="47"/>
      <c r="AQ920" s="47"/>
      <c r="AR920" s="47"/>
      <c r="AS920" s="47"/>
      <c r="AT920" s="47"/>
      <c r="AU920" s="47"/>
      <c r="AV920" s="47"/>
      <c r="AW920" s="47"/>
      <c r="AX920" s="47"/>
      <c r="AY920" s="47"/>
      <c r="AZ920" s="47"/>
      <c r="BA920" s="47"/>
      <c r="BB920" s="47"/>
      <c r="BC920" s="47"/>
      <c r="BD920" s="47"/>
      <c r="BE920" s="47"/>
      <c r="BF920" s="47"/>
      <c r="BG920" s="47"/>
      <c r="BH920" s="381"/>
      <c r="BI920" s="381"/>
      <c r="BJ920" s="73"/>
      <c r="BK920" s="92"/>
      <c r="BL920" s="381">
        <f>+BL916/BH916-1</f>
        <v>0.2415730337078652</v>
      </c>
      <c r="BM920" s="381"/>
      <c r="BN920" s="73"/>
      <c r="BO920" s="92"/>
      <c r="BP920" s="381">
        <f>+BP916/BL916-1</f>
        <v>2.9411764705882248E-2</v>
      </c>
      <c r="BQ920" s="381"/>
      <c r="BR920" s="73"/>
      <c r="BT920" s="381">
        <f>+BT916/BP916-1</f>
        <v>6.59340659340657E-3</v>
      </c>
      <c r="BU920" s="381"/>
      <c r="BV920" s="73"/>
      <c r="BX920" s="381">
        <f>+BX916/BT916-1</f>
        <v>-5.6768558951965087E-2</v>
      </c>
      <c r="BY920" s="381"/>
      <c r="BZ920" s="73"/>
      <c r="CB920" s="381">
        <f>+CB916/BX916-1</f>
        <v>-8.564814814814814E-2</v>
      </c>
      <c r="CC920" s="381"/>
      <c r="CD920" s="73"/>
      <c r="CF920" s="381">
        <f>+CF916/CB916-1</f>
        <v>2.7848101265822711E-2</v>
      </c>
      <c r="CG920" s="381"/>
      <c r="CH920" s="73"/>
      <c r="CJ920" s="381">
        <f>+CJ918/CF918-1</f>
        <v>2.4813895781636841E-3</v>
      </c>
      <c r="CK920" s="381"/>
      <c r="CL920" s="73"/>
      <c r="CN920" s="381">
        <f>+CN918/CJ918-1</f>
        <v>-0.13118811881188119</v>
      </c>
      <c r="CO920" s="381"/>
      <c r="CP920" s="73"/>
      <c r="CR920" s="381">
        <f>+CR918/CN918-1</f>
        <v>-2.8490028490028463E-2</v>
      </c>
      <c r="CS920" s="381"/>
      <c r="CT920" s="73"/>
      <c r="CV920" s="381">
        <f>+CV918/CR918-1</f>
        <v>-2.0527859237536639E-2</v>
      </c>
      <c r="CW920" s="381"/>
      <c r="CX920" s="73"/>
      <c r="CZ920" s="381">
        <f>+CZ918/CV918-1</f>
        <v>-3.8922155688622784E-2</v>
      </c>
      <c r="DA920" s="381"/>
      <c r="DB920" s="73"/>
      <c r="DD920" s="381">
        <f>+DD918/CZ918-1</f>
        <v>8.4112149532710179E-2</v>
      </c>
      <c r="DE920" s="381"/>
      <c r="DF920" s="73"/>
      <c r="DH920" s="381">
        <f>+DH918/DD918-1</f>
        <v>4.022988505747116E-2</v>
      </c>
      <c r="DI920" s="381">
        <f>+DI918/DE918-1</f>
        <v>0</v>
      </c>
      <c r="DJ920" s="381">
        <f>+DJ918/DF918-1</f>
        <v>1.9718309859154903E-2</v>
      </c>
      <c r="DL920" s="381">
        <f>+DL918/DH918-1</f>
        <v>0</v>
      </c>
      <c r="DM920" s="381">
        <f>+DM918/DI918-1</f>
        <v>0</v>
      </c>
      <c r="DN920" s="381">
        <f>+DN918/DJ918-1</f>
        <v>0</v>
      </c>
      <c r="DP920" s="381">
        <f>+DP918/DL918-1</f>
        <v>0</v>
      </c>
      <c r="DQ920" s="381">
        <f>+DQ918/DM918-1</f>
        <v>0</v>
      </c>
      <c r="DR920" s="381">
        <f>+DR918/DN918-1</f>
        <v>0</v>
      </c>
      <c r="DX920" s="431"/>
    </row>
    <row r="921" spans="1:128" s="20" customFormat="1" ht="13.8">
      <c r="B921" s="49"/>
      <c r="BH921" s="49"/>
      <c r="BI921" s="49"/>
      <c r="BJ921" s="49"/>
      <c r="BK921" s="49"/>
      <c r="BL921" s="49"/>
      <c r="BM921" s="49"/>
      <c r="BN921" s="49"/>
      <c r="BO921" s="49"/>
      <c r="BP921" s="49"/>
      <c r="BQ921" s="49"/>
      <c r="BR921" s="49"/>
      <c r="BT921" s="49"/>
      <c r="BU921" s="49"/>
      <c r="BV921" s="49"/>
      <c r="BX921" s="49"/>
      <c r="BY921" s="49"/>
      <c r="BZ921" s="49"/>
      <c r="CB921" s="49"/>
      <c r="CC921" s="49"/>
      <c r="CD921" s="49"/>
      <c r="CF921" s="49"/>
      <c r="CG921" s="49"/>
      <c r="CH921" s="49"/>
      <c r="CJ921" s="49"/>
      <c r="CK921" s="49"/>
      <c r="CL921" s="49"/>
      <c r="CN921" s="49"/>
      <c r="CO921" s="49"/>
      <c r="CP921" s="49"/>
      <c r="CR921" s="49"/>
      <c r="CS921" s="49"/>
      <c r="CT921" s="49"/>
      <c r="CV921" s="49"/>
      <c r="CW921" s="49"/>
      <c r="CX921" s="49"/>
      <c r="CZ921" s="49"/>
      <c r="DA921" s="49"/>
      <c r="DB921" s="49"/>
      <c r="DD921" s="49"/>
      <c r="DE921" s="49"/>
      <c r="DF921" s="49"/>
      <c r="DH921" s="49"/>
      <c r="DL921" s="49"/>
      <c r="DP921" s="49"/>
      <c r="DX921" s="431"/>
    </row>
    <row r="922" spans="1:128" s="20" customFormat="1" ht="13.8">
      <c r="A922" s="21" t="s">
        <v>789</v>
      </c>
      <c r="B922" s="92"/>
      <c r="C922" s="47"/>
      <c r="D922" s="47"/>
      <c r="E922" s="47"/>
      <c r="F922" s="47"/>
      <c r="G922" s="47"/>
      <c r="H922" s="47"/>
      <c r="I922" s="47"/>
      <c r="J922" s="47"/>
      <c r="K922" s="47"/>
      <c r="L922" s="47"/>
      <c r="M922" s="47"/>
      <c r="N922" s="47"/>
      <c r="O922" s="47"/>
      <c r="P922" s="47"/>
      <c r="Q922" s="47"/>
      <c r="R922" s="47"/>
      <c r="S922" s="47"/>
      <c r="T922" s="47"/>
      <c r="U922" s="47"/>
      <c r="V922" s="47"/>
      <c r="W922" s="47"/>
      <c r="X922" s="47"/>
      <c r="Y922" s="47"/>
      <c r="Z922" s="47"/>
      <c r="AA922" s="47"/>
      <c r="AB922" s="47"/>
      <c r="AC922" s="47"/>
      <c r="AD922" s="47"/>
      <c r="AE922" s="47"/>
      <c r="AF922" s="47"/>
      <c r="AG922" s="47"/>
      <c r="AH922" s="47"/>
      <c r="AI922" s="47"/>
      <c r="AJ922" s="47"/>
      <c r="AK922" s="47"/>
      <c r="AL922" s="47"/>
      <c r="AM922" s="47"/>
      <c r="AN922" s="47"/>
      <c r="AO922" s="47"/>
      <c r="AP922" s="47"/>
      <c r="AQ922" s="47"/>
      <c r="AR922" s="47"/>
      <c r="AS922" s="47"/>
      <c r="AT922" s="47"/>
      <c r="AU922" s="47"/>
      <c r="AV922" s="47"/>
      <c r="AW922" s="47"/>
      <c r="AX922" s="47"/>
      <c r="AY922" s="47"/>
      <c r="AZ922" s="47"/>
      <c r="BA922" s="47"/>
      <c r="BB922" s="47"/>
      <c r="BC922" s="47"/>
      <c r="BD922" s="47"/>
      <c r="BE922" s="47"/>
      <c r="BF922" s="47"/>
      <c r="BG922" s="47"/>
      <c r="BH922" s="72">
        <f ca="1">+BH925-BH923</f>
        <v>-618</v>
      </c>
      <c r="BI922" s="72">
        <f ca="1">+BI925-BI923</f>
        <v>-625</v>
      </c>
      <c r="BJ922" s="72">
        <f ca="1">+BJ925-BJ923</f>
        <v>-1243</v>
      </c>
      <c r="BK922" s="92"/>
      <c r="BL922" s="72">
        <f ca="1">+BL925-BL923</f>
        <v>-606</v>
      </c>
      <c r="BM922" s="72">
        <f ca="1">+BM925-BM923</f>
        <v>-660</v>
      </c>
      <c r="BN922" s="72">
        <f ca="1">+BN925-BN923</f>
        <v>-1266</v>
      </c>
      <c r="BO922" s="92"/>
      <c r="BP922" s="72">
        <f ca="1">+BP925-BP923</f>
        <v>-701</v>
      </c>
      <c r="BQ922" s="72">
        <f ca="1">+BQ925-BQ923</f>
        <v>-761</v>
      </c>
      <c r="BR922" s="72">
        <f ca="1">+BR925-BR923</f>
        <v>-1462</v>
      </c>
      <c r="BT922" s="72">
        <f>+BT925-BT923</f>
        <v>-777</v>
      </c>
      <c r="BU922" s="72">
        <f>+BU925-BU923</f>
        <v>-834</v>
      </c>
      <c r="BV922" s="72">
        <f>+BV925-BV923</f>
        <v>-1611</v>
      </c>
      <c r="BW922" s="79">
        <f ca="1">+BV922/BR922-1</f>
        <v>0.10191518467852267</v>
      </c>
      <c r="BX922" s="72">
        <f>+BX925-BX923</f>
        <v>-799</v>
      </c>
      <c r="BY922" s="72">
        <f>+BY925-BY923</f>
        <v>-803</v>
      </c>
      <c r="BZ922" s="72">
        <f>+BZ925-BZ923</f>
        <v>-1602</v>
      </c>
      <c r="CA922" s="79">
        <f>+BZ922/BV922-1</f>
        <v>-5.5865921787709993E-3</v>
      </c>
      <c r="CB922" s="72">
        <f>+CB925-CB923</f>
        <v>-815</v>
      </c>
      <c r="CC922" s="72">
        <f>+CC925-CC923</f>
        <v>-833</v>
      </c>
      <c r="CD922" s="72">
        <f>+CD925-CD923</f>
        <v>-1648</v>
      </c>
      <c r="CE922" s="79">
        <f>+CD922/BZ922-1</f>
        <v>2.8714107365792829E-2</v>
      </c>
      <c r="CF922" s="72">
        <f>CF853</f>
        <v>-762</v>
      </c>
      <c r="CG922" s="72">
        <f>CG853</f>
        <v>-768</v>
      </c>
      <c r="CH922" s="72">
        <f t="shared" ref="CH922:CH925" si="1431">SUM(CF922:CG922)</f>
        <v>-1530</v>
      </c>
      <c r="CI922" s="79">
        <f>+CH922/CD922-1</f>
        <v>-7.1601941747572839E-2</v>
      </c>
      <c r="CJ922" s="72">
        <f>CJ853</f>
        <v>-787</v>
      </c>
      <c r="CK922" s="72">
        <f>CK853</f>
        <v>-773</v>
      </c>
      <c r="CL922" s="72">
        <f>SUM(CJ922:CK922)</f>
        <v>-1560</v>
      </c>
      <c r="CM922" s="79">
        <f>+CL922/CH922-1</f>
        <v>1.9607843137254832E-2</v>
      </c>
      <c r="CN922" s="72">
        <f>CN853</f>
        <v>-780</v>
      </c>
      <c r="CO922" s="72">
        <f>CO853</f>
        <v>-797</v>
      </c>
      <c r="CP922" s="72">
        <f>SUM(CN922:CO922)</f>
        <v>-1577</v>
      </c>
      <c r="CQ922" s="79">
        <f>+CP922/CL922-1</f>
        <v>1.0897435897435859E-2</v>
      </c>
      <c r="CR922" s="72">
        <f>CR853</f>
        <v>-801</v>
      </c>
      <c r="CS922" s="72">
        <f>CS853</f>
        <v>-801</v>
      </c>
      <c r="CT922" s="72">
        <f>SUM(CR922:CS922)</f>
        <v>-1602</v>
      </c>
      <c r="CU922" s="79">
        <f>+CT922/CP922-1</f>
        <v>1.5852885225110969E-2</v>
      </c>
      <c r="CV922" s="72">
        <f>CV853</f>
        <v>-831</v>
      </c>
      <c r="CW922" s="72">
        <f>CW853</f>
        <v>-844</v>
      </c>
      <c r="CX922" s="72">
        <f>SUM(CV922:CW922)</f>
        <v>-1675</v>
      </c>
      <c r="CY922" s="79">
        <f>+CX922/CT922-1</f>
        <v>4.5568039950062422E-2</v>
      </c>
      <c r="CZ922" s="72">
        <f>CZ853</f>
        <v>-868</v>
      </c>
      <c r="DA922" s="72">
        <f>DA853</f>
        <v>-1017</v>
      </c>
      <c r="DB922" s="72">
        <f>SUM(CZ922:DA922)</f>
        <v>-1885</v>
      </c>
      <c r="DC922" s="79">
        <f>+DB922/CX922-1</f>
        <v>0.12537313432835817</v>
      </c>
      <c r="DD922" s="72">
        <f>DD853</f>
        <v>-1057</v>
      </c>
      <c r="DE922" s="72">
        <f>DE853</f>
        <v>-1186</v>
      </c>
      <c r="DF922" s="72">
        <f>SUM(DD922:DE922)</f>
        <v>-2243</v>
      </c>
      <c r="DG922" s="79">
        <f>+DF922/DB922-1</f>
        <v>0.18992042440318313</v>
      </c>
      <c r="DH922" s="104">
        <f>DH931</f>
        <v>-1164.7896870342772</v>
      </c>
      <c r="DI922" s="104">
        <f>DI931</f>
        <v>-1145.9259538393053</v>
      </c>
      <c r="DJ922" s="72">
        <f>+DH922+DI922</f>
        <v>-2310.7156408735827</v>
      </c>
      <c r="DK922" s="79">
        <f>+DJ922/DF922-1</f>
        <v>3.0189764098788485E-2</v>
      </c>
      <c r="DL922" s="104">
        <f>DL931</f>
        <v>-1164.5726814905945</v>
      </c>
      <c r="DM922" s="104">
        <f>DM931</f>
        <v>-1177.7939334762882</v>
      </c>
      <c r="DN922" s="72">
        <f>+DL922+DM922</f>
        <v>-2342.3666149668825</v>
      </c>
      <c r="DO922" s="79">
        <f>+DN922/DJ922-1</f>
        <v>1.3697476891329607E-2</v>
      </c>
      <c r="DP922" s="104">
        <f>DP931</f>
        <v>-1185.3870483483945</v>
      </c>
      <c r="DQ922" s="104">
        <f>DQ931</f>
        <v>-1189.8610892931949</v>
      </c>
      <c r="DR922" s="72">
        <f>+DP922+DQ922</f>
        <v>-2375.2481376415894</v>
      </c>
      <c r="DS922" s="79">
        <f>+DR922/DN922-1</f>
        <v>1.4037735367557591E-2</v>
      </c>
      <c r="DT922" s="79"/>
      <c r="DU922" s="79"/>
      <c r="DV922" s="79"/>
      <c r="DX922" s="431"/>
    </row>
    <row r="923" spans="1:128" s="20" customFormat="1" ht="13.8">
      <c r="A923" s="533" t="s">
        <v>925</v>
      </c>
      <c r="B923" s="575"/>
      <c r="C923" s="574"/>
      <c r="D923" s="574"/>
      <c r="E923" s="574"/>
      <c r="F923" s="574"/>
      <c r="G923" s="574"/>
      <c r="H923" s="574"/>
      <c r="I923" s="574"/>
      <c r="J923" s="574"/>
      <c r="K923" s="574"/>
      <c r="L923" s="574"/>
      <c r="M923" s="574"/>
      <c r="N923" s="574"/>
      <c r="O923" s="574"/>
      <c r="P923" s="574"/>
      <c r="Q923" s="574"/>
      <c r="R923" s="574"/>
      <c r="S923" s="574"/>
      <c r="T923" s="574"/>
      <c r="U923" s="574"/>
      <c r="V923" s="574"/>
      <c r="W923" s="574"/>
      <c r="X923" s="574"/>
      <c r="Y923" s="574"/>
      <c r="Z923" s="574"/>
      <c r="AA923" s="574"/>
      <c r="AB923" s="574"/>
      <c r="AC923" s="574"/>
      <c r="AD923" s="574"/>
      <c r="AE923" s="574"/>
      <c r="AF923" s="574"/>
      <c r="AG923" s="574"/>
      <c r="AH923" s="574"/>
      <c r="AI923" s="574"/>
      <c r="AJ923" s="574"/>
      <c r="AK923" s="574"/>
      <c r="AL923" s="574"/>
      <c r="AM923" s="574"/>
      <c r="AN923" s="574"/>
      <c r="AO923" s="574"/>
      <c r="AP923" s="574"/>
      <c r="AQ923" s="574"/>
      <c r="AR923" s="574"/>
      <c r="AS923" s="574"/>
      <c r="AT923" s="574"/>
      <c r="AU923" s="574"/>
      <c r="AV923" s="574"/>
      <c r="AW923" s="574"/>
      <c r="AX923" s="574"/>
      <c r="AY923" s="574"/>
      <c r="AZ923" s="574"/>
      <c r="BA923" s="574"/>
      <c r="BB923" s="574"/>
      <c r="BC923" s="574"/>
      <c r="BD923" s="574"/>
      <c r="BE923" s="574"/>
      <c r="BF923" s="574"/>
      <c r="BG923" s="574"/>
      <c r="BH923" s="579">
        <f ca="1">+BE923*(1+BH922)</f>
        <v>0</v>
      </c>
      <c r="BI923" s="579">
        <f ca="1">+BF923*(1+BI922)</f>
        <v>0</v>
      </c>
      <c r="BJ923" s="580">
        <f ca="1">+BH923+BI923</f>
        <v>0</v>
      </c>
      <c r="BK923" s="575"/>
      <c r="BL923" s="579">
        <f ca="1">+BI923*(1+BL922)</f>
        <v>0</v>
      </c>
      <c r="BM923" s="579">
        <f ca="1">+BJ923*(1+BM922)</f>
        <v>0</v>
      </c>
      <c r="BN923" s="580">
        <f ca="1">+BL923+BM923</f>
        <v>0</v>
      </c>
      <c r="BO923" s="575"/>
      <c r="BP923" s="579">
        <f ca="1">+BM923*(1+BP922)</f>
        <v>0</v>
      </c>
      <c r="BQ923" s="579">
        <f ca="1">+BN923*(1+BQ922)</f>
        <v>0</v>
      </c>
      <c r="BR923" s="580">
        <f ca="1">+BP923+BQ923</f>
        <v>0</v>
      </c>
      <c r="BS923" s="533"/>
      <c r="BT923" s="701">
        <v>-556</v>
      </c>
      <c r="BU923" s="701">
        <v>0</v>
      </c>
      <c r="BV923" s="580">
        <f>+BT923+BU923</f>
        <v>-556</v>
      </c>
      <c r="BW923" s="533"/>
      <c r="BX923" s="701">
        <v>0</v>
      </c>
      <c r="BY923" s="701">
        <v>0</v>
      </c>
      <c r="BZ923" s="580">
        <f>+BX923+BY923</f>
        <v>0</v>
      </c>
      <c r="CA923" s="533"/>
      <c r="CB923" s="701">
        <v>0</v>
      </c>
      <c r="CC923" s="701">
        <v>-251</v>
      </c>
      <c r="CD923" s="580">
        <f>+CB923+CC923</f>
        <v>-251</v>
      </c>
      <c r="CE923" s="533"/>
      <c r="CF923" s="579">
        <v>0</v>
      </c>
      <c r="CG923" s="579">
        <v>0</v>
      </c>
      <c r="CH923" s="583">
        <f t="shared" si="1431"/>
        <v>0</v>
      </c>
      <c r="CI923" s="533"/>
      <c r="CJ923" s="579">
        <v>0</v>
      </c>
      <c r="CK923" s="701">
        <v>-197</v>
      </c>
      <c r="CL923" s="583">
        <f t="shared" ref="CL923:CL925" si="1432">SUM(CJ923:CK923)</f>
        <v>-197</v>
      </c>
      <c r="CM923" s="533"/>
      <c r="CN923" s="579">
        <v>0</v>
      </c>
      <c r="CO923" s="579">
        <v>0</v>
      </c>
      <c r="CP923" s="583">
        <f t="shared" ref="CP923:CP925" si="1433">SUM(CN923:CO923)</f>
        <v>0</v>
      </c>
      <c r="CQ923" s="533"/>
      <c r="CR923" s="579">
        <v>0</v>
      </c>
      <c r="CS923" s="579">
        <v>0</v>
      </c>
      <c r="CT923" s="583">
        <f t="shared" ref="CT923:CT925" si="1434">SUM(CR923:CS923)</f>
        <v>0</v>
      </c>
      <c r="CU923" s="533"/>
      <c r="CV923" s="579">
        <v>0</v>
      </c>
      <c r="CW923" s="579">
        <v>0</v>
      </c>
      <c r="CX923" s="583">
        <f t="shared" ref="CX923:CX925" si="1435">SUM(CV923:CW923)</f>
        <v>0</v>
      </c>
      <c r="CY923" s="533"/>
      <c r="CZ923" s="579">
        <v>0</v>
      </c>
      <c r="DA923" s="579">
        <v>0</v>
      </c>
      <c r="DB923" s="583">
        <f t="shared" ref="DB923:DB925" si="1436">SUM(CZ923:DA923)</f>
        <v>0</v>
      </c>
      <c r="DC923" s="533"/>
      <c r="DD923" s="579">
        <v>0</v>
      </c>
      <c r="DE923" s="579">
        <v>0</v>
      </c>
      <c r="DF923" s="583">
        <f t="shared" ref="DF923:DF925" si="1437">SUM(DD923:DE923)</f>
        <v>0</v>
      </c>
      <c r="DG923" s="533"/>
      <c r="DH923" s="579">
        <v>0</v>
      </c>
      <c r="DI923" s="579">
        <v>0</v>
      </c>
      <c r="DJ923" s="583">
        <f t="shared" ref="DJ923:DJ924" si="1438">+DH923+DI923</f>
        <v>0</v>
      </c>
      <c r="DK923" s="533"/>
      <c r="DL923" s="579">
        <v>0</v>
      </c>
      <c r="DM923" s="579">
        <v>0</v>
      </c>
      <c r="DN923" s="583">
        <f t="shared" ref="DN923:DN924" si="1439">+DL923+DM923</f>
        <v>0</v>
      </c>
      <c r="DO923" s="533"/>
      <c r="DP923" s="579">
        <v>0</v>
      </c>
      <c r="DQ923" s="579">
        <v>0</v>
      </c>
      <c r="DR923" s="583">
        <f t="shared" ref="DR923:DR924" si="1440">+DP923+DQ923</f>
        <v>0</v>
      </c>
      <c r="DS923" s="533"/>
      <c r="DT923" s="533"/>
      <c r="DU923" s="533"/>
      <c r="DV923" s="533"/>
      <c r="DX923" s="431"/>
    </row>
    <row r="924" spans="1:128" s="20" customFormat="1" ht="13.8">
      <c r="A924" s="20" t="s">
        <v>1049</v>
      </c>
      <c r="B924" s="92"/>
      <c r="C924" s="47"/>
      <c r="D924" s="47"/>
      <c r="E924" s="47"/>
      <c r="F924" s="47"/>
      <c r="G924" s="47"/>
      <c r="H924" s="47"/>
      <c r="I924" s="47"/>
      <c r="J924" s="47"/>
      <c r="K924" s="47"/>
      <c r="L924" s="47"/>
      <c r="M924" s="47"/>
      <c r="N924" s="47"/>
      <c r="O924" s="47"/>
      <c r="P924" s="47"/>
      <c r="Q924" s="47"/>
      <c r="R924" s="47"/>
      <c r="S924" s="47"/>
      <c r="T924" s="47"/>
      <c r="U924" s="47"/>
      <c r="V924" s="47"/>
      <c r="W924" s="47"/>
      <c r="X924" s="47"/>
      <c r="Y924" s="47"/>
      <c r="Z924" s="47"/>
      <c r="AA924" s="47"/>
      <c r="AB924" s="47"/>
      <c r="AC924" s="47"/>
      <c r="AD924" s="47"/>
      <c r="AE924" s="47"/>
      <c r="AF924" s="47"/>
      <c r="AG924" s="47"/>
      <c r="AH924" s="47"/>
      <c r="AI924" s="47"/>
      <c r="AJ924" s="47"/>
      <c r="AK924" s="47"/>
      <c r="AL924" s="47"/>
      <c r="AM924" s="47"/>
      <c r="AN924" s="47"/>
      <c r="AO924" s="47"/>
      <c r="AP924" s="47"/>
      <c r="AQ924" s="47"/>
      <c r="AR924" s="47"/>
      <c r="AS924" s="47"/>
      <c r="AT924" s="47"/>
      <c r="AU924" s="47"/>
      <c r="AV924" s="47"/>
      <c r="AW924" s="47"/>
      <c r="AX924" s="47"/>
      <c r="AY924" s="47"/>
      <c r="AZ924" s="47"/>
      <c r="BA924" s="47"/>
      <c r="BB924" s="47"/>
      <c r="BC924" s="47"/>
      <c r="BD924" s="47"/>
      <c r="BE924" s="47"/>
      <c r="BF924" s="47"/>
      <c r="BG924" s="47"/>
      <c r="BH924" s="573"/>
      <c r="BI924" s="573"/>
      <c r="BJ924" s="72"/>
      <c r="BK924" s="92"/>
      <c r="BL924" s="573"/>
      <c r="BM924" s="573"/>
      <c r="BN924" s="72"/>
      <c r="BO924" s="92"/>
      <c r="BP924" s="573"/>
      <c r="BQ924" s="573"/>
      <c r="BR924" s="72"/>
      <c r="BT924" s="603"/>
      <c r="BU924" s="603"/>
      <c r="BV924" s="72"/>
      <c r="BX924" s="603"/>
      <c r="BY924" s="603"/>
      <c r="BZ924" s="72"/>
      <c r="CB924" s="603"/>
      <c r="CC924" s="603"/>
      <c r="CD924" s="72"/>
      <c r="CF924" s="65">
        <f t="shared" ref="CF924:CG924" si="1441">+CF925-CF922-CF923</f>
        <v>-2</v>
      </c>
      <c r="CG924" s="65">
        <f t="shared" si="1441"/>
        <v>-2</v>
      </c>
      <c r="CH924" s="65">
        <f t="shared" si="1431"/>
        <v>-4</v>
      </c>
      <c r="CJ924" s="65">
        <f>+CJ925-CJ922-CJ923</f>
        <v>-52</v>
      </c>
      <c r="CK924" s="65">
        <f>+CK925-CK922-CK923</f>
        <v>-15</v>
      </c>
      <c r="CL924" s="65">
        <f t="shared" si="1432"/>
        <v>-67</v>
      </c>
      <c r="CN924" s="65">
        <f>+CN925-CN922-CN923</f>
        <v>-5</v>
      </c>
      <c r="CO924" s="65">
        <f>+CO925-CO922-CO923</f>
        <v>-6</v>
      </c>
      <c r="CP924" s="65">
        <f t="shared" si="1433"/>
        <v>-11</v>
      </c>
      <c r="CR924" s="65">
        <f>+CR925-CR922-CR923</f>
        <v>-14</v>
      </c>
      <c r="CS924" s="65">
        <f>+CS925-CS922-CS923</f>
        <v>-5</v>
      </c>
      <c r="CT924" s="65">
        <f t="shared" si="1434"/>
        <v>-19</v>
      </c>
      <c r="CV924" s="65">
        <f>+CV925-CV922-CV923</f>
        <v>-5</v>
      </c>
      <c r="CW924" s="65">
        <f>+CW925-CW922-CW923</f>
        <v>-20</v>
      </c>
      <c r="CX924" s="65">
        <f t="shared" si="1435"/>
        <v>-25</v>
      </c>
      <c r="CZ924" s="65">
        <f>+CZ925-CZ922-CZ923</f>
        <v>-30</v>
      </c>
      <c r="DA924" s="65">
        <f>+DA925-DA922-DA923</f>
        <v>0</v>
      </c>
      <c r="DB924" s="65">
        <f t="shared" si="1436"/>
        <v>-30</v>
      </c>
      <c r="DD924" s="65">
        <f>+DD925-DD922-DD923</f>
        <v>0</v>
      </c>
      <c r="DE924" s="65">
        <f>+DE925-DE922-DE923</f>
        <v>0</v>
      </c>
      <c r="DF924" s="65">
        <f t="shared" si="1437"/>
        <v>0</v>
      </c>
      <c r="DH924" s="65">
        <f t="shared" ref="DH924:DI924" si="1442">DH874</f>
        <v>0</v>
      </c>
      <c r="DI924" s="65">
        <f t="shared" si="1442"/>
        <v>0</v>
      </c>
      <c r="DJ924" s="65">
        <f t="shared" si="1438"/>
        <v>0</v>
      </c>
      <c r="DL924" s="65">
        <f t="shared" ref="DL924:DM924" si="1443">DL874</f>
        <v>0</v>
      </c>
      <c r="DM924" s="65">
        <f t="shared" si="1443"/>
        <v>0</v>
      </c>
      <c r="DN924" s="65">
        <f t="shared" si="1439"/>
        <v>0</v>
      </c>
      <c r="DP924" s="65">
        <f t="shared" ref="DP924:DQ924" si="1444">DP874</f>
        <v>0</v>
      </c>
      <c r="DQ924" s="65">
        <f t="shared" si="1444"/>
        <v>0</v>
      </c>
      <c r="DR924" s="65">
        <f t="shared" si="1440"/>
        <v>0</v>
      </c>
      <c r="DX924" s="431"/>
    </row>
    <row r="925" spans="1:128" s="20" customFormat="1" ht="13.8">
      <c r="A925" s="21" t="s">
        <v>1048</v>
      </c>
      <c r="B925" s="27"/>
      <c r="C925" s="21"/>
      <c r="D925" s="21"/>
      <c r="E925" s="21"/>
      <c r="F925" s="21"/>
      <c r="G925" s="21"/>
      <c r="H925" s="21"/>
      <c r="I925" s="21"/>
      <c r="J925" s="21"/>
      <c r="K925" s="21"/>
      <c r="L925" s="21"/>
      <c r="M925" s="21"/>
      <c r="N925" s="21"/>
      <c r="O925" s="21"/>
      <c r="P925" s="21"/>
      <c r="Q925" s="21"/>
      <c r="R925" s="21"/>
      <c r="S925" s="21"/>
      <c r="T925" s="21"/>
      <c r="U925" s="21"/>
      <c r="V925" s="21"/>
      <c r="W925" s="21"/>
      <c r="X925" s="21"/>
      <c r="Y925" s="21"/>
      <c r="Z925" s="21"/>
      <c r="AA925" s="21"/>
      <c r="AB925" s="21"/>
      <c r="AC925" s="21"/>
      <c r="AD925" s="21"/>
      <c r="AE925" s="21"/>
      <c r="AF925" s="21"/>
      <c r="AG925" s="21"/>
      <c r="AH925" s="21"/>
      <c r="AI925" s="21"/>
      <c r="AJ925" s="21"/>
      <c r="AK925" s="21"/>
      <c r="AL925" s="21"/>
      <c r="AM925" s="21"/>
      <c r="AN925" s="21"/>
      <c r="AO925" s="21"/>
      <c r="AP925" s="21"/>
      <c r="AQ925" s="21"/>
      <c r="AR925" s="21"/>
      <c r="AS925" s="21"/>
      <c r="AT925" s="21"/>
      <c r="AU925" s="21"/>
      <c r="AV925" s="21"/>
      <c r="AW925" s="21"/>
      <c r="AX925" s="21"/>
      <c r="AY925" s="21"/>
      <c r="AZ925" s="21"/>
      <c r="BA925" s="21"/>
      <c r="BB925" s="21"/>
      <c r="BC925" s="21"/>
      <c r="BD925" s="21"/>
      <c r="BE925" s="21"/>
      <c r="BF925" s="21"/>
      <c r="BG925" s="21"/>
      <c r="BH925" s="72">
        <f>BH842</f>
        <v>-618</v>
      </c>
      <c r="BI925" s="72">
        <f>BI842</f>
        <v>-625</v>
      </c>
      <c r="BJ925" s="72">
        <f>+BH925+BI925</f>
        <v>-1243</v>
      </c>
      <c r="BK925" s="27"/>
      <c r="BL925" s="72">
        <f>BL842</f>
        <v>-606</v>
      </c>
      <c r="BM925" s="72">
        <f>BM842</f>
        <v>-660</v>
      </c>
      <c r="BN925" s="72">
        <f>+BL925+BM925</f>
        <v>-1266</v>
      </c>
      <c r="BO925" s="27"/>
      <c r="BP925" s="72">
        <f>BP842</f>
        <v>-701</v>
      </c>
      <c r="BQ925" s="72">
        <f>BQ842</f>
        <v>-761</v>
      </c>
      <c r="BR925" s="72">
        <f>+BP925+BQ925</f>
        <v>-1462</v>
      </c>
      <c r="BS925" s="79">
        <f>+BR925/BN925-1</f>
        <v>0.15481832543443907</v>
      </c>
      <c r="BT925" s="72">
        <f>BT842</f>
        <v>-1333</v>
      </c>
      <c r="BU925" s="72">
        <f>BU842</f>
        <v>-834</v>
      </c>
      <c r="BV925" s="72">
        <f>+BT925+BU925</f>
        <v>-2167</v>
      </c>
      <c r="BW925" s="79">
        <f>+BV925/BR925-1</f>
        <v>0.48221614227086174</v>
      </c>
      <c r="BX925" s="72">
        <f>BX842</f>
        <v>-799</v>
      </c>
      <c r="BY925" s="72">
        <f>BY842</f>
        <v>-803</v>
      </c>
      <c r="BZ925" s="72">
        <f>+BX925+BY925</f>
        <v>-1602</v>
      </c>
      <c r="CA925" s="79">
        <f>+BZ925/BV925-1</f>
        <v>-0.26072911859713888</v>
      </c>
      <c r="CB925" s="72">
        <f>CB842</f>
        <v>-815</v>
      </c>
      <c r="CC925" s="72">
        <f>CC842</f>
        <v>-1084</v>
      </c>
      <c r="CD925" s="72">
        <f>+CB925+CC925</f>
        <v>-1899</v>
      </c>
      <c r="CE925" s="79">
        <f>+CD925/BZ925-1</f>
        <v>0.18539325842696619</v>
      </c>
      <c r="CF925" s="72">
        <f>CF842</f>
        <v>-764</v>
      </c>
      <c r="CG925" s="72">
        <f>CG842</f>
        <v>-770</v>
      </c>
      <c r="CH925" s="72">
        <f t="shared" si="1431"/>
        <v>-1534</v>
      </c>
      <c r="CI925" s="79">
        <f>+CH925/CD925-1</f>
        <v>-0.19220642443391256</v>
      </c>
      <c r="CJ925" s="72">
        <f>CJ842</f>
        <v>-839</v>
      </c>
      <c r="CK925" s="72">
        <f>CK842</f>
        <v>-985</v>
      </c>
      <c r="CL925" s="72">
        <f t="shared" si="1432"/>
        <v>-1824</v>
      </c>
      <c r="CM925" s="79">
        <f>+CL925/CH925-1</f>
        <v>0.18904823989569741</v>
      </c>
      <c r="CN925" s="72">
        <f>CN842</f>
        <v>-785</v>
      </c>
      <c r="CO925" s="72">
        <f>CO842</f>
        <v>-803</v>
      </c>
      <c r="CP925" s="72">
        <f t="shared" si="1433"/>
        <v>-1588</v>
      </c>
      <c r="CQ925" s="79">
        <f>+CP925/CL925-1</f>
        <v>-0.12938596491228072</v>
      </c>
      <c r="CR925" s="72">
        <f>CR842</f>
        <v>-815</v>
      </c>
      <c r="CS925" s="72">
        <f>CS842</f>
        <v>-806</v>
      </c>
      <c r="CT925" s="72">
        <f t="shared" si="1434"/>
        <v>-1621</v>
      </c>
      <c r="CU925" s="79">
        <f>+CT925/CP925-1</f>
        <v>2.0780856423173732E-2</v>
      </c>
      <c r="CV925" s="72">
        <f>CV842</f>
        <v>-836</v>
      </c>
      <c r="CW925" s="72">
        <f>CW842</f>
        <v>-864</v>
      </c>
      <c r="CX925" s="72">
        <f t="shared" si="1435"/>
        <v>-1700</v>
      </c>
      <c r="CY925" s="79">
        <f>+CX925/CT925-1</f>
        <v>4.8735348550277502E-2</v>
      </c>
      <c r="CZ925" s="72">
        <f>CZ842</f>
        <v>-898</v>
      </c>
      <c r="DA925" s="72">
        <f>DA842</f>
        <v>-1017</v>
      </c>
      <c r="DB925" s="72">
        <f t="shared" si="1436"/>
        <v>-1915</v>
      </c>
      <c r="DC925" s="79">
        <f>+DB925/CX925-1</f>
        <v>0.12647058823529411</v>
      </c>
      <c r="DD925" s="72">
        <f>DD842</f>
        <v>-1057</v>
      </c>
      <c r="DE925" s="72">
        <f>DE842</f>
        <v>-1186</v>
      </c>
      <c r="DF925" s="72">
        <f t="shared" si="1437"/>
        <v>-2243</v>
      </c>
      <c r="DG925" s="79">
        <f>+DF925/DB925-1</f>
        <v>0.17127937336814614</v>
      </c>
      <c r="DH925" s="104">
        <f t="shared" ref="DH925:DI925" si="1445">+DH923+DH922+DH924</f>
        <v>-1164.7896870342772</v>
      </c>
      <c r="DI925" s="104">
        <f t="shared" si="1445"/>
        <v>-1145.9259538393053</v>
      </c>
      <c r="DJ925" s="72">
        <f>+DH925+DI925</f>
        <v>-2310.7156408735827</v>
      </c>
      <c r="DK925" s="79">
        <f>+DJ925/DF925-1</f>
        <v>3.0189764098788485E-2</v>
      </c>
      <c r="DL925" s="104">
        <f t="shared" ref="DL925:DM925" si="1446">+DL923+DL922+DL924</f>
        <v>-1164.5726814905945</v>
      </c>
      <c r="DM925" s="104">
        <f t="shared" si="1446"/>
        <v>-1177.7939334762882</v>
      </c>
      <c r="DN925" s="72">
        <f>+DL925+DM925</f>
        <v>-2342.3666149668825</v>
      </c>
      <c r="DO925" s="79">
        <f>+DN925/DJ925-1</f>
        <v>1.3697476891329607E-2</v>
      </c>
      <c r="DP925" s="104">
        <f t="shared" ref="DP925:DQ925" si="1447">+DP923+DP922+DP924</f>
        <v>-1185.3870483483945</v>
      </c>
      <c r="DQ925" s="104">
        <f t="shared" si="1447"/>
        <v>-1189.8610892931949</v>
      </c>
      <c r="DR925" s="72">
        <f>+DP925+DQ925</f>
        <v>-2375.2481376415894</v>
      </c>
      <c r="DS925" s="79">
        <f>+DR925/DN925-1</f>
        <v>1.4037735367557591E-2</v>
      </c>
      <c r="DT925" s="79"/>
      <c r="DU925" s="79"/>
      <c r="DV925" s="79"/>
      <c r="DX925" s="431"/>
    </row>
    <row r="926" spans="1:128" s="20" customFormat="1" ht="13.8">
      <c r="A926" s="47" t="s">
        <v>217</v>
      </c>
      <c r="B926" s="92"/>
      <c r="C926" s="47"/>
      <c r="D926" s="47"/>
      <c r="E926" s="47"/>
      <c r="F926" s="47"/>
      <c r="G926" s="47"/>
      <c r="H926" s="47"/>
      <c r="I926" s="47"/>
      <c r="J926" s="47"/>
      <c r="K926" s="47"/>
      <c r="L926" s="47"/>
      <c r="M926" s="47"/>
      <c r="N926" s="47"/>
      <c r="O926" s="47"/>
      <c r="P926" s="47"/>
      <c r="Q926" s="47"/>
      <c r="R926" s="47"/>
      <c r="S926" s="47"/>
      <c r="T926" s="47"/>
      <c r="U926" s="47"/>
      <c r="V926" s="47"/>
      <c r="W926" s="47"/>
      <c r="X926" s="47"/>
      <c r="Y926" s="47"/>
      <c r="Z926" s="47"/>
      <c r="AA926" s="47"/>
      <c r="AB926" s="47"/>
      <c r="AC926" s="47"/>
      <c r="AD926" s="47"/>
      <c r="AE926" s="47"/>
      <c r="AF926" s="47"/>
      <c r="AG926" s="47"/>
      <c r="AH926" s="47"/>
      <c r="AI926" s="47"/>
      <c r="AJ926" s="47"/>
      <c r="AK926" s="47"/>
      <c r="AL926" s="47"/>
      <c r="AM926" s="47"/>
      <c r="AN926" s="47"/>
      <c r="AO926" s="47"/>
      <c r="AP926" s="47"/>
      <c r="AQ926" s="47"/>
      <c r="AR926" s="47"/>
      <c r="AS926" s="47"/>
      <c r="AT926" s="47"/>
      <c r="AU926" s="47"/>
      <c r="AV926" s="47"/>
      <c r="AW926" s="47"/>
      <c r="AX926" s="47"/>
      <c r="AY926" s="47"/>
      <c r="AZ926" s="47"/>
      <c r="BA926" s="47"/>
      <c r="BB926" s="47"/>
      <c r="BC926" s="47"/>
      <c r="BD926" s="47"/>
      <c r="BE926" s="47"/>
      <c r="BF926" s="47"/>
      <c r="BG926" s="47"/>
      <c r="BH926" s="381"/>
      <c r="BI926" s="381">
        <f>+BI925/BH925-1</f>
        <v>1.1326860841423869E-2</v>
      </c>
      <c r="BJ926" s="73"/>
      <c r="BK926" s="92"/>
      <c r="BL926" s="381">
        <f>+BL925/BI925-1</f>
        <v>-3.0399999999999983E-2</v>
      </c>
      <c r="BM926" s="381">
        <f>+BM925/BL925-1</f>
        <v>8.9108910891089188E-2</v>
      </c>
      <c r="BN926" s="73"/>
      <c r="BO926" s="92"/>
      <c r="BP926" s="381">
        <f>+BP925/BM925-1</f>
        <v>6.2121212121212022E-2</v>
      </c>
      <c r="BQ926" s="381">
        <f>+BQ925/BP925-1</f>
        <v>8.5592011412268132E-2</v>
      </c>
      <c r="BR926" s="73"/>
      <c r="BT926" s="381">
        <f>+BT925/BQ925-1</f>
        <v>0.75164257555847569</v>
      </c>
      <c r="BU926" s="381">
        <f>+BU925/BT925-1</f>
        <v>-0.3743435858964741</v>
      </c>
      <c r="BV926" s="73"/>
      <c r="BX926" s="381">
        <f>+BX925/BU925-1</f>
        <v>-4.1966426858513151E-2</v>
      </c>
      <c r="BY926" s="381">
        <f>+BY925/BX925-1</f>
        <v>5.0062578222778154E-3</v>
      </c>
      <c r="BZ926" s="73"/>
      <c r="CB926" s="381">
        <f>+CB925/BY925-1</f>
        <v>1.4943960149439661E-2</v>
      </c>
      <c r="CC926" s="381">
        <f>+CC925/CB925-1</f>
        <v>0.33006134969325163</v>
      </c>
      <c r="CD926" s="73"/>
      <c r="CF926" s="381">
        <f>+CF925/CC925-1</f>
        <v>-0.29520295202952029</v>
      </c>
      <c r="CG926" s="381">
        <f>+CG925/CF925-1</f>
        <v>7.8534031413612926E-3</v>
      </c>
      <c r="CH926" s="73"/>
      <c r="CJ926" s="381">
        <f>+CJ925/CG925-1</f>
        <v>8.9610389610389696E-2</v>
      </c>
      <c r="CK926" s="381">
        <f>+CK925/CJ925-1</f>
        <v>0.17401668653158531</v>
      </c>
      <c r="CL926" s="73"/>
      <c r="CN926" s="381">
        <f>+CN925/CK925-1</f>
        <v>-0.20304568527918787</v>
      </c>
      <c r="CO926" s="381">
        <f>+CO925/CN925-1</f>
        <v>2.2929936305732479E-2</v>
      </c>
      <c r="CP926" s="73"/>
      <c r="CR926" s="381">
        <f>+CR925/CO925-1</f>
        <v>1.4943960149439661E-2</v>
      </c>
      <c r="CS926" s="381">
        <f>+CS925/CR925-1</f>
        <v>-1.1042944785276121E-2</v>
      </c>
      <c r="CT926" s="73"/>
      <c r="CV926" s="381">
        <f>+CV925/CS925-1</f>
        <v>3.7220843672456594E-2</v>
      </c>
      <c r="CW926" s="381">
        <f>+CW925/CV925-1</f>
        <v>3.3492822966507241E-2</v>
      </c>
      <c r="CX926" s="73"/>
      <c r="CZ926" s="381">
        <f>+CZ925/CW925-1</f>
        <v>3.935185185185186E-2</v>
      </c>
      <c r="DA926" s="381">
        <f>+DA925/CZ925-1</f>
        <v>0.13251670378619163</v>
      </c>
      <c r="DB926" s="73"/>
      <c r="DD926" s="381">
        <f>+DD925/DA925-1</f>
        <v>3.9331366764995046E-2</v>
      </c>
      <c r="DE926" s="381">
        <f>+DE925/DD925-1</f>
        <v>0.12204351939451286</v>
      </c>
      <c r="DF926" s="73"/>
      <c r="DH926" s="381">
        <f>+DH925/DE925-1</f>
        <v>-1.7883906379192904E-2</v>
      </c>
      <c r="DI926" s="381">
        <f>+DI925/DH925-1</f>
        <v>-1.6194969276386417E-2</v>
      </c>
      <c r="DJ926" s="92"/>
      <c r="DL926" s="381">
        <f>+DL925/DI925-1</f>
        <v>1.6272192447352563E-2</v>
      </c>
      <c r="DM926" s="381">
        <f>+DM925/DL925-1</f>
        <v>1.1352878352574036E-2</v>
      </c>
      <c r="DN926" s="92"/>
      <c r="DP926" s="381">
        <f>+DP925/DM925-1</f>
        <v>6.4468958926413578E-3</v>
      </c>
      <c r="DQ926" s="381">
        <f>+DQ925/DP925-1</f>
        <v>3.7743291957121894E-3</v>
      </c>
      <c r="DR926" s="92"/>
      <c r="DX926" s="431"/>
    </row>
    <row r="927" spans="1:128" s="20" customFormat="1" ht="13.8">
      <c r="A927" s="47" t="s">
        <v>127</v>
      </c>
      <c r="B927" s="92"/>
      <c r="C927" s="47"/>
      <c r="D927" s="47"/>
      <c r="E927" s="47"/>
      <c r="F927" s="47"/>
      <c r="G927" s="47"/>
      <c r="H927" s="47"/>
      <c r="I927" s="47"/>
      <c r="J927" s="47"/>
      <c r="K927" s="47"/>
      <c r="L927" s="47"/>
      <c r="M927" s="47"/>
      <c r="N927" s="47"/>
      <c r="O927" s="47"/>
      <c r="P927" s="47"/>
      <c r="Q927" s="47"/>
      <c r="R927" s="47"/>
      <c r="S927" s="47"/>
      <c r="T927" s="47"/>
      <c r="U927" s="47"/>
      <c r="V927" s="47"/>
      <c r="W927" s="47"/>
      <c r="X927" s="47"/>
      <c r="Y927" s="47"/>
      <c r="Z927" s="47"/>
      <c r="AA927" s="47"/>
      <c r="AB927" s="47"/>
      <c r="AC927" s="47"/>
      <c r="AD927" s="47"/>
      <c r="AE927" s="47"/>
      <c r="AF927" s="47"/>
      <c r="AG927" s="47"/>
      <c r="AH927" s="47"/>
      <c r="AI927" s="47"/>
      <c r="AJ927" s="47"/>
      <c r="AK927" s="47"/>
      <c r="AL927" s="47"/>
      <c r="AM927" s="47"/>
      <c r="AN927" s="47"/>
      <c r="AO927" s="47"/>
      <c r="AP927" s="47"/>
      <c r="AQ927" s="47"/>
      <c r="AR927" s="47"/>
      <c r="AS927" s="47"/>
      <c r="AT927" s="47"/>
      <c r="AU927" s="47"/>
      <c r="AV927" s="47"/>
      <c r="AW927" s="47"/>
      <c r="AX927" s="47"/>
      <c r="AY927" s="47"/>
      <c r="AZ927" s="47"/>
      <c r="BA927" s="47"/>
      <c r="BB927" s="47"/>
      <c r="BC927" s="47"/>
      <c r="BD927" s="47"/>
      <c r="BE927" s="47"/>
      <c r="BF927" s="47"/>
      <c r="BG927" s="47"/>
      <c r="BH927" s="381"/>
      <c r="BI927" s="381"/>
      <c r="BJ927" s="73"/>
      <c r="BK927" s="92"/>
      <c r="BL927" s="381">
        <f>+BL925/BH925-1</f>
        <v>-1.9417475728155331E-2</v>
      </c>
      <c r="BM927" s="381"/>
      <c r="BN927" s="73"/>
      <c r="BO927" s="92"/>
      <c r="BP927" s="381">
        <f>+BP925/BL925-1</f>
        <v>0.15676567656765683</v>
      </c>
      <c r="BQ927" s="381"/>
      <c r="BR927" s="73"/>
      <c r="BT927" s="381">
        <f>+BT925/BP925-1</f>
        <v>0.90156918687589149</v>
      </c>
      <c r="BU927" s="381"/>
      <c r="BV927" s="73"/>
      <c r="BX927" s="381">
        <f>+BX925/BT925-1</f>
        <v>-0.40060015003750937</v>
      </c>
      <c r="BY927" s="381"/>
      <c r="BZ927" s="73"/>
      <c r="CB927" s="381">
        <f>+CB925/BX925-1</f>
        <v>2.0025031289111483E-2</v>
      </c>
      <c r="CC927" s="381"/>
      <c r="CD927" s="73"/>
      <c r="CF927" s="381">
        <f>+CF925/CB925-1</f>
        <v>-6.2576687116564389E-2</v>
      </c>
      <c r="CG927" s="381"/>
      <c r="CH927" s="73"/>
      <c r="CJ927" s="381">
        <f>+CJ925/CF925-1</f>
        <v>9.8167539267015602E-2</v>
      </c>
      <c r="CK927" s="381"/>
      <c r="CL927" s="73"/>
      <c r="CN927" s="381">
        <f>+CN925/CJ925-1</f>
        <v>-6.4362336114421881E-2</v>
      </c>
      <c r="CO927" s="381"/>
      <c r="CP927" s="73"/>
      <c r="CR927" s="381">
        <f>+CR925/CN925-1</f>
        <v>3.8216560509554132E-2</v>
      </c>
      <c r="CS927" s="381"/>
      <c r="CT927" s="73"/>
      <c r="CV927" s="381">
        <f>+CV925/CR925-1</f>
        <v>2.5766871165644245E-2</v>
      </c>
      <c r="CW927" s="381"/>
      <c r="CX927" s="73"/>
      <c r="CZ927" s="381">
        <f>+CZ925/CV925-1</f>
        <v>7.416267942583743E-2</v>
      </c>
      <c r="DA927" s="381"/>
      <c r="DB927" s="73"/>
      <c r="DD927" s="381">
        <f>+DD925/CZ925-1</f>
        <v>0.1770601336302895</v>
      </c>
      <c r="DE927" s="381"/>
      <c r="DF927" s="73"/>
      <c r="DH927" s="381">
        <f>+DH925/DD925-1</f>
        <v>0.10197699814028116</v>
      </c>
      <c r="DI927" s="381">
        <f>+DI925/DE925-1</f>
        <v>-3.3789246341226598E-2</v>
      </c>
      <c r="DJ927" s="381">
        <f>+DJ925/DF925-1</f>
        <v>3.0189764098788485E-2</v>
      </c>
      <c r="DL927" s="381">
        <f>+DL925/DH925-1</f>
        <v>-1.8630448577827696E-4</v>
      </c>
      <c r="DM927" s="381">
        <f>+DM925/DI925-1</f>
        <v>2.7809807021311084E-2</v>
      </c>
      <c r="DN927" s="381">
        <f>+DN925/DJ925-1</f>
        <v>1.3697476891329607E-2</v>
      </c>
      <c r="DP927" s="381">
        <f>+DP925/DL925-1</f>
        <v>1.787296507003644E-2</v>
      </c>
      <c r="DQ927" s="381">
        <f>+DQ925/DM925-1</f>
        <v>1.0245557795742988E-2</v>
      </c>
      <c r="DR927" s="381">
        <f>+DR925/DN925-1</f>
        <v>1.4037735367557591E-2</v>
      </c>
      <c r="DX927" s="431"/>
    </row>
    <row r="929" spans="1:128" s="20" customFormat="1" ht="13.8">
      <c r="A929" s="20" t="s">
        <v>115</v>
      </c>
      <c r="B929" s="49"/>
      <c r="BH929" s="65">
        <f>BH411</f>
        <v>-181</v>
      </c>
      <c r="BI929" s="65">
        <f>BI411</f>
        <v>-202</v>
      </c>
      <c r="BJ929" s="65">
        <f>+BI929+BH929</f>
        <v>-383</v>
      </c>
      <c r="BK929" s="49"/>
      <c r="BL929" s="65">
        <f>BL411</f>
        <v>-205</v>
      </c>
      <c r="BM929" s="65">
        <f>BM411</f>
        <v>-221</v>
      </c>
      <c r="BN929" s="65">
        <f>+BM929+BL929</f>
        <v>-426</v>
      </c>
      <c r="BO929" s="49"/>
      <c r="BP929" s="65">
        <f>BP411</f>
        <v>-267</v>
      </c>
      <c r="BQ929" s="65">
        <f>BQ411</f>
        <v>-275</v>
      </c>
      <c r="BR929" s="65">
        <f>+BQ929+BP929</f>
        <v>-542</v>
      </c>
      <c r="BT929" s="65">
        <f>BT411</f>
        <v>-245</v>
      </c>
      <c r="BU929" s="65">
        <f>BU411</f>
        <v>-255</v>
      </c>
      <c r="BV929" s="65">
        <f>+BU929+BT929</f>
        <v>-500</v>
      </c>
      <c r="BX929" s="65">
        <f>BX411</f>
        <v>-294</v>
      </c>
      <c r="BY929" s="65">
        <f>BY411</f>
        <v>-271</v>
      </c>
      <c r="BZ929" s="65">
        <f>+BY929+BX929</f>
        <v>-565</v>
      </c>
      <c r="CB929" s="65">
        <f>CB411</f>
        <v>-281</v>
      </c>
      <c r="CC929" s="65">
        <f>CC411</f>
        <v>-288</v>
      </c>
      <c r="CD929" s="65">
        <f>+CC929+CB929</f>
        <v>-569</v>
      </c>
      <c r="CF929" s="65">
        <f>CF411</f>
        <v>-252</v>
      </c>
      <c r="CG929" s="65">
        <f>CG411</f>
        <v>-265</v>
      </c>
      <c r="CH929" s="65">
        <f>+CG929+CF929</f>
        <v>-517</v>
      </c>
      <c r="CJ929" s="65">
        <f>CJ411</f>
        <v>-241</v>
      </c>
      <c r="CK929" s="65">
        <f>CK411</f>
        <v>-219</v>
      </c>
      <c r="CL929" s="65">
        <f>+CK929+CJ929</f>
        <v>-460</v>
      </c>
      <c r="CN929" s="65">
        <f>CN411</f>
        <v>-233</v>
      </c>
      <c r="CO929" s="65">
        <f>CO411</f>
        <v>-201</v>
      </c>
      <c r="CP929" s="65">
        <f>+CO929+CN929</f>
        <v>-434</v>
      </c>
      <c r="CQ929" s="75">
        <f t="shared" ref="CQ929:CQ931" si="1448">+CP929/CL929-1</f>
        <v>-5.6521739130434789E-2</v>
      </c>
      <c r="CR929" s="65">
        <f>CR411</f>
        <v>-189</v>
      </c>
      <c r="CS929" s="65">
        <f>CS411</f>
        <v>-186</v>
      </c>
      <c r="CT929" s="65">
        <f>+CS929+CR929</f>
        <v>-375</v>
      </c>
      <c r="CU929" s="75">
        <f t="shared" ref="CU929:CU931" si="1449">+CT929/CP929-1</f>
        <v>-0.13594470046082952</v>
      </c>
      <c r="CV929" s="65">
        <f>CV411</f>
        <v>-163</v>
      </c>
      <c r="CW929" s="65">
        <f>CW411</f>
        <v>-157</v>
      </c>
      <c r="CX929" s="65">
        <f>+CW929+CV929</f>
        <v>-320</v>
      </c>
      <c r="CY929" s="75">
        <f t="shared" ref="CY929:CY931" si="1450">+CX929/CT929-1</f>
        <v>-0.14666666666666661</v>
      </c>
      <c r="CZ929" s="65">
        <f>CZ411</f>
        <v>-151</v>
      </c>
      <c r="DA929" s="65">
        <f>DA411</f>
        <v>-173</v>
      </c>
      <c r="DB929" s="65">
        <f>+DA929+CZ929</f>
        <v>-324</v>
      </c>
      <c r="DC929" s="75">
        <f t="shared" ref="DC929:DC931" si="1451">+DB929/CX929-1</f>
        <v>1.2499999999999956E-2</v>
      </c>
      <c r="DD929" s="65">
        <f>DD411</f>
        <v>-148</v>
      </c>
      <c r="DE929" s="65">
        <f>DE411</f>
        <v>-200</v>
      </c>
      <c r="DF929" s="65">
        <f>+DE929+DD929</f>
        <v>-348</v>
      </c>
      <c r="DG929" s="75">
        <f t="shared" ref="DG929:DG931" si="1452">+DF929/DB929-1</f>
        <v>7.4074074074074181E-2</v>
      </c>
      <c r="DH929" s="65">
        <f>DH411</f>
        <v>-198.50968703427719</v>
      </c>
      <c r="DI929" s="65">
        <f>DI411</f>
        <v>-189.30875383930527</v>
      </c>
      <c r="DJ929" s="65">
        <f>+DH929+DI929</f>
        <v>-387.81844087358246</v>
      </c>
      <c r="DK929" s="75">
        <f t="shared" ref="DK929:DK931" si="1453">+DJ929/DF929-1</f>
        <v>0.11442080710799551</v>
      </c>
      <c r="DL929" s="65">
        <f>DL411</f>
        <v>-184.04005149059466</v>
      </c>
      <c r="DM929" s="65">
        <f>DM411</f>
        <v>-177.65065087628832</v>
      </c>
      <c r="DN929" s="65">
        <f>+DL929+DM929</f>
        <v>-361.69070236688299</v>
      </c>
      <c r="DO929" s="75">
        <f t="shared" ref="DO929:DO931" si="1454">+DN929/DJ929-1</f>
        <v>-6.737105756973627E-2</v>
      </c>
      <c r="DP929" s="65">
        <f>DP411</f>
        <v>-175.24233292239464</v>
      </c>
      <c r="DQ929" s="65">
        <f>DQ411</f>
        <v>-169.61492671293522</v>
      </c>
      <c r="DR929" s="65">
        <f>+DP929+DQ929</f>
        <v>-344.85725963532985</v>
      </c>
      <c r="DS929" s="75">
        <f t="shared" ref="DS929:DS931" si="1455">+DR929/DN929-1</f>
        <v>-4.654098825708286E-2</v>
      </c>
      <c r="DX929" s="431"/>
    </row>
    <row r="930" spans="1:128" s="20" customFormat="1" ht="13.8">
      <c r="A930" s="20" t="s">
        <v>801</v>
      </c>
      <c r="B930" s="92"/>
      <c r="C930" s="47"/>
      <c r="D930" s="47"/>
      <c r="E930" s="47"/>
      <c r="F930" s="47"/>
      <c r="G930" s="47"/>
      <c r="H930" s="47"/>
      <c r="I930" s="47"/>
      <c r="J930" s="47"/>
      <c r="K930" s="47"/>
      <c r="L930" s="47"/>
      <c r="M930" s="47"/>
      <c r="N930" s="47"/>
      <c r="O930" s="47"/>
      <c r="P930" s="47"/>
      <c r="Q930" s="47"/>
      <c r="R930" s="47"/>
      <c r="S930" s="47"/>
      <c r="T930" s="47"/>
      <c r="U930" s="47"/>
      <c r="V930" s="47"/>
      <c r="W930" s="47"/>
      <c r="X930" s="47"/>
      <c r="Y930" s="47"/>
      <c r="Z930" s="47"/>
      <c r="AA930" s="47"/>
      <c r="AB930" s="47"/>
      <c r="AC930" s="47"/>
      <c r="AD930" s="47"/>
      <c r="AE930" s="47"/>
      <c r="AF930" s="47"/>
      <c r="AG930" s="47"/>
      <c r="AH930" s="47"/>
      <c r="AI930" s="47"/>
      <c r="AJ930" s="47"/>
      <c r="AK930" s="47"/>
      <c r="AL930" s="47"/>
      <c r="AM930" s="47"/>
      <c r="AN930" s="47"/>
      <c r="AO930" s="47"/>
      <c r="AP930" s="47"/>
      <c r="AQ930" s="47"/>
      <c r="AR930" s="47"/>
      <c r="AS930" s="47"/>
      <c r="AT930" s="47"/>
      <c r="AU930" s="47"/>
      <c r="AV930" s="47"/>
      <c r="AW930" s="47"/>
      <c r="AX930" s="47"/>
      <c r="AY930" s="47"/>
      <c r="AZ930" s="47"/>
      <c r="BA930" s="47"/>
      <c r="BB930" s="47"/>
      <c r="BC930" s="47"/>
      <c r="BD930" s="47"/>
      <c r="BE930" s="47"/>
      <c r="BF930" s="47"/>
      <c r="BG930" s="47"/>
      <c r="BH930" s="65">
        <f ca="1">BH931-BH929</f>
        <v>-437</v>
      </c>
      <c r="BI930" s="65">
        <f ca="1">BI931-BI929</f>
        <v>-423</v>
      </c>
      <c r="BJ930" s="65">
        <f ca="1">BJ931-BJ929</f>
        <v>-860</v>
      </c>
      <c r="BK930" s="92"/>
      <c r="BL930" s="65">
        <f ca="1">BL931-BL929</f>
        <v>-401</v>
      </c>
      <c r="BM930" s="65">
        <f ca="1">BM931-BM929</f>
        <v>-439</v>
      </c>
      <c r="BN930" s="65">
        <f ca="1">BN931-BN929</f>
        <v>-840</v>
      </c>
      <c r="BO930" s="92"/>
      <c r="BP930" s="65">
        <f ca="1">BP931-BP929</f>
        <v>-434</v>
      </c>
      <c r="BQ930" s="65">
        <f ca="1">BQ931-BQ929</f>
        <v>-486</v>
      </c>
      <c r="BR930" s="65">
        <f ca="1">BR931-BR929</f>
        <v>-920</v>
      </c>
      <c r="BT930" s="65">
        <f>BT931-BT929</f>
        <v>-532</v>
      </c>
      <c r="BU930" s="65">
        <f>BU931-BU929</f>
        <v>-579</v>
      </c>
      <c r="BV930" s="65">
        <f>BV931-BV929</f>
        <v>-1111</v>
      </c>
      <c r="BW930" s="79"/>
      <c r="BX930" s="65">
        <f>BX931-BX929</f>
        <v>-505</v>
      </c>
      <c r="BY930" s="65">
        <f>BY931-BY929</f>
        <v>-532</v>
      </c>
      <c r="BZ930" s="65">
        <f>BZ931-BZ929</f>
        <v>-1037</v>
      </c>
      <c r="CA930" s="79"/>
      <c r="CB930" s="65">
        <f>CB931-CB929</f>
        <v>-534</v>
      </c>
      <c r="CC930" s="65">
        <f>CC931-CC929</f>
        <v>-545</v>
      </c>
      <c r="CD930" s="65">
        <f>CD931-CD929</f>
        <v>-1079</v>
      </c>
      <c r="CE930" s="79"/>
      <c r="CF930" s="65">
        <f>CF931-CF929</f>
        <v>-510</v>
      </c>
      <c r="CG930" s="65">
        <f>CG931-CG929</f>
        <v>-503</v>
      </c>
      <c r="CH930" s="65">
        <f>CH931-CH929</f>
        <v>-1013</v>
      </c>
      <c r="CI930" s="79"/>
      <c r="CJ930" s="65">
        <f>CJ931-CJ929</f>
        <v>-546</v>
      </c>
      <c r="CK930" s="65">
        <f>CK931-CK929</f>
        <v>-554</v>
      </c>
      <c r="CL930" s="65">
        <f>CL931-CL929</f>
        <v>-1100</v>
      </c>
      <c r="CM930" s="79"/>
      <c r="CN930" s="65">
        <f>CN931-CN929</f>
        <v>-547</v>
      </c>
      <c r="CO930" s="65">
        <f>CO931-CO929</f>
        <v>-596</v>
      </c>
      <c r="CP930" s="65">
        <f>CP931-CP929</f>
        <v>-1143</v>
      </c>
      <c r="CQ930" s="75">
        <f t="shared" si="1448"/>
        <v>3.9090909090909065E-2</v>
      </c>
      <c r="CR930" s="65">
        <f>CR931-CR929</f>
        <v>-612</v>
      </c>
      <c r="CS930" s="65">
        <f>CS931-CS929</f>
        <v>-615</v>
      </c>
      <c r="CT930" s="65">
        <f>CT931-CT929</f>
        <v>-1227</v>
      </c>
      <c r="CU930" s="75">
        <f t="shared" si="1449"/>
        <v>7.3490813648293907E-2</v>
      </c>
      <c r="CV930" s="65">
        <f>CV931-CV929</f>
        <v>-668</v>
      </c>
      <c r="CW930" s="65">
        <f>CW931-CW929</f>
        <v>-687</v>
      </c>
      <c r="CX930" s="65">
        <f>CX931-CX929</f>
        <v>-1355</v>
      </c>
      <c r="CY930" s="75">
        <f t="shared" si="1450"/>
        <v>0.10431947840260802</v>
      </c>
      <c r="CZ930" s="65">
        <f>CZ931-CZ929</f>
        <v>-717</v>
      </c>
      <c r="DA930" s="65">
        <f>DA931-DA929</f>
        <v>-844</v>
      </c>
      <c r="DB930" s="65">
        <f>DB931-DB929</f>
        <v>-1561</v>
      </c>
      <c r="DC930" s="75">
        <f t="shared" si="1451"/>
        <v>0.15202952029520289</v>
      </c>
      <c r="DD930" s="65">
        <f>DD931-DD929</f>
        <v>-909</v>
      </c>
      <c r="DE930" s="65">
        <f>DE931-DE929</f>
        <v>-986</v>
      </c>
      <c r="DF930" s="65">
        <f>DF931-DF929</f>
        <v>-1895</v>
      </c>
      <c r="DG930" s="75">
        <f t="shared" si="1452"/>
        <v>0.21396540679051901</v>
      </c>
      <c r="DH930" s="65">
        <f>DE930*(1+DH934)</f>
        <v>-966.28</v>
      </c>
      <c r="DI930" s="65">
        <f>+DH930*(1+DI934)</f>
        <v>-956.61719999999991</v>
      </c>
      <c r="DJ930" s="65">
        <f>+DH930+DI930</f>
        <v>-1922.8971999999999</v>
      </c>
      <c r="DK930" s="75">
        <f t="shared" si="1453"/>
        <v>1.4721477572559261E-2</v>
      </c>
      <c r="DL930" s="65">
        <f>DI930*(1+DL934)</f>
        <v>-980.53262999999981</v>
      </c>
      <c r="DM930" s="65">
        <f>+DL930*(1+DM934)</f>
        <v>-1000.1432825999998</v>
      </c>
      <c r="DN930" s="65">
        <f>+DL930+DM930</f>
        <v>-1980.6759125999997</v>
      </c>
      <c r="DO930" s="75">
        <f t="shared" si="1454"/>
        <v>3.0047738693467219E-2</v>
      </c>
      <c r="DP930" s="65">
        <f>DM930*(1+DP934)</f>
        <v>-1010.1447154259998</v>
      </c>
      <c r="DQ930" s="65">
        <f>+DP930*(1+DQ934)</f>
        <v>-1020.2461625802598</v>
      </c>
      <c r="DR930" s="65">
        <f>+DP930+DQ930</f>
        <v>-2030.3908780062598</v>
      </c>
      <c r="DS930" s="75">
        <f t="shared" si="1455"/>
        <v>2.5100000000000122E-2</v>
      </c>
      <c r="DT930" s="79"/>
      <c r="DU930" s="79"/>
      <c r="DV930" s="79"/>
      <c r="DX930" s="431"/>
    </row>
    <row r="931" spans="1:128" s="20" customFormat="1" ht="13.8">
      <c r="A931" s="21" t="s">
        <v>802</v>
      </c>
      <c r="B931" s="92"/>
      <c r="C931" s="47"/>
      <c r="D931" s="47"/>
      <c r="E931" s="47"/>
      <c r="F931" s="47"/>
      <c r="G931" s="47"/>
      <c r="H931" s="47"/>
      <c r="I931" s="47"/>
      <c r="J931" s="47"/>
      <c r="K931" s="47"/>
      <c r="L931" s="47"/>
      <c r="M931" s="47"/>
      <c r="N931" s="47"/>
      <c r="O931" s="47"/>
      <c r="P931" s="47"/>
      <c r="Q931" s="47"/>
      <c r="R931" s="47"/>
      <c r="S931" s="47"/>
      <c r="T931" s="47"/>
      <c r="U931" s="47"/>
      <c r="V931" s="47"/>
      <c r="W931" s="47"/>
      <c r="X931" s="47"/>
      <c r="Y931" s="47"/>
      <c r="Z931" s="47"/>
      <c r="AA931" s="47"/>
      <c r="AB931" s="47"/>
      <c r="AC931" s="47"/>
      <c r="AD931" s="47"/>
      <c r="AE931" s="47"/>
      <c r="AF931" s="47"/>
      <c r="AG931" s="47"/>
      <c r="AH931" s="47"/>
      <c r="AI931" s="47"/>
      <c r="AJ931" s="47"/>
      <c r="AK931" s="47"/>
      <c r="AL931" s="47"/>
      <c r="AM931" s="47"/>
      <c r="AN931" s="47"/>
      <c r="AO931" s="47"/>
      <c r="AP931" s="47"/>
      <c r="AQ931" s="47"/>
      <c r="AR931" s="47"/>
      <c r="AS931" s="47"/>
      <c r="AT931" s="47"/>
      <c r="AU931" s="47"/>
      <c r="AV931" s="47"/>
      <c r="AW931" s="47"/>
      <c r="AX931" s="47"/>
      <c r="AY931" s="47"/>
      <c r="AZ931" s="47"/>
      <c r="BA931" s="47"/>
      <c r="BB931" s="47"/>
      <c r="BC931" s="47"/>
      <c r="BD931" s="47"/>
      <c r="BE931" s="47"/>
      <c r="BF931" s="47"/>
      <c r="BG931" s="47"/>
      <c r="BH931" s="72">
        <f ca="1">BH922</f>
        <v>-618</v>
      </c>
      <c r="BI931" s="72">
        <f ca="1">BI922</f>
        <v>-625</v>
      </c>
      <c r="BJ931" s="72">
        <f ca="1">BJ922</f>
        <v>-1243</v>
      </c>
      <c r="BK931" s="92"/>
      <c r="BL931" s="72">
        <f ca="1">BL922</f>
        <v>-606</v>
      </c>
      <c r="BM931" s="72">
        <f ca="1">BM922</f>
        <v>-660</v>
      </c>
      <c r="BN931" s="72">
        <f ca="1">BN922</f>
        <v>-1266</v>
      </c>
      <c r="BO931" s="92"/>
      <c r="BP931" s="72">
        <f ca="1">BP922</f>
        <v>-701</v>
      </c>
      <c r="BQ931" s="72">
        <f ca="1">BQ922</f>
        <v>-761</v>
      </c>
      <c r="BR931" s="72">
        <f ca="1">BR922</f>
        <v>-1462</v>
      </c>
      <c r="BT931" s="72">
        <f>BT922</f>
        <v>-777</v>
      </c>
      <c r="BU931" s="72">
        <f>BU922</f>
        <v>-834</v>
      </c>
      <c r="BV931" s="72">
        <f>BV922</f>
        <v>-1611</v>
      </c>
      <c r="BW931" s="79"/>
      <c r="BX931" s="72">
        <f>BX922</f>
        <v>-799</v>
      </c>
      <c r="BY931" s="72">
        <f>BY922</f>
        <v>-803</v>
      </c>
      <c r="BZ931" s="72">
        <f>BZ922</f>
        <v>-1602</v>
      </c>
      <c r="CA931" s="79"/>
      <c r="CB931" s="72">
        <f>CB922</f>
        <v>-815</v>
      </c>
      <c r="CC931" s="72">
        <f>CC922</f>
        <v>-833</v>
      </c>
      <c r="CD931" s="72">
        <f>CD922</f>
        <v>-1648</v>
      </c>
      <c r="CE931" s="79"/>
      <c r="CF931" s="72">
        <f>CF922</f>
        <v>-762</v>
      </c>
      <c r="CG931" s="72">
        <f>CG922</f>
        <v>-768</v>
      </c>
      <c r="CH931" s="72">
        <f>CH922</f>
        <v>-1530</v>
      </c>
      <c r="CI931" s="79"/>
      <c r="CJ931" s="72">
        <f>CJ922</f>
        <v>-787</v>
      </c>
      <c r="CK931" s="72">
        <f>CK922</f>
        <v>-773</v>
      </c>
      <c r="CL931" s="72">
        <f>CL922</f>
        <v>-1560</v>
      </c>
      <c r="CM931" s="79"/>
      <c r="CN931" s="72">
        <f>CN922</f>
        <v>-780</v>
      </c>
      <c r="CO931" s="72">
        <f>CO922</f>
        <v>-797</v>
      </c>
      <c r="CP931" s="72">
        <f>CP922</f>
        <v>-1577</v>
      </c>
      <c r="CQ931" s="75">
        <f t="shared" si="1448"/>
        <v>1.0897435897435859E-2</v>
      </c>
      <c r="CR931" s="72">
        <f>CR922</f>
        <v>-801</v>
      </c>
      <c r="CS931" s="72">
        <f>CS922</f>
        <v>-801</v>
      </c>
      <c r="CT931" s="72">
        <f>CT922</f>
        <v>-1602</v>
      </c>
      <c r="CU931" s="75">
        <f t="shared" si="1449"/>
        <v>1.5852885225110969E-2</v>
      </c>
      <c r="CV931" s="72">
        <f>CV922</f>
        <v>-831</v>
      </c>
      <c r="CW931" s="72">
        <f>CW922</f>
        <v>-844</v>
      </c>
      <c r="CX931" s="72">
        <f>CX922</f>
        <v>-1675</v>
      </c>
      <c r="CY931" s="75">
        <f t="shared" si="1450"/>
        <v>4.5568039950062422E-2</v>
      </c>
      <c r="CZ931" s="72">
        <f>CZ922</f>
        <v>-868</v>
      </c>
      <c r="DA931" s="72">
        <f>DA922</f>
        <v>-1017</v>
      </c>
      <c r="DB931" s="72">
        <f>DB922</f>
        <v>-1885</v>
      </c>
      <c r="DC931" s="75">
        <f t="shared" si="1451"/>
        <v>0.12537313432835817</v>
      </c>
      <c r="DD931" s="72">
        <f>DD922</f>
        <v>-1057</v>
      </c>
      <c r="DE931" s="72">
        <f>DE922</f>
        <v>-1186</v>
      </c>
      <c r="DF931" s="72">
        <f>DF922</f>
        <v>-2243</v>
      </c>
      <c r="DG931" s="75">
        <f t="shared" si="1452"/>
        <v>0.18992042440318313</v>
      </c>
      <c r="DH931" s="104">
        <f>SUM(DH929:DH930)</f>
        <v>-1164.7896870342772</v>
      </c>
      <c r="DI931" s="72">
        <f>SUM(DI929:DI930)</f>
        <v>-1145.9259538393053</v>
      </c>
      <c r="DJ931" s="72">
        <f>SUM(DJ929:DJ930)</f>
        <v>-2310.7156408735823</v>
      </c>
      <c r="DK931" s="75">
        <f t="shared" si="1453"/>
        <v>3.0189764098788263E-2</v>
      </c>
      <c r="DL931" s="104">
        <f>SUM(DL929:DL930)</f>
        <v>-1164.5726814905945</v>
      </c>
      <c r="DM931" s="72">
        <f>SUM(DM929:DM930)</f>
        <v>-1177.7939334762882</v>
      </c>
      <c r="DN931" s="72">
        <f>SUM(DN929:DN930)</f>
        <v>-2342.3666149668825</v>
      </c>
      <c r="DO931" s="75">
        <f t="shared" si="1454"/>
        <v>1.3697476891329829E-2</v>
      </c>
      <c r="DP931" s="104">
        <f>SUM(DP929:DP930)</f>
        <v>-1185.3870483483945</v>
      </c>
      <c r="DQ931" s="72">
        <f>SUM(DQ929:DQ930)</f>
        <v>-1189.8610892931949</v>
      </c>
      <c r="DR931" s="72">
        <f>SUM(DR929:DR930)</f>
        <v>-2375.2481376415894</v>
      </c>
      <c r="DS931" s="75">
        <f t="shared" si="1455"/>
        <v>1.4037735367557591E-2</v>
      </c>
      <c r="DT931" s="79"/>
      <c r="DU931" s="79"/>
      <c r="DV931" s="79"/>
      <c r="DX931" s="431"/>
    </row>
    <row r="932" spans="1:128" s="20" customFormat="1" ht="13.8">
      <c r="A932" s="78" t="s">
        <v>217</v>
      </c>
      <c r="B932" s="92"/>
      <c r="C932" s="47"/>
      <c r="D932" s="47"/>
      <c r="E932" s="47"/>
      <c r="F932" s="47"/>
      <c r="G932" s="47"/>
      <c r="H932" s="47"/>
      <c r="I932" s="47"/>
      <c r="J932" s="47"/>
      <c r="K932" s="47"/>
      <c r="L932" s="47"/>
      <c r="M932" s="47"/>
      <c r="N932" s="47"/>
      <c r="O932" s="47"/>
      <c r="P932" s="47"/>
      <c r="Q932" s="47"/>
      <c r="R932" s="47"/>
      <c r="S932" s="47"/>
      <c r="T932" s="47"/>
      <c r="U932" s="47"/>
      <c r="V932" s="47"/>
      <c r="W932" s="47"/>
      <c r="X932" s="47"/>
      <c r="Y932" s="47"/>
      <c r="Z932" s="47"/>
      <c r="AA932" s="47"/>
      <c r="AB932" s="47"/>
      <c r="AC932" s="47"/>
      <c r="AD932" s="47"/>
      <c r="AE932" s="47"/>
      <c r="AF932" s="47"/>
      <c r="AG932" s="47"/>
      <c r="AH932" s="47"/>
      <c r="AI932" s="47"/>
      <c r="AJ932" s="47"/>
      <c r="AK932" s="47"/>
      <c r="AL932" s="47"/>
      <c r="AM932" s="47"/>
      <c r="AN932" s="47"/>
      <c r="AO932" s="47"/>
      <c r="AP932" s="47"/>
      <c r="AQ932" s="47"/>
      <c r="AR932" s="47"/>
      <c r="AS932" s="47"/>
      <c r="AT932" s="47"/>
      <c r="AU932" s="47"/>
      <c r="AV932" s="47"/>
      <c r="AW932" s="47"/>
      <c r="AX932" s="47"/>
      <c r="AY932" s="47"/>
      <c r="AZ932" s="47"/>
      <c r="BA932" s="47"/>
      <c r="BB932" s="47"/>
      <c r="BC932" s="47"/>
      <c r="BD932" s="47"/>
      <c r="BE932" s="47"/>
      <c r="BF932" s="47"/>
      <c r="BG932" s="47"/>
      <c r="BH932" s="72"/>
      <c r="BI932" s="72"/>
      <c r="BJ932" s="72"/>
      <c r="BK932" s="92"/>
      <c r="BL932" s="72"/>
      <c r="BM932" s="72"/>
      <c r="BN932" s="72"/>
      <c r="BO932" s="92"/>
      <c r="BP932" s="72"/>
      <c r="BQ932" s="72"/>
      <c r="BR932" s="72"/>
      <c r="BT932" s="72"/>
      <c r="BU932" s="72"/>
      <c r="BV932" s="72"/>
      <c r="BW932" s="79"/>
      <c r="BX932" s="72"/>
      <c r="BY932" s="72"/>
      <c r="BZ932" s="72"/>
      <c r="CA932" s="79"/>
      <c r="CB932" s="72"/>
      <c r="CC932" s="72"/>
      <c r="CD932" s="72"/>
      <c r="CE932" s="79"/>
      <c r="CF932" s="72"/>
      <c r="CG932" s="72"/>
      <c r="CH932" s="72"/>
      <c r="CI932" s="79"/>
      <c r="CJ932" s="72"/>
      <c r="CK932" s="72"/>
      <c r="CL932" s="72"/>
      <c r="CM932" s="79"/>
      <c r="CN932" s="72"/>
      <c r="CO932" s="72"/>
      <c r="CP932" s="72"/>
      <c r="CQ932" s="79"/>
      <c r="CR932" s="72"/>
      <c r="CS932" s="72"/>
      <c r="CT932" s="72"/>
      <c r="CU932" s="79"/>
      <c r="CV932" s="72"/>
      <c r="CW932" s="72"/>
      <c r="CX932" s="72"/>
      <c r="CY932" s="79"/>
      <c r="CZ932" s="72"/>
      <c r="DA932" s="72"/>
      <c r="DB932" s="72"/>
      <c r="DC932" s="79"/>
      <c r="DD932" s="72"/>
      <c r="DE932" s="72"/>
      <c r="DF932" s="72"/>
      <c r="DG932" s="79"/>
      <c r="DH932" s="104"/>
      <c r="DI932" s="104"/>
      <c r="DJ932" s="72"/>
      <c r="DK932" s="79"/>
      <c r="DL932" s="104"/>
      <c r="DM932" s="104"/>
      <c r="DN932" s="72"/>
      <c r="DO932" s="79"/>
      <c r="DP932" s="104"/>
      <c r="DQ932" s="104"/>
      <c r="DR932" s="72"/>
      <c r="DS932" s="79"/>
      <c r="DT932" s="79"/>
      <c r="DU932" s="79"/>
      <c r="DV932" s="79"/>
      <c r="DX932" s="431"/>
    </row>
    <row r="933" spans="1:128" s="20" customFormat="1" ht="13.8">
      <c r="A933" s="47" t="str">
        <f>+A929</f>
        <v>Software Amortisation</v>
      </c>
      <c r="B933" s="92"/>
      <c r="C933" s="47"/>
      <c r="D933" s="47"/>
      <c r="E933" s="47"/>
      <c r="F933" s="47"/>
      <c r="G933" s="47"/>
      <c r="H933" s="47"/>
      <c r="I933" s="47"/>
      <c r="J933" s="47"/>
      <c r="K933" s="47"/>
      <c r="L933" s="47"/>
      <c r="M933" s="47"/>
      <c r="N933" s="47"/>
      <c r="O933" s="47"/>
      <c r="P933" s="47"/>
      <c r="Q933" s="47"/>
      <c r="R933" s="47"/>
      <c r="S933" s="47"/>
      <c r="T933" s="47"/>
      <c r="U933" s="47"/>
      <c r="V933" s="47"/>
      <c r="W933" s="47"/>
      <c r="X933" s="47"/>
      <c r="Y933" s="47"/>
      <c r="Z933" s="47"/>
      <c r="AA933" s="47"/>
      <c r="AB933" s="47"/>
      <c r="AC933" s="47"/>
      <c r="AD933" s="47"/>
      <c r="AE933" s="47"/>
      <c r="AF933" s="47"/>
      <c r="AG933" s="47"/>
      <c r="AH933" s="47"/>
      <c r="AI933" s="47"/>
      <c r="AJ933" s="47"/>
      <c r="AK933" s="47"/>
      <c r="AL933" s="47"/>
      <c r="AM933" s="47"/>
      <c r="AN933" s="47"/>
      <c r="AO933" s="47"/>
      <c r="AP933" s="47"/>
      <c r="AQ933" s="47"/>
      <c r="AR933" s="47"/>
      <c r="AS933" s="47"/>
      <c r="AT933" s="47"/>
      <c r="AU933" s="47"/>
      <c r="AV933" s="47"/>
      <c r="AW933" s="47"/>
      <c r="AX933" s="47"/>
      <c r="AY933" s="47"/>
      <c r="AZ933" s="47"/>
      <c r="BA933" s="47"/>
      <c r="BB933" s="47"/>
      <c r="BC933" s="47"/>
      <c r="BD933" s="47"/>
      <c r="BE933" s="47"/>
      <c r="BF933" s="47"/>
      <c r="BG933" s="47"/>
      <c r="BH933" s="72"/>
      <c r="BI933" s="75">
        <f>BI929/BH929-1</f>
        <v>0.11602209944751385</v>
      </c>
      <c r="BJ933" s="72"/>
      <c r="BK933" s="92"/>
      <c r="BL933" s="75">
        <f>BL929/BI929-1</f>
        <v>1.4851485148514865E-2</v>
      </c>
      <c r="BM933" s="75">
        <f>BM929/BL929-1</f>
        <v>7.8048780487804947E-2</v>
      </c>
      <c r="BN933" s="72"/>
      <c r="BO933" s="92"/>
      <c r="BP933" s="75">
        <f>BP929/BM929-1</f>
        <v>0.20814479638009042</v>
      </c>
      <c r="BQ933" s="75">
        <f>BQ929/BP929-1</f>
        <v>2.9962546816479474E-2</v>
      </c>
      <c r="BR933" s="72"/>
      <c r="BT933" s="75">
        <f>BT929/BQ929-1</f>
        <v>-0.10909090909090913</v>
      </c>
      <c r="BU933" s="75">
        <f>BU929/BT929-1</f>
        <v>4.081632653061229E-2</v>
      </c>
      <c r="BV933" s="72"/>
      <c r="BW933" s="79"/>
      <c r="BX933" s="75">
        <f>BX929/BU929-1</f>
        <v>0.15294117647058814</v>
      </c>
      <c r="BY933" s="75">
        <f>BY929/BX929-1</f>
        <v>-7.8231292517006779E-2</v>
      </c>
      <c r="BZ933" s="72"/>
      <c r="CA933" s="79"/>
      <c r="CB933" s="75">
        <f>CB929/BY929-1</f>
        <v>3.6900369003689981E-2</v>
      </c>
      <c r="CC933" s="75">
        <f>CC929/CB929-1</f>
        <v>2.4911032028469782E-2</v>
      </c>
      <c r="CD933" s="72"/>
      <c r="CE933" s="79"/>
      <c r="CF933" s="75">
        <f>CF929/CC929-1</f>
        <v>-0.125</v>
      </c>
      <c r="CG933" s="75">
        <f>CG929/CF929-1</f>
        <v>5.1587301587301626E-2</v>
      </c>
      <c r="CH933" s="72"/>
      <c r="CI933" s="79"/>
      <c r="CJ933" s="75">
        <f>CJ929/CG929-1</f>
        <v>-9.0566037735849036E-2</v>
      </c>
      <c r="CK933" s="75">
        <f>CK929/CJ929-1</f>
        <v>-9.1286307053941917E-2</v>
      </c>
      <c r="CL933" s="72"/>
      <c r="CM933" s="79"/>
      <c r="CN933" s="75">
        <f>CN929/CK929-1</f>
        <v>6.3926940639269514E-2</v>
      </c>
      <c r="CO933" s="75">
        <f>CO929/CN929-1</f>
        <v>-0.13733905579399142</v>
      </c>
      <c r="CP933" s="72"/>
      <c r="CQ933" s="79"/>
      <c r="CR933" s="75">
        <f>CR929/CO929-1</f>
        <v>-5.9701492537313383E-2</v>
      </c>
      <c r="CS933" s="75">
        <f>CS929/CR929-1</f>
        <v>-1.5873015873015928E-2</v>
      </c>
      <c r="CT933" s="72"/>
      <c r="CU933" s="79"/>
      <c r="CV933" s="75">
        <f>CV929/CS929-1</f>
        <v>-0.12365591397849462</v>
      </c>
      <c r="CW933" s="75">
        <f>CW929/CV929-1</f>
        <v>-3.6809815950920255E-2</v>
      </c>
      <c r="CX933" s="72"/>
      <c r="CY933" s="79"/>
      <c r="CZ933" s="75">
        <f>CZ929/CW929-1</f>
        <v>-3.8216560509554132E-2</v>
      </c>
      <c r="DA933" s="75">
        <f>DA929/CZ929-1</f>
        <v>0.14569536423841067</v>
      </c>
      <c r="DB933" s="72"/>
      <c r="DC933" s="79"/>
      <c r="DD933" s="75">
        <f>DD929/DA929-1</f>
        <v>-0.1445086705202312</v>
      </c>
      <c r="DE933" s="75">
        <f>DE929/DD929-1</f>
        <v>0.35135135135135132</v>
      </c>
      <c r="DF933" s="72"/>
      <c r="DG933" s="79"/>
      <c r="DH933" s="75">
        <f>DH929/DE929-1</f>
        <v>-7.4515648286140879E-3</v>
      </c>
      <c r="DI933" s="75">
        <f>DI929/DH929-1</f>
        <v>-4.6350046350046248E-2</v>
      </c>
      <c r="DJ933" s="72"/>
      <c r="DK933" s="79"/>
      <c r="DL933" s="75">
        <f>DL929/DI929-1</f>
        <v>-2.7831266340609617E-2</v>
      </c>
      <c r="DM933" s="75">
        <f>DM929/DL929-1</f>
        <v>-3.4717446352338532E-2</v>
      </c>
      <c r="DN933" s="72"/>
      <c r="DO933" s="79"/>
      <c r="DP933" s="75">
        <f>DP929/DM929-1</f>
        <v>-1.3556482579795248E-2</v>
      </c>
      <c r="DQ933" s="75">
        <f>DQ929/DP929-1</f>
        <v>-3.2112139319393163E-2</v>
      </c>
      <c r="DR933" s="72"/>
      <c r="DS933" s="79"/>
      <c r="DT933" s="79"/>
      <c r="DU933" s="79"/>
      <c r="DV933" s="79"/>
      <c r="DX933" s="431"/>
    </row>
    <row r="934" spans="1:128" s="20" customFormat="1" ht="13.8">
      <c r="A934" s="335" t="str">
        <f>A930</f>
        <v>Other Computer Expenses</v>
      </c>
      <c r="B934" s="336"/>
      <c r="C934" s="335"/>
      <c r="D934" s="335"/>
      <c r="E934" s="335"/>
      <c r="F934" s="335"/>
      <c r="G934" s="335"/>
      <c r="H934" s="335"/>
      <c r="I934" s="335"/>
      <c r="J934" s="335"/>
      <c r="K934" s="335"/>
      <c r="L934" s="335"/>
      <c r="M934" s="335"/>
      <c r="N934" s="335"/>
      <c r="O934" s="335"/>
      <c r="P934" s="335"/>
      <c r="Q934" s="335"/>
      <c r="R934" s="335"/>
      <c r="S934" s="335"/>
      <c r="T934" s="335"/>
      <c r="U934" s="335"/>
      <c r="V934" s="335"/>
      <c r="W934" s="335"/>
      <c r="X934" s="335"/>
      <c r="Y934" s="335"/>
      <c r="Z934" s="335"/>
      <c r="AA934" s="335"/>
      <c r="AB934" s="335"/>
      <c r="AC934" s="335"/>
      <c r="AD934" s="335"/>
      <c r="AE934" s="335"/>
      <c r="AF934" s="335"/>
      <c r="AG934" s="335"/>
      <c r="AH934" s="335"/>
      <c r="AI934" s="335"/>
      <c r="AJ934" s="335"/>
      <c r="AK934" s="335"/>
      <c r="AL934" s="335"/>
      <c r="AM934" s="335"/>
      <c r="AN934" s="335"/>
      <c r="AO934" s="335"/>
      <c r="AP934" s="335"/>
      <c r="AQ934" s="335"/>
      <c r="AR934" s="335"/>
      <c r="AS934" s="335"/>
      <c r="AT934" s="335"/>
      <c r="AU934" s="335"/>
      <c r="AV934" s="335"/>
      <c r="AW934" s="335"/>
      <c r="AX934" s="335"/>
      <c r="AY934" s="335"/>
      <c r="AZ934" s="335"/>
      <c r="BA934" s="335"/>
      <c r="BB934" s="335"/>
      <c r="BC934" s="335"/>
      <c r="BD934" s="335"/>
      <c r="BE934" s="335"/>
      <c r="BF934" s="335"/>
      <c r="BG934" s="335"/>
      <c r="BH934" s="379"/>
      <c r="BI934" s="379">
        <f ca="1">BI930/BH930-1</f>
        <v>-3.2036613272311221E-2</v>
      </c>
      <c r="BJ934" s="380"/>
      <c r="BK934" s="336"/>
      <c r="BL934" s="577">
        <f ca="1">BL930/BI930-1</f>
        <v>-5.2009456264775378E-2</v>
      </c>
      <c r="BM934" s="379">
        <f ca="1">BM930/BL930-1</f>
        <v>9.4763092269326776E-2</v>
      </c>
      <c r="BN934" s="380"/>
      <c r="BO934" s="336"/>
      <c r="BP934" s="577">
        <f ca="1">BP930/BM930-1</f>
        <v>-1.1389521640091105E-2</v>
      </c>
      <c r="BQ934" s="379">
        <f ca="1">BQ930/BP930-1</f>
        <v>0.1198156682027649</v>
      </c>
      <c r="BR934" s="380"/>
      <c r="BS934" s="325"/>
      <c r="BT934" s="577">
        <f ca="1">BT930/BQ930-1</f>
        <v>9.4650205761316775E-2</v>
      </c>
      <c r="BU934" s="379">
        <f>BU930/BT930-1</f>
        <v>8.8345864661654172E-2</v>
      </c>
      <c r="BV934" s="380"/>
      <c r="BW934" s="325"/>
      <c r="BX934" s="577">
        <f>BX930/BU930-1</f>
        <v>-0.12780656303972371</v>
      </c>
      <c r="BY934" s="379">
        <f>BY930/BX930-1</f>
        <v>5.3465346534653513E-2</v>
      </c>
      <c r="BZ934" s="380"/>
      <c r="CA934" s="325"/>
      <c r="CB934" s="577">
        <f>CB930/BY930-1</f>
        <v>3.759398496240518E-3</v>
      </c>
      <c r="CC934" s="379">
        <f>CC930/CB930-1</f>
        <v>2.0599250936329527E-2</v>
      </c>
      <c r="CD934" s="380"/>
      <c r="CE934" s="325"/>
      <c r="CF934" s="577">
        <f>CF930/CC930-1</f>
        <v>-6.422018348623848E-2</v>
      </c>
      <c r="CG934" s="379">
        <f>CG930/CF930-1</f>
        <v>-1.3725490196078383E-2</v>
      </c>
      <c r="CH934" s="380"/>
      <c r="CI934" s="325"/>
      <c r="CJ934" s="577">
        <f>CJ930/CG930-1</f>
        <v>8.5487077534791345E-2</v>
      </c>
      <c r="CK934" s="379">
        <f>CK930/CJ930-1</f>
        <v>1.46520146520146E-2</v>
      </c>
      <c r="CL934" s="380"/>
      <c r="CM934" s="325"/>
      <c r="CN934" s="577">
        <f>CN930/CK930-1</f>
        <v>-1.2635379061371799E-2</v>
      </c>
      <c r="CO934" s="379">
        <f>CO930/CN930-1</f>
        <v>8.9579524680073019E-2</v>
      </c>
      <c r="CP934" s="380"/>
      <c r="CQ934" s="325"/>
      <c r="CR934" s="577">
        <f>CR930/CO930-1</f>
        <v>2.6845637583892579E-2</v>
      </c>
      <c r="CS934" s="379">
        <f>CS930/CR930-1</f>
        <v>4.9019607843137081E-3</v>
      </c>
      <c r="CT934" s="380"/>
      <c r="CU934" s="380"/>
      <c r="CV934" s="577">
        <f>CV930/CS930-1</f>
        <v>8.6178861788617889E-2</v>
      </c>
      <c r="CW934" s="379">
        <f>CW930/CV930-1</f>
        <v>2.8443113772455009E-2</v>
      </c>
      <c r="CX934" s="380"/>
      <c r="CY934" s="380"/>
      <c r="CZ934" s="577">
        <f>CZ930/CW930-1</f>
        <v>4.366812227074246E-2</v>
      </c>
      <c r="DA934" s="379">
        <f>DA930/CZ930-1</f>
        <v>0.17712691771269173</v>
      </c>
      <c r="DB934" s="380"/>
      <c r="DC934" s="380"/>
      <c r="DD934" s="577">
        <f>DD930/DA930-1</f>
        <v>7.7014218009478608E-2</v>
      </c>
      <c r="DE934" s="379">
        <f>DE930/DD930-1</f>
        <v>8.470847084708466E-2</v>
      </c>
      <c r="DF934" s="380"/>
      <c r="DG934" s="380"/>
      <c r="DH934" s="1714">
        <v>-0.02</v>
      </c>
      <c r="DI934" s="795">
        <v>-0.01</v>
      </c>
      <c r="DJ934" s="380"/>
      <c r="DK934" s="380"/>
      <c r="DL934" s="1714">
        <v>2.5000000000000001E-2</v>
      </c>
      <c r="DM934" s="795">
        <v>0.02</v>
      </c>
      <c r="DN934" s="380"/>
      <c r="DO934" s="380"/>
      <c r="DP934" s="616">
        <v>0.01</v>
      </c>
      <c r="DQ934" s="795">
        <v>0.01</v>
      </c>
      <c r="DR934" s="380"/>
      <c r="DS934" s="380"/>
      <c r="DT934" s="380"/>
      <c r="DU934" s="380"/>
      <c r="DV934" s="380"/>
      <c r="DX934" s="431"/>
    </row>
    <row r="935" spans="1:128" s="21" customFormat="1" ht="13.8">
      <c r="A935" s="78" t="str">
        <f>A931</f>
        <v>Computer Expenses (ex One Offs)</v>
      </c>
      <c r="B935" s="95"/>
      <c r="C935" s="78"/>
      <c r="D935" s="78"/>
      <c r="E935" s="78"/>
      <c r="F935" s="78"/>
      <c r="G935" s="78"/>
      <c r="H935" s="78"/>
      <c r="I935" s="78"/>
      <c r="J935" s="78"/>
      <c r="K935" s="78"/>
      <c r="L935" s="78"/>
      <c r="M935" s="78"/>
      <c r="N935" s="78"/>
      <c r="O935" s="78"/>
      <c r="P935" s="78"/>
      <c r="Q935" s="78"/>
      <c r="R935" s="78"/>
      <c r="S935" s="78"/>
      <c r="T935" s="78"/>
      <c r="U935" s="78"/>
      <c r="V935" s="78"/>
      <c r="W935" s="78"/>
      <c r="X935" s="78"/>
      <c r="Y935" s="78"/>
      <c r="Z935" s="78"/>
      <c r="AA935" s="78"/>
      <c r="AB935" s="78"/>
      <c r="AC935" s="78"/>
      <c r="AD935" s="78"/>
      <c r="AE935" s="78"/>
      <c r="AF935" s="78"/>
      <c r="AG935" s="78"/>
      <c r="AH935" s="78"/>
      <c r="AI935" s="78"/>
      <c r="AJ935" s="78"/>
      <c r="AK935" s="78"/>
      <c r="AL935" s="78"/>
      <c r="AM935" s="78"/>
      <c r="AN935" s="78"/>
      <c r="AO935" s="78"/>
      <c r="AP935" s="78"/>
      <c r="AQ935" s="78"/>
      <c r="AR935" s="78"/>
      <c r="AS935" s="78"/>
      <c r="AT935" s="78"/>
      <c r="AU935" s="78"/>
      <c r="AV935" s="78"/>
      <c r="AW935" s="78"/>
      <c r="AX935" s="78"/>
      <c r="AY935" s="78"/>
      <c r="AZ935" s="78"/>
      <c r="BA935" s="78"/>
      <c r="BB935" s="78"/>
      <c r="BC935" s="78"/>
      <c r="BD935" s="78"/>
      <c r="BE935" s="78"/>
      <c r="BF935" s="78"/>
      <c r="BG935" s="78"/>
      <c r="BH935" s="382"/>
      <c r="BI935" s="382">
        <f ca="1">+BI931/BH931-1</f>
        <v>1.1326860841423869E-2</v>
      </c>
      <c r="BJ935" s="383"/>
      <c r="BK935" s="95"/>
      <c r="BL935" s="382">
        <f ca="1">+BL931/BI931-1</f>
        <v>-3.0399999999999983E-2</v>
      </c>
      <c r="BM935" s="382">
        <f ca="1">+BM931/BL931-1</f>
        <v>8.9108910891089188E-2</v>
      </c>
      <c r="BN935" s="383"/>
      <c r="BO935" s="95"/>
      <c r="BP935" s="382">
        <f ca="1">+BP931/BM931-1</f>
        <v>6.2121212121212022E-2</v>
      </c>
      <c r="BQ935" s="382">
        <f ca="1">+BQ931/BP931-1</f>
        <v>8.5592011412268132E-2</v>
      </c>
      <c r="BR935" s="383"/>
      <c r="BT935" s="382">
        <f ca="1">+BT931/BQ931-1</f>
        <v>2.1024967148488782E-2</v>
      </c>
      <c r="BU935" s="382">
        <f>+BU931/BT931-1</f>
        <v>7.3359073359073435E-2</v>
      </c>
      <c r="BV935" s="383"/>
      <c r="BX935" s="382">
        <f>+BX931/BU931-1</f>
        <v>-4.1966426858513151E-2</v>
      </c>
      <c r="BY935" s="382">
        <f>+BY931/BX931-1</f>
        <v>5.0062578222778154E-3</v>
      </c>
      <c r="BZ935" s="383"/>
      <c r="CB935" s="382">
        <f>+CB931/BY931-1</f>
        <v>1.4943960149439661E-2</v>
      </c>
      <c r="CC935" s="382">
        <f>+CC931/CB931-1</f>
        <v>2.2085889570552242E-2</v>
      </c>
      <c r="CD935" s="383"/>
      <c r="CF935" s="382">
        <f>+CF931/CC931-1</f>
        <v>-8.5234093637454933E-2</v>
      </c>
      <c r="CG935" s="382">
        <f>+CG931/CF931-1</f>
        <v>7.8740157480314821E-3</v>
      </c>
      <c r="CH935" s="383"/>
      <c r="CJ935" s="382">
        <f>+CJ931/CG931-1</f>
        <v>2.4739583333333259E-2</v>
      </c>
      <c r="CK935" s="382">
        <f>+CK931/CJ931-1</f>
        <v>-1.7789072426937724E-2</v>
      </c>
      <c r="CL935" s="383"/>
      <c r="CN935" s="382">
        <f>+CN931/CK931-1</f>
        <v>9.0556274256143876E-3</v>
      </c>
      <c r="CO935" s="382">
        <f>+CO931/CN931-1</f>
        <v>2.1794871794871717E-2</v>
      </c>
      <c r="CP935" s="383"/>
      <c r="CR935" s="382">
        <f>+CR931/CO931-1</f>
        <v>5.0188205771644068E-3</v>
      </c>
      <c r="CS935" s="382">
        <f>+CS931/CR931-1</f>
        <v>0</v>
      </c>
      <c r="CT935" s="383"/>
      <c r="CV935" s="382">
        <f>+CV931/CS931-1</f>
        <v>3.7453183520599342E-2</v>
      </c>
      <c r="CW935" s="382">
        <f>+CW931/CV931-1</f>
        <v>1.564380264741283E-2</v>
      </c>
      <c r="CX935" s="383"/>
      <c r="CZ935" s="382">
        <f>+CZ931/CW931-1</f>
        <v>2.8436018957346043E-2</v>
      </c>
      <c r="DA935" s="382">
        <f>+DA931/CZ931-1</f>
        <v>0.17165898617511521</v>
      </c>
      <c r="DB935" s="383"/>
      <c r="DD935" s="382">
        <f>+DD931/DA931-1</f>
        <v>3.9331366764995046E-2</v>
      </c>
      <c r="DE935" s="382">
        <f>+DE931/DD931-1</f>
        <v>0.12204351939451286</v>
      </c>
      <c r="DF935" s="383"/>
      <c r="DH935" s="382">
        <f>+DH931/DE931-1</f>
        <v>-1.7883906379192904E-2</v>
      </c>
      <c r="DI935" s="382">
        <f>+DI931/DH931-1</f>
        <v>-1.6194969276386417E-2</v>
      </c>
      <c r="DJ935" s="95"/>
      <c r="DL935" s="382">
        <f>+DL931/DI931-1</f>
        <v>1.6272192447352563E-2</v>
      </c>
      <c r="DM935" s="382">
        <f>+DM931/DL931-1</f>
        <v>1.1352878352574036E-2</v>
      </c>
      <c r="DN935" s="95"/>
      <c r="DP935" s="382">
        <f>+DP931/DM931-1</f>
        <v>6.4468958926413578E-3</v>
      </c>
      <c r="DQ935" s="382">
        <f>+DQ931/DP931-1</f>
        <v>3.7743291957121894E-3</v>
      </c>
      <c r="DR935" s="95"/>
      <c r="DX935" s="602"/>
    </row>
    <row r="936" spans="1:128" s="20" customFormat="1" ht="13.8">
      <c r="B936" s="49"/>
      <c r="BH936" s="49"/>
      <c r="BI936" s="49"/>
      <c r="BJ936" s="49"/>
      <c r="BK936" s="49"/>
      <c r="BL936" s="49"/>
      <c r="BM936" s="49"/>
      <c r="BN936" s="49"/>
      <c r="BO936" s="49"/>
      <c r="BP936" s="49"/>
      <c r="BQ936" s="49"/>
      <c r="BR936" s="49"/>
      <c r="BT936" s="600"/>
      <c r="BU936" s="49"/>
      <c r="BV936" s="49"/>
      <c r="BW936" s="601"/>
      <c r="BX936" s="600"/>
      <c r="BY936" s="49"/>
      <c r="BZ936" s="49"/>
      <c r="CA936" s="601"/>
      <c r="CB936" s="600"/>
      <c r="CC936" s="49"/>
      <c r="CD936" s="49"/>
      <c r="CE936" s="601"/>
      <c r="CF936" s="600"/>
      <c r="CG936" s="49"/>
      <c r="CH936" s="49"/>
      <c r="CI936" s="601"/>
      <c r="CJ936" s="600"/>
      <c r="CK936" s="600"/>
      <c r="CL936" s="600"/>
      <c r="CM936" s="601"/>
      <c r="CN936" s="600"/>
      <c r="CO936" s="600"/>
      <c r="CP936" s="600"/>
      <c r="CQ936" s="601"/>
      <c r="CR936" s="600"/>
      <c r="CS936" s="600"/>
      <c r="CT936" s="600"/>
      <c r="CU936" s="601"/>
      <c r="CV936" s="600"/>
      <c r="CW936" s="600"/>
      <c r="CX936" s="600"/>
      <c r="CY936" s="601"/>
      <c r="CZ936" s="600"/>
      <c r="DA936" s="600"/>
      <c r="DB936" s="600"/>
      <c r="DC936" s="601"/>
      <c r="DD936" s="600"/>
      <c r="DE936" s="600"/>
      <c r="DF936" s="600"/>
      <c r="DG936" s="601"/>
      <c r="DH936" s="600"/>
      <c r="DI936" s="600"/>
      <c r="DJ936" s="600"/>
      <c r="DK936" s="601"/>
      <c r="DL936" s="600"/>
      <c r="DM936" s="600"/>
      <c r="DN936" s="600"/>
      <c r="DO936" s="601"/>
      <c r="DP936" s="600"/>
      <c r="DQ936" s="600"/>
      <c r="DR936" s="600"/>
      <c r="DS936" s="601"/>
      <c r="DT936" s="601"/>
      <c r="DU936" s="601"/>
      <c r="DV936" s="601"/>
      <c r="DX936" s="431"/>
    </row>
    <row r="937" spans="1:128" s="20" customFormat="1" ht="13.8">
      <c r="A937" s="20" t="s">
        <v>1044</v>
      </c>
      <c r="B937" s="49"/>
      <c r="BH937" s="49"/>
      <c r="BI937" s="49"/>
      <c r="BJ937" s="49"/>
      <c r="BK937" s="49"/>
      <c r="BL937" s="49"/>
      <c r="BM937" s="49"/>
      <c r="BN937" s="49"/>
      <c r="BO937" s="49"/>
      <c r="BP937" s="49"/>
      <c r="BQ937" s="49"/>
      <c r="BR937" s="49"/>
      <c r="BT937" s="600"/>
      <c r="BU937" s="49"/>
      <c r="BV937" s="49"/>
      <c r="BW937" s="601"/>
      <c r="BX937" s="600"/>
      <c r="BY937" s="49"/>
      <c r="BZ937" s="49"/>
      <c r="CA937" s="601"/>
      <c r="CB937" s="600"/>
      <c r="CC937" s="49"/>
      <c r="CD937" s="49"/>
      <c r="CE937" s="601"/>
      <c r="CF937" s="65">
        <f>CF897</f>
        <v>-330.48</v>
      </c>
      <c r="CG937" s="65">
        <f>CG897</f>
        <v>-464</v>
      </c>
      <c r="CH937" s="65">
        <f>CH897</f>
        <v>-794.48</v>
      </c>
      <c r="CI937" s="601"/>
      <c r="CJ937" s="65">
        <f>CJ897</f>
        <v>-410.73</v>
      </c>
      <c r="CK937" s="65">
        <f>CK897</f>
        <v>-517.91999999999996</v>
      </c>
      <c r="CL937" s="65">
        <f>CL897</f>
        <v>-928.65</v>
      </c>
      <c r="CM937" s="601"/>
      <c r="CN937" s="65">
        <f>CN897</f>
        <v>-524.08000000000004</v>
      </c>
      <c r="CO937" s="65">
        <f>CO897</f>
        <v>-764.82</v>
      </c>
      <c r="CP937" s="65">
        <f>CP897</f>
        <v>-1288.9000000000001</v>
      </c>
      <c r="CQ937" s="601"/>
      <c r="CR937" s="65">
        <f>CR897</f>
        <v>-857</v>
      </c>
      <c r="CS937" s="65">
        <f>CS897</f>
        <v>-941</v>
      </c>
      <c r="CT937" s="65">
        <f>CT897</f>
        <v>-1798</v>
      </c>
      <c r="CU937" s="601"/>
      <c r="CV937" s="65">
        <f>CV897</f>
        <v>-552.5</v>
      </c>
      <c r="CW937" s="65">
        <f>CW897</f>
        <v>-687.5</v>
      </c>
      <c r="CX937" s="65">
        <f>CX897</f>
        <v>-1240</v>
      </c>
      <c r="CY937" s="601"/>
      <c r="CZ937" s="65">
        <f>CZ897</f>
        <v>-550</v>
      </c>
      <c r="DA937" s="65">
        <f>DA897</f>
        <v>-707</v>
      </c>
      <c r="DB937" s="65">
        <f>DB897</f>
        <v>-1257</v>
      </c>
      <c r="DC937" s="601"/>
      <c r="DD937" s="65">
        <f>DD897</f>
        <v>-612</v>
      </c>
      <c r="DE937" s="65">
        <f>DE897</f>
        <v>-777</v>
      </c>
      <c r="DF937" s="65">
        <f>DF897</f>
        <v>-1389</v>
      </c>
      <c r="DG937" s="601"/>
      <c r="DH937" s="65">
        <f>DH897</f>
        <v>-553</v>
      </c>
      <c r="DI937" s="65">
        <f>DI897</f>
        <v>-632</v>
      </c>
      <c r="DJ937" s="65">
        <f>DJ897</f>
        <v>-1185</v>
      </c>
      <c r="DK937" s="601"/>
      <c r="DL937" s="65">
        <f>DL897</f>
        <v>-553</v>
      </c>
      <c r="DM937" s="65">
        <f>DM897</f>
        <v>-632</v>
      </c>
      <c r="DN937" s="65">
        <f>DN897</f>
        <v>-1185</v>
      </c>
      <c r="DO937" s="601"/>
      <c r="DP937" s="65">
        <f>DP897</f>
        <v>-553</v>
      </c>
      <c r="DQ937" s="65">
        <f>DQ897</f>
        <v>-632</v>
      </c>
      <c r="DR937" s="65">
        <f>DR897</f>
        <v>-1185</v>
      </c>
      <c r="DS937" s="601"/>
      <c r="DT937" s="601"/>
      <c r="DU937" s="601"/>
      <c r="DV937" s="601"/>
      <c r="DX937" s="431"/>
    </row>
    <row r="938" spans="1:128" s="20" customFormat="1" ht="13.8">
      <c r="A938" s="20" t="str">
        <f>A930</f>
        <v>Other Computer Expenses</v>
      </c>
      <c r="B938" s="49"/>
      <c r="BH938" s="49"/>
      <c r="BI938" s="49"/>
      <c r="BJ938" s="49"/>
      <c r="BK938" s="49"/>
      <c r="BL938" s="49"/>
      <c r="BM938" s="49"/>
      <c r="BN938" s="49"/>
      <c r="BO938" s="49"/>
      <c r="BP938" s="49"/>
      <c r="BQ938" s="49"/>
      <c r="BR938" s="49"/>
      <c r="BT938" s="600"/>
      <c r="BU938" s="49"/>
      <c r="BV938" s="49"/>
      <c r="BW938" s="601"/>
      <c r="BX938" s="600"/>
      <c r="BY938" s="49"/>
      <c r="BZ938" s="49"/>
      <c r="CA938" s="601"/>
      <c r="CB938" s="600"/>
      <c r="CC938" s="49"/>
      <c r="CD938" s="49"/>
      <c r="CE938" s="601"/>
      <c r="CF938" s="65">
        <f>CF930</f>
        <v>-510</v>
      </c>
      <c r="CG938" s="65">
        <f t="shared" ref="CG938:CH938" si="1456">CG930</f>
        <v>-503</v>
      </c>
      <c r="CH938" s="65">
        <f t="shared" si="1456"/>
        <v>-1013</v>
      </c>
      <c r="CI938" s="601"/>
      <c r="CJ938" s="65">
        <f t="shared" ref="CJ938:CL938" si="1457">CJ930</f>
        <v>-546</v>
      </c>
      <c r="CK938" s="65">
        <f t="shared" si="1457"/>
        <v>-554</v>
      </c>
      <c r="CL938" s="65">
        <f t="shared" si="1457"/>
        <v>-1100</v>
      </c>
      <c r="CM938" s="601"/>
      <c r="CN938" s="65">
        <f t="shared" ref="CN938:CP938" si="1458">CN930</f>
        <v>-547</v>
      </c>
      <c r="CO938" s="65">
        <f t="shared" si="1458"/>
        <v>-596</v>
      </c>
      <c r="CP938" s="65">
        <f t="shared" si="1458"/>
        <v>-1143</v>
      </c>
      <c r="CQ938" s="601"/>
      <c r="CR938" s="65">
        <f t="shared" ref="CR938:CT938" si="1459">CR930</f>
        <v>-612</v>
      </c>
      <c r="CS938" s="65">
        <f t="shared" si="1459"/>
        <v>-615</v>
      </c>
      <c r="CT938" s="65">
        <f t="shared" si="1459"/>
        <v>-1227</v>
      </c>
      <c r="CU938" s="601"/>
      <c r="CV938" s="65">
        <f t="shared" ref="CV938:CX938" si="1460">CV930</f>
        <v>-668</v>
      </c>
      <c r="CW938" s="65">
        <f t="shared" si="1460"/>
        <v>-687</v>
      </c>
      <c r="CX938" s="65">
        <f t="shared" si="1460"/>
        <v>-1355</v>
      </c>
      <c r="CY938" s="601"/>
      <c r="CZ938" s="65">
        <f t="shared" ref="CZ938:DB938" si="1461">CZ930</f>
        <v>-717</v>
      </c>
      <c r="DA938" s="65">
        <f t="shared" si="1461"/>
        <v>-844</v>
      </c>
      <c r="DB938" s="65">
        <f t="shared" si="1461"/>
        <v>-1561</v>
      </c>
      <c r="DC938" s="601"/>
      <c r="DD938" s="65">
        <f t="shared" ref="DD938:DF938" si="1462">DD930</f>
        <v>-909</v>
      </c>
      <c r="DE938" s="65">
        <f t="shared" si="1462"/>
        <v>-986</v>
      </c>
      <c r="DF938" s="65">
        <f t="shared" si="1462"/>
        <v>-1895</v>
      </c>
      <c r="DG938" s="601"/>
      <c r="DH938" s="65">
        <f ca="1">DH937*DH939</f>
        <v>-394.90781796966149</v>
      </c>
      <c r="DI938" s="65">
        <f ca="1">DI937*DI939</f>
        <v>-413.04994686503716</v>
      </c>
      <c r="DJ938" s="65">
        <f t="shared" ref="DJ938" si="1463">DJ930</f>
        <v>-1922.8971999999999</v>
      </c>
      <c r="DK938" s="601"/>
      <c r="DL938" s="65">
        <f ca="1">DL937*DL939</f>
        <v>-394.90781796966149</v>
      </c>
      <c r="DM938" s="65">
        <f ca="1">DM937*DM939</f>
        <v>-413.04994686503716</v>
      </c>
      <c r="DN938" s="65">
        <f t="shared" ref="DN938" si="1464">DN930</f>
        <v>-1980.6759125999997</v>
      </c>
      <c r="DO938" s="601"/>
      <c r="DP938" s="65">
        <f ca="1">DP937*DP939</f>
        <v>-394.90781796966149</v>
      </c>
      <c r="DQ938" s="65">
        <f ca="1">DQ937*DQ939</f>
        <v>-413.04994686503716</v>
      </c>
      <c r="DR938" s="65">
        <f t="shared" ref="DR938" si="1465">DR930</f>
        <v>-2030.3908780062598</v>
      </c>
      <c r="DS938" s="601"/>
      <c r="DT938" s="601"/>
      <c r="DU938" s="601"/>
      <c r="DV938" s="601"/>
      <c r="DX938" s="431"/>
    </row>
    <row r="939" spans="1:128" s="47" customFormat="1" ht="13.8">
      <c r="A939" s="574" t="s">
        <v>1046</v>
      </c>
      <c r="B939" s="575"/>
      <c r="C939" s="574"/>
      <c r="D939" s="574"/>
      <c r="E939" s="574"/>
      <c r="F939" s="574"/>
      <c r="G939" s="574"/>
      <c r="H939" s="574"/>
      <c r="I939" s="574"/>
      <c r="J939" s="574"/>
      <c r="K939" s="574"/>
      <c r="L939" s="574"/>
      <c r="M939" s="574"/>
      <c r="N939" s="574"/>
      <c r="O939" s="574"/>
      <c r="P939" s="574"/>
      <c r="Q939" s="574"/>
      <c r="R939" s="574"/>
      <c r="S939" s="574"/>
      <c r="T939" s="574"/>
      <c r="U939" s="574"/>
      <c r="V939" s="574"/>
      <c r="W939" s="574"/>
      <c r="X939" s="574"/>
      <c r="Y939" s="574"/>
      <c r="Z939" s="574"/>
      <c r="AA939" s="574"/>
      <c r="AB939" s="574"/>
      <c r="AC939" s="574"/>
      <c r="AD939" s="574"/>
      <c r="AE939" s="574"/>
      <c r="AF939" s="574"/>
      <c r="AG939" s="574"/>
      <c r="AH939" s="574"/>
      <c r="AI939" s="574"/>
      <c r="AJ939" s="574"/>
      <c r="AK939" s="574"/>
      <c r="AL939" s="574"/>
      <c r="AM939" s="574"/>
      <c r="AN939" s="574"/>
      <c r="AO939" s="574"/>
      <c r="AP939" s="574"/>
      <c r="AQ939" s="574"/>
      <c r="AR939" s="574"/>
      <c r="AS939" s="574"/>
      <c r="AT939" s="574"/>
      <c r="AU939" s="574"/>
      <c r="AV939" s="574"/>
      <c r="AW939" s="574"/>
      <c r="AX939" s="574"/>
      <c r="AY939" s="574"/>
      <c r="AZ939" s="574"/>
      <c r="BA939" s="574"/>
      <c r="BB939" s="574"/>
      <c r="BC939" s="574"/>
      <c r="BD939" s="574"/>
      <c r="BE939" s="574"/>
      <c r="BF939" s="574"/>
      <c r="BG939" s="574"/>
      <c r="BH939" s="575"/>
      <c r="BI939" s="575"/>
      <c r="BJ939" s="575"/>
      <c r="BK939" s="575"/>
      <c r="BL939" s="575"/>
      <c r="BM939" s="575"/>
      <c r="BN939" s="575"/>
      <c r="BO939" s="575"/>
      <c r="BP939" s="575"/>
      <c r="BQ939" s="575"/>
      <c r="BR939" s="575"/>
      <c r="BS939" s="574"/>
      <c r="BT939" s="986"/>
      <c r="BU939" s="575"/>
      <c r="BV939" s="575"/>
      <c r="BW939" s="987"/>
      <c r="BX939" s="986"/>
      <c r="BY939" s="575"/>
      <c r="BZ939" s="575"/>
      <c r="CA939" s="987"/>
      <c r="CB939" s="986"/>
      <c r="CC939" s="575"/>
      <c r="CD939" s="575"/>
      <c r="CE939" s="987"/>
      <c r="CF939" s="577">
        <f>CF938/CF937</f>
        <v>1.5432098765432098</v>
      </c>
      <c r="CG939" s="577">
        <f>CG938/CG937</f>
        <v>1.084051724137931</v>
      </c>
      <c r="CH939" s="577">
        <f>CH938/CH937</f>
        <v>1.2750478300271875</v>
      </c>
      <c r="CI939" s="987"/>
      <c r="CJ939" s="577">
        <f>CJ938/CJ937</f>
        <v>1.3293404426265429</v>
      </c>
      <c r="CK939" s="577">
        <f>CK938/CK937</f>
        <v>1.0696632684584493</v>
      </c>
      <c r="CL939" s="577">
        <f>CL938/CL937</f>
        <v>1.1845151564098422</v>
      </c>
      <c r="CM939" s="987"/>
      <c r="CN939" s="577">
        <f>CN938/CN937</f>
        <v>1.0437337811021217</v>
      </c>
      <c r="CO939" s="577">
        <f>CO938/CO937</f>
        <v>0.77926832457310213</v>
      </c>
      <c r="CP939" s="577">
        <f>CP938/CP937</f>
        <v>0.88680269997672423</v>
      </c>
      <c r="CQ939" s="987"/>
      <c r="CR939" s="577">
        <f>CR938/CR937</f>
        <v>0.71411901983663939</v>
      </c>
      <c r="CS939" s="577">
        <f>CS938/CS937</f>
        <v>0.65356004250797028</v>
      </c>
      <c r="CT939" s="577">
        <f>CT938/CT937</f>
        <v>0.68242491657397109</v>
      </c>
      <c r="CU939" s="987"/>
      <c r="CV939" s="577">
        <f>CV938/CV937</f>
        <v>1.209049773755656</v>
      </c>
      <c r="CW939" s="577">
        <f>CW938/CW937</f>
        <v>0.99927272727272731</v>
      </c>
      <c r="CX939" s="577">
        <f>CX938/CX937</f>
        <v>1.092741935483871</v>
      </c>
      <c r="CY939" s="987"/>
      <c r="CZ939" s="577">
        <f>CZ938/CZ937</f>
        <v>1.3036363636363637</v>
      </c>
      <c r="DA939" s="577">
        <f>DA938/DA937</f>
        <v>1.1937765205091937</v>
      </c>
      <c r="DB939" s="577">
        <f>DB938/DB937</f>
        <v>1.2418456642800317</v>
      </c>
      <c r="DC939" s="987"/>
      <c r="DD939" s="577">
        <f>DD938/DD937</f>
        <v>1.4852941176470589</v>
      </c>
      <c r="DE939" s="577">
        <f>DE938/DE937</f>
        <v>1.268983268983269</v>
      </c>
      <c r="DF939" s="577">
        <f>DF938/DF937</f>
        <v>1.3642908567314616</v>
      </c>
      <c r="DG939" s="987"/>
      <c r="DH939" s="577">
        <f ca="1">DH938/DH937</f>
        <v>0.71411901983663928</v>
      </c>
      <c r="DI939" s="577">
        <f ca="1">DI938/DI937</f>
        <v>0.65356004250797017</v>
      </c>
      <c r="DJ939" s="577">
        <f>DJ938/DJ937</f>
        <v>1.6226980590717299</v>
      </c>
      <c r="DK939" s="987"/>
      <c r="DL939" s="577">
        <f ca="1">DL938/DL937</f>
        <v>0.71411901983663928</v>
      </c>
      <c r="DM939" s="577">
        <f ca="1">DM938/DM937</f>
        <v>0.65356004250797017</v>
      </c>
      <c r="DN939" s="577">
        <f>DN938/DN937</f>
        <v>1.6714564663291136</v>
      </c>
      <c r="DO939" s="987"/>
      <c r="DP939" s="577">
        <f ca="1">DP938/DP937</f>
        <v>0.71411901983663928</v>
      </c>
      <c r="DQ939" s="577">
        <f ca="1">DQ938/DQ937</f>
        <v>0.65356004250797017</v>
      </c>
      <c r="DR939" s="577">
        <f>DR938/DR937</f>
        <v>1.7134100236339744</v>
      </c>
      <c r="DS939" s="987"/>
      <c r="DT939" s="987"/>
      <c r="DU939" s="987"/>
      <c r="DV939" s="987"/>
      <c r="DX939" s="101"/>
    </row>
    <row r="940" spans="1:128" s="20" customFormat="1" ht="13.8">
      <c r="B940" s="49"/>
      <c r="BH940" s="49"/>
      <c r="BI940" s="49"/>
      <c r="BJ940" s="49"/>
      <c r="BK940" s="49"/>
      <c r="BL940" s="49"/>
      <c r="BM940" s="49"/>
      <c r="BN940" s="49"/>
      <c r="BO940" s="49"/>
      <c r="BP940" s="49"/>
      <c r="BQ940" s="49"/>
      <c r="BR940" s="49"/>
      <c r="BT940" s="600"/>
      <c r="BU940" s="49"/>
      <c r="BV940" s="49"/>
      <c r="BW940" s="601"/>
      <c r="BX940" s="600"/>
      <c r="BY940" s="49"/>
      <c r="BZ940" s="49"/>
      <c r="CA940" s="601"/>
      <c r="CB940" s="600"/>
      <c r="CC940" s="49"/>
      <c r="CD940" s="49"/>
      <c r="CE940" s="601"/>
      <c r="CF940" s="600"/>
      <c r="CG940" s="49"/>
      <c r="CH940" s="49"/>
      <c r="CI940" s="601"/>
      <c r="CJ940" s="600"/>
      <c r="CK940" s="600"/>
      <c r="CL940" s="600"/>
      <c r="CM940" s="601"/>
      <c r="CN940" s="600"/>
      <c r="CO940" s="600"/>
      <c r="CP940" s="600"/>
      <c r="CQ940" s="601"/>
      <c r="CR940" s="600"/>
      <c r="CS940" s="600"/>
      <c r="CT940" s="600"/>
      <c r="CU940" s="601"/>
      <c r="CV940" s="600"/>
      <c r="CW940" s="600"/>
      <c r="CX940" s="600"/>
      <c r="CY940" s="601"/>
      <c r="CZ940" s="600"/>
      <c r="DA940" s="600"/>
      <c r="DB940" s="600"/>
      <c r="DC940" s="601"/>
      <c r="DD940" s="600"/>
      <c r="DE940" s="600"/>
      <c r="DF940" s="600"/>
      <c r="DG940" s="601"/>
      <c r="DH940" s="600"/>
      <c r="DI940" s="600"/>
      <c r="DJ940" s="600"/>
      <c r="DK940" s="601"/>
      <c r="DL940" s="600"/>
      <c r="DM940" s="600"/>
      <c r="DN940" s="600"/>
      <c r="DO940" s="601"/>
      <c r="DP940" s="600"/>
      <c r="DQ940" s="600"/>
      <c r="DR940" s="600"/>
      <c r="DS940" s="601"/>
      <c r="DT940" s="601"/>
      <c r="DU940" s="601"/>
      <c r="DV940" s="601"/>
      <c r="DX940" s="431"/>
    </row>
    <row r="942" spans="1:128" s="20" customFormat="1" ht="13.8">
      <c r="A942" s="20" t="s">
        <v>800</v>
      </c>
      <c r="B942" s="49"/>
      <c r="BD942" s="1016"/>
      <c r="BE942" s="65"/>
      <c r="BF942" s="67"/>
      <c r="BH942" s="1017"/>
      <c r="BI942" s="65"/>
      <c r="BJ942" s="67"/>
      <c r="BK942" s="49"/>
      <c r="BL942" s="67"/>
      <c r="BM942" s="65"/>
      <c r="BN942" s="67"/>
      <c r="BO942" s="49"/>
      <c r="BP942" s="67">
        <v>-10</v>
      </c>
      <c r="BQ942" s="67">
        <v>-21</v>
      </c>
      <c r="BR942" s="65">
        <f>+BQ942+BP942</f>
        <v>-31</v>
      </c>
      <c r="BT942" s="67">
        <v>-138</v>
      </c>
      <c r="BU942" s="67">
        <v>-140</v>
      </c>
      <c r="BV942" s="65">
        <f>+BU942+BT942</f>
        <v>-278</v>
      </c>
      <c r="BX942" s="67">
        <v>-36</v>
      </c>
      <c r="BY942" s="67">
        <v>-26</v>
      </c>
      <c r="BZ942" s="65">
        <f>+BY942+BX942</f>
        <v>-62</v>
      </c>
      <c r="CB942" s="67">
        <v>-78</v>
      </c>
      <c r="CC942" s="67">
        <v>-149</v>
      </c>
      <c r="CD942" s="65">
        <f>+CC942+CB942</f>
        <v>-227</v>
      </c>
      <c r="CF942" s="65">
        <f>CF875</f>
        <v>-26</v>
      </c>
      <c r="CG942" s="65">
        <f>CG875</f>
        <v>3</v>
      </c>
      <c r="CH942" s="65">
        <f>+CG942+CF942</f>
        <v>-23</v>
      </c>
      <c r="CJ942" s="65">
        <f>CJ875</f>
        <v>-32</v>
      </c>
      <c r="CK942" s="65">
        <f>CK875</f>
        <v>-15</v>
      </c>
      <c r="CL942" s="65">
        <f>+CK942+CJ942</f>
        <v>-47</v>
      </c>
      <c r="CN942" s="65">
        <f>CN875</f>
        <v>-150</v>
      </c>
      <c r="CO942" s="65">
        <f>CO875</f>
        <v>-1</v>
      </c>
      <c r="CP942" s="65">
        <f>+CO942+CN942</f>
        <v>-151</v>
      </c>
      <c r="CR942" s="65">
        <f>CR875</f>
        <v>-1</v>
      </c>
      <c r="CS942" s="65">
        <f>CS875</f>
        <v>-21</v>
      </c>
      <c r="CT942" s="65">
        <f>+CS942+CR942</f>
        <v>-22</v>
      </c>
      <c r="CV942" s="65">
        <f>CV875</f>
        <v>-19</v>
      </c>
      <c r="CW942" s="65">
        <f>CW875</f>
        <v>-15</v>
      </c>
      <c r="CX942" s="65">
        <f>+CW942+CV942</f>
        <v>-34</v>
      </c>
      <c r="CZ942" s="65">
        <f>CZ875</f>
        <v>-21</v>
      </c>
      <c r="DA942" s="65">
        <f>DA875</f>
        <v>0</v>
      </c>
      <c r="DB942" s="65">
        <f>+DA942+CZ942</f>
        <v>-21</v>
      </c>
      <c r="DD942" s="65">
        <f>DD875</f>
        <v>0</v>
      </c>
      <c r="DE942" s="65">
        <f>DE875</f>
        <v>0</v>
      </c>
      <c r="DF942" s="65">
        <f>+DE942+DD942</f>
        <v>0</v>
      </c>
      <c r="DH942" s="65">
        <f>DH875</f>
        <v>0</v>
      </c>
      <c r="DI942" s="65">
        <f>DI875</f>
        <v>0</v>
      </c>
      <c r="DJ942" s="65">
        <f>+DI942+DH942</f>
        <v>0</v>
      </c>
      <c r="DL942" s="65">
        <f>DL875</f>
        <v>0</v>
      </c>
      <c r="DM942" s="65">
        <f>DM875</f>
        <v>0</v>
      </c>
      <c r="DN942" s="65">
        <f>+DM942+DL942</f>
        <v>0</v>
      </c>
      <c r="DP942" s="65">
        <f>DP875</f>
        <v>0</v>
      </c>
      <c r="DQ942" s="65">
        <f>DQ875</f>
        <v>0</v>
      </c>
      <c r="DR942" s="65">
        <f>+DQ942+DP942</f>
        <v>0</v>
      </c>
      <c r="DX942" s="431"/>
    </row>
    <row r="943" spans="1:128" s="20" customFormat="1" ht="13.8">
      <c r="A943" s="20" t="s">
        <v>923</v>
      </c>
      <c r="B943" s="49"/>
      <c r="BD943" s="1016"/>
      <c r="BE943" s="65"/>
      <c r="BF943" s="67"/>
      <c r="BH943" s="1017"/>
      <c r="BI943" s="65"/>
      <c r="BJ943" s="67"/>
      <c r="BK943" s="49"/>
      <c r="BL943" s="67"/>
      <c r="BM943" s="65"/>
      <c r="BN943" s="67"/>
      <c r="BO943" s="49"/>
      <c r="BP943" s="67"/>
      <c r="BQ943" s="67"/>
      <c r="BR943" s="65"/>
      <c r="BT943" s="67"/>
      <c r="BU943" s="67"/>
      <c r="BV943" s="65"/>
      <c r="BX943" s="67"/>
      <c r="BY943" s="67"/>
      <c r="BZ943" s="65"/>
      <c r="CB943" s="603">
        <v>-16</v>
      </c>
      <c r="CC943" s="67">
        <v>-39</v>
      </c>
      <c r="CD943" s="65">
        <f>+CC943+CB943</f>
        <v>-55</v>
      </c>
      <c r="CF943" s="65">
        <f>CF885</f>
        <v>-13</v>
      </c>
      <c r="CG943" s="65">
        <f>CG885</f>
        <v>-2</v>
      </c>
      <c r="CH943" s="65">
        <f>+CG943+CF943</f>
        <v>-15</v>
      </c>
      <c r="CJ943" s="65">
        <f>CJ885</f>
        <v>0</v>
      </c>
      <c r="CK943" s="65">
        <f>CK885</f>
        <v>0</v>
      </c>
      <c r="CL943" s="65">
        <f>+CK943+CJ943</f>
        <v>0</v>
      </c>
      <c r="CN943" s="65">
        <f>CN885</f>
        <v>0</v>
      </c>
      <c r="CO943" s="65">
        <f>CO885</f>
        <v>0</v>
      </c>
      <c r="CP943" s="65">
        <f>+CO943+CN943</f>
        <v>0</v>
      </c>
      <c r="CR943" s="65">
        <f>CR885</f>
        <v>0</v>
      </c>
      <c r="CS943" s="65">
        <f>CS885</f>
        <v>0</v>
      </c>
      <c r="CT943" s="65">
        <f>+CS943+CR943</f>
        <v>0</v>
      </c>
      <c r="CV943" s="65">
        <f>CV885</f>
        <v>0</v>
      </c>
      <c r="CW943" s="65">
        <f>CW885</f>
        <v>-40</v>
      </c>
      <c r="CX943" s="65">
        <f>+CW943+CV943</f>
        <v>-40</v>
      </c>
      <c r="CZ943" s="65">
        <f>CZ885</f>
        <v>0</v>
      </c>
      <c r="DA943" s="65">
        <f>DA885</f>
        <v>0</v>
      </c>
      <c r="DB943" s="65">
        <f>+DA943+CZ943</f>
        <v>0</v>
      </c>
      <c r="DD943" s="65">
        <f>DD885</f>
        <v>0</v>
      </c>
      <c r="DE943" s="65">
        <f>DE885</f>
        <v>-271</v>
      </c>
      <c r="DF943" s="65">
        <f>+DE943+DD943</f>
        <v>-271</v>
      </c>
      <c r="DH943" s="65">
        <f>DH885</f>
        <v>0</v>
      </c>
      <c r="DI943" s="65">
        <f>DI885</f>
        <v>0</v>
      </c>
      <c r="DJ943" s="65">
        <f>+DI943+DH943</f>
        <v>0</v>
      </c>
      <c r="DL943" s="65">
        <f>DL885</f>
        <v>0</v>
      </c>
      <c r="DM943" s="65">
        <f>DM885</f>
        <v>0</v>
      </c>
      <c r="DN943" s="65">
        <f>+DM943+DL943</f>
        <v>0</v>
      </c>
      <c r="DP943" s="65">
        <f>DP885</f>
        <v>0</v>
      </c>
      <c r="DQ943" s="65">
        <f>DQ885</f>
        <v>0</v>
      </c>
      <c r="DR943" s="65">
        <f>+DQ943+DP943</f>
        <v>0</v>
      </c>
      <c r="DX943" s="431"/>
    </row>
    <row r="944" spans="1:128" s="20" customFormat="1" ht="13.8">
      <c r="A944" s="20" t="s">
        <v>924</v>
      </c>
      <c r="B944" s="49"/>
      <c r="BD944" s="1016"/>
      <c r="BE944" s="65"/>
      <c r="BF944" s="67"/>
      <c r="BH944" s="1017"/>
      <c r="BI944" s="65"/>
      <c r="BJ944" s="67"/>
      <c r="BK944" s="49"/>
      <c r="BL944" s="67"/>
      <c r="BM944" s="65"/>
      <c r="BN944" s="67"/>
      <c r="BO944" s="49"/>
      <c r="BP944" s="67">
        <v>0</v>
      </c>
      <c r="BQ944" s="67">
        <v>0</v>
      </c>
      <c r="BR944" s="65">
        <f>+BQ944+BP944</f>
        <v>0</v>
      </c>
      <c r="BT944" s="67">
        <v>0</v>
      </c>
      <c r="BU944" s="67">
        <v>0</v>
      </c>
      <c r="BV944" s="65">
        <f>+BU944+BT944</f>
        <v>0</v>
      </c>
      <c r="BX944" s="603">
        <v>0</v>
      </c>
      <c r="BY944" s="603">
        <v>-83</v>
      </c>
      <c r="BZ944" s="65">
        <f>+BY944+BX944</f>
        <v>-83</v>
      </c>
      <c r="CB944" s="603">
        <v>-35</v>
      </c>
      <c r="CC944" s="603">
        <v>-156</v>
      </c>
      <c r="CD944" s="65">
        <f>+CC944+CB944</f>
        <v>-191</v>
      </c>
      <c r="CF944" s="65">
        <f>CF879</f>
        <v>-38</v>
      </c>
      <c r="CG944" s="65">
        <f>CG879</f>
        <v>-308</v>
      </c>
      <c r="CH944" s="65">
        <f>+CG944+CF944</f>
        <v>-346</v>
      </c>
      <c r="CJ944" s="65">
        <f>CJ879</f>
        <v>-27</v>
      </c>
      <c r="CK944" s="65">
        <f>CK879</f>
        <v>-84</v>
      </c>
      <c r="CL944" s="65">
        <f>+CK944+CJ944</f>
        <v>-111</v>
      </c>
      <c r="CN944" s="65">
        <f>CN879</f>
        <v>-59</v>
      </c>
      <c r="CO944" s="65">
        <f>CO879</f>
        <v>-49</v>
      </c>
      <c r="CP944" s="65">
        <f>+CO944+CN944</f>
        <v>-108</v>
      </c>
      <c r="CR944" s="65">
        <f>CR879</f>
        <v>-110</v>
      </c>
      <c r="CS944" s="65">
        <f>CS879</f>
        <v>-29</v>
      </c>
      <c r="CT944" s="65">
        <f>+CS944+CR944</f>
        <v>-139</v>
      </c>
      <c r="CV944" s="65">
        <f>CV879</f>
        <v>-28</v>
      </c>
      <c r="CW944" s="65">
        <f>CW879</f>
        <v>-26</v>
      </c>
      <c r="CX944" s="65">
        <f>+CW944+CV944</f>
        <v>-54</v>
      </c>
      <c r="CZ944" s="65">
        <f>CZ879</f>
        <v>0</v>
      </c>
      <c r="DA944" s="65">
        <f>DA879</f>
        <v>0</v>
      </c>
      <c r="DB944" s="65">
        <f>+DA944+CZ944</f>
        <v>0</v>
      </c>
      <c r="DD944" s="65">
        <f>DD879</f>
        <v>0</v>
      </c>
      <c r="DE944" s="65">
        <f>DE879</f>
        <v>0</v>
      </c>
      <c r="DF944" s="65">
        <f>+DE944+DD944</f>
        <v>0</v>
      </c>
      <c r="DH944" s="65">
        <f>DH879</f>
        <v>0</v>
      </c>
      <c r="DI944" s="65">
        <f>DI879</f>
        <v>0</v>
      </c>
      <c r="DJ944" s="65">
        <f>+DI944+DH944</f>
        <v>0</v>
      </c>
      <c r="DL944" s="65">
        <f>DL879</f>
        <v>0</v>
      </c>
      <c r="DM944" s="65">
        <f>DM879</f>
        <v>0</v>
      </c>
      <c r="DN944" s="65">
        <f>+DM944+DL944</f>
        <v>0</v>
      </c>
      <c r="DP944" s="65">
        <f>DP879</f>
        <v>0</v>
      </c>
      <c r="DQ944" s="65">
        <f>DQ879</f>
        <v>0</v>
      </c>
      <c r="DR944" s="65">
        <f>+DQ944+DP944</f>
        <v>0</v>
      </c>
      <c r="DX944" s="431"/>
    </row>
    <row r="945" spans="1:128" s="20" customFormat="1" ht="13.8">
      <c r="A945" s="20" t="s">
        <v>976</v>
      </c>
      <c r="B945" s="49"/>
      <c r="BD945" s="1016"/>
      <c r="BE945" s="65"/>
      <c r="BF945" s="67"/>
      <c r="BH945" s="1017"/>
      <c r="BI945" s="65"/>
      <c r="BJ945" s="67"/>
      <c r="BK945" s="49"/>
      <c r="BL945" s="67"/>
      <c r="BM945" s="65"/>
      <c r="BN945" s="67"/>
      <c r="BO945" s="49"/>
      <c r="BP945" s="67"/>
      <c r="BQ945" s="67"/>
      <c r="BR945" s="65"/>
      <c r="BT945" s="67"/>
      <c r="BU945" s="67"/>
      <c r="BV945" s="65"/>
      <c r="BX945" s="603"/>
      <c r="BY945" s="603"/>
      <c r="BZ945" s="65"/>
      <c r="CB945" s="603"/>
      <c r="CC945" s="603"/>
      <c r="CD945" s="65"/>
      <c r="CF945" s="65">
        <f t="shared" ref="CF945:CG949" si="1466">CF887</f>
        <v>0</v>
      </c>
      <c r="CG945" s="65">
        <f t="shared" si="1466"/>
        <v>0</v>
      </c>
      <c r="CH945" s="65">
        <f>+CG945+CF945</f>
        <v>0</v>
      </c>
      <c r="CI945" s="1003"/>
      <c r="CJ945" s="65">
        <f t="shared" ref="CJ945:CK949" si="1467">CJ887</f>
        <v>-50</v>
      </c>
      <c r="CK945" s="65">
        <f t="shared" si="1467"/>
        <v>0</v>
      </c>
      <c r="CL945" s="65">
        <f>+CK945+CJ945</f>
        <v>-50</v>
      </c>
      <c r="CM945" s="1003"/>
      <c r="CN945" s="65">
        <f t="shared" ref="CN945:CO949" si="1468">CN887</f>
        <v>0</v>
      </c>
      <c r="CO945" s="65">
        <f t="shared" si="1468"/>
        <v>0</v>
      </c>
      <c r="CP945" s="65">
        <f>+CO945+CN945</f>
        <v>0</v>
      </c>
      <c r="CQ945" s="1003"/>
      <c r="CR945" s="65">
        <f t="shared" ref="CR945:CS949" si="1469">CR887</f>
        <v>0</v>
      </c>
      <c r="CS945" s="65">
        <f t="shared" si="1469"/>
        <v>0</v>
      </c>
      <c r="CT945" s="65">
        <f>+CS945+CR945</f>
        <v>0</v>
      </c>
      <c r="CV945" s="65">
        <f t="shared" ref="CV945:CW945" si="1470">CV887</f>
        <v>0</v>
      </c>
      <c r="CW945" s="65">
        <f t="shared" si="1470"/>
        <v>0</v>
      </c>
      <c r="CX945" s="65">
        <f>+CW945+CV945</f>
        <v>0</v>
      </c>
      <c r="CZ945" s="65">
        <f t="shared" ref="CZ945:DA945" si="1471">CZ887</f>
        <v>0</v>
      </c>
      <c r="DA945" s="65">
        <f t="shared" si="1471"/>
        <v>0</v>
      </c>
      <c r="DB945" s="65">
        <f>+DA945+CZ945</f>
        <v>0</v>
      </c>
      <c r="DD945" s="65">
        <f t="shared" ref="DD945:DE945" si="1472">DD887</f>
        <v>0</v>
      </c>
      <c r="DE945" s="65">
        <f t="shared" si="1472"/>
        <v>-97</v>
      </c>
      <c r="DF945" s="65">
        <f>+DE945+DD945</f>
        <v>-97</v>
      </c>
      <c r="DH945" s="65">
        <f t="shared" ref="DH945:DI945" si="1473">DH887</f>
        <v>0</v>
      </c>
      <c r="DI945" s="65">
        <f t="shared" si="1473"/>
        <v>0</v>
      </c>
      <c r="DJ945" s="65">
        <f>+DI945+DH945</f>
        <v>0</v>
      </c>
      <c r="DL945" s="65">
        <f t="shared" ref="DL945:DM945" si="1474">DL887</f>
        <v>0</v>
      </c>
      <c r="DM945" s="65">
        <f t="shared" si="1474"/>
        <v>0</v>
      </c>
      <c r="DN945" s="65">
        <f>+DM945+DL945</f>
        <v>0</v>
      </c>
      <c r="DP945" s="65">
        <f t="shared" ref="DP945:DQ945" si="1475">DP887</f>
        <v>0</v>
      </c>
      <c r="DQ945" s="65">
        <f t="shared" si="1475"/>
        <v>0</v>
      </c>
      <c r="DR945" s="65">
        <f>+DQ945+DP945</f>
        <v>0</v>
      </c>
      <c r="DX945" s="431"/>
    </row>
    <row r="946" spans="1:128" s="20" customFormat="1" ht="13.8">
      <c r="A946" s="20" t="s">
        <v>968</v>
      </c>
      <c r="B946" s="49"/>
      <c r="BH946" s="49"/>
      <c r="BI946" s="49"/>
      <c r="BJ946" s="49"/>
      <c r="BK946" s="49"/>
      <c r="BL946" s="49"/>
      <c r="BM946" s="49"/>
      <c r="BN946" s="49"/>
      <c r="BO946" s="49"/>
      <c r="BP946" s="65"/>
      <c r="BQ946" s="65"/>
      <c r="BR946" s="65"/>
      <c r="BT946" s="65"/>
      <c r="BU946" s="65"/>
      <c r="BV946" s="65"/>
      <c r="BW946" s="96"/>
      <c r="BX946" s="65"/>
      <c r="BY946" s="65"/>
      <c r="BZ946" s="65"/>
      <c r="CB946" s="603">
        <v>0</v>
      </c>
      <c r="CC946" s="603">
        <v>-10</v>
      </c>
      <c r="CD946" s="49">
        <f>+CB946+CC946</f>
        <v>-10</v>
      </c>
      <c r="CF946" s="65">
        <f t="shared" si="1466"/>
        <v>0</v>
      </c>
      <c r="CG946" s="65">
        <f t="shared" si="1466"/>
        <v>0</v>
      </c>
      <c r="CH946" s="49">
        <f>+CF946+CG946</f>
        <v>0</v>
      </c>
      <c r="CJ946" s="65">
        <f t="shared" si="1467"/>
        <v>0</v>
      </c>
      <c r="CK946" s="65">
        <f t="shared" si="1467"/>
        <v>-6</v>
      </c>
      <c r="CL946" s="49">
        <f>+CJ946+CK946</f>
        <v>-6</v>
      </c>
      <c r="CN946" s="65">
        <f t="shared" si="1468"/>
        <v>0</v>
      </c>
      <c r="CO946" s="65">
        <f t="shared" si="1468"/>
        <v>0</v>
      </c>
      <c r="CP946" s="49">
        <f>+CN946+CO946</f>
        <v>0</v>
      </c>
      <c r="CR946" s="65">
        <f t="shared" si="1469"/>
        <v>0</v>
      </c>
      <c r="CS946" s="65">
        <f t="shared" si="1469"/>
        <v>-12</v>
      </c>
      <c r="CT946" s="49">
        <f>+CR946+CS946</f>
        <v>-12</v>
      </c>
      <c r="CV946" s="65">
        <f t="shared" ref="CV946:CW946" si="1476">CV888</f>
        <v>0</v>
      </c>
      <c r="CW946" s="65">
        <f t="shared" si="1476"/>
        <v>0</v>
      </c>
      <c r="CX946" s="49">
        <f>+CV946+CW946</f>
        <v>0</v>
      </c>
      <c r="CZ946" s="65">
        <f t="shared" ref="CZ946:DA946" si="1477">CZ888</f>
        <v>0</v>
      </c>
      <c r="DA946" s="65">
        <f t="shared" si="1477"/>
        <v>0</v>
      </c>
      <c r="DB946" s="49">
        <f>+CZ946+DA946</f>
        <v>0</v>
      </c>
      <c r="DD946" s="65">
        <f t="shared" ref="DD946:DE946" si="1478">DD888</f>
        <v>0</v>
      </c>
      <c r="DE946" s="65">
        <f t="shared" si="1478"/>
        <v>0</v>
      </c>
      <c r="DF946" s="49">
        <f>+DD946+DE946</f>
        <v>0</v>
      </c>
      <c r="DH946" s="65">
        <f t="shared" ref="DH946:DI946" si="1479">DH888</f>
        <v>0</v>
      </c>
      <c r="DI946" s="65">
        <f t="shared" si="1479"/>
        <v>0</v>
      </c>
      <c r="DJ946" s="49">
        <f t="shared" ref="DJ946:DJ951" si="1480">+DH946+DI946</f>
        <v>0</v>
      </c>
      <c r="DL946" s="65">
        <f t="shared" ref="DL946:DM946" si="1481">DL888</f>
        <v>0</v>
      </c>
      <c r="DM946" s="65">
        <f t="shared" si="1481"/>
        <v>0</v>
      </c>
      <c r="DN946" s="49">
        <f t="shared" ref="DN946:DN951" si="1482">+DL946+DM946</f>
        <v>0</v>
      </c>
      <c r="DP946" s="65">
        <f t="shared" ref="DP946:DQ946" si="1483">DP888</f>
        <v>0</v>
      </c>
      <c r="DQ946" s="65">
        <f t="shared" si="1483"/>
        <v>0</v>
      </c>
      <c r="DR946" s="49">
        <f t="shared" ref="DR946:DR951" si="1484">+DP946+DQ946</f>
        <v>0</v>
      </c>
    </row>
    <row r="947" spans="1:128" s="20" customFormat="1" ht="13.8">
      <c r="A947" s="20" t="s">
        <v>933</v>
      </c>
      <c r="B947" s="49"/>
      <c r="BH947" s="49"/>
      <c r="BI947" s="49"/>
      <c r="BJ947" s="49"/>
      <c r="BK947" s="49"/>
      <c r="BL947" s="49"/>
      <c r="BM947" s="49"/>
      <c r="BN947" s="49"/>
      <c r="BO947" s="49"/>
      <c r="BP947" s="65"/>
      <c r="BQ947" s="65"/>
      <c r="BR947" s="65"/>
      <c r="BT947" s="65"/>
      <c r="BU947" s="65"/>
      <c r="BV947" s="65"/>
      <c r="BW947" s="96"/>
      <c r="BX947" s="65"/>
      <c r="BY947" s="65"/>
      <c r="BZ947" s="65"/>
      <c r="CB947" s="603">
        <v>-60</v>
      </c>
      <c r="CC947" s="603">
        <v>-44</v>
      </c>
      <c r="CD947" s="49">
        <f>+CB947+CC947-28</f>
        <v>-132</v>
      </c>
      <c r="CF947" s="65">
        <f t="shared" si="1466"/>
        <v>-25</v>
      </c>
      <c r="CG947" s="65">
        <f t="shared" si="1466"/>
        <v>-19</v>
      </c>
      <c r="CH947" s="49">
        <f>+CF947+CG947</f>
        <v>-44</v>
      </c>
      <c r="CJ947" s="65">
        <f t="shared" si="1467"/>
        <v>-18</v>
      </c>
      <c r="CK947" s="65">
        <f t="shared" si="1467"/>
        <v>-16</v>
      </c>
      <c r="CL947" s="49">
        <f>+CJ947+CK947</f>
        <v>-34</v>
      </c>
      <c r="CN947" s="65">
        <f t="shared" si="1468"/>
        <v>0</v>
      </c>
      <c r="CO947" s="65">
        <f t="shared" si="1468"/>
        <v>0</v>
      </c>
      <c r="CP947" s="49">
        <f>+CN947+CO947</f>
        <v>0</v>
      </c>
      <c r="CR947" s="65">
        <f t="shared" si="1469"/>
        <v>-59</v>
      </c>
      <c r="CS947" s="65">
        <f t="shared" si="1469"/>
        <v>-10</v>
      </c>
      <c r="CT947" s="49">
        <f>+CR947+CS947</f>
        <v>-69</v>
      </c>
      <c r="CV947" s="65">
        <f t="shared" ref="CV947:CW947" si="1485">CV889</f>
        <v>-56</v>
      </c>
      <c r="CW947" s="65">
        <f t="shared" si="1485"/>
        <v>-72</v>
      </c>
      <c r="CX947" s="49">
        <f>+CV947+CW947</f>
        <v>-128</v>
      </c>
      <c r="CZ947" s="65">
        <f t="shared" ref="CZ947:DA947" si="1486">CZ889</f>
        <v>0</v>
      </c>
      <c r="DA947" s="65">
        <f t="shared" si="1486"/>
        <v>0</v>
      </c>
      <c r="DB947" s="49">
        <f>+CZ947+DA947</f>
        <v>0</v>
      </c>
      <c r="DD947" s="65">
        <f t="shared" ref="DD947:DE947" si="1487">DD889</f>
        <v>0</v>
      </c>
      <c r="DE947" s="65">
        <f t="shared" si="1487"/>
        <v>-78</v>
      </c>
      <c r="DF947" s="49">
        <f>+DD947+DE947</f>
        <v>-78</v>
      </c>
      <c r="DH947" s="65">
        <f t="shared" ref="DH947:DI947" si="1488">DH889</f>
        <v>0</v>
      </c>
      <c r="DI947" s="65">
        <f t="shared" si="1488"/>
        <v>0</v>
      </c>
      <c r="DJ947" s="49">
        <f t="shared" si="1480"/>
        <v>0</v>
      </c>
      <c r="DL947" s="65">
        <f t="shared" ref="DL947:DM947" si="1489">DL889</f>
        <v>0</v>
      </c>
      <c r="DM947" s="65">
        <f t="shared" si="1489"/>
        <v>0</v>
      </c>
      <c r="DN947" s="49">
        <f t="shared" si="1482"/>
        <v>0</v>
      </c>
      <c r="DP947" s="65">
        <f t="shared" ref="DP947:DQ947" si="1490">DP889</f>
        <v>0</v>
      </c>
      <c r="DQ947" s="65">
        <f t="shared" si="1490"/>
        <v>0</v>
      </c>
      <c r="DR947" s="49">
        <f t="shared" si="1484"/>
        <v>0</v>
      </c>
    </row>
    <row r="948" spans="1:128" s="20" customFormat="1" ht="13.8">
      <c r="A948" s="20" t="s">
        <v>803</v>
      </c>
      <c r="B948" s="49"/>
      <c r="BH948" s="49"/>
      <c r="BI948" s="49"/>
      <c r="BJ948" s="49"/>
      <c r="BK948" s="49"/>
      <c r="BL948" s="49"/>
      <c r="BM948" s="49"/>
      <c r="BN948" s="49"/>
      <c r="BO948" s="49"/>
      <c r="BP948" s="603">
        <v>-21</v>
      </c>
      <c r="BQ948" s="603">
        <v>-22</v>
      </c>
      <c r="BR948" s="49">
        <f>+BP948+BQ948</f>
        <v>-43</v>
      </c>
      <c r="BT948" s="603">
        <v>-11</v>
      </c>
      <c r="BU948" s="603">
        <v>-6</v>
      </c>
      <c r="BV948" s="49">
        <f>+BT948+BU948</f>
        <v>-17</v>
      </c>
      <c r="BW948" s="96"/>
      <c r="BX948" s="603">
        <v>0</v>
      </c>
      <c r="BY948" s="603">
        <v>0</v>
      </c>
      <c r="BZ948" s="49">
        <f>+BX948+BY948</f>
        <v>0</v>
      </c>
      <c r="CB948" s="603">
        <v>0</v>
      </c>
      <c r="CC948" s="603">
        <v>0</v>
      </c>
      <c r="CD948" s="49">
        <f>+CB948+CC948</f>
        <v>0</v>
      </c>
      <c r="CF948" s="65">
        <f t="shared" si="1466"/>
        <v>0</v>
      </c>
      <c r="CG948" s="65">
        <f t="shared" si="1466"/>
        <v>0</v>
      </c>
      <c r="CH948" s="49">
        <f>+CF948+CG948</f>
        <v>0</v>
      </c>
      <c r="CJ948" s="65">
        <f t="shared" si="1467"/>
        <v>0</v>
      </c>
      <c r="CK948" s="65">
        <f t="shared" si="1467"/>
        <v>0</v>
      </c>
      <c r="CL948" s="49">
        <f>+CJ948+CK948</f>
        <v>0</v>
      </c>
      <c r="CN948" s="65">
        <f t="shared" si="1468"/>
        <v>0</v>
      </c>
      <c r="CO948" s="65">
        <f t="shared" si="1468"/>
        <v>0</v>
      </c>
      <c r="CP948" s="49">
        <f>+CN948+CO948</f>
        <v>0</v>
      </c>
      <c r="CR948" s="65">
        <f t="shared" si="1469"/>
        <v>0</v>
      </c>
      <c r="CS948" s="65">
        <f t="shared" si="1469"/>
        <v>0</v>
      </c>
      <c r="CT948" s="49">
        <f>+CR948+CS948</f>
        <v>0</v>
      </c>
      <c r="CV948" s="65">
        <f t="shared" ref="CV948:CW948" si="1491">CV890</f>
        <v>0</v>
      </c>
      <c r="CW948" s="65">
        <f t="shared" si="1491"/>
        <v>0</v>
      </c>
      <c r="CX948" s="49">
        <f>+CV948+CW948</f>
        <v>0</v>
      </c>
      <c r="CZ948" s="65">
        <f t="shared" ref="CZ948:DA948" si="1492">CZ890</f>
        <v>0</v>
      </c>
      <c r="DA948" s="65">
        <f t="shared" si="1492"/>
        <v>0</v>
      </c>
      <c r="DB948" s="49">
        <f>+CZ948+DA948</f>
        <v>0</v>
      </c>
      <c r="DD948" s="65">
        <f t="shared" ref="DD948:DE948" si="1493">DD890</f>
        <v>0</v>
      </c>
      <c r="DE948" s="65">
        <f t="shared" si="1493"/>
        <v>0</v>
      </c>
      <c r="DF948" s="49">
        <f>+DD948+DE948</f>
        <v>0</v>
      </c>
      <c r="DH948" s="65">
        <f t="shared" ref="DH948:DI948" si="1494">DH890</f>
        <v>0</v>
      </c>
      <c r="DI948" s="65">
        <f t="shared" si="1494"/>
        <v>0</v>
      </c>
      <c r="DJ948" s="49">
        <f t="shared" si="1480"/>
        <v>0</v>
      </c>
      <c r="DL948" s="65">
        <f t="shared" ref="DL948:DM948" si="1495">DL890</f>
        <v>0</v>
      </c>
      <c r="DM948" s="65">
        <f t="shared" si="1495"/>
        <v>0</v>
      </c>
      <c r="DN948" s="49">
        <f t="shared" si="1482"/>
        <v>0</v>
      </c>
      <c r="DP948" s="65">
        <f t="shared" ref="DP948:DQ948" si="1496">DP890</f>
        <v>0</v>
      </c>
      <c r="DQ948" s="65">
        <f t="shared" si="1496"/>
        <v>0</v>
      </c>
      <c r="DR948" s="49">
        <f t="shared" si="1484"/>
        <v>0</v>
      </c>
    </row>
    <row r="949" spans="1:128" s="20" customFormat="1" ht="13.8">
      <c r="A949" s="20" t="s">
        <v>1017</v>
      </c>
      <c r="B949" s="49"/>
      <c r="BH949" s="49"/>
      <c r="BI949" s="49"/>
      <c r="BJ949" s="49"/>
      <c r="BK949" s="49"/>
      <c r="BL949" s="49"/>
      <c r="BM949" s="49"/>
      <c r="BN949" s="49"/>
      <c r="BO949" s="49"/>
      <c r="BP949" s="603"/>
      <c r="BQ949" s="603"/>
      <c r="BR949" s="49"/>
      <c r="BT949" s="603"/>
      <c r="BU949" s="603"/>
      <c r="BV949" s="49"/>
      <c r="BW949" s="96"/>
      <c r="BX949" s="603"/>
      <c r="BY949" s="603"/>
      <c r="BZ949" s="49"/>
      <c r="CB949" s="603"/>
      <c r="CC949" s="603"/>
      <c r="CD949" s="49"/>
      <c r="CF949" s="65">
        <f t="shared" si="1466"/>
        <v>0</v>
      </c>
      <c r="CG949" s="65">
        <f t="shared" si="1466"/>
        <v>0</v>
      </c>
      <c r="CH949" s="49">
        <f>+CF949+CG949</f>
        <v>0</v>
      </c>
      <c r="CJ949" s="65">
        <f t="shared" si="1467"/>
        <v>0</v>
      </c>
      <c r="CK949" s="65">
        <f t="shared" si="1467"/>
        <v>-77</v>
      </c>
      <c r="CL949" s="49">
        <f>+CJ949+CK949</f>
        <v>-77</v>
      </c>
      <c r="CN949" s="65">
        <f t="shared" si="1468"/>
        <v>0</v>
      </c>
      <c r="CO949" s="65">
        <f t="shared" si="1468"/>
        <v>0</v>
      </c>
      <c r="CP949" s="49">
        <f>+CN949+CO949</f>
        <v>0</v>
      </c>
      <c r="CR949" s="65">
        <f t="shared" si="1469"/>
        <v>0</v>
      </c>
      <c r="CS949" s="65">
        <f t="shared" si="1469"/>
        <v>0</v>
      </c>
      <c r="CT949" s="49">
        <f>+CR949+CS949</f>
        <v>0</v>
      </c>
      <c r="CV949" s="65">
        <f t="shared" ref="CV949:CW949" si="1497">CV891</f>
        <v>0</v>
      </c>
      <c r="CW949" s="65">
        <f t="shared" si="1497"/>
        <v>0</v>
      </c>
      <c r="CX949" s="49">
        <f>+CV949+CW949</f>
        <v>0</v>
      </c>
      <c r="CZ949" s="65">
        <f t="shared" ref="CZ949:DA949" si="1498">CZ891</f>
        <v>0</v>
      </c>
      <c r="DA949" s="65">
        <f t="shared" si="1498"/>
        <v>0</v>
      </c>
      <c r="DB949" s="49">
        <f>+CZ949+DA949</f>
        <v>0</v>
      </c>
      <c r="DD949" s="65">
        <f t="shared" ref="DD949:DE949" si="1499">DD891</f>
        <v>0</v>
      </c>
      <c r="DE949" s="65">
        <f t="shared" si="1499"/>
        <v>0</v>
      </c>
      <c r="DF949" s="49">
        <f>+DD949+DE949</f>
        <v>0</v>
      </c>
      <c r="DH949" s="65">
        <f t="shared" ref="DH949:DI949" si="1500">DH891</f>
        <v>0</v>
      </c>
      <c r="DI949" s="65">
        <f t="shared" si="1500"/>
        <v>0</v>
      </c>
      <c r="DJ949" s="49">
        <f t="shared" si="1480"/>
        <v>0</v>
      </c>
      <c r="DL949" s="65">
        <f t="shared" ref="DL949:DM949" si="1501">DL891</f>
        <v>0</v>
      </c>
      <c r="DM949" s="65">
        <f t="shared" si="1501"/>
        <v>0</v>
      </c>
      <c r="DN949" s="49">
        <f t="shared" si="1482"/>
        <v>0</v>
      </c>
      <c r="DP949" s="65">
        <f t="shared" ref="DP949:DQ949" si="1502">DP891</f>
        <v>0</v>
      </c>
      <c r="DQ949" s="65">
        <f t="shared" si="1502"/>
        <v>0</v>
      </c>
      <c r="DR949" s="49">
        <f t="shared" si="1484"/>
        <v>0</v>
      </c>
    </row>
    <row r="950" spans="1:128" s="21" customFormat="1" ht="13.8">
      <c r="A950" s="21" t="s">
        <v>1050</v>
      </c>
      <c r="B950" s="27"/>
      <c r="BH950" s="27"/>
      <c r="BI950" s="27"/>
      <c r="BJ950" s="27"/>
      <c r="BK950" s="27"/>
      <c r="BL950" s="27"/>
      <c r="BM950" s="27"/>
      <c r="BN950" s="27"/>
      <c r="BO950" s="27"/>
      <c r="BP950" s="1001"/>
      <c r="BQ950" s="1001"/>
      <c r="BR950" s="27"/>
      <c r="BT950" s="1001"/>
      <c r="BU950" s="1001"/>
      <c r="BV950" s="27"/>
      <c r="BW950" s="97"/>
      <c r="BX950" s="1001"/>
      <c r="BY950" s="1001"/>
      <c r="BZ950" s="27"/>
      <c r="CB950" s="1001"/>
      <c r="CC950" s="1001"/>
      <c r="CD950" s="27"/>
      <c r="CF950" s="72">
        <f>SUM(CF942:CF949)</f>
        <v>-102</v>
      </c>
      <c r="CG950" s="72">
        <f>SUM(CG942:CG949)</f>
        <v>-326</v>
      </c>
      <c r="CH950" s="27">
        <f>+CF950+CG950</f>
        <v>-428</v>
      </c>
      <c r="CJ950" s="72">
        <f>SUM(CJ942:CJ949)</f>
        <v>-127</v>
      </c>
      <c r="CK950" s="72">
        <f>SUM(CK942:CK949)</f>
        <v>-198</v>
      </c>
      <c r="CL950" s="27">
        <f>+CJ950+CK950</f>
        <v>-325</v>
      </c>
      <c r="CN950" s="72">
        <f>SUM(CN942:CN949)</f>
        <v>-209</v>
      </c>
      <c r="CO950" s="72">
        <f>SUM(CO942:CO949)</f>
        <v>-50</v>
      </c>
      <c r="CP950" s="27">
        <f>+CN950+CO950</f>
        <v>-259</v>
      </c>
      <c r="CR950" s="72">
        <f>SUM(CR942:CR949)</f>
        <v>-170</v>
      </c>
      <c r="CS950" s="72">
        <f>SUM(CS942:CS949)</f>
        <v>-72</v>
      </c>
      <c r="CT950" s="27">
        <f>+CR950+CS950</f>
        <v>-242</v>
      </c>
      <c r="CV950" s="72">
        <f>SUM(CV942:CV949)</f>
        <v>-103</v>
      </c>
      <c r="CW950" s="72">
        <f>SUM(CW942:CW949)</f>
        <v>-153</v>
      </c>
      <c r="CX950" s="27">
        <f>+CV950+CW950</f>
        <v>-256</v>
      </c>
      <c r="CZ950" s="72">
        <f>SUM(CZ942:CZ949)</f>
        <v>-21</v>
      </c>
      <c r="DA950" s="72">
        <f>SUM(DA942:DA949)</f>
        <v>0</v>
      </c>
      <c r="DB950" s="27">
        <f>+CZ950+DA950</f>
        <v>-21</v>
      </c>
      <c r="DD950" s="72">
        <f>SUM(DD942:DD949)</f>
        <v>0</v>
      </c>
      <c r="DE950" s="72">
        <f>SUM(DE942:DE949)</f>
        <v>-446</v>
      </c>
      <c r="DF950" s="27">
        <f>+DD950+DE950</f>
        <v>-446</v>
      </c>
      <c r="DH950" s="72">
        <f t="shared" ref="DH950:DI950" si="1503">SUM(DH942:DH949)</f>
        <v>0</v>
      </c>
      <c r="DI950" s="72">
        <f t="shared" si="1503"/>
        <v>0</v>
      </c>
      <c r="DJ950" s="27">
        <f t="shared" si="1480"/>
        <v>0</v>
      </c>
      <c r="DL950" s="72">
        <f t="shared" ref="DL950:DM950" si="1504">SUM(DL942:DL949)</f>
        <v>0</v>
      </c>
      <c r="DM950" s="72">
        <f t="shared" si="1504"/>
        <v>0</v>
      </c>
      <c r="DN950" s="27">
        <f t="shared" si="1482"/>
        <v>0</v>
      </c>
      <c r="DP950" s="72">
        <f t="shared" ref="DP950:DQ950" si="1505">SUM(DP942:DP949)</f>
        <v>0</v>
      </c>
      <c r="DQ950" s="72">
        <f t="shared" si="1505"/>
        <v>0</v>
      </c>
      <c r="DR950" s="27">
        <f t="shared" si="1484"/>
        <v>0</v>
      </c>
    </row>
    <row r="951" spans="1:128" s="20" customFormat="1" ht="13.8">
      <c r="A951" s="20" t="s">
        <v>789</v>
      </c>
      <c r="B951" s="49"/>
      <c r="BH951" s="65">
        <f>BH952-BH942-BH944-BH943-BH945-BH946-BH947-BH948-BH949</f>
        <v>-723</v>
      </c>
      <c r="BI951" s="65">
        <f>BI952-BI942-BI944-BI943-BI945-BI946-BI947-BI948-BI949</f>
        <v>-794</v>
      </c>
      <c r="BJ951" s="65">
        <f>+BI951+BH951</f>
        <v>-1517</v>
      </c>
      <c r="BK951" s="65"/>
      <c r="BL951" s="65">
        <f>BL952-BL942-BL944-BL943-BL945-BL946-BL947-BL948-BL949</f>
        <v>-708</v>
      </c>
      <c r="BM951" s="65">
        <f>BM952-BM942-BM944-BM943-BM945-BM946-BM947-BM948-BM949</f>
        <v>-810</v>
      </c>
      <c r="BN951" s="65">
        <f>+BM951+BL951</f>
        <v>-1518</v>
      </c>
      <c r="BO951" s="65"/>
      <c r="BP951" s="65">
        <f>BP952-BP942-BP944-BP943-BP945-BP946-BP947-BP948-BP949</f>
        <v>-701</v>
      </c>
      <c r="BQ951" s="65">
        <f>BQ952-BQ942-BQ944-BQ943-BQ945-BQ946-BQ947-BQ948-BQ949</f>
        <v>-740</v>
      </c>
      <c r="BR951" s="65">
        <f>+BQ951+BP951</f>
        <v>-1441</v>
      </c>
      <c r="BT951" s="65">
        <f>BT952-BT942-BT944-BT943-BT945-BT946-BT947-BT948-BT949</f>
        <v>-747</v>
      </c>
      <c r="BU951" s="65">
        <f>BU952-BU942-BU944-BU943-BU945-BU946-BU947-BU948-BU949</f>
        <v>-761</v>
      </c>
      <c r="BV951" s="65">
        <f>+BU951+BT951</f>
        <v>-1508</v>
      </c>
      <c r="BX951" s="65">
        <f>BX952-BX942-BX944-BX943-BX945-BX946-BX947-BX948-BX949</f>
        <v>-701</v>
      </c>
      <c r="BY951" s="65">
        <f>BY952-BY942-BY944-BY943-BY945-BY946-BY947-BY948-BY949</f>
        <v>-733</v>
      </c>
      <c r="BZ951" s="65">
        <f>+BY951+BX951</f>
        <v>-1434</v>
      </c>
      <c r="CA951" s="75">
        <f>+BZ951/BV951-1</f>
        <v>-4.9071618037135334E-2</v>
      </c>
      <c r="CB951" s="65">
        <f>CB952-CB942-CB944-CB943-CB945-CB946-CB947-CB948-CB949</f>
        <v>-672</v>
      </c>
      <c r="CC951" s="65">
        <f>CC952-CC942-CC944-CC943-CC945-CC946-CC947-CC948-CC949</f>
        <v>-674</v>
      </c>
      <c r="CD951" s="65">
        <f>+CC951+CB951</f>
        <v>-1346</v>
      </c>
      <c r="CE951" s="75">
        <f>+CD951/BZ951-1</f>
        <v>-6.1366806136680663E-2</v>
      </c>
      <c r="CF951" s="65">
        <f>CF854</f>
        <v>-723</v>
      </c>
      <c r="CG951" s="65">
        <f>CG854</f>
        <v>-826</v>
      </c>
      <c r="CH951" s="65">
        <f>+CG951+CF951</f>
        <v>-1549</v>
      </c>
      <c r="CI951" s="75">
        <f>+CH951/CD951-1</f>
        <v>0.15081723625557197</v>
      </c>
      <c r="CJ951" s="65">
        <f>CJ854</f>
        <v>-769</v>
      </c>
      <c r="CK951" s="65">
        <f>CK854</f>
        <v>-798</v>
      </c>
      <c r="CL951" s="65">
        <f>+CK951+CJ951</f>
        <v>-1567</v>
      </c>
      <c r="CM951" s="75">
        <f>+CL951/CH951-1</f>
        <v>1.1620400258231189E-2</v>
      </c>
      <c r="CN951" s="65">
        <f>CN854</f>
        <v>-689</v>
      </c>
      <c r="CO951" s="65">
        <f>CO854</f>
        <v>-864</v>
      </c>
      <c r="CP951" s="65">
        <f>+CO951+CN951</f>
        <v>-1553</v>
      </c>
      <c r="CQ951" s="75">
        <f>+CP951/CL951-1</f>
        <v>-8.9342693044033306E-3</v>
      </c>
      <c r="CR951" s="65">
        <f>CR854</f>
        <v>-811</v>
      </c>
      <c r="CS951" s="65">
        <f>CS854</f>
        <v>-888</v>
      </c>
      <c r="CT951" s="65">
        <f>+CS951+CR951</f>
        <v>-1699</v>
      </c>
      <c r="CU951" s="96">
        <f>+CT951/CP951-1</f>
        <v>9.4011590470058026E-2</v>
      </c>
      <c r="CV951" s="65">
        <f>CV854</f>
        <v>-831</v>
      </c>
      <c r="CW951" s="65">
        <f>CW854</f>
        <v>-932</v>
      </c>
      <c r="CX951" s="65">
        <f>+CW951+CV951</f>
        <v>-1763</v>
      </c>
      <c r="CY951" s="96">
        <f>+CX951/CT951-1</f>
        <v>3.766921718658045E-2</v>
      </c>
      <c r="CZ951" s="65">
        <f>CZ854</f>
        <v>-913</v>
      </c>
      <c r="DA951" s="65">
        <f>DA854</f>
        <v>-1055</v>
      </c>
      <c r="DB951" s="65">
        <f>+DA951+CZ951</f>
        <v>-1968</v>
      </c>
      <c r="DC951" s="96">
        <f>+DB951/CX951-1</f>
        <v>0.11627906976744184</v>
      </c>
      <c r="DD951" s="65">
        <f>DD854</f>
        <v>-1025</v>
      </c>
      <c r="DE951" s="65">
        <f>DE854</f>
        <v>-1701</v>
      </c>
      <c r="DF951" s="65">
        <f>+DE951+DD951</f>
        <v>-2726</v>
      </c>
      <c r="DG951" s="75">
        <f>+DF951/DB951-1</f>
        <v>0.38516260162601634</v>
      </c>
      <c r="DH951" s="65">
        <f>+DE951*(1+DH955)</f>
        <v>-1547.91</v>
      </c>
      <c r="DI951" s="65">
        <f t="shared" ref="DI951" si="1506">+DH951*(1+DI955)</f>
        <v>-1461.22704</v>
      </c>
      <c r="DJ951" s="65">
        <f t="shared" si="1480"/>
        <v>-3009.1370400000001</v>
      </c>
      <c r="DK951" s="75">
        <f>+DJ951/DF951-1</f>
        <v>0.10386538517975064</v>
      </c>
      <c r="DL951" s="65">
        <f>+DI951*(1+DL955)</f>
        <v>-1512.3699863999998</v>
      </c>
      <c r="DM951" s="65">
        <f t="shared" ref="DM951" si="1507">+DL951*(1+DM955)</f>
        <v>-1587.9884857199997</v>
      </c>
      <c r="DN951" s="65">
        <f t="shared" si="1482"/>
        <v>-3100.3584721199995</v>
      </c>
      <c r="DO951" s="75">
        <f>+DN951/DJ951-1</f>
        <v>3.0314814814814683E-2</v>
      </c>
      <c r="DP951" s="65">
        <f>+DM951*(1+DP955)</f>
        <v>-1643.5680827201995</v>
      </c>
      <c r="DQ951" s="65">
        <f t="shared" ref="DQ951" si="1508">+DP951*(1+DQ955)</f>
        <v>-1660.0037635474016</v>
      </c>
      <c r="DR951" s="65">
        <f t="shared" si="1484"/>
        <v>-3303.5718462676014</v>
      </c>
      <c r="DS951" s="75">
        <f>+DR951/DN951-1</f>
        <v>6.5545121951219532E-2</v>
      </c>
      <c r="DT951" s="75"/>
      <c r="DU951" s="75"/>
      <c r="DX951" s="431"/>
    </row>
    <row r="952" spans="1:128" s="21" customFormat="1" ht="13.8">
      <c r="A952" s="21" t="s">
        <v>116</v>
      </c>
      <c r="B952" s="27"/>
      <c r="BH952" s="72">
        <f>BH843</f>
        <v>-723</v>
      </c>
      <c r="BI952" s="72">
        <f>BI843</f>
        <v>-794</v>
      </c>
      <c r="BJ952" s="72">
        <f>+BH952+BI952</f>
        <v>-1517</v>
      </c>
      <c r="BK952" s="27"/>
      <c r="BL952" s="72">
        <f>BL843</f>
        <v>-708</v>
      </c>
      <c r="BM952" s="72">
        <f>BM843</f>
        <v>-810</v>
      </c>
      <c r="BN952" s="72">
        <f>+BL952+BM952</f>
        <v>-1518</v>
      </c>
      <c r="BO952" s="27"/>
      <c r="BP952" s="72">
        <f>BP843</f>
        <v>-732</v>
      </c>
      <c r="BQ952" s="72">
        <f>BQ843</f>
        <v>-783</v>
      </c>
      <c r="BR952" s="72">
        <f>+BP952+BQ952</f>
        <v>-1515</v>
      </c>
      <c r="BS952" s="79">
        <f>+BR952/BN952-1</f>
        <v>-1.9762845849802257E-3</v>
      </c>
      <c r="BT952" s="72">
        <f>BT843</f>
        <v>-896</v>
      </c>
      <c r="BU952" s="72">
        <f>BU843</f>
        <v>-907</v>
      </c>
      <c r="BV952" s="72">
        <f>+BT952+BU952</f>
        <v>-1803</v>
      </c>
      <c r="BW952" s="79">
        <f>+BV952/BR952-1</f>
        <v>0.19009900990099005</v>
      </c>
      <c r="BX952" s="72">
        <f>BX843</f>
        <v>-737</v>
      </c>
      <c r="BY952" s="72">
        <f>BY843</f>
        <v>-842</v>
      </c>
      <c r="BZ952" s="72">
        <f>+BX952+BY952</f>
        <v>-1579</v>
      </c>
      <c r="CA952" s="79">
        <f>+BZ952/BV952-1</f>
        <v>-0.12423738214087632</v>
      </c>
      <c r="CB952" s="72">
        <f>CB843</f>
        <v>-861</v>
      </c>
      <c r="CC952" s="72">
        <f>CC843</f>
        <v>-1072</v>
      </c>
      <c r="CD952" s="72">
        <f>+CB952+CC952</f>
        <v>-1933</v>
      </c>
      <c r="CE952" s="79">
        <f>+CD952/BZ952-1</f>
        <v>0.22419252691576941</v>
      </c>
      <c r="CF952" s="72">
        <f>CF843</f>
        <v>-825</v>
      </c>
      <c r="CG952" s="72">
        <f>CG843</f>
        <v>-1152</v>
      </c>
      <c r="CH952" s="72">
        <f>+CF952+CG952</f>
        <v>-1977</v>
      </c>
      <c r="CI952" s="79">
        <f>+CH952/CD952-1</f>
        <v>2.2762545266425294E-2</v>
      </c>
      <c r="CJ952" s="72">
        <f>CJ843</f>
        <v>-896</v>
      </c>
      <c r="CK952" s="72">
        <f>CK843</f>
        <v>-996</v>
      </c>
      <c r="CL952" s="72">
        <f>+CJ952+CK952</f>
        <v>-1892</v>
      </c>
      <c r="CM952" s="79">
        <f>+CL952/CH952-1</f>
        <v>-4.2994436014162862E-2</v>
      </c>
      <c r="CN952" s="72">
        <f>CN843</f>
        <v>-898</v>
      </c>
      <c r="CO952" s="72">
        <f>CO843</f>
        <v>-914</v>
      </c>
      <c r="CP952" s="72">
        <f>+CN952+CO952</f>
        <v>-1812</v>
      </c>
      <c r="CQ952" s="79">
        <f>+CP952/CL952-1</f>
        <v>-4.228329809725162E-2</v>
      </c>
      <c r="CR952" s="72">
        <f>CR843</f>
        <v>-981</v>
      </c>
      <c r="CS952" s="72">
        <f>CS843</f>
        <v>-960</v>
      </c>
      <c r="CT952" s="72">
        <f>+CR952+CS952</f>
        <v>-1941</v>
      </c>
      <c r="CU952" s="97">
        <f>+CT952/CP952-1</f>
        <v>7.1192052980132425E-2</v>
      </c>
      <c r="CV952" s="72">
        <f>CV843</f>
        <v>-934</v>
      </c>
      <c r="CW952" s="72">
        <f>CW843</f>
        <v>-1085</v>
      </c>
      <c r="CX952" s="72">
        <f>+CV952+CW952</f>
        <v>-2019</v>
      </c>
      <c r="CY952" s="97">
        <f>+CX952/CT952-1</f>
        <v>4.0185471406491535E-2</v>
      </c>
      <c r="CZ952" s="72">
        <f>CZ843</f>
        <v>-934</v>
      </c>
      <c r="DA952" s="72">
        <f>DA843</f>
        <v>-1055</v>
      </c>
      <c r="DB952" s="72">
        <f>+CZ952+DA952</f>
        <v>-1989</v>
      </c>
      <c r="DC952" s="97">
        <f>+DB952/CX952-1</f>
        <v>-1.4858841010401136E-2</v>
      </c>
      <c r="DD952" s="72">
        <f>DD843</f>
        <v>-1025</v>
      </c>
      <c r="DE952" s="72">
        <f>DE843</f>
        <v>-2147</v>
      </c>
      <c r="DF952" s="72">
        <f>+DD952+DE952</f>
        <v>-3172</v>
      </c>
      <c r="DG952" s="79">
        <f>+DF952/DB952-1</f>
        <v>0.59477124183006547</v>
      </c>
      <c r="DH952" s="104">
        <f t="shared" ref="DH952" si="1509">SUM(DH950:DH951)</f>
        <v>-1547.91</v>
      </c>
      <c r="DI952" s="104">
        <f t="shared" ref="DI952" si="1510">SUM(DI950:DI951)</f>
        <v>-1461.22704</v>
      </c>
      <c r="DJ952" s="104">
        <f>SUM(DJ942:DJ951)</f>
        <v>-3009.1370400000001</v>
      </c>
      <c r="DK952" s="79">
        <f>+DJ952/DF952-1</f>
        <v>-5.1343934426229532E-2</v>
      </c>
      <c r="DL952" s="104">
        <f t="shared" ref="DL952" si="1511">SUM(DL950:DL951)</f>
        <v>-1512.3699863999998</v>
      </c>
      <c r="DM952" s="104">
        <f t="shared" ref="DM952" si="1512">SUM(DM950:DM951)</f>
        <v>-1587.9884857199997</v>
      </c>
      <c r="DN952" s="104">
        <f>SUM(DN942:DN951)</f>
        <v>-3100.3584721199995</v>
      </c>
      <c r="DO952" s="79">
        <f>+DN952/DJ952-1</f>
        <v>3.0314814814814683E-2</v>
      </c>
      <c r="DP952" s="104">
        <f t="shared" ref="DP952" si="1513">SUM(DP950:DP951)</f>
        <v>-1643.5680827201995</v>
      </c>
      <c r="DQ952" s="104">
        <f t="shared" ref="DQ952" si="1514">SUM(DQ950:DQ951)</f>
        <v>-1660.0037635474016</v>
      </c>
      <c r="DR952" s="104">
        <f>SUM(DR942:DR951)</f>
        <v>-3303.5718462676014</v>
      </c>
      <c r="DS952" s="79">
        <f>+DR952/DN952-1</f>
        <v>6.5545121951219532E-2</v>
      </c>
      <c r="DT952" s="79"/>
      <c r="DU952" s="79"/>
      <c r="DV952" s="79"/>
      <c r="DW952" s="20"/>
      <c r="DX952" s="431"/>
    </row>
    <row r="953" spans="1:128" s="733" customFormat="1" ht="13.8">
      <c r="A953" s="733" t="s">
        <v>293</v>
      </c>
      <c r="B953" s="997"/>
      <c r="BH953" s="608"/>
      <c r="BI953" s="608"/>
      <c r="BJ953" s="608"/>
      <c r="BK953" s="997"/>
      <c r="BL953" s="608"/>
      <c r="BM953" s="608"/>
      <c r="BN953" s="608"/>
      <c r="BO953" s="997"/>
      <c r="BP953" s="608"/>
      <c r="BQ953" s="608"/>
      <c r="BR953" s="608"/>
      <c r="BS953" s="989"/>
      <c r="BT953" s="608"/>
      <c r="BU953" s="608"/>
      <c r="BV953" s="608"/>
      <c r="BW953" s="989"/>
      <c r="BX953" s="608"/>
      <c r="BY953" s="608"/>
      <c r="BZ953" s="608"/>
      <c r="CA953" s="989"/>
      <c r="CB953" s="608"/>
      <c r="CC953" s="608"/>
      <c r="CD953" s="608"/>
      <c r="CE953" s="989"/>
      <c r="CF953" s="608">
        <f t="shared" ref="CF953:CG953" si="1515">CF950+CF951</f>
        <v>-825</v>
      </c>
      <c r="CG953" s="608">
        <f t="shared" si="1515"/>
        <v>-1152</v>
      </c>
      <c r="CH953" s="608"/>
      <c r="CI953" s="1002"/>
      <c r="CJ953" s="608">
        <f>CJ950+CJ951</f>
        <v>-896</v>
      </c>
      <c r="CK953" s="608">
        <f>CK950+CK951</f>
        <v>-996</v>
      </c>
      <c r="CL953" s="608">
        <f>CL950+CL951</f>
        <v>-1892</v>
      </c>
      <c r="CM953" s="989"/>
      <c r="CN953" s="608">
        <f>CN950+CN951</f>
        <v>-898</v>
      </c>
      <c r="CO953" s="608">
        <f>CO950+CO951</f>
        <v>-914</v>
      </c>
      <c r="CP953" s="608">
        <f>CP950+CP951</f>
        <v>-1812</v>
      </c>
      <c r="CQ953" s="989"/>
      <c r="CR953" s="608">
        <f>CR950+CR951</f>
        <v>-981</v>
      </c>
      <c r="CS953" s="608">
        <f>CS950+CS951</f>
        <v>-960</v>
      </c>
      <c r="CT953" s="608">
        <f>CT950+CT951</f>
        <v>-1941</v>
      </c>
      <c r="CU953" s="989"/>
      <c r="CV953" s="608">
        <f>CV950+CV951</f>
        <v>-934</v>
      </c>
      <c r="CW953" s="608">
        <f>CW950+CW951</f>
        <v>-1085</v>
      </c>
      <c r="CX953" s="608">
        <f>CX950+CX951</f>
        <v>-2019</v>
      </c>
      <c r="CY953" s="989"/>
      <c r="CZ953" s="608">
        <f>CZ950+CZ951</f>
        <v>-934</v>
      </c>
      <c r="DA953" s="608">
        <f>DA950+DA951</f>
        <v>-1055</v>
      </c>
      <c r="DB953" s="608">
        <f>DB950+DB951</f>
        <v>-1989</v>
      </c>
      <c r="DC953" s="989"/>
      <c r="DD953" s="608">
        <f>DD950+DD951</f>
        <v>-1025</v>
      </c>
      <c r="DE953" s="608">
        <f>DE950+DE951</f>
        <v>-2147</v>
      </c>
      <c r="DF953" s="608">
        <f>DF950+DF951</f>
        <v>-3172</v>
      </c>
      <c r="DG953" s="989"/>
      <c r="DH953" s="608"/>
      <c r="DI953" s="608"/>
      <c r="DJ953" s="608"/>
      <c r="DK953" s="989"/>
      <c r="DL953" s="608"/>
      <c r="DM953" s="608"/>
      <c r="DN953" s="608"/>
      <c r="DO953" s="989"/>
      <c r="DP953" s="608"/>
      <c r="DQ953" s="608"/>
      <c r="DR953" s="608"/>
      <c r="DS953" s="989"/>
      <c r="DT953" s="989"/>
      <c r="DU953" s="989"/>
      <c r="DV953" s="989"/>
      <c r="DX953" s="960"/>
    </row>
    <row r="954" spans="1:128" s="21" customFormat="1" ht="13.8">
      <c r="A954" s="78" t="s">
        <v>217</v>
      </c>
      <c r="B954" s="27"/>
      <c r="BH954" s="72"/>
      <c r="BI954" s="72"/>
      <c r="BJ954" s="72"/>
      <c r="BK954" s="27"/>
      <c r="BL954" s="72"/>
      <c r="BM954" s="72"/>
      <c r="BN954" s="72"/>
      <c r="BO954" s="27"/>
      <c r="BP954" s="72"/>
      <c r="BQ954" s="72"/>
      <c r="BR954" s="72"/>
      <c r="BS954" s="79"/>
      <c r="BT954" s="600"/>
      <c r="BU954" s="72"/>
      <c r="BV954" s="72"/>
      <c r="BW954" s="601"/>
      <c r="BX954" s="600"/>
      <c r="BY954" s="72"/>
      <c r="BZ954" s="72"/>
      <c r="CA954" s="601"/>
      <c r="CB954" s="600"/>
      <c r="CC954" s="72"/>
      <c r="CD954" s="72"/>
      <c r="CE954" s="601"/>
      <c r="CF954" s="600"/>
      <c r="CG954" s="72"/>
      <c r="CH954" s="72"/>
      <c r="CI954" s="601"/>
      <c r="CJ954" s="600"/>
      <c r="CK954" s="72"/>
      <c r="CL954" s="72"/>
      <c r="CM954" s="601"/>
      <c r="CN954" s="600"/>
      <c r="CO954" s="72"/>
      <c r="CP954" s="72"/>
      <c r="CQ954" s="601"/>
      <c r="CR954" s="600"/>
      <c r="CS954" s="72"/>
      <c r="CT954" s="72"/>
      <c r="CU954" s="601"/>
      <c r="CV954" s="600"/>
      <c r="CW954" s="72"/>
      <c r="CX954" s="72"/>
      <c r="CY954" s="601"/>
      <c r="CZ954" s="600"/>
      <c r="DA954" s="72"/>
      <c r="DB954" s="72"/>
      <c r="DC954" s="601"/>
      <c r="DD954" s="600"/>
      <c r="DE954" s="72"/>
      <c r="DF954" s="72"/>
      <c r="DG954" s="600"/>
      <c r="DH954" s="600"/>
      <c r="DI954" s="600"/>
      <c r="DJ954" s="600"/>
      <c r="DK954" s="601"/>
      <c r="DL954" s="600"/>
      <c r="DM954" s="600"/>
      <c r="DN954" s="600"/>
      <c r="DO954" s="601"/>
      <c r="DP954" s="600"/>
      <c r="DQ954" s="600"/>
      <c r="DR954" s="600"/>
      <c r="DS954" s="601"/>
      <c r="DT954" s="601"/>
      <c r="DU954" s="601"/>
      <c r="DV954" s="601"/>
      <c r="DW954" s="20"/>
      <c r="DX954" s="431"/>
    </row>
    <row r="955" spans="1:128" s="21" customFormat="1" ht="13.8">
      <c r="A955" s="335" t="str">
        <f>A951</f>
        <v>Underlying Expenses</v>
      </c>
      <c r="B955" s="94"/>
      <c r="C955" s="93"/>
      <c r="D955" s="93"/>
      <c r="E955" s="93"/>
      <c r="F955" s="93"/>
      <c r="G955" s="93"/>
      <c r="H955" s="93"/>
      <c r="I955" s="93"/>
      <c r="J955" s="93"/>
      <c r="K955" s="93"/>
      <c r="L955" s="93"/>
      <c r="M955" s="93"/>
      <c r="N955" s="93"/>
      <c r="O955" s="93"/>
      <c r="P955" s="93"/>
      <c r="Q955" s="93"/>
      <c r="R955" s="93"/>
      <c r="S955" s="93"/>
      <c r="T955" s="93"/>
      <c r="U955" s="93"/>
      <c r="V955" s="93"/>
      <c r="W955" s="93"/>
      <c r="X955" s="93"/>
      <c r="Y955" s="93"/>
      <c r="Z955" s="93"/>
      <c r="AA955" s="93"/>
      <c r="AB955" s="93"/>
      <c r="AC955" s="93"/>
      <c r="AD955" s="93"/>
      <c r="AE955" s="93"/>
      <c r="AF955" s="93"/>
      <c r="AG955" s="93"/>
      <c r="AH955" s="93"/>
      <c r="AI955" s="93"/>
      <c r="AJ955" s="93"/>
      <c r="AK955" s="93"/>
      <c r="AL955" s="93"/>
      <c r="AM955" s="93"/>
      <c r="AN955" s="93"/>
      <c r="AO955" s="93"/>
      <c r="AP955" s="93"/>
      <c r="AQ955" s="93"/>
      <c r="AR955" s="93"/>
      <c r="AS955" s="93"/>
      <c r="AT955" s="93"/>
      <c r="AU955" s="93"/>
      <c r="AV955" s="93"/>
      <c r="AW955" s="93"/>
      <c r="AX955" s="93"/>
      <c r="AY955" s="93"/>
      <c r="AZ955" s="93"/>
      <c r="BA955" s="93"/>
      <c r="BB955" s="93"/>
      <c r="BC955" s="93"/>
      <c r="BD955" s="93"/>
      <c r="BE955" s="93"/>
      <c r="BF955" s="93"/>
      <c r="BG955" s="93"/>
      <c r="BH955" s="379"/>
      <c r="BI955" s="379">
        <f>+BI951/BH951-1</f>
        <v>9.820193637621033E-2</v>
      </c>
      <c r="BJ955" s="378"/>
      <c r="BK955" s="94"/>
      <c r="BL955" s="379">
        <f>+BL951/BI951-1</f>
        <v>-0.10831234256926947</v>
      </c>
      <c r="BM955" s="379">
        <f>+BM951/BL951-1</f>
        <v>0.14406779661016955</v>
      </c>
      <c r="BN955" s="378"/>
      <c r="BO955" s="94"/>
      <c r="BP955" s="379">
        <f>+BP951/BM951-1</f>
        <v>-0.13456790123456785</v>
      </c>
      <c r="BQ955" s="379">
        <f>+BQ951/BP951-1</f>
        <v>5.5634807417974219E-2</v>
      </c>
      <c r="BR955" s="378"/>
      <c r="BS955" s="325"/>
      <c r="BT955" s="379">
        <f>+BT951/BQ951-1</f>
        <v>9.4594594594594739E-3</v>
      </c>
      <c r="BU955" s="379">
        <f>+BU951/BT951-1</f>
        <v>1.8741633199464536E-2</v>
      </c>
      <c r="BV955" s="378"/>
      <c r="BW955" s="325"/>
      <c r="BX955" s="379">
        <f>+BX951/BU951-1</f>
        <v>-7.88436268068331E-2</v>
      </c>
      <c r="BY955" s="379">
        <f>+BY951/BX951-1</f>
        <v>4.564907275320973E-2</v>
      </c>
      <c r="BZ955" s="378"/>
      <c r="CA955" s="325"/>
      <c r="CB955" s="379">
        <f>+CB951/BY951-1</f>
        <v>-8.3219645293315159E-2</v>
      </c>
      <c r="CC955" s="379">
        <f>+CC951/CB951-1</f>
        <v>2.9761904761904656E-3</v>
      </c>
      <c r="CD955" s="378"/>
      <c r="CE955" s="325"/>
      <c r="CF955" s="379">
        <f>+CF951/CC951-1</f>
        <v>7.2700296735904946E-2</v>
      </c>
      <c r="CG955" s="379">
        <f>+CG951/CF951-1</f>
        <v>0.14246196403872746</v>
      </c>
      <c r="CH955" s="378"/>
      <c r="CI955" s="325"/>
      <c r="CJ955" s="379">
        <f>+CJ951/CG951-1</f>
        <v>-6.9007263922518214E-2</v>
      </c>
      <c r="CK955" s="379">
        <f>+CK951/CJ951-1</f>
        <v>3.771131339401812E-2</v>
      </c>
      <c r="CL955" s="378"/>
      <c r="CM955" s="325"/>
      <c r="CN955" s="379">
        <f>+CN951/CK951-1</f>
        <v>-0.13659147869674182</v>
      </c>
      <c r="CO955" s="379">
        <f>+CO951/CN951-1</f>
        <v>0.25399129172714074</v>
      </c>
      <c r="CP955" s="378"/>
      <c r="CQ955" s="325"/>
      <c r="CR955" s="379">
        <f>+CR951/CO951-1</f>
        <v>-6.134259259259256E-2</v>
      </c>
      <c r="CS955" s="379">
        <f>+CS951/CR951-1</f>
        <v>9.4944512946979032E-2</v>
      </c>
      <c r="CT955" s="378"/>
      <c r="CU955" s="325"/>
      <c r="CV955" s="379">
        <f>+CV951/CS951-1</f>
        <v>-6.4189189189189144E-2</v>
      </c>
      <c r="CW955" s="379">
        <f>+CW951/CV951-1</f>
        <v>0.12154031287605305</v>
      </c>
      <c r="CX955" s="378"/>
      <c r="CY955" s="325"/>
      <c r="CZ955" s="379">
        <f>+CZ951/CW951-1</f>
        <v>-2.0386266094420624E-2</v>
      </c>
      <c r="DA955" s="379">
        <f>+DA951/CZ951-1</f>
        <v>0.15553121577217954</v>
      </c>
      <c r="DB955" s="378"/>
      <c r="DC955" s="325"/>
      <c r="DD955" s="379">
        <f>+DD951/DA951-1</f>
        <v>-2.8436018957345932E-2</v>
      </c>
      <c r="DE955" s="379">
        <f>+DE951/DD951-1</f>
        <v>0.65951219512195114</v>
      </c>
      <c r="DF955" s="378"/>
      <c r="DG955" s="325"/>
      <c r="DH955" s="1294">
        <f>-3%-6%</f>
        <v>-0.09</v>
      </c>
      <c r="DI955" s="1294">
        <f>1%-6.6%</f>
        <v>-5.6000000000000001E-2</v>
      </c>
      <c r="DJ955" s="575"/>
      <c r="DK955" s="533"/>
      <c r="DL955" s="1294">
        <f>1%+2.5%</f>
        <v>3.5000000000000003E-2</v>
      </c>
      <c r="DM955" s="1294">
        <f>1%+4%</f>
        <v>0.05</v>
      </c>
      <c r="DN955" s="575"/>
      <c r="DO955" s="325"/>
      <c r="DP955" s="1294">
        <f>1%+2.5%</f>
        <v>3.5000000000000003E-2</v>
      </c>
      <c r="DQ955" s="346">
        <v>0.01</v>
      </c>
      <c r="DR955" s="336"/>
      <c r="DS955" s="325"/>
      <c r="DT955" s="325"/>
      <c r="DU955" s="325"/>
      <c r="DV955" s="325"/>
      <c r="DW955" s="20"/>
      <c r="DX955" s="431"/>
    </row>
    <row r="956" spans="1:128" s="21" customFormat="1" ht="13.8">
      <c r="A956" s="78" t="s">
        <v>116</v>
      </c>
      <c r="B956" s="95"/>
      <c r="C956" s="78"/>
      <c r="D956" s="78"/>
      <c r="E956" s="78"/>
      <c r="F956" s="78"/>
      <c r="G956" s="78"/>
      <c r="H956" s="78"/>
      <c r="I956" s="78"/>
      <c r="J956" s="78"/>
      <c r="K956" s="78"/>
      <c r="L956" s="78"/>
      <c r="M956" s="78"/>
      <c r="N956" s="78"/>
      <c r="O956" s="78"/>
      <c r="P956" s="78"/>
      <c r="Q956" s="78"/>
      <c r="R956" s="78"/>
      <c r="S956" s="78"/>
      <c r="T956" s="78"/>
      <c r="U956" s="78"/>
      <c r="V956" s="78"/>
      <c r="W956" s="78"/>
      <c r="X956" s="78"/>
      <c r="Y956" s="78"/>
      <c r="Z956" s="78"/>
      <c r="AA956" s="78"/>
      <c r="AB956" s="78"/>
      <c r="AC956" s="78"/>
      <c r="AD956" s="78"/>
      <c r="AE956" s="78"/>
      <c r="AF956" s="78"/>
      <c r="AG956" s="78"/>
      <c r="AH956" s="78"/>
      <c r="AI956" s="78"/>
      <c r="AJ956" s="78"/>
      <c r="AK956" s="78"/>
      <c r="AL956" s="78"/>
      <c r="AM956" s="78"/>
      <c r="AN956" s="78"/>
      <c r="AO956" s="78"/>
      <c r="AP956" s="78"/>
      <c r="AQ956" s="78"/>
      <c r="AR956" s="78"/>
      <c r="AS956" s="78"/>
      <c r="AT956" s="78"/>
      <c r="AU956" s="78"/>
      <c r="AV956" s="78"/>
      <c r="AW956" s="78"/>
      <c r="AX956" s="78"/>
      <c r="AY956" s="78"/>
      <c r="AZ956" s="78"/>
      <c r="BA956" s="78"/>
      <c r="BB956" s="78"/>
      <c r="BC956" s="78"/>
      <c r="BD956" s="78"/>
      <c r="BE956" s="78"/>
      <c r="BF956" s="78"/>
      <c r="BG956" s="78"/>
      <c r="BH956" s="382"/>
      <c r="BI956" s="382">
        <f>+BI952/BH952-1</f>
        <v>9.820193637621033E-2</v>
      </c>
      <c r="BJ956" s="383"/>
      <c r="BK956" s="95"/>
      <c r="BL956" s="382">
        <f>+BL952/BI952-1</f>
        <v>-0.10831234256926947</v>
      </c>
      <c r="BM956" s="382">
        <f>+BM952/BL952-1</f>
        <v>0.14406779661016955</v>
      </c>
      <c r="BN956" s="383"/>
      <c r="BO956" s="95"/>
      <c r="BP956" s="382">
        <f>+BP952/BM952-1</f>
        <v>-9.6296296296296324E-2</v>
      </c>
      <c r="BQ956" s="382">
        <f>+BQ952/BP952-1</f>
        <v>6.9672131147541005E-2</v>
      </c>
      <c r="BR956" s="383"/>
      <c r="BT956" s="382">
        <f>+BT952/BQ952-1</f>
        <v>0.14431673052362703</v>
      </c>
      <c r="BU956" s="382">
        <f>+BU952/BT952-1</f>
        <v>1.2276785714285809E-2</v>
      </c>
      <c r="BV956" s="383"/>
      <c r="BX956" s="382">
        <f>+BX952/BU952-1</f>
        <v>-0.1874310915104741</v>
      </c>
      <c r="BY956" s="382">
        <f>+BY952/BX952-1</f>
        <v>0.14246947082767969</v>
      </c>
      <c r="BZ956" s="383"/>
      <c r="CB956" s="382">
        <f>+CB952/BY952-1</f>
        <v>2.25653206650831E-2</v>
      </c>
      <c r="CC956" s="382">
        <f>+CC952/CB952-1</f>
        <v>0.24506387921022066</v>
      </c>
      <c r="CD956" s="383"/>
      <c r="CF956" s="382">
        <f>+CF952/CC952-1</f>
        <v>-0.23041044776119401</v>
      </c>
      <c r="CG956" s="382">
        <f>+CG952/CF952-1</f>
        <v>0.39636363636363647</v>
      </c>
      <c r="CH956" s="383"/>
      <c r="CJ956" s="382">
        <f>+CJ952/CG952-1</f>
        <v>-0.22222222222222221</v>
      </c>
      <c r="CK956" s="382">
        <f>+CK952/CJ952-1</f>
        <v>0.11160714285714279</v>
      </c>
      <c r="CL956" s="383"/>
      <c r="CN956" s="382">
        <f>+CN952/CK952-1</f>
        <v>-9.8393574297188757E-2</v>
      </c>
      <c r="CO956" s="382">
        <f>+CO952/CN952-1</f>
        <v>1.7817371937639104E-2</v>
      </c>
      <c r="CP956" s="383"/>
      <c r="CR956" s="382">
        <f>+CR952/CO952-1</f>
        <v>7.3304157549234139E-2</v>
      </c>
      <c r="CS956" s="382">
        <f>+CS952/CR952-1</f>
        <v>-2.1406727828746197E-2</v>
      </c>
      <c r="CT956" s="383"/>
      <c r="CV956" s="382">
        <f>+CV952/CS952-1</f>
        <v>-2.7083333333333348E-2</v>
      </c>
      <c r="CW956" s="382">
        <f>+CW952/CV952-1</f>
        <v>0.16167023554603865</v>
      </c>
      <c r="CX956" s="383"/>
      <c r="CZ956" s="382">
        <f>+CZ952/CW952-1</f>
        <v>-0.13917050691244237</v>
      </c>
      <c r="DA956" s="382">
        <f>+DA952/CZ952-1</f>
        <v>0.12955032119914356</v>
      </c>
      <c r="DB956" s="383"/>
      <c r="DD956" s="382">
        <f>+DD952/DA952-1</f>
        <v>-2.8436018957345932E-2</v>
      </c>
      <c r="DE956" s="382">
        <f>+DE952/DD952-1</f>
        <v>1.0946341463414635</v>
      </c>
      <c r="DF956" s="383"/>
      <c r="DH956" s="382">
        <f>+DH952/DE952-1</f>
        <v>-0.27903586399627378</v>
      </c>
      <c r="DI956" s="382">
        <f>+DI952/DH952-1</f>
        <v>-5.600000000000005E-2</v>
      </c>
      <c r="DJ956" s="95"/>
      <c r="DL956" s="382">
        <f>+DL952/DI952-1</f>
        <v>3.499999999999992E-2</v>
      </c>
      <c r="DM956" s="382">
        <f>+DM952/DL952-1</f>
        <v>5.0000000000000044E-2</v>
      </c>
      <c r="DN956" s="95"/>
      <c r="DP956" s="382">
        <f>+DP952/DM952-1</f>
        <v>3.499999999999992E-2</v>
      </c>
      <c r="DQ956" s="382">
        <f>+DQ952/DP952-1</f>
        <v>1.0000000000000009E-2</v>
      </c>
      <c r="DR956" s="95"/>
    </row>
    <row r="957" spans="1:128" s="20" customFormat="1" ht="13.8">
      <c r="A957" s="47" t="s">
        <v>127</v>
      </c>
      <c r="B957" s="92"/>
      <c r="C957" s="47"/>
      <c r="D957" s="47"/>
      <c r="E957" s="47"/>
      <c r="F957" s="47"/>
      <c r="G957" s="47"/>
      <c r="H957" s="47"/>
      <c r="I957" s="47"/>
      <c r="J957" s="47"/>
      <c r="K957" s="47"/>
      <c r="L957" s="47"/>
      <c r="M957" s="47"/>
      <c r="N957" s="47"/>
      <c r="O957" s="47"/>
      <c r="P957" s="47"/>
      <c r="Q957" s="47"/>
      <c r="R957" s="47"/>
      <c r="S957" s="47"/>
      <c r="T957" s="47"/>
      <c r="U957" s="47"/>
      <c r="V957" s="47"/>
      <c r="W957" s="47"/>
      <c r="X957" s="47"/>
      <c r="Y957" s="47"/>
      <c r="Z957" s="47"/>
      <c r="AA957" s="47"/>
      <c r="AB957" s="47"/>
      <c r="AC957" s="47"/>
      <c r="AD957" s="47"/>
      <c r="AE957" s="47"/>
      <c r="AF957" s="47"/>
      <c r="AG957" s="47"/>
      <c r="AH957" s="47"/>
      <c r="AI957" s="47"/>
      <c r="AJ957" s="47"/>
      <c r="AK957" s="47"/>
      <c r="AL957" s="47"/>
      <c r="AM957" s="47"/>
      <c r="AN957" s="47"/>
      <c r="AO957" s="47"/>
      <c r="AP957" s="47"/>
      <c r="AQ957" s="47"/>
      <c r="AR957" s="47"/>
      <c r="AS957" s="47"/>
      <c r="AT957" s="47"/>
      <c r="AU957" s="47"/>
      <c r="AV957" s="47"/>
      <c r="AW957" s="47"/>
      <c r="AX957" s="47"/>
      <c r="AY957" s="47"/>
      <c r="AZ957" s="47"/>
      <c r="BA957" s="47"/>
      <c r="BB957" s="47"/>
      <c r="BC957" s="47"/>
      <c r="BD957" s="47"/>
      <c r="BE957" s="47"/>
      <c r="BF957" s="47"/>
      <c r="BG957" s="47"/>
      <c r="BH957" s="381"/>
      <c r="BI957" s="381"/>
      <c r="BJ957" s="73"/>
      <c r="BK957" s="92"/>
      <c r="BL957" s="381">
        <f>+BL952/BH952-1</f>
        <v>-2.0746887966805017E-2</v>
      </c>
      <c r="BM957" s="381"/>
      <c r="BN957" s="73"/>
      <c r="BO957" s="92"/>
      <c r="BP957" s="381">
        <f>+BP952/BL952-1</f>
        <v>3.3898305084745672E-2</v>
      </c>
      <c r="BQ957" s="381"/>
      <c r="BR957" s="73"/>
      <c r="BT957" s="381">
        <f>+BT952/BP952-1</f>
        <v>0.22404371584699456</v>
      </c>
      <c r="BU957" s="381">
        <f>+BU952/BQ952-1</f>
        <v>0.15836526181353761</v>
      </c>
      <c r="BV957" s="73"/>
      <c r="BX957" s="381">
        <f>+BX952/BT952-1</f>
        <v>-0.1774553571428571</v>
      </c>
      <c r="BY957" s="381">
        <f>+BY952/BU952-1</f>
        <v>-7.1664829106945938E-2</v>
      </c>
      <c r="BZ957" s="73"/>
      <c r="CB957" s="381">
        <f>+CB952/BX952-1</f>
        <v>0.16824966078697412</v>
      </c>
      <c r="CC957" s="381">
        <f>+CC952/BY952-1</f>
        <v>0.27315914489311166</v>
      </c>
      <c r="CD957" s="73"/>
      <c r="CF957" s="381">
        <f>+CF952/CB952-1</f>
        <v>-4.181184668989546E-2</v>
      </c>
      <c r="CG957" s="381">
        <f>+CG952/CC952-1</f>
        <v>7.4626865671641784E-2</v>
      </c>
      <c r="CH957" s="73"/>
      <c r="CJ957" s="381">
        <f>+CJ952/CF952-1</f>
        <v>8.6060606060606171E-2</v>
      </c>
      <c r="CK957" s="381">
        <f>+CK952/CG952-1</f>
        <v>-0.13541666666666663</v>
      </c>
      <c r="CL957" s="73"/>
      <c r="CN957" s="381">
        <f>+CN952/CJ952-1</f>
        <v>2.2321428571427937E-3</v>
      </c>
      <c r="CO957" s="381">
        <f>+CO952/CK952-1</f>
        <v>-8.232931726907633E-2</v>
      </c>
      <c r="CP957" s="73"/>
      <c r="CR957" s="381">
        <f>+CR952/CN952-1</f>
        <v>9.2427616926503253E-2</v>
      </c>
      <c r="CS957" s="381">
        <f>+CS952/CO952-1</f>
        <v>5.032822757111588E-2</v>
      </c>
      <c r="CT957" s="73"/>
      <c r="CV957" s="381">
        <f>+CV952/CR952-1</f>
        <v>-4.7910295616717669E-2</v>
      </c>
      <c r="CW957" s="381">
        <f>+CW952/CS952-1</f>
        <v>0.13020833333333326</v>
      </c>
      <c r="CX957" s="73"/>
      <c r="CZ957" s="381">
        <f>+CZ952/CV952-1</f>
        <v>0</v>
      </c>
      <c r="DA957" s="381">
        <f>+DA952/CW952-1</f>
        <v>-2.7649769585253448E-2</v>
      </c>
      <c r="DB957" s="73"/>
      <c r="DD957" s="381">
        <f>+DD952/CZ952-1</f>
        <v>9.7430406852248463E-2</v>
      </c>
      <c r="DE957" s="381">
        <f>+DE952/DA952-1</f>
        <v>1.0350710900473934</v>
      </c>
      <c r="DF957" s="73"/>
      <c r="DH957" s="381">
        <f>+DH952/DD952-1</f>
        <v>0.5101560975609758</v>
      </c>
      <c r="DI957" s="381">
        <f>+DI952/DE952-1</f>
        <v>-0.31940985561248258</v>
      </c>
      <c r="DJ957" s="381">
        <f>+DJ952/DF952-1</f>
        <v>-5.1343934426229532E-2</v>
      </c>
      <c r="DL957" s="381">
        <f>+DL952/DH952-1</f>
        <v>-2.2960000000000202E-2</v>
      </c>
      <c r="DM957" s="381">
        <f>+DM952/DI952-1</f>
        <v>8.6749999999999883E-2</v>
      </c>
      <c r="DN957" s="381">
        <f>+DN952/DJ952-1</f>
        <v>3.0314814814814683E-2</v>
      </c>
      <c r="DP957" s="381">
        <f>+DP952/DL952-1</f>
        <v>8.6749999999999883E-2</v>
      </c>
      <c r="DQ957" s="381">
        <f>+DQ952/DM952-1</f>
        <v>4.5350000000000001E-2</v>
      </c>
      <c r="DR957" s="381">
        <f>+DR952/DN952-1</f>
        <v>6.5545121951219532E-2</v>
      </c>
    </row>
    <row r="958" spans="1:128" s="20" customFormat="1" ht="13.8">
      <c r="B958" s="49"/>
      <c r="BH958" s="49"/>
      <c r="BI958" s="49"/>
      <c r="BJ958" s="49"/>
      <c r="BK958" s="49"/>
      <c r="BL958" s="49"/>
      <c r="BM958" s="49"/>
      <c r="BN958" s="49"/>
      <c r="BO958" s="49"/>
      <c r="BP958" s="49"/>
      <c r="BT958" s="49"/>
      <c r="BX958" s="49"/>
      <c r="CB958" s="49"/>
      <c r="CD958" s="28"/>
      <c r="CF958" s="49"/>
      <c r="CH958" s="28"/>
      <c r="CJ958" s="49"/>
      <c r="CL958" s="28"/>
      <c r="CN958" s="49"/>
      <c r="CR958" s="49"/>
      <c r="CV958" s="49"/>
      <c r="CZ958" s="49"/>
      <c r="DD958" s="49"/>
      <c r="DH958" s="49"/>
      <c r="DL958" s="49"/>
      <c r="DP958" s="49"/>
    </row>
    <row r="959" spans="1:128" s="359" customFormat="1" ht="13.8">
      <c r="A959" s="359" t="s">
        <v>726</v>
      </c>
      <c r="B959" s="360"/>
      <c r="BH959" s="360"/>
      <c r="BI959" s="360"/>
      <c r="BJ959" s="360"/>
      <c r="BK959" s="360"/>
      <c r="BL959" s="360"/>
      <c r="BM959" s="360"/>
      <c r="BN959" s="360"/>
      <c r="BO959" s="360"/>
      <c r="BP959" s="360"/>
      <c r="BT959" s="360"/>
      <c r="BX959" s="360"/>
      <c r="CB959" s="360"/>
      <c r="CE959" s="799"/>
      <c r="CF959" s="360"/>
      <c r="CI959" s="799"/>
      <c r="CJ959" s="360"/>
      <c r="CM959" s="799"/>
      <c r="CN959" s="360"/>
      <c r="CR959" s="360"/>
      <c r="CV959" s="360"/>
      <c r="CZ959" s="360"/>
      <c r="DD959" s="360"/>
      <c r="DH959" s="360"/>
      <c r="DL959" s="360"/>
      <c r="DP959" s="360"/>
      <c r="DT959" s="744"/>
      <c r="DU959" s="744"/>
      <c r="DV959" s="744"/>
      <c r="DW959" s="20"/>
      <c r="DX959" s="20"/>
    </row>
    <row r="960" spans="1:128" s="20" customFormat="1" ht="13.8">
      <c r="B960" s="49"/>
      <c r="BH960" s="49"/>
      <c r="BI960" s="49"/>
      <c r="BJ960" s="49"/>
      <c r="BK960" s="49"/>
      <c r="BL960" s="49"/>
      <c r="BM960" s="49"/>
      <c r="BN960" s="49"/>
      <c r="BO960" s="49"/>
      <c r="BP960" s="49"/>
      <c r="BT960" s="49"/>
      <c r="BU960" s="65"/>
      <c r="BV960" s="65"/>
      <c r="BW960" s="68"/>
      <c r="BX960" s="65"/>
      <c r="BY960" s="65"/>
      <c r="BZ960" s="65"/>
      <c r="CB960" s="49"/>
      <c r="CF960" s="49"/>
      <c r="CJ960" s="65"/>
      <c r="CK960" s="65"/>
      <c r="CL960" s="65"/>
      <c r="CN960" s="65"/>
      <c r="CO960" s="65"/>
      <c r="CP960" s="65"/>
      <c r="CR960" s="49"/>
      <c r="CV960" s="49"/>
      <c r="CZ960" s="49"/>
      <c r="DD960" s="49"/>
      <c r="DG960"/>
      <c r="DH960"/>
      <c r="DI960"/>
      <c r="DJ960"/>
      <c r="DL960"/>
      <c r="DM960"/>
      <c r="DN960"/>
      <c r="DP960"/>
      <c r="DQ960"/>
      <c r="DR960"/>
      <c r="DX960" s="28"/>
    </row>
    <row r="961" spans="1:127" s="20" customFormat="1" ht="13.8">
      <c r="A961" s="20" t="s">
        <v>490</v>
      </c>
      <c r="B961" s="49"/>
      <c r="BH961" s="65">
        <f>-BH33</f>
        <v>599</v>
      </c>
      <c r="BI961" s="65">
        <f>-BI33</f>
        <v>598</v>
      </c>
      <c r="BJ961" s="65">
        <f>-BJ33</f>
        <v>1197</v>
      </c>
      <c r="BK961" s="49"/>
      <c r="BL961" s="65">
        <f>-BL33</f>
        <v>528</v>
      </c>
      <c r="BM961" s="65">
        <f>-BM33</f>
        <v>461</v>
      </c>
      <c r="BN961" s="65">
        <f>-BN33</f>
        <v>989</v>
      </c>
      <c r="BO961" s="49"/>
      <c r="BP961" s="65">
        <f>-BP33</f>
        <v>510</v>
      </c>
      <c r="BQ961" s="65">
        <f>-BQ33</f>
        <v>695</v>
      </c>
      <c r="BR961" s="65">
        <f>-BR33</f>
        <v>1205</v>
      </c>
      <c r="BT961" s="65">
        <f>-BT33</f>
        <v>918</v>
      </c>
      <c r="BU961" s="65">
        <f>-BU33</f>
        <v>1038</v>
      </c>
      <c r="BV961" s="65">
        <f>-BV33</f>
        <v>1956</v>
      </c>
      <c r="BW961" s="68"/>
      <c r="BX961" s="65">
        <f>-BX33</f>
        <v>720</v>
      </c>
      <c r="BY961" s="65">
        <f>-BY33</f>
        <v>479</v>
      </c>
      <c r="BZ961" s="65">
        <f>-BZ33</f>
        <v>1199</v>
      </c>
      <c r="CB961" s="65">
        <f>-CB33</f>
        <v>408</v>
      </c>
      <c r="CC961" s="65">
        <f>-CC33</f>
        <v>280</v>
      </c>
      <c r="CD961" s="65">
        <f>-CD33</f>
        <v>688</v>
      </c>
      <c r="CF961" s="65">
        <f>-CF33</f>
        <v>393</v>
      </c>
      <c r="CG961" s="65">
        <f>-CG33</f>
        <v>402</v>
      </c>
      <c r="CH961" s="65">
        <f>-CH33</f>
        <v>795</v>
      </c>
      <c r="CJ961" s="65">
        <f>-CJ33</f>
        <v>1674</v>
      </c>
      <c r="CK961" s="65">
        <f>-CK33</f>
        <v>1064</v>
      </c>
      <c r="CL961" s="65">
        <f>-CL33</f>
        <v>2738</v>
      </c>
      <c r="CN961" s="65">
        <f>-CN33</f>
        <v>-491</v>
      </c>
      <c r="CO961" s="65">
        <f>-CO33</f>
        <v>-76</v>
      </c>
      <c r="CP961" s="65">
        <f>-CP33</f>
        <v>-567</v>
      </c>
      <c r="CR961" s="65">
        <f>-CR33</f>
        <v>-284</v>
      </c>
      <c r="CS961" s="65">
        <f>-CS33</f>
        <v>52</v>
      </c>
      <c r="CT961" s="65">
        <f>-CT33</f>
        <v>-232</v>
      </c>
      <c r="CV961" s="65">
        <f>-CV33</f>
        <v>133</v>
      </c>
      <c r="CW961" s="65">
        <f>-CW33</f>
        <v>112</v>
      </c>
      <c r="CX961" s="65">
        <f>-CX33</f>
        <v>245</v>
      </c>
      <c r="CZ961" s="65">
        <f>-CZ33</f>
        <v>70</v>
      </c>
      <c r="DA961" s="65">
        <f>-DA33</f>
        <v>336</v>
      </c>
      <c r="DB961" s="65">
        <f>-DB33</f>
        <v>406</v>
      </c>
      <c r="DD961" s="65">
        <f>-DD33</f>
        <v>145</v>
      </c>
      <c r="DE961" s="65">
        <f>-DE33</f>
        <v>296</v>
      </c>
      <c r="DF961" s="65">
        <f>-DF33</f>
        <v>441</v>
      </c>
      <c r="DH961" s="65">
        <f>+DH973*(DH$3/DH$4)*DH976</f>
        <v>209.3784177127927</v>
      </c>
      <c r="DI961" s="65">
        <f>+DI973*(DI$3/DI$4)*DI976</f>
        <v>344.16098380079086</v>
      </c>
      <c r="DJ961" s="65">
        <f>+DH961+DI961</f>
        <v>553.53940151358358</v>
      </c>
      <c r="DL961" s="65">
        <f>+DL973*(DL$3/DL$4)*DL976</f>
        <v>393.64249455575055</v>
      </c>
      <c r="DM961" s="65">
        <f>+DM973*(DM$3/DM$4)*DM976</f>
        <v>405.40625259113426</v>
      </c>
      <c r="DN961" s="65">
        <f>+DL961+DM961</f>
        <v>799.04874714688481</v>
      </c>
      <c r="DP961" s="65">
        <f>+DP973*(DP$3/DP$4)*DP976</f>
        <v>458.2648637195523</v>
      </c>
      <c r="DQ961" s="65">
        <f>+DQ973*(DQ$3/DQ$4)*DQ976</f>
        <v>468.19535307126404</v>
      </c>
      <c r="DR961" s="65">
        <f>+DP961+DQ961</f>
        <v>926.46021679081628</v>
      </c>
      <c r="DV961" s="28"/>
      <c r="DW961" s="926">
        <f>+CL961+CP961+CT961</f>
        <v>1939</v>
      </c>
    </row>
    <row r="962" spans="1:127" s="20" customFormat="1" ht="13.8">
      <c r="B962" s="49"/>
      <c r="BH962" s="49"/>
      <c r="BI962" s="49"/>
      <c r="BJ962" s="49"/>
      <c r="BK962" s="49"/>
      <c r="BL962" s="49"/>
      <c r="BM962" s="49"/>
      <c r="BN962" s="49"/>
      <c r="BO962" s="49"/>
      <c r="BP962" s="49"/>
      <c r="BQ962" s="49"/>
      <c r="BR962" s="49"/>
      <c r="BT962" s="49"/>
      <c r="BU962" s="49"/>
      <c r="BV962" s="49"/>
      <c r="BX962" s="49"/>
      <c r="BY962" s="49"/>
      <c r="BZ962" s="49"/>
      <c r="CB962" s="49"/>
      <c r="CC962" s="49"/>
      <c r="CD962" s="49"/>
      <c r="CF962" s="49"/>
      <c r="CG962" s="49"/>
      <c r="CH962" s="49"/>
      <c r="CJ962" s="49"/>
      <c r="CK962" s="49"/>
      <c r="CL962" s="49"/>
      <c r="CN962" s="49"/>
      <c r="CO962" s="49"/>
      <c r="CP962" s="49"/>
      <c r="CR962" s="49"/>
      <c r="CS962" s="49"/>
      <c r="CT962" s="49"/>
      <c r="CV962" s="49"/>
      <c r="CW962" s="49"/>
      <c r="CX962" s="49"/>
      <c r="CZ962" s="49"/>
      <c r="DA962" s="49"/>
      <c r="DB962" s="49"/>
      <c r="DD962" s="49"/>
      <c r="DE962" s="49"/>
      <c r="DF962" s="49"/>
      <c r="DH962" s="49"/>
      <c r="DI962" s="49"/>
      <c r="DJ962" s="49"/>
      <c r="DL962" s="49"/>
      <c r="DM962" s="49"/>
      <c r="DN962" s="49"/>
      <c r="DP962" s="49"/>
      <c r="DQ962" s="49"/>
      <c r="DR962" s="49"/>
      <c r="DW962" s="540"/>
    </row>
    <row r="963" spans="1:127" s="20" customFormat="1" ht="13.8">
      <c r="A963" s="20" t="s">
        <v>117</v>
      </c>
      <c r="B963" s="49"/>
      <c r="BH963" s="65">
        <f>-BH241</f>
        <v>2765</v>
      </c>
      <c r="BI963" s="65">
        <f>BH966</f>
        <v>2769</v>
      </c>
      <c r="BJ963" s="65">
        <f>BH963</f>
        <v>2765</v>
      </c>
      <c r="BK963" s="49"/>
      <c r="BL963" s="65">
        <f>-BL241</f>
        <v>2887</v>
      </c>
      <c r="BM963" s="65">
        <f>BL966</f>
        <v>2843</v>
      </c>
      <c r="BN963" s="65">
        <f>BL963</f>
        <v>2887</v>
      </c>
      <c r="BO963" s="49"/>
      <c r="BP963" s="65">
        <f>-BP241</f>
        <v>2757</v>
      </c>
      <c r="BQ963" s="65">
        <f>BP966</f>
        <v>2914</v>
      </c>
      <c r="BR963" s="65">
        <f>BP963</f>
        <v>2757</v>
      </c>
      <c r="BT963" s="65">
        <f>-BT241</f>
        <v>2956</v>
      </c>
      <c r="BU963" s="65">
        <f>BT966</f>
        <v>2862</v>
      </c>
      <c r="BV963" s="65">
        <f>BT963</f>
        <v>2956</v>
      </c>
      <c r="BX963" s="65">
        <f>-BX241</f>
        <v>2876</v>
      </c>
      <c r="BY963" s="65">
        <f>BX966</f>
        <v>2785</v>
      </c>
      <c r="BZ963" s="65">
        <f>BX963</f>
        <v>2876</v>
      </c>
      <c r="CB963" s="65">
        <f>-CB241</f>
        <v>2662</v>
      </c>
      <c r="CC963" s="65">
        <f>CB966</f>
        <v>2579</v>
      </c>
      <c r="CD963" s="65">
        <f>CB963</f>
        <v>2662</v>
      </c>
      <c r="CF963" s="65">
        <f>-CF241</f>
        <v>2523</v>
      </c>
      <c r="CG963" s="65">
        <f>CF966</f>
        <v>3378</v>
      </c>
      <c r="CH963" s="65">
        <f>CF963</f>
        <v>2523</v>
      </c>
      <c r="CJ963" s="65">
        <f>-CJ241</f>
        <v>3376</v>
      </c>
      <c r="CK963" s="65">
        <f>CJ966</f>
        <v>4501</v>
      </c>
      <c r="CL963" s="65">
        <f>CJ963</f>
        <v>3376</v>
      </c>
      <c r="CN963" s="65">
        <f>-CN241</f>
        <v>5008</v>
      </c>
      <c r="CO963" s="65">
        <f>CN966</f>
        <v>4285</v>
      </c>
      <c r="CP963" s="65">
        <f>CN963</f>
        <v>5008</v>
      </c>
      <c r="CR963" s="65">
        <f>-CR241</f>
        <v>4195</v>
      </c>
      <c r="CS963" s="65">
        <f>CR966</f>
        <v>3757</v>
      </c>
      <c r="CT963" s="65">
        <f>CR963</f>
        <v>4195</v>
      </c>
      <c r="CV963" s="65">
        <f>-CV241</f>
        <v>3853</v>
      </c>
      <c r="CW963" s="65">
        <f>CV966</f>
        <v>4040</v>
      </c>
      <c r="CX963" s="65">
        <f>CV963</f>
        <v>3853</v>
      </c>
      <c r="CZ963" s="65">
        <f>-CZ241</f>
        <v>4032</v>
      </c>
      <c r="DA963" s="65">
        <f>CZ966</f>
        <v>4046</v>
      </c>
      <c r="DB963" s="65">
        <f>CZ963</f>
        <v>4032</v>
      </c>
      <c r="DD963" s="65">
        <f>-DD241</f>
        <v>4247</v>
      </c>
      <c r="DE963" s="65">
        <f>DD966</f>
        <v>4280</v>
      </c>
      <c r="DF963" s="65">
        <f>DD963</f>
        <v>4247</v>
      </c>
      <c r="DH963" s="65">
        <f>-DH241</f>
        <v>4379</v>
      </c>
      <c r="DI963" s="65">
        <f ca="1">DH966</f>
        <v>4289.2434126777534</v>
      </c>
      <c r="DJ963" s="65">
        <f>DH963</f>
        <v>4379</v>
      </c>
      <c r="DL963" s="65">
        <f ca="1">-DL241</f>
        <v>4300.2811190356451</v>
      </c>
      <c r="DM963" s="65">
        <f ca="1">DL966</f>
        <v>4268.9561170466886</v>
      </c>
      <c r="DN963" s="65">
        <f ca="1">DL963</f>
        <v>4300.2811190356451</v>
      </c>
      <c r="DP963" s="65">
        <f ca="1">-DP241</f>
        <v>4365.3001009437703</v>
      </c>
      <c r="DQ963" s="65">
        <f ca="1">DP966</f>
        <v>4447.4104327485975</v>
      </c>
      <c r="DR963" s="65">
        <f ca="1">DP963</f>
        <v>4365.3001009437703</v>
      </c>
      <c r="DW963" s="540"/>
    </row>
    <row r="964" spans="1:127" s="20" customFormat="1" ht="13.8">
      <c r="A964" s="325" t="s">
        <v>706</v>
      </c>
      <c r="B964" s="324"/>
      <c r="C964" s="325"/>
      <c r="D964" s="325"/>
      <c r="E964" s="325"/>
      <c r="F964" s="325"/>
      <c r="G964" s="325"/>
      <c r="H964" s="325"/>
      <c r="I964" s="325"/>
      <c r="J964" s="325"/>
      <c r="K964" s="325"/>
      <c r="L964" s="325"/>
      <c r="M964" s="325"/>
      <c r="N964" s="325"/>
      <c r="O964" s="325"/>
      <c r="P964" s="325"/>
      <c r="Q964" s="325"/>
      <c r="R964" s="325"/>
      <c r="S964" s="325"/>
      <c r="T964" s="325"/>
      <c r="U964" s="325"/>
      <c r="V964" s="325"/>
      <c r="W964" s="325"/>
      <c r="X964" s="325"/>
      <c r="Y964" s="325"/>
      <c r="Z964" s="325"/>
      <c r="AA964" s="325"/>
      <c r="AB964" s="325"/>
      <c r="AC964" s="325"/>
      <c r="AD964" s="325"/>
      <c r="AE964" s="325"/>
      <c r="AF964" s="325"/>
      <c r="AG964" s="325"/>
      <c r="AH964" s="325"/>
      <c r="AI964" s="325"/>
      <c r="AJ964" s="325"/>
      <c r="AK964" s="325"/>
      <c r="AL964" s="325"/>
      <c r="AM964" s="325"/>
      <c r="AN964" s="325"/>
      <c r="AO964" s="325"/>
      <c r="AP964" s="325"/>
      <c r="AQ964" s="325"/>
      <c r="AR964" s="325"/>
      <c r="AS964" s="325"/>
      <c r="AT964" s="325"/>
      <c r="AU964" s="325"/>
      <c r="AV964" s="325"/>
      <c r="AW964" s="325"/>
      <c r="AX964" s="325"/>
      <c r="AY964" s="325"/>
      <c r="AZ964" s="325"/>
      <c r="BA964" s="325"/>
      <c r="BB964" s="325"/>
      <c r="BC964" s="325"/>
      <c r="BD964" s="325"/>
      <c r="BE964" s="325"/>
      <c r="BF964" s="325"/>
      <c r="BG964" s="325"/>
      <c r="BH964" s="327">
        <v>0</v>
      </c>
      <c r="BI964" s="327">
        <v>0</v>
      </c>
      <c r="BJ964" s="326">
        <f>+BI964+BH964</f>
        <v>0</v>
      </c>
      <c r="BK964" s="324"/>
      <c r="BL964" s="327">
        <v>0</v>
      </c>
      <c r="BM964" s="327">
        <v>0</v>
      </c>
      <c r="BN964" s="326">
        <f>+BM964+BL964</f>
        <v>0</v>
      </c>
      <c r="BO964" s="324"/>
      <c r="BP964" s="327">
        <v>0</v>
      </c>
      <c r="BQ964" s="327">
        <v>0</v>
      </c>
      <c r="BR964" s="326">
        <f>+BQ964+BP964</f>
        <v>0</v>
      </c>
      <c r="BS964" s="324"/>
      <c r="BT964" s="327">
        <v>0</v>
      </c>
      <c r="BU964" s="327">
        <v>0</v>
      </c>
      <c r="BV964" s="326">
        <f>+BU964+BT964</f>
        <v>0</v>
      </c>
      <c r="BW964" s="324"/>
      <c r="BX964" s="327">
        <v>0</v>
      </c>
      <c r="BY964" s="327">
        <v>-39</v>
      </c>
      <c r="BZ964" s="326">
        <f>+BY964+BX964</f>
        <v>-39</v>
      </c>
      <c r="CA964" s="324"/>
      <c r="CB964" s="327">
        <v>-79</v>
      </c>
      <c r="CC964" s="327">
        <v>0</v>
      </c>
      <c r="CD964" s="326">
        <f>+CC964+CB964</f>
        <v>-79</v>
      </c>
      <c r="CE964" s="324"/>
      <c r="CF964" s="327">
        <f>29+813</f>
        <v>842</v>
      </c>
      <c r="CG964" s="327">
        <v>0</v>
      </c>
      <c r="CH964" s="326">
        <f>+CG964+CF964</f>
        <v>842</v>
      </c>
      <c r="CI964" s="324"/>
      <c r="CJ964" s="327">
        <v>0</v>
      </c>
      <c r="CK964" s="327">
        <v>0</v>
      </c>
      <c r="CL964" s="326">
        <f>+CK964+CJ964</f>
        <v>0</v>
      </c>
      <c r="CM964" s="324"/>
      <c r="CN964" s="327">
        <v>0</v>
      </c>
      <c r="CO964" s="327">
        <v>0</v>
      </c>
      <c r="CP964" s="326">
        <f>+CO964+CN964</f>
        <v>0</v>
      </c>
      <c r="CQ964" s="324"/>
      <c r="CR964" s="327">
        <v>0</v>
      </c>
      <c r="CS964" s="327">
        <v>0</v>
      </c>
      <c r="CT964" s="326">
        <f>+CS964+CR964</f>
        <v>0</v>
      </c>
      <c r="CU964" s="324"/>
      <c r="CV964" s="327">
        <v>0</v>
      </c>
      <c r="CW964" s="327">
        <v>0</v>
      </c>
      <c r="CX964" s="326">
        <f>+CW964+CV964</f>
        <v>0</v>
      </c>
      <c r="CY964" s="324"/>
      <c r="CZ964" s="327">
        <v>0</v>
      </c>
      <c r="DA964" s="327">
        <v>0</v>
      </c>
      <c r="DB964" s="326">
        <f>+DA964+CZ964</f>
        <v>0</v>
      </c>
      <c r="DC964" s="324"/>
      <c r="DD964" s="327">
        <v>0</v>
      </c>
      <c r="DE964" s="327">
        <v>0</v>
      </c>
      <c r="DF964" s="326">
        <f>+DE964+DD964</f>
        <v>0</v>
      </c>
      <c r="DG964" s="324"/>
      <c r="DH964" s="328">
        <v>0</v>
      </c>
      <c r="DI964" s="328">
        <v>0</v>
      </c>
      <c r="DJ964" s="326">
        <f>DI964</f>
        <v>0</v>
      </c>
      <c r="DK964" s="324"/>
      <c r="DL964" s="328">
        <v>0</v>
      </c>
      <c r="DM964" s="328">
        <v>0</v>
      </c>
      <c r="DN964" s="326">
        <f>DM964</f>
        <v>0</v>
      </c>
      <c r="DO964" s="324"/>
      <c r="DP964" s="328">
        <v>0</v>
      </c>
      <c r="DQ964" s="328">
        <v>0</v>
      </c>
      <c r="DR964" s="326">
        <f>DQ964</f>
        <v>0</v>
      </c>
      <c r="DS964" s="324"/>
      <c r="DT964" s="324"/>
      <c r="DU964" s="324"/>
      <c r="DV964" s="324"/>
      <c r="DW964" s="540"/>
    </row>
    <row r="965" spans="1:127" s="20" customFormat="1" ht="13.8">
      <c r="A965" s="20" t="s">
        <v>118</v>
      </c>
      <c r="B965" s="49"/>
      <c r="BH965" s="65">
        <f>+BH966-BH964-BH963</f>
        <v>4</v>
      </c>
      <c r="BI965" s="65">
        <f>+BI966-BI964-BI963</f>
        <v>118</v>
      </c>
      <c r="BJ965" s="65">
        <f>+BI965+BH965</f>
        <v>122</v>
      </c>
      <c r="BK965" s="49"/>
      <c r="BL965" s="65">
        <f>+BL966-BL964-BL963</f>
        <v>-44</v>
      </c>
      <c r="BM965" s="65">
        <f>+BM966-BM964-BM963</f>
        <v>-86</v>
      </c>
      <c r="BN965" s="65">
        <f>+BM965+BL965</f>
        <v>-130</v>
      </c>
      <c r="BO965" s="49"/>
      <c r="BP965" s="65">
        <f>+BP966-BP964-BP963</f>
        <v>157</v>
      </c>
      <c r="BQ965" s="65">
        <f>+BQ966-BQ964-BQ963</f>
        <v>42</v>
      </c>
      <c r="BR965" s="65">
        <f>+BQ965+BP965</f>
        <v>199</v>
      </c>
      <c r="BT965" s="65">
        <f>+BT966-BT964-BT963</f>
        <v>-94</v>
      </c>
      <c r="BU965" s="65">
        <f>+BU966-BU964-BU963</f>
        <v>14</v>
      </c>
      <c r="BV965" s="65">
        <f>+BU965+BT965</f>
        <v>-80</v>
      </c>
      <c r="BX965" s="65">
        <f>+BX966-BX964-BX963</f>
        <v>-91</v>
      </c>
      <c r="BY965" s="65">
        <f>+BY966-BY964-BY963</f>
        <v>-84</v>
      </c>
      <c r="BZ965" s="65">
        <f>+BY965+BX965</f>
        <v>-175</v>
      </c>
      <c r="CB965" s="65">
        <f>+CB966-CB964-CB963</f>
        <v>-4</v>
      </c>
      <c r="CC965" s="65">
        <f>+CC966-CC964-CC963</f>
        <v>-56</v>
      </c>
      <c r="CD965" s="65">
        <f>+CC965+CB965</f>
        <v>-60</v>
      </c>
      <c r="CF965" s="65">
        <f>+CF966-CF964-CF963</f>
        <v>13</v>
      </c>
      <c r="CG965" s="65">
        <f>+CG966-CG964-CG963</f>
        <v>-2</v>
      </c>
      <c r="CH965" s="65">
        <f>+CG965+CF965</f>
        <v>11</v>
      </c>
      <c r="CJ965" s="65">
        <f>+CJ966-CJ964-CJ963</f>
        <v>1125</v>
      </c>
      <c r="CK965" s="65">
        <f>+CK966-CK964-CK963</f>
        <v>507</v>
      </c>
      <c r="CL965" s="65">
        <f>+CK965+CJ965</f>
        <v>1632</v>
      </c>
      <c r="CN965" s="65">
        <f>+CN966-CN964-CN963</f>
        <v>-723</v>
      </c>
      <c r="CO965" s="65">
        <f>+CO966-CO964-CO963</f>
        <v>-90</v>
      </c>
      <c r="CP965" s="65">
        <f>+CO965+CN965</f>
        <v>-813</v>
      </c>
      <c r="CR965" s="65">
        <f>+CR966-CR964-CR963</f>
        <v>-438</v>
      </c>
      <c r="CS965" s="65">
        <f>+CS966-CS964-CS963</f>
        <v>96</v>
      </c>
      <c r="CT965" s="65">
        <f>+CS965+CR965</f>
        <v>-342</v>
      </c>
      <c r="CV965" s="65">
        <f>+CV966-CV964-CV963</f>
        <v>187</v>
      </c>
      <c r="CW965" s="65">
        <f>+CW966-CW964-CW963</f>
        <v>-8</v>
      </c>
      <c r="CX965" s="65">
        <f>+CW965+CV965</f>
        <v>179</v>
      </c>
      <c r="CZ965" s="65">
        <f>+CZ966-CZ964-CZ963</f>
        <v>14</v>
      </c>
      <c r="DA965" s="65">
        <f>+DA966-DA964-DA963</f>
        <v>201</v>
      </c>
      <c r="DB965" s="65">
        <f>+DA965+CZ965</f>
        <v>215</v>
      </c>
      <c r="DD965" s="65">
        <f>+DD966-DD964-DD963</f>
        <v>33</v>
      </c>
      <c r="DE965" s="65">
        <f>+DE966-DE964-DE963</f>
        <v>99</v>
      </c>
      <c r="DF965" s="65">
        <f>+DE965+DD965</f>
        <v>132</v>
      </c>
      <c r="DH965" s="65">
        <f ca="1">+DH966-DH964-DH963</f>
        <v>-89.75658732224656</v>
      </c>
      <c r="DI965" s="65">
        <f ca="1">+DI966-DI964-DI963</f>
        <v>11.037706357891693</v>
      </c>
      <c r="DJ965" s="65">
        <f ca="1">+DI965+DH965</f>
        <v>-78.718880964354867</v>
      </c>
      <c r="DL965" s="65">
        <f ca="1">+DL966-DL964-DL963</f>
        <v>-31.325001988956501</v>
      </c>
      <c r="DM965" s="65">
        <f ca="1">+DM966-DM964-DM963</f>
        <v>96.343983897081671</v>
      </c>
      <c r="DN965" s="65">
        <f ca="1">+DM965+DL965</f>
        <v>65.01898190812517</v>
      </c>
      <c r="DP965" s="65">
        <f ca="1">+DP966-DP964-DP963</f>
        <v>82.110331804827183</v>
      </c>
      <c r="DQ965" s="65">
        <f ca="1">+DQ966-DQ964-DQ963</f>
        <v>93.734694975210914</v>
      </c>
      <c r="DR965" s="65">
        <f ca="1">+DQ965+DP965</f>
        <v>175.8450267800381</v>
      </c>
      <c r="DW965" s="540"/>
    </row>
    <row r="966" spans="1:127" s="20" customFormat="1" ht="13.8">
      <c r="A966" s="20" t="s">
        <v>119</v>
      </c>
      <c r="B966" s="49"/>
      <c r="BH966" s="65">
        <f>-BH244</f>
        <v>2769</v>
      </c>
      <c r="BI966" s="65">
        <f>-BI244</f>
        <v>2887</v>
      </c>
      <c r="BJ966" s="65">
        <f>-BJ244</f>
        <v>2887</v>
      </c>
      <c r="BK966" s="49"/>
      <c r="BL966" s="65">
        <f>-BL244</f>
        <v>2843</v>
      </c>
      <c r="BM966" s="65">
        <f>-BM244</f>
        <v>2757</v>
      </c>
      <c r="BN966" s="65">
        <f>-BN244</f>
        <v>2757</v>
      </c>
      <c r="BO966" s="49"/>
      <c r="BP966" s="65">
        <f>-BP244</f>
        <v>2914</v>
      </c>
      <c r="BQ966" s="65">
        <f>-BQ244</f>
        <v>2956</v>
      </c>
      <c r="BR966" s="65">
        <f>-BR244</f>
        <v>2956</v>
      </c>
      <c r="BT966" s="65">
        <f>-BT244</f>
        <v>2862</v>
      </c>
      <c r="BU966" s="65">
        <f>-BU244</f>
        <v>2876</v>
      </c>
      <c r="BV966" s="65">
        <f>-BV244</f>
        <v>2876</v>
      </c>
      <c r="BX966" s="65">
        <f>-BX244</f>
        <v>2785</v>
      </c>
      <c r="BY966" s="65">
        <f>-BY244</f>
        <v>2662</v>
      </c>
      <c r="BZ966" s="65">
        <f>-BZ244</f>
        <v>2662</v>
      </c>
      <c r="CB966" s="65">
        <f>-CB244</f>
        <v>2579</v>
      </c>
      <c r="CC966" s="65">
        <f>-CC244</f>
        <v>2523</v>
      </c>
      <c r="CD966" s="65">
        <f>-CD244</f>
        <v>2523</v>
      </c>
      <c r="CF966" s="65">
        <f>-CF244</f>
        <v>3378</v>
      </c>
      <c r="CG966" s="65">
        <f>-CG244</f>
        <v>3376</v>
      </c>
      <c r="CH966" s="65">
        <f>-CH244</f>
        <v>3376</v>
      </c>
      <c r="CJ966" s="65">
        <f>-CJ244</f>
        <v>4501</v>
      </c>
      <c r="CK966" s="65">
        <f>-CK244</f>
        <v>5008</v>
      </c>
      <c r="CL966" s="65">
        <f>-CL244</f>
        <v>5008</v>
      </c>
      <c r="CN966" s="65">
        <f>-CN244</f>
        <v>4285</v>
      </c>
      <c r="CO966" s="65">
        <f>-CO244</f>
        <v>4195</v>
      </c>
      <c r="CP966" s="65">
        <f>-CP244</f>
        <v>4195</v>
      </c>
      <c r="CR966" s="65">
        <f>-CR244</f>
        <v>3757</v>
      </c>
      <c r="CS966" s="65">
        <f>-CS244</f>
        <v>3853</v>
      </c>
      <c r="CT966" s="65">
        <f>-CT244</f>
        <v>3853</v>
      </c>
      <c r="CV966" s="65">
        <f>-CV244</f>
        <v>4040</v>
      </c>
      <c r="CW966" s="65">
        <f>-CW244</f>
        <v>4032</v>
      </c>
      <c r="CX966" s="65">
        <f>-CX244</f>
        <v>4032</v>
      </c>
      <c r="CZ966" s="65">
        <f>-CZ244</f>
        <v>4046</v>
      </c>
      <c r="DA966" s="65">
        <f>-DA244</f>
        <v>4247</v>
      </c>
      <c r="DB966" s="65">
        <f>-DB244</f>
        <v>4247</v>
      </c>
      <c r="DD966" s="65">
        <f>-DD244</f>
        <v>4280</v>
      </c>
      <c r="DE966" s="65">
        <f>-DE244</f>
        <v>4379</v>
      </c>
      <c r="DF966" s="65">
        <f>-DF244</f>
        <v>4379</v>
      </c>
      <c r="DH966" s="65">
        <f ca="1">-DH244</f>
        <v>4289.2434126777534</v>
      </c>
      <c r="DI966" s="65">
        <f ca="1">-DI244</f>
        <v>4300.2811190356451</v>
      </c>
      <c r="DJ966" s="65">
        <f ca="1">-DJ244</f>
        <v>4300.2811190356451</v>
      </c>
      <c r="DL966" s="65">
        <f ca="1">-DL244</f>
        <v>4268.9561170466886</v>
      </c>
      <c r="DM966" s="65">
        <f ca="1">-DM244</f>
        <v>4365.3001009437703</v>
      </c>
      <c r="DN966" s="65">
        <f ca="1">-DN244</f>
        <v>4365.3001009437703</v>
      </c>
      <c r="DP966" s="65">
        <f ca="1">-DP244</f>
        <v>4447.4104327485975</v>
      </c>
      <c r="DQ966" s="65">
        <f ca="1">-DQ244</f>
        <v>4541.1451277238084</v>
      </c>
      <c r="DR966" s="65">
        <f ca="1">-DR244</f>
        <v>4541.1451277238084</v>
      </c>
      <c r="DW966" s="540"/>
    </row>
    <row r="967" spans="1:127" s="20" customFormat="1" ht="13.8">
      <c r="A967" s="20" t="s">
        <v>118</v>
      </c>
      <c r="B967" s="49"/>
      <c r="BH967" s="65">
        <f>BH965</f>
        <v>4</v>
      </c>
      <c r="BI967" s="65">
        <f>BI965</f>
        <v>118</v>
      </c>
      <c r="BJ967" s="65">
        <f>BJ965</f>
        <v>122</v>
      </c>
      <c r="BK967" s="49"/>
      <c r="BL967" s="65">
        <f>BL965</f>
        <v>-44</v>
      </c>
      <c r="BM967" s="65">
        <f>BM965</f>
        <v>-86</v>
      </c>
      <c r="BN967" s="65">
        <f>BN965</f>
        <v>-130</v>
      </c>
      <c r="BO967" s="49"/>
      <c r="BP967" s="65">
        <f>BP965</f>
        <v>157</v>
      </c>
      <c r="BQ967" s="65">
        <f>BQ965</f>
        <v>42</v>
      </c>
      <c r="BR967" s="65">
        <f>BR965</f>
        <v>199</v>
      </c>
      <c r="BT967" s="65">
        <f>BT965</f>
        <v>-94</v>
      </c>
      <c r="BU967" s="65">
        <f>BU965</f>
        <v>14</v>
      </c>
      <c r="BV967" s="65">
        <f>BV965</f>
        <v>-80</v>
      </c>
      <c r="BX967" s="65">
        <f>BX965</f>
        <v>-91</v>
      </c>
      <c r="BY967" s="65">
        <f>BY965</f>
        <v>-84</v>
      </c>
      <c r="BZ967" s="65">
        <f>BZ965</f>
        <v>-175</v>
      </c>
      <c r="CB967" s="65">
        <f>CB965</f>
        <v>-4</v>
      </c>
      <c r="CC967" s="65">
        <f>CC965</f>
        <v>-56</v>
      </c>
      <c r="CD967" s="65">
        <f>CD965</f>
        <v>-60</v>
      </c>
      <c r="CF967" s="65">
        <f>CF965</f>
        <v>13</v>
      </c>
      <c r="CG967" s="65">
        <f>CG965</f>
        <v>-2</v>
      </c>
      <c r="CH967" s="65">
        <f>CH965</f>
        <v>11</v>
      </c>
      <c r="CJ967" s="65">
        <f>CJ965</f>
        <v>1125</v>
      </c>
      <c r="CK967" s="65">
        <f>CK965</f>
        <v>507</v>
      </c>
      <c r="CL967" s="65">
        <f>CL965</f>
        <v>1632</v>
      </c>
      <c r="CN967" s="65">
        <f>CN965</f>
        <v>-723</v>
      </c>
      <c r="CO967" s="65">
        <f>CO965</f>
        <v>-90</v>
      </c>
      <c r="CP967" s="65">
        <f>CP965</f>
        <v>-813</v>
      </c>
      <c r="CR967" s="65">
        <f>CR965</f>
        <v>-438</v>
      </c>
      <c r="CS967" s="65">
        <f>CS965</f>
        <v>96</v>
      </c>
      <c r="CT967" s="65">
        <f>CT965</f>
        <v>-342</v>
      </c>
      <c r="CV967" s="65">
        <f>CV965</f>
        <v>187</v>
      </c>
      <c r="CW967" s="65">
        <f>CW965</f>
        <v>-8</v>
      </c>
      <c r="CX967" s="65">
        <f>CX965</f>
        <v>179</v>
      </c>
      <c r="CZ967" s="65">
        <f>CZ965</f>
        <v>14</v>
      </c>
      <c r="DA967" s="65">
        <f>DA965</f>
        <v>201</v>
      </c>
      <c r="DB967" s="65">
        <f>DB965</f>
        <v>215</v>
      </c>
      <c r="DD967" s="65">
        <f>DD965</f>
        <v>33</v>
      </c>
      <c r="DE967" s="65">
        <f>DE965</f>
        <v>99</v>
      </c>
      <c r="DF967" s="65">
        <f>DF965</f>
        <v>132</v>
      </c>
      <c r="DH967" s="65">
        <f ca="1">DH965</f>
        <v>-89.75658732224656</v>
      </c>
      <c r="DI967" s="65">
        <f ca="1">DI965</f>
        <v>11.037706357891693</v>
      </c>
      <c r="DJ967" s="65">
        <f ca="1">DJ965</f>
        <v>-78.718880964354867</v>
      </c>
      <c r="DL967" s="65">
        <f ca="1">DL965</f>
        <v>-31.325001988956501</v>
      </c>
      <c r="DM967" s="65">
        <f ca="1">DM965</f>
        <v>96.343983897081671</v>
      </c>
      <c r="DN967" s="65">
        <f ca="1">DN965</f>
        <v>65.01898190812517</v>
      </c>
      <c r="DP967" s="65">
        <f ca="1">DP965</f>
        <v>82.110331804827183</v>
      </c>
      <c r="DQ967" s="65">
        <f ca="1">DQ965</f>
        <v>93.734694975210914</v>
      </c>
      <c r="DR967" s="65">
        <f ca="1">DR965</f>
        <v>175.8450267800381</v>
      </c>
      <c r="DW967" s="540"/>
    </row>
    <row r="968" spans="1:127" s="20" customFormat="1" ht="13.8">
      <c r="A968" s="20" t="s">
        <v>120</v>
      </c>
      <c r="B968" s="49"/>
      <c r="BH968" s="65">
        <f>+BH969-BH967</f>
        <v>595</v>
      </c>
      <c r="BI968" s="65">
        <f>+BI969-BI967</f>
        <v>480</v>
      </c>
      <c r="BJ968" s="65">
        <f>+BJ969-BJ967</f>
        <v>1075</v>
      </c>
      <c r="BK968" s="49"/>
      <c r="BL968" s="65">
        <f>+BL969-BL967</f>
        <v>572</v>
      </c>
      <c r="BM968" s="65">
        <f>+BM969-BM967</f>
        <v>547</v>
      </c>
      <c r="BN968" s="65">
        <f>+BN969-BN967</f>
        <v>1119</v>
      </c>
      <c r="BO968" s="49"/>
      <c r="BP968" s="65">
        <f>+BP969-BP967</f>
        <v>353</v>
      </c>
      <c r="BQ968" s="65">
        <f>+BQ969-BQ967</f>
        <v>653</v>
      </c>
      <c r="BR968" s="65">
        <f>+BR969-BR967</f>
        <v>1006</v>
      </c>
      <c r="BT968" s="65">
        <f>+BT969-BT967</f>
        <v>1012</v>
      </c>
      <c r="BU968" s="65">
        <f>+BU969-BU967</f>
        <v>1024</v>
      </c>
      <c r="BV968" s="65">
        <f>+BV969-BV967</f>
        <v>2036</v>
      </c>
      <c r="BX968" s="65">
        <f>+BX969-BX967</f>
        <v>811</v>
      </c>
      <c r="BY968" s="65">
        <f>+BY969-BY967</f>
        <v>563</v>
      </c>
      <c r="BZ968" s="65">
        <f>+BZ969-BZ967</f>
        <v>1374</v>
      </c>
      <c r="CB968" s="65">
        <f>+CB969-CB967</f>
        <v>412</v>
      </c>
      <c r="CC968" s="65">
        <f>+CC969-CC967</f>
        <v>336</v>
      </c>
      <c r="CD968" s="65">
        <f>+CD969-CD967</f>
        <v>748</v>
      </c>
      <c r="CF968" s="65">
        <f>+CF969-CF967</f>
        <v>380</v>
      </c>
      <c r="CG968" s="65">
        <f>+CG969-CG967</f>
        <v>404</v>
      </c>
      <c r="CH968" s="65">
        <f>+CH969-CH967</f>
        <v>784</v>
      </c>
      <c r="CJ968" s="65">
        <f>+CJ969-CJ967</f>
        <v>549</v>
      </c>
      <c r="CK968" s="65">
        <f>+CK969-CK967</f>
        <v>557</v>
      </c>
      <c r="CL968" s="65">
        <f>+CL969-CL967</f>
        <v>1106</v>
      </c>
      <c r="CN968" s="65">
        <f>+CN969-CN967</f>
        <v>232</v>
      </c>
      <c r="CO968" s="65">
        <f>+CO969-CO967</f>
        <v>14</v>
      </c>
      <c r="CP968" s="65">
        <f>+CP969-CP967</f>
        <v>246</v>
      </c>
      <c r="CR968" s="65">
        <f>+CR969-CR967</f>
        <v>154</v>
      </c>
      <c r="CS968" s="65">
        <f>+CS969-CS967</f>
        <v>-44</v>
      </c>
      <c r="CT968" s="65">
        <f>+CT969-CT967</f>
        <v>110</v>
      </c>
      <c r="CV968" s="65">
        <f>+CV969-CV967</f>
        <v>-54</v>
      </c>
      <c r="CW968" s="65">
        <f>+CW969-CW967</f>
        <v>120</v>
      </c>
      <c r="CX968" s="65">
        <f>+CX969-CX967</f>
        <v>66</v>
      </c>
      <c r="CZ968" s="65">
        <f>+CZ969-CZ967</f>
        <v>56</v>
      </c>
      <c r="DA968" s="65">
        <f>+DA969-DA967</f>
        <v>135</v>
      </c>
      <c r="DB968" s="65">
        <f>+DB969-DB967</f>
        <v>191</v>
      </c>
      <c r="DD968" s="65">
        <f>+DD969-DD967</f>
        <v>112</v>
      </c>
      <c r="DE968" s="65">
        <f>+DE969-DE967</f>
        <v>197</v>
      </c>
      <c r="DF968" s="65">
        <f>+DF969-DF967</f>
        <v>309</v>
      </c>
      <c r="DH968" s="65">
        <f ca="1">+DH969-DH967</f>
        <v>299.13500503503928</v>
      </c>
      <c r="DI968" s="65">
        <f ca="1">+DI969-DI967</f>
        <v>333.12327744289917</v>
      </c>
      <c r="DJ968" s="65">
        <f ca="1">+DJ969-DJ967</f>
        <v>632.25828247793845</v>
      </c>
      <c r="DL968" s="65">
        <f ca="1">+DL969-DL967</f>
        <v>424.96749654470705</v>
      </c>
      <c r="DM968" s="65">
        <f ca="1">+DM969-DM967</f>
        <v>309.06226869405259</v>
      </c>
      <c r="DN968" s="65">
        <f ca="1">+DN969-DN967</f>
        <v>734.02976523875964</v>
      </c>
      <c r="DP968" s="65">
        <f ca="1">+DP969-DP967</f>
        <v>376.15453191472511</v>
      </c>
      <c r="DQ968" s="65">
        <f ca="1">+DQ969-DQ967</f>
        <v>374.46065809605312</v>
      </c>
      <c r="DR968" s="65">
        <f ca="1">+DR969-DR967</f>
        <v>750.61519001077818</v>
      </c>
      <c r="DW968" s="540"/>
    </row>
    <row r="969" spans="1:127" s="21" customFormat="1" ht="13.8">
      <c r="A969" s="21" t="s">
        <v>121</v>
      </c>
      <c r="B969" s="27"/>
      <c r="BH969" s="72">
        <f>BH961</f>
        <v>599</v>
      </c>
      <c r="BI969" s="72">
        <f>BI961</f>
        <v>598</v>
      </c>
      <c r="BJ969" s="72">
        <f>BJ961</f>
        <v>1197</v>
      </c>
      <c r="BK969" s="27"/>
      <c r="BL969" s="72">
        <f>BL961</f>
        <v>528</v>
      </c>
      <c r="BM969" s="72">
        <f>BM961</f>
        <v>461</v>
      </c>
      <c r="BN969" s="72">
        <f>BN961</f>
        <v>989</v>
      </c>
      <c r="BO969" s="27"/>
      <c r="BP969" s="72">
        <f>BP961</f>
        <v>510</v>
      </c>
      <c r="BQ969" s="72">
        <f>BQ961</f>
        <v>695</v>
      </c>
      <c r="BR969" s="72">
        <f>BR961</f>
        <v>1205</v>
      </c>
      <c r="BT969" s="72">
        <f>BT961</f>
        <v>918</v>
      </c>
      <c r="BU969" s="72">
        <f>BU961</f>
        <v>1038</v>
      </c>
      <c r="BV969" s="72">
        <f>BV961</f>
        <v>1956</v>
      </c>
      <c r="BW969" s="46"/>
      <c r="BX969" s="72">
        <f>BX961</f>
        <v>720</v>
      </c>
      <c r="BY969" s="72">
        <f>BY961</f>
        <v>479</v>
      </c>
      <c r="BZ969" s="72">
        <f>BZ961</f>
        <v>1199</v>
      </c>
      <c r="CB969" s="72">
        <f>CB961</f>
        <v>408</v>
      </c>
      <c r="CC969" s="72">
        <f>CC961</f>
        <v>280</v>
      </c>
      <c r="CD969" s="72">
        <f>CD961</f>
        <v>688</v>
      </c>
      <c r="CF969" s="72">
        <f>CF961</f>
        <v>393</v>
      </c>
      <c r="CG969" s="72">
        <f>CG961</f>
        <v>402</v>
      </c>
      <c r="CH969" s="72">
        <f>CH961</f>
        <v>795</v>
      </c>
      <c r="CJ969" s="72">
        <f>CJ961</f>
        <v>1674</v>
      </c>
      <c r="CK969" s="72">
        <f>CK961</f>
        <v>1064</v>
      </c>
      <c r="CL969" s="72">
        <f>CL961</f>
        <v>2738</v>
      </c>
      <c r="CN969" s="72">
        <f>CN961</f>
        <v>-491</v>
      </c>
      <c r="CO969" s="72">
        <f>CO961</f>
        <v>-76</v>
      </c>
      <c r="CP969" s="72">
        <f>CP961</f>
        <v>-567</v>
      </c>
      <c r="CR969" s="72">
        <f>CR961</f>
        <v>-284</v>
      </c>
      <c r="CS969" s="72">
        <f>CS961</f>
        <v>52</v>
      </c>
      <c r="CT969" s="72">
        <f>CT961</f>
        <v>-232</v>
      </c>
      <c r="CV969" s="72">
        <f>CV961</f>
        <v>133</v>
      </c>
      <c r="CW969" s="72">
        <f>CW961</f>
        <v>112</v>
      </c>
      <c r="CX969" s="72">
        <f>CX961</f>
        <v>245</v>
      </c>
      <c r="CZ969" s="72">
        <f>CZ961</f>
        <v>70</v>
      </c>
      <c r="DA969" s="72">
        <f>DA961</f>
        <v>336</v>
      </c>
      <c r="DB969" s="72">
        <f>DB961</f>
        <v>406</v>
      </c>
      <c r="DD969" s="72">
        <f>DD961</f>
        <v>145</v>
      </c>
      <c r="DE969" s="72">
        <f>DE961</f>
        <v>296</v>
      </c>
      <c r="DF969" s="72">
        <f>DF961</f>
        <v>441</v>
      </c>
      <c r="DH969" s="72">
        <f>DH961</f>
        <v>209.3784177127927</v>
      </c>
      <c r="DI969" s="72">
        <f>DI961</f>
        <v>344.16098380079086</v>
      </c>
      <c r="DJ969" s="72">
        <f>DJ961</f>
        <v>553.53940151358358</v>
      </c>
      <c r="DL969" s="72">
        <f>DL961</f>
        <v>393.64249455575055</v>
      </c>
      <c r="DM969" s="72">
        <f>DM961</f>
        <v>405.40625259113426</v>
      </c>
      <c r="DN969" s="72">
        <f>DN961</f>
        <v>799.04874714688481</v>
      </c>
      <c r="DP969" s="72">
        <f>DP961</f>
        <v>458.2648637195523</v>
      </c>
      <c r="DQ969" s="72">
        <f>DQ961</f>
        <v>468.19535307126404</v>
      </c>
      <c r="DR969" s="72">
        <f>DR961</f>
        <v>926.46021679081628</v>
      </c>
      <c r="DW969" s="540"/>
    </row>
    <row r="970" spans="1:127" s="21" customFormat="1" ht="13.8">
      <c r="A970" s="20" t="s">
        <v>819</v>
      </c>
      <c r="B970" s="27"/>
      <c r="BH970" s="72"/>
      <c r="BI970" s="72"/>
      <c r="BJ970" s="72"/>
      <c r="BK970" s="27"/>
      <c r="BL970" s="65">
        <f>-(BL256-BL247-BL241)</f>
        <v>-41</v>
      </c>
      <c r="BM970" s="65">
        <f>-(BM256-BM247-BM241)</f>
        <v>-380</v>
      </c>
      <c r="BN970" s="65">
        <f>-(BN256-BN247-BN241)</f>
        <v>-421</v>
      </c>
      <c r="BO970" s="27"/>
      <c r="BP970" s="65">
        <f>-(BP256-BP247-BP241)</f>
        <v>95</v>
      </c>
      <c r="BQ970" s="65">
        <f>-(BQ256-BQ247-BQ241)</f>
        <v>-11</v>
      </c>
      <c r="BR970" s="65">
        <f>-(BR256-BR247-BR241)</f>
        <v>84</v>
      </c>
      <c r="BT970" s="65">
        <f>-(BT256-BT247-BT241)</f>
        <v>83</v>
      </c>
      <c r="BU970" s="65">
        <f>-(BU256-BU247-BU241)</f>
        <v>83</v>
      </c>
      <c r="BV970" s="65">
        <f>-(BV256-BV247-BV241)</f>
        <v>166</v>
      </c>
      <c r="BX970" s="65">
        <f>-(BX256-BX247-BX241)</f>
        <v>-129</v>
      </c>
      <c r="BY970" s="65">
        <f>-(BY256-BY247-BY241)</f>
        <v>-256</v>
      </c>
      <c r="BZ970" s="65">
        <f>-(BZ256-BZ247-BZ241)</f>
        <v>-385</v>
      </c>
      <c r="CB970" s="65">
        <f>-(CB256-CB247-CB241)</f>
        <v>-203</v>
      </c>
      <c r="CC970" s="65">
        <f>-(CC256-CC247-CC241)</f>
        <v>-152</v>
      </c>
      <c r="CD970" s="65">
        <f>-(CD256-CD247-CD241)</f>
        <v>-355</v>
      </c>
      <c r="CF970" s="65">
        <f>-(CF256-CF247-CF241)</f>
        <v>826</v>
      </c>
      <c r="CG970" s="65">
        <f>-(CG256-CG247-CG241)</f>
        <v>-79</v>
      </c>
      <c r="CH970" s="65">
        <f>-(CH256-CH247-CH241)</f>
        <v>747</v>
      </c>
      <c r="CJ970" s="65">
        <f>-(CJ256-CJ247-CJ241)</f>
        <v>1404</v>
      </c>
      <c r="CK970" s="65">
        <f>-(CK256-CK247-CK241)</f>
        <v>305</v>
      </c>
      <c r="CL970" s="65">
        <f>-(CL256-CL247-CL241)</f>
        <v>1709</v>
      </c>
      <c r="CN970" s="65">
        <f>-(CN256-CN247-CN241)</f>
        <v>-805</v>
      </c>
      <c r="CO970" s="65">
        <f>-(CO256-CO247-CO241)</f>
        <v>-212</v>
      </c>
      <c r="CP970" s="65">
        <f>-(CP256-CP247-CP241)</f>
        <v>-1017</v>
      </c>
      <c r="CR970" s="65">
        <f>-(CR256-CR247-CR241)</f>
        <v>-489</v>
      </c>
      <c r="CS970" s="65">
        <f>-(CS256-CS247-CS241)</f>
        <v>2</v>
      </c>
      <c r="CT970" s="65">
        <f>-(CT256-CT247-CT241)</f>
        <v>-487</v>
      </c>
      <c r="CV970" s="65">
        <f>-(CV256-CV247-CV241)</f>
        <v>66</v>
      </c>
      <c r="CW970" s="65">
        <f>-(CW256-CW247-CW241)</f>
        <v>-53</v>
      </c>
      <c r="CX970" s="65">
        <f>-(CX256-CX247-CX241)</f>
        <v>13</v>
      </c>
      <c r="CZ970" s="65">
        <f>-(CZ256-CZ247-CZ241)</f>
        <v>-37</v>
      </c>
      <c r="DA970" s="65">
        <f>-(DA256-DA247-DA241)</f>
        <v>184</v>
      </c>
      <c r="DB970" s="65">
        <f>-(DB256-DB247-DB241)</f>
        <v>147</v>
      </c>
      <c r="DD970" s="65">
        <f>-(DD256-DD247-DD241)</f>
        <v>89</v>
      </c>
      <c r="DE970" s="65">
        <f>-(DE256-DE247-DE241)</f>
        <v>134</v>
      </c>
      <c r="DF970" s="65">
        <f>-(DF256-DF247-DF241)</f>
        <v>223</v>
      </c>
      <c r="DH970" s="65">
        <f ca="1">-(DH256-DH247-DH241)</f>
        <v>435.16113054683865</v>
      </c>
      <c r="DI970" s="65">
        <f ca="1">-(DI256-DI247-DI241)</f>
        <v>61.132967582396304</v>
      </c>
      <c r="DJ970" s="65">
        <f ca="1">-(DJ256-DJ247-DJ241)</f>
        <v>496.29409812923495</v>
      </c>
      <c r="DL970" s="65">
        <f ca="1">-(DL256-DL247-DL241)</f>
        <v>21.071382780389285</v>
      </c>
      <c r="DM970" s="65">
        <f ca="1">-(DM256-DM247-DM241)</f>
        <v>152.68661720153341</v>
      </c>
      <c r="DN970" s="65">
        <f ca="1">-(DN256-DN247-DN241)</f>
        <v>173.75799998192269</v>
      </c>
      <c r="DP970" s="65">
        <f ca="1">-(DP256-DP247-DP241)</f>
        <v>135.98804863891837</v>
      </c>
      <c r="DQ970" s="65">
        <f ca="1">-(DQ256-DQ247-DQ241)</f>
        <v>151.13886215282491</v>
      </c>
      <c r="DR970" s="65">
        <f ca="1">-(DR256-DR247-DR241)</f>
        <v>287.12691079174328</v>
      </c>
      <c r="DW970" s="540"/>
    </row>
    <row r="971" spans="1:127" s="21" customFormat="1" ht="13.8">
      <c r="A971" s="20" t="s">
        <v>818</v>
      </c>
      <c r="B971" s="27"/>
      <c r="BH971" s="72"/>
      <c r="BI971" s="72"/>
      <c r="BJ971" s="72"/>
      <c r="BK971" s="27"/>
      <c r="BL971" s="65">
        <f>BL969-BL970</f>
        <v>569</v>
      </c>
      <c r="BM971" s="65">
        <f>BM969-BM970</f>
        <v>841</v>
      </c>
      <c r="BN971" s="65">
        <f>BN969-BN970</f>
        <v>1410</v>
      </c>
      <c r="BO971" s="27"/>
      <c r="BP971" s="65">
        <f>BP969-BP970</f>
        <v>415</v>
      </c>
      <c r="BQ971" s="65">
        <f>BQ969-BQ970</f>
        <v>706</v>
      </c>
      <c r="BR971" s="65">
        <f>BR969-BR970</f>
        <v>1121</v>
      </c>
      <c r="BT971" s="65">
        <f>BT969-BT970</f>
        <v>835</v>
      </c>
      <c r="BU971" s="65">
        <f>BU969-BU970</f>
        <v>955</v>
      </c>
      <c r="BV971" s="65">
        <f>BV969-BV970</f>
        <v>1790</v>
      </c>
      <c r="BX971" s="65">
        <f>BX969-BX970</f>
        <v>849</v>
      </c>
      <c r="BY971" s="65">
        <f>BY969-BY970</f>
        <v>735</v>
      </c>
      <c r="BZ971" s="65">
        <f>BZ969-BZ970</f>
        <v>1584</v>
      </c>
      <c r="CB971" s="65">
        <f>CB969-CB970</f>
        <v>611</v>
      </c>
      <c r="CC971" s="65">
        <f>CC969-CC970</f>
        <v>432</v>
      </c>
      <c r="CD971" s="65">
        <f>CD969-CD970</f>
        <v>1043</v>
      </c>
      <c r="CF971" s="65">
        <f>CF969-CF970</f>
        <v>-433</v>
      </c>
      <c r="CG971" s="65">
        <f>CG969-CG970</f>
        <v>481</v>
      </c>
      <c r="CH971" s="65">
        <f>CH969-CH970</f>
        <v>48</v>
      </c>
      <c r="CJ971" s="65">
        <f>CJ969-CJ970</f>
        <v>270</v>
      </c>
      <c r="CK971" s="65">
        <f>CK969-CK970</f>
        <v>759</v>
      </c>
      <c r="CL971" s="65">
        <f>CL969-CL970</f>
        <v>1029</v>
      </c>
      <c r="CN971" s="65">
        <f>CN969-CN970</f>
        <v>314</v>
      </c>
      <c r="CO971" s="65">
        <f>CO969-CO970</f>
        <v>136</v>
      </c>
      <c r="CP971" s="65">
        <f>CP969-CP970</f>
        <v>450</v>
      </c>
      <c r="CR971" s="65">
        <f>CR969-CR970</f>
        <v>205</v>
      </c>
      <c r="CS971" s="65">
        <f>CS969-CS970</f>
        <v>50</v>
      </c>
      <c r="CT971" s="65">
        <f>CT969-CT970</f>
        <v>255</v>
      </c>
      <c r="CV971" s="65">
        <f>CV969-CV970</f>
        <v>67</v>
      </c>
      <c r="CW971" s="65">
        <f>CW969-CW970</f>
        <v>165</v>
      </c>
      <c r="CX971" s="65">
        <f>CX969-CX970</f>
        <v>232</v>
      </c>
      <c r="CZ971" s="65">
        <f>CZ969-CZ970</f>
        <v>107</v>
      </c>
      <c r="DA971" s="65">
        <f>DA969-DA970</f>
        <v>152</v>
      </c>
      <c r="DB971" s="65">
        <f>DB969-DB970</f>
        <v>259</v>
      </c>
      <c r="DD971" s="65">
        <f>DD969-DD970</f>
        <v>56</v>
      </c>
      <c r="DE971" s="65">
        <f>DE969-DE970</f>
        <v>162</v>
      </c>
      <c r="DF971" s="65">
        <f>DF969-DF970</f>
        <v>218</v>
      </c>
      <c r="DH971" s="65">
        <f ca="1">DH969-DH970</f>
        <v>-225.78271283404595</v>
      </c>
      <c r="DI971" s="65">
        <f ca="1">DI969-DI970</f>
        <v>283.02801621839455</v>
      </c>
      <c r="DJ971" s="65">
        <f ca="1">DJ969-DJ970</f>
        <v>57.245303384348631</v>
      </c>
      <c r="DL971" s="65">
        <f ca="1">DL969-DL970</f>
        <v>372.57111177536126</v>
      </c>
      <c r="DM971" s="65">
        <f ca="1">DM969-DM970</f>
        <v>252.71963538960085</v>
      </c>
      <c r="DN971" s="65">
        <f ca="1">DN969-DN970</f>
        <v>625.29074716496211</v>
      </c>
      <c r="DP971" s="65">
        <f ca="1">DP969-DP970</f>
        <v>322.27681508063392</v>
      </c>
      <c r="DQ971" s="65">
        <f ca="1">DQ969-DQ970</f>
        <v>317.05649091843912</v>
      </c>
      <c r="DR971" s="65">
        <f ca="1">DR969-DR970</f>
        <v>639.33330599907299</v>
      </c>
      <c r="DW971" s="540"/>
    </row>
    <row r="972" spans="1:127" s="20" customFormat="1" ht="13.8">
      <c r="B972" s="49"/>
      <c r="BH972" s="49"/>
      <c r="BI972" s="49"/>
      <c r="BJ972" s="49"/>
      <c r="BK972" s="49"/>
      <c r="BL972" s="49"/>
      <c r="BM972" s="49"/>
      <c r="BN972" s="49"/>
      <c r="BO972" s="49"/>
      <c r="BP972" s="49"/>
      <c r="BQ972" s="49"/>
      <c r="BR972" s="49"/>
      <c r="BT972" s="49"/>
      <c r="BU972" s="49"/>
      <c r="BV972" s="49"/>
      <c r="BX972" s="49"/>
      <c r="BY972" s="49"/>
      <c r="BZ972" s="49"/>
      <c r="CB972" s="49"/>
      <c r="CC972" s="49"/>
      <c r="CD972" s="49"/>
      <c r="CF972" s="49"/>
      <c r="CG972" s="49"/>
      <c r="CH972" s="49"/>
      <c r="CJ972" s="49"/>
      <c r="CK972" s="49"/>
      <c r="CL972" s="49"/>
      <c r="CN972" s="49"/>
      <c r="CO972" s="49"/>
      <c r="CP972" s="49"/>
      <c r="CR972" s="49"/>
      <c r="CS972" s="49"/>
      <c r="CT972" s="49"/>
      <c r="CV972" s="49"/>
      <c r="CW972" s="49"/>
      <c r="CX972" s="49"/>
      <c r="CZ972" s="49"/>
      <c r="DA972" s="49"/>
      <c r="DB972" s="49"/>
      <c r="DD972" s="49"/>
      <c r="DE972" s="49"/>
      <c r="DF972" s="49"/>
      <c r="DH972" s="49"/>
      <c r="DI972" s="49"/>
      <c r="DJ972" s="49"/>
      <c r="DL972" s="49"/>
      <c r="DM972" s="49"/>
      <c r="DN972" s="49"/>
      <c r="DP972" s="49"/>
      <c r="DQ972" s="49"/>
      <c r="DR972" s="49"/>
      <c r="DW972" s="540"/>
    </row>
    <row r="973" spans="1:127" s="20" customFormat="1" ht="13.8">
      <c r="A973" s="20" t="s">
        <v>736</v>
      </c>
      <c r="B973" s="49"/>
      <c r="BD973" s="65"/>
      <c r="BE973" s="65"/>
      <c r="BF973" s="65"/>
      <c r="BH973" s="65">
        <f>BH154</f>
        <v>459715</v>
      </c>
      <c r="BI973" s="65">
        <f>BI154</f>
        <v>488571</v>
      </c>
      <c r="BJ973" s="65">
        <f>BJ154</f>
        <v>488571</v>
      </c>
      <c r="BK973" s="49"/>
      <c r="BL973" s="65">
        <f>BL154</f>
        <v>514485</v>
      </c>
      <c r="BM973" s="65">
        <f>BM154</f>
        <v>526577</v>
      </c>
      <c r="BN973" s="65">
        <f>BN154</f>
        <v>526577</v>
      </c>
      <c r="BO973" s="49"/>
      <c r="BP973" s="65">
        <f>BP154</f>
        <v>563034</v>
      </c>
      <c r="BQ973" s="65">
        <f>BQ154</f>
        <v>574994</v>
      </c>
      <c r="BR973" s="65">
        <f>BR154</f>
        <v>574994</v>
      </c>
      <c r="BS973" s="48"/>
      <c r="BT973" s="65">
        <f>BT154</f>
        <v>566464</v>
      </c>
      <c r="BU973" s="65">
        <f>BU154</f>
        <v>580579</v>
      </c>
      <c r="BV973" s="65">
        <f>BV154</f>
        <v>580579</v>
      </c>
      <c r="BX973" s="65">
        <f>BX154</f>
        <v>580816</v>
      </c>
      <c r="BY973" s="65">
        <f>BY154</f>
        <v>584502</v>
      </c>
      <c r="BZ973" s="65">
        <f>BZ154</f>
        <v>584502</v>
      </c>
      <c r="CB973" s="65">
        <f>CB154</f>
        <v>595983</v>
      </c>
      <c r="CC973" s="65">
        <f>CC154</f>
        <v>608810</v>
      </c>
      <c r="CD973" s="65">
        <f>CD154</f>
        <v>608810</v>
      </c>
      <c r="CF973" s="65">
        <f>CF154</f>
        <v>614216</v>
      </c>
      <c r="CG973" s="65">
        <f>CG154</f>
        <v>619165</v>
      </c>
      <c r="CH973" s="65">
        <f>CH154</f>
        <v>619165</v>
      </c>
      <c r="CJ973" s="65">
        <f>CJ154</f>
        <v>661939</v>
      </c>
      <c r="CK973" s="65">
        <f>CK154</f>
        <v>622534</v>
      </c>
      <c r="CL973" s="65">
        <f>CL154</f>
        <v>622534</v>
      </c>
      <c r="CN973" s="65">
        <f>CN154</f>
        <v>619046</v>
      </c>
      <c r="CO973" s="65">
        <f>CO154</f>
        <v>634198</v>
      </c>
      <c r="CP973" s="65">
        <f>CP154</f>
        <v>634198</v>
      </c>
      <c r="CR973" s="65">
        <f>CR154</f>
        <v>655455</v>
      </c>
      <c r="CS973" s="65">
        <f>CS154</f>
        <v>676507</v>
      </c>
      <c r="CT973" s="65">
        <f>CT154</f>
        <v>676507</v>
      </c>
      <c r="CV973" s="65">
        <f>CV154</f>
        <v>694271</v>
      </c>
      <c r="CW973" s="65">
        <f>CW154</f>
        <v>711105</v>
      </c>
      <c r="CX973" s="65">
        <f>CX154</f>
        <v>711105</v>
      </c>
      <c r="CZ973" s="65">
        <f>CZ154</f>
        <v>719154</v>
      </c>
      <c r="DA973" s="65">
        <f>DA154</f>
        <v>807572</v>
      </c>
      <c r="DB973" s="65">
        <f>DB154</f>
        <v>807572</v>
      </c>
      <c r="DD973" s="65">
        <f>DD154</f>
        <v>824547</v>
      </c>
      <c r="DE973" s="65">
        <f>DE154</f>
        <v>833971</v>
      </c>
      <c r="DF973" s="65">
        <f>DF154</f>
        <v>833971</v>
      </c>
      <c r="DH973" s="65">
        <f>DH154</f>
        <v>839814.53258427838</v>
      </c>
      <c r="DI973" s="65">
        <f>DI154</f>
        <v>858051.63310989505</v>
      </c>
      <c r="DJ973" s="65">
        <f>DJ154</f>
        <v>858051.63310989505</v>
      </c>
      <c r="DL973" s="65">
        <f>DL154</f>
        <v>877164.28884523176</v>
      </c>
      <c r="DM973" s="65">
        <f>DM154</f>
        <v>898441.30052072858</v>
      </c>
      <c r="DN973" s="65">
        <f>DN154</f>
        <v>898441.30052072858</v>
      </c>
      <c r="DP973" s="65">
        <f>DP154</f>
        <v>916529.72743910458</v>
      </c>
      <c r="DQ973" s="65">
        <f>DQ154</f>
        <v>936390.7061425281</v>
      </c>
      <c r="DR973" s="65">
        <f>DR154</f>
        <v>936390.7061425281</v>
      </c>
      <c r="DW973" s="540"/>
    </row>
    <row r="974" spans="1:127" s="20" customFormat="1" ht="13.8">
      <c r="A974" s="20" t="s">
        <v>599</v>
      </c>
      <c r="B974" s="49"/>
      <c r="BH974" s="66">
        <f t="shared" ref="BH974:BJ976" si="1516">+BH967*(BH$4/BH$3)/BH$973</f>
        <v>1.744989400384591E-5</v>
      </c>
      <c r="BI974" s="66">
        <f t="shared" si="1516"/>
        <v>4.8172157425805176E-4</v>
      </c>
      <c r="BJ974" s="66">
        <f t="shared" si="1516"/>
        <v>2.4970782138112989E-4</v>
      </c>
      <c r="BK974" s="49"/>
      <c r="BL974" s="66">
        <f t="shared" ref="BL974:BN976" si="1517">+BL967*(BL$4/BL$3)/BL$973</f>
        <v>-1.7151473462153076E-4</v>
      </c>
      <c r="BM974" s="66">
        <f t="shared" si="1517"/>
        <v>-3.257454363650686E-4</v>
      </c>
      <c r="BN974" s="66">
        <f t="shared" si="1517"/>
        <v>-2.4687747470930176E-4</v>
      </c>
      <c r="BO974" s="49"/>
      <c r="BP974" s="66">
        <f t="shared" ref="BP974:BR976" si="1518">+BP967*(BP$4/BP$3)/BP$973</f>
        <v>5.5922490890894223E-4</v>
      </c>
      <c r="BQ974" s="66">
        <f t="shared" si="1518"/>
        <v>1.4568933206829756E-4</v>
      </c>
      <c r="BR974" s="66">
        <f t="shared" si="1518"/>
        <v>3.460905679015781E-4</v>
      </c>
      <c r="BT974" s="66">
        <f t="shared" ref="BT974:BV976" si="1519">+BT967*(BT$4/BT$3)/BT$973</f>
        <v>-3.3188340300531016E-4</v>
      </c>
      <c r="BU974" s="66">
        <f t="shared" si="1519"/>
        <v>4.8227717502699891E-5</v>
      </c>
      <c r="BV974" s="66">
        <f t="shared" si="1519"/>
        <v>-1.3779347857914256E-4</v>
      </c>
      <c r="BX974" s="66">
        <f t="shared" ref="BX974:BZ976" si="1520">+BX967*(BX$4/BX$3)/BX$973</f>
        <v>-3.1421310707694002E-4</v>
      </c>
      <c r="BY974" s="66">
        <f t="shared" si="1520"/>
        <v>-2.8663885428374474E-4</v>
      </c>
      <c r="BZ974" s="66">
        <f t="shared" si="1520"/>
        <v>-2.9940017313884296E-4</v>
      </c>
      <c r="CB974" s="66">
        <f t="shared" ref="CB974:CD976" si="1521">+CB967*(CB$4/CB$3)/CB$973</f>
        <v>-1.3460078596164692E-5</v>
      </c>
      <c r="CC974" s="66">
        <f t="shared" si="1521"/>
        <v>-1.8346280296157791E-4</v>
      </c>
      <c r="CD974" s="66">
        <f t="shared" si="1521"/>
        <v>-9.8552914702452319E-5</v>
      </c>
      <c r="CF974" s="66">
        <f t="shared" ref="CF974:CH976" si="1522">+CF967*(CF$4/CF$3)/CF$973</f>
        <v>4.2446677669465743E-5</v>
      </c>
      <c r="CG974" s="66">
        <f t="shared" si="1522"/>
        <v>-6.4426623569668284E-6</v>
      </c>
      <c r="CH974" s="66">
        <f t="shared" si="1522"/>
        <v>1.7765862088457841E-5</v>
      </c>
      <c r="CJ974" s="66">
        <f t="shared" ref="CJ974:CL976" si="1523">+CJ967*(CJ$4/CJ$3)/CJ$973</f>
        <v>3.399104751344157E-3</v>
      </c>
      <c r="CK974" s="66">
        <f t="shared" si="1523"/>
        <v>1.6288266986220832E-3</v>
      </c>
      <c r="CL974" s="66">
        <f t="shared" si="1523"/>
        <v>2.6215435622793295E-3</v>
      </c>
      <c r="CN974" s="66">
        <f t="shared" ref="CN974:CP976" si="1524">+CN967*(CN$4/CN$3)/CN$973</f>
        <v>-2.3422694395449245E-3</v>
      </c>
      <c r="CO974" s="66">
        <f t="shared" si="1524"/>
        <v>-2.8304756041695414E-4</v>
      </c>
      <c r="CP974" s="66">
        <f t="shared" si="1524"/>
        <v>-1.2819340332199092E-3</v>
      </c>
      <c r="CQ974"/>
      <c r="CR974" s="66">
        <f t="shared" ref="CR974:CT976" si="1525">+CR967*(CR$4/CR$3)/CR$973</f>
        <v>-1.3401478261766153E-3</v>
      </c>
      <c r="CS974" s="66">
        <f t="shared" si="1525"/>
        <v>2.8303537115811895E-4</v>
      </c>
      <c r="CT974" s="66">
        <f t="shared" si="1525"/>
        <v>-5.0553800625861964E-4</v>
      </c>
      <c r="CV974" s="66">
        <f t="shared" ref="CV974:CX976" si="1526">+CV967*(CV$4/CV$3)/CV$973</f>
        <v>5.4017447441629069E-4</v>
      </c>
      <c r="CW974" s="66">
        <f t="shared" si="1526"/>
        <v>-2.2438717422891786E-5</v>
      </c>
      <c r="CX974" s="66">
        <f t="shared" si="1526"/>
        <v>2.5172091322659806E-4</v>
      </c>
      <c r="CZ974" s="66">
        <f t="shared" ref="CZ974:DB976" si="1527">+CZ967*(CZ$4/CZ$3)/CZ$973</f>
        <v>3.8934637087466661E-5</v>
      </c>
      <c r="DA974" s="66">
        <f t="shared" si="1527"/>
        <v>4.9778843248651512E-4</v>
      </c>
      <c r="DB974" s="66">
        <f t="shared" si="1527"/>
        <v>2.6623013180248945E-4</v>
      </c>
      <c r="DD974" s="66">
        <f t="shared" ref="DD974:DF975" si="1528">+DD967*(DD$4/DD$3)/DD$973</f>
        <v>8.0263852371445995E-5</v>
      </c>
      <c r="DE974" s="66">
        <f t="shared" si="1528"/>
        <v>2.3676964354089365E-4</v>
      </c>
      <c r="DF974" s="66">
        <f t="shared" si="1528"/>
        <v>1.5827888499720015E-4</v>
      </c>
      <c r="DH974" s="66">
        <f t="shared" ref="DH974:DJ975" ca="1" si="1529">+DH967*(DH$4/DH$3)/DH$973</f>
        <v>-2.1434059035962085E-4</v>
      </c>
      <c r="DI974" s="66">
        <f t="shared" ca="1" si="1529"/>
        <v>2.5657077652429309E-5</v>
      </c>
      <c r="DJ974" s="66">
        <f t="shared" ca="1" si="1529"/>
        <v>-9.1741426654068196E-5</v>
      </c>
      <c r="DL974" s="66">
        <f t="shared" ref="DL974:DN975" ca="1" si="1530">+DL967*(DL$4/DL$3)/DL$973</f>
        <v>-7.1619558812820243E-5</v>
      </c>
      <c r="DM974" s="66">
        <f t="shared" ca="1" si="1530"/>
        <v>2.138831972945001E-4</v>
      </c>
      <c r="DN974" s="66">
        <f t="shared" ca="1" si="1530"/>
        <v>7.2368647646140868E-5</v>
      </c>
      <c r="DP974" s="66">
        <f t="shared" ref="DP974:DR974" ca="1" si="1531">+DP967*(DP$4/DP$3)/DP$973</f>
        <v>1.7917658172256654E-4</v>
      </c>
      <c r="DQ974" s="66">
        <f t="shared" ca="1" si="1531"/>
        <v>2.0020424030339223E-4</v>
      </c>
      <c r="DR974" s="66">
        <f t="shared" ca="1" si="1531"/>
        <v>1.8779023075147087E-4</v>
      </c>
      <c r="DW974" s="540"/>
    </row>
    <row r="975" spans="1:127" s="20" customFormat="1" ht="13.8">
      <c r="A975" s="20" t="s">
        <v>600</v>
      </c>
      <c r="B975" s="49"/>
      <c r="BH975" s="66">
        <f t="shared" si="1516"/>
        <v>2.5956717330720787E-3</v>
      </c>
      <c r="BI975" s="66">
        <f t="shared" si="1516"/>
        <v>1.9595453868124137E-3</v>
      </c>
      <c r="BJ975" s="66">
        <f t="shared" si="1516"/>
        <v>2.2002943277435625E-3</v>
      </c>
      <c r="BK975" s="49"/>
      <c r="BL975" s="66">
        <f t="shared" si="1517"/>
        <v>2.2296915500798994E-3</v>
      </c>
      <c r="BM975" s="66">
        <f t="shared" si="1517"/>
        <v>2.0718924847871229E-3</v>
      </c>
      <c r="BN975" s="66">
        <f t="shared" si="1517"/>
        <v>2.125045339997759E-3</v>
      </c>
      <c r="BO975" s="49"/>
      <c r="BP975" s="66">
        <f t="shared" si="1518"/>
        <v>1.2573655595213796E-3</v>
      </c>
      <c r="BQ975" s="66">
        <f t="shared" si="1518"/>
        <v>2.2651222342999597E-3</v>
      </c>
      <c r="BR975" s="66">
        <f t="shared" si="1518"/>
        <v>1.7495834739145104E-3</v>
      </c>
      <c r="BT975" s="66">
        <f t="shared" si="1519"/>
        <v>3.5730425940571687E-3</v>
      </c>
      <c r="BU975" s="66">
        <f t="shared" si="1519"/>
        <v>3.5275130516260493E-3</v>
      </c>
      <c r="BV975" s="66">
        <f t="shared" si="1519"/>
        <v>3.5068440298391779E-3</v>
      </c>
      <c r="BX975" s="66">
        <f t="shared" si="1520"/>
        <v>2.8002948333999819E-3</v>
      </c>
      <c r="BY975" s="66">
        <f t="shared" si="1520"/>
        <v>1.9211627971636703E-3</v>
      </c>
      <c r="BZ975" s="66">
        <f t="shared" si="1520"/>
        <v>2.3507190736729729E-3</v>
      </c>
      <c r="CB975" s="66">
        <f t="shared" si="1521"/>
        <v>1.3863880954049633E-3</v>
      </c>
      <c r="CC975" s="66">
        <f t="shared" si="1521"/>
        <v>1.1007768177694675E-3</v>
      </c>
      <c r="CD975" s="66">
        <f t="shared" si="1521"/>
        <v>1.2286263366239056E-3</v>
      </c>
      <c r="CF975" s="66">
        <f t="shared" si="1522"/>
        <v>1.2407490395689987E-3</v>
      </c>
      <c r="CG975" s="66">
        <f t="shared" si="1522"/>
        <v>1.3014177961072992E-3</v>
      </c>
      <c r="CH975" s="66">
        <f t="shared" si="1522"/>
        <v>1.2662214433955409E-3</v>
      </c>
      <c r="CJ975" s="66">
        <f t="shared" si="1523"/>
        <v>1.6587631186559487E-3</v>
      </c>
      <c r="CK975" s="66">
        <f t="shared" si="1523"/>
        <v>1.7894604953303756E-3</v>
      </c>
      <c r="CL975" s="66">
        <f t="shared" si="1523"/>
        <v>1.7766097915937122E-3</v>
      </c>
      <c r="CN975" s="66">
        <f t="shared" si="1524"/>
        <v>7.5159959885812242E-4</v>
      </c>
      <c r="CO975" s="66">
        <f t="shared" si="1524"/>
        <v>4.4029620509303975E-5</v>
      </c>
      <c r="CP975" s="66">
        <f t="shared" si="1524"/>
        <v>3.87891478686467E-4</v>
      </c>
      <c r="CR975" s="66">
        <f t="shared" si="1525"/>
        <v>4.7119352792511135E-4</v>
      </c>
      <c r="CS975" s="66">
        <f t="shared" si="1525"/>
        <v>-1.2972454511413786E-4</v>
      </c>
      <c r="CT975" s="66">
        <f t="shared" si="1525"/>
        <v>1.6259994353347415E-4</v>
      </c>
      <c r="CV975" s="66">
        <f t="shared" si="1526"/>
        <v>-1.5598621186352777E-4</v>
      </c>
      <c r="CW975" s="66">
        <f t="shared" si="1526"/>
        <v>3.365807613433768E-4</v>
      </c>
      <c r="CX975" s="66">
        <f t="shared" si="1526"/>
        <v>9.281329761427637E-5</v>
      </c>
      <c r="CZ975" s="66">
        <f t="shared" si="1527"/>
        <v>1.5573854834986664E-4</v>
      </c>
      <c r="DA975" s="66">
        <f t="shared" si="1527"/>
        <v>3.3433551435661465E-4</v>
      </c>
      <c r="DB975" s="66">
        <f t="shared" si="1527"/>
        <v>2.3651141941523481E-4</v>
      </c>
      <c r="DD975" s="66">
        <f t="shared" si="1528"/>
        <v>2.7241065047278642E-4</v>
      </c>
      <c r="DE975" s="66">
        <f t="shared" si="1528"/>
        <v>4.7114767452076817E-4</v>
      </c>
      <c r="DF975" s="66">
        <f t="shared" si="1528"/>
        <v>3.7051648078890032E-4</v>
      </c>
      <c r="DH975" s="66">
        <f t="shared" ca="1" si="1529"/>
        <v>7.1434059035962094E-4</v>
      </c>
      <c r="DI975" s="66">
        <f t="shared" ca="1" si="1529"/>
        <v>7.7434292234757095E-4</v>
      </c>
      <c r="DJ975" s="66">
        <f t="shared" ca="1" si="1529"/>
        <v>7.368534224291394E-4</v>
      </c>
      <c r="DL975" s="66">
        <f t="shared" ca="1" si="1530"/>
        <v>9.7161955881282019E-4</v>
      </c>
      <c r="DM975" s="66">
        <f t="shared" ca="1" si="1530"/>
        <v>6.861168027054999E-4</v>
      </c>
      <c r="DN975" s="66">
        <f t="shared" ca="1" si="1530"/>
        <v>8.1700358700487446E-4</v>
      </c>
      <c r="DP975" s="66">
        <f t="shared" ref="DP975:DR975" ca="1" si="1532">+DP968*(DP$4/DP$3)/DP$973</f>
        <v>8.2082341827743345E-4</v>
      </c>
      <c r="DQ975" s="66">
        <f t="shared" ca="1" si="1532"/>
        <v>7.9979575969660777E-4</v>
      </c>
      <c r="DR975" s="66">
        <f t="shared" ca="1" si="1532"/>
        <v>8.0160469885796469E-4</v>
      </c>
      <c r="DW975" s="540"/>
    </row>
    <row r="976" spans="1:127" s="93" customFormat="1" ht="13.8">
      <c r="A976" s="93" t="s">
        <v>601</v>
      </c>
      <c r="B976" s="94"/>
      <c r="BE976" s="384"/>
      <c r="BH976" s="384">
        <f t="shared" si="1516"/>
        <v>2.613121627075925E-3</v>
      </c>
      <c r="BI976" s="384">
        <f t="shared" si="1516"/>
        <v>2.4412669610704655E-3</v>
      </c>
      <c r="BJ976" s="384">
        <f t="shared" si="1516"/>
        <v>2.4500021491246924E-3</v>
      </c>
      <c r="BK976" s="385"/>
      <c r="BL976" s="384">
        <f t="shared" si="1517"/>
        <v>2.0581768154583689E-3</v>
      </c>
      <c r="BM976" s="384">
        <f t="shared" si="1517"/>
        <v>1.7461470484220539E-3</v>
      </c>
      <c r="BN976" s="384">
        <f t="shared" si="1517"/>
        <v>1.8781678652884572E-3</v>
      </c>
      <c r="BO976" s="385"/>
      <c r="BP976" s="384">
        <f t="shared" si="1518"/>
        <v>1.816590468430322E-3</v>
      </c>
      <c r="BQ976" s="384">
        <f t="shared" si="1518"/>
        <v>2.4108115663682571E-3</v>
      </c>
      <c r="BR976" s="384">
        <f t="shared" si="1518"/>
        <v>2.0956740418160884E-3</v>
      </c>
      <c r="BT976" s="384">
        <f t="shared" si="1519"/>
        <v>3.2411591910518588E-3</v>
      </c>
      <c r="BU976" s="384">
        <f t="shared" si="1519"/>
        <v>3.575740769128749E-3</v>
      </c>
      <c r="BV976" s="384">
        <f t="shared" si="1519"/>
        <v>3.3690505512600352E-3</v>
      </c>
      <c r="BX976" s="384">
        <f t="shared" si="1520"/>
        <v>2.4860817263230419E-3</v>
      </c>
      <c r="BY976" s="384">
        <f t="shared" si="1520"/>
        <v>1.6345239428799255E-3</v>
      </c>
      <c r="BZ976" s="384">
        <f t="shared" si="1520"/>
        <v>2.0513189005341298E-3</v>
      </c>
      <c r="CB976" s="384">
        <f t="shared" si="1521"/>
        <v>1.3729280168087987E-3</v>
      </c>
      <c r="CC976" s="384">
        <f t="shared" si="1521"/>
        <v>9.1731401480788964E-4</v>
      </c>
      <c r="CD976" s="384">
        <f t="shared" si="1521"/>
        <v>1.1300734219214534E-3</v>
      </c>
      <c r="CF976" s="384">
        <f t="shared" si="1522"/>
        <v>1.2831957172384644E-3</v>
      </c>
      <c r="CG976" s="384">
        <f t="shared" si="1522"/>
        <v>1.2949751337503325E-3</v>
      </c>
      <c r="CH976" s="384">
        <f t="shared" si="1522"/>
        <v>1.2839873054839987E-3</v>
      </c>
      <c r="CJ976" s="384">
        <f t="shared" si="1523"/>
        <v>5.0578678700001056E-3</v>
      </c>
      <c r="CK976" s="384">
        <f t="shared" si="1523"/>
        <v>3.418287193952459E-3</v>
      </c>
      <c r="CL976" s="384">
        <f t="shared" si="1523"/>
        <v>4.3981533538730412E-3</v>
      </c>
      <c r="CN976" s="384">
        <f t="shared" si="1524"/>
        <v>-1.5906698406868021E-3</v>
      </c>
      <c r="CO976" s="384">
        <f t="shared" si="1524"/>
        <v>-2.3901793990765014E-4</v>
      </c>
      <c r="CP976" s="384">
        <f t="shared" si="1524"/>
        <v>-8.9404255453344223E-4</v>
      </c>
      <c r="CR976" s="384">
        <f t="shared" si="1525"/>
        <v>-8.6895429825150402E-4</v>
      </c>
      <c r="CS976" s="384">
        <f t="shared" si="1525"/>
        <v>1.5331082604398111E-4</v>
      </c>
      <c r="CT976" s="384">
        <f t="shared" si="1525"/>
        <v>-3.4293806272514549E-4</v>
      </c>
      <c r="CV976" s="384">
        <f t="shared" si="1526"/>
        <v>3.8418826255276288E-4</v>
      </c>
      <c r="CW976" s="384">
        <f t="shared" si="1526"/>
        <v>3.1414204392048498E-4</v>
      </c>
      <c r="CX976" s="384">
        <f t="shared" si="1526"/>
        <v>3.445342108408744E-4</v>
      </c>
      <c r="CZ976" s="384">
        <f t="shared" si="1527"/>
        <v>1.9467318543733332E-4</v>
      </c>
      <c r="DA976" s="384">
        <f t="shared" si="1527"/>
        <v>8.3212394684312977E-4</v>
      </c>
      <c r="DB976" s="384">
        <f t="shared" si="1527"/>
        <v>5.0274155121772426E-4</v>
      </c>
      <c r="DD976" s="384">
        <f>+DD969*(DD$4/DD$3)/DD$973</f>
        <v>3.5267450284423243E-4</v>
      </c>
      <c r="DE976" s="384">
        <f t="shared" ref="DE976:DF976" si="1533">+DE969*(DE$4/DE$3)/DE$973</f>
        <v>7.0791731806166183E-4</v>
      </c>
      <c r="DF976" s="384">
        <f t="shared" si="1533"/>
        <v>5.287953657861005E-4</v>
      </c>
      <c r="DH976" s="1716">
        <v>5.0000000000000001E-4</v>
      </c>
      <c r="DI976" s="1716">
        <v>8.0000000000000004E-4</v>
      </c>
      <c r="DJ976" s="384">
        <f>+DJ969*(DJ$4/DJ$3)/DJ$973</f>
        <v>6.451119957750712E-4</v>
      </c>
      <c r="DL976" s="1295">
        <v>8.9999999999999998E-4</v>
      </c>
      <c r="DM976" s="1295">
        <v>8.9999999999999998E-4</v>
      </c>
      <c r="DN976" s="548">
        <f>+DN969*(DN$4/DN$3)/DN$973</f>
        <v>8.8937223465101534E-4</v>
      </c>
      <c r="DP976" s="1295">
        <v>1E-3</v>
      </c>
      <c r="DQ976" s="1295">
        <v>1E-3</v>
      </c>
      <c r="DR976" s="548">
        <f>+DR969*(DR$4/DR$3)/DR$973</f>
        <v>9.8939492960943565E-4</v>
      </c>
      <c r="DW976" s="927">
        <f>+CL976+CP976+CT976</f>
        <v>3.1611727366144537E-3</v>
      </c>
    </row>
    <row r="977" spans="1:128" s="20" customFormat="1" ht="13.8">
      <c r="A977" s="20" t="s">
        <v>602</v>
      </c>
      <c r="B977" s="49"/>
      <c r="BH977" s="66">
        <f>BH961*(BH$4/BH$3)/BH461</f>
        <v>2.6724935790968869E-3</v>
      </c>
      <c r="BI977" s="66">
        <f>BI961*(BI$4/BI$3)/BI461</f>
        <v>2.5085014605093808E-3</v>
      </c>
      <c r="BJ977" s="66">
        <f>BJ961*(BJ$4/BJ$3)/BJ461</f>
        <v>2.5927105196467677E-3</v>
      </c>
      <c r="BK977" s="49"/>
      <c r="BL977" s="66">
        <f>BL961*(BL$4/BL$3)/BL461</f>
        <v>2.1068298280576734E-3</v>
      </c>
      <c r="BM977" s="66">
        <f>BM961*(BM$4/BM$3)/BM461</f>
        <v>1.7433759329804287E-3</v>
      </c>
      <c r="BN977" s="66">
        <f>BN961*(BN$4/BN$3)/BN461</f>
        <v>1.9202317480904469E-3</v>
      </c>
      <c r="BO977" s="49"/>
      <c r="BP977" s="66">
        <f>BP961*(BP$4/BP$3)/BP461</f>
        <v>1.8777348959100383E-3</v>
      </c>
      <c r="BQ977" s="66">
        <f>BQ961*(BQ$4/BQ$3)/BQ461</f>
        <v>2.4469372482014274E-3</v>
      </c>
      <c r="BR977" s="66">
        <f>BR961*(BR$4/BR$3)/BR461</f>
        <v>2.1688167349858938E-3</v>
      </c>
      <c r="BT977" s="66">
        <f>BT961*(BT$4/BT$3)/BT461</f>
        <v>3.3325346866763957E-3</v>
      </c>
      <c r="BU977" s="66">
        <f>BU961*(BU$4/BU$3)/BU461</f>
        <v>3.7671139660850868E-3</v>
      </c>
      <c r="BV977" s="66">
        <f>BV961*(BV$4/BV$3)/BV461</f>
        <v>3.5498544940776775E-3</v>
      </c>
      <c r="BX977" s="66">
        <f>BX961*(BX$4/BX$3)/BX461</f>
        <v>2.5980665837012132E-3</v>
      </c>
      <c r="BY977" s="66">
        <f>BY961*(BY$4/BY$3)/BY461</f>
        <v>1.7110633962224857E-3</v>
      </c>
      <c r="BZ977" s="66">
        <f>BZ961*(BZ$4/BZ$3)/BZ461</f>
        <v>2.1523385364636484E-3</v>
      </c>
      <c r="CB977" s="66">
        <f>CB961*(CB$4/CB$3)/CB461</f>
        <v>1.4573854219767889E-3</v>
      </c>
      <c r="CC977" s="66">
        <f>CC961*(CC$4/CC$3)/CC461</f>
        <v>9.7548483481400383E-4</v>
      </c>
      <c r="CD977" s="66">
        <f>CD961*(CD$4/CD$3)/CD461</f>
        <v>1.2131834957670828E-3</v>
      </c>
      <c r="CF977" s="66">
        <f>CF961*(CF$4/CF$3)/CF461</f>
        <v>1.3451861130092124E-3</v>
      </c>
      <c r="CG977" s="66">
        <f>CG961*(CG$4/CG$3)/CG461</f>
        <v>1.3591521669362324E-3</v>
      </c>
      <c r="CH977" s="66">
        <f>CH961*(CH$4/CH$3)/CH461</f>
        <v>1.3522155924915464E-3</v>
      </c>
      <c r="CJ977" s="66">
        <f>CJ961*(CJ$4/CJ$3)/CJ461</f>
        <v>5.5371883057493809E-3</v>
      </c>
      <c r="CK977" s="66">
        <f>CK961*(CK$4/CK$3)/CK461</f>
        <v>3.5034919673226934E-3</v>
      </c>
      <c r="CL977" s="66">
        <f>CL961*(CL$4/CL$3)/CL461</f>
        <v>4.5180250719039231E-3</v>
      </c>
      <c r="CN977" s="66">
        <f>CN961*(CN$4/CN$3)/CN461</f>
        <v>-1.679070826011592E-3</v>
      </c>
      <c r="CO977" s="66">
        <f>CO961*(CO$4/CO$3)/CO461</f>
        <v>-2.5809690414810386E-4</v>
      </c>
      <c r="CP977" s="66">
        <f>CP961*(CP$4/CP$3)/CP461</f>
        <v>-9.6611772323368296E-4</v>
      </c>
      <c r="CR977" s="66">
        <f>CR961*(CR$4/CR$3)/CR461</f>
        <v>-9.3818586061048838E-4</v>
      </c>
      <c r="CS977" s="66">
        <f>CS961*(CS$4/CS$3)/CS461</f>
        <v>1.6742134174003699E-4</v>
      </c>
      <c r="CT977" s="66">
        <f>CT961*(CT$4/CT$3)/CT461</f>
        <v>-3.7827834438003931E-4</v>
      </c>
      <c r="CV977" s="66">
        <f>CV961*(CV$4/CV$3)/CV461</f>
        <v>4.1082716480442792E-4</v>
      </c>
      <c r="CW977" s="66">
        <f>CW961*(CW$4/CW$3)/CW461</f>
        <v>3.4358448056132556E-4</v>
      </c>
      <c r="CX977" s="66">
        <f>CX961*(CX$4/CX$3)/CX461</f>
        <v>3.7708957647453569E-4</v>
      </c>
      <c r="CZ977" s="66">
        <f>CZ961*(CZ$4/CZ$3)/CZ461</f>
        <v>2.1084908928254079E-4</v>
      </c>
      <c r="DA977" s="66">
        <f>DA961*(DA$4/DA$3)/DA461</f>
        <v>9.6085378722236044E-4</v>
      </c>
      <c r="DB977" s="66">
        <f>DB961*(DB$4/DB$3)/DB461</f>
        <v>5.9558737237413453E-4</v>
      </c>
      <c r="DD977" s="66">
        <f>DD961*(DD$4/DD$3)/DD461</f>
        <v>3.8134421859179482E-4</v>
      </c>
      <c r="DE977" s="66">
        <f>DE961*(DE$4/DE$3)/DE461</f>
        <v>7.5963436837594035E-4</v>
      </c>
      <c r="DF977" s="66">
        <f>DF961*(DF$4/DF$3)/DF461</f>
        <v>5.7280538255216618E-4</v>
      </c>
      <c r="DH977" s="66">
        <f>DH961*(DH$4/DH$3)/DH461</f>
        <v>5.3535873021894184E-4</v>
      </c>
      <c r="DI977" s="66">
        <f>DI961*(DI$4/DI$3)/DI461</f>
        <v>8.6276250787691055E-4</v>
      </c>
      <c r="DJ977" s="66">
        <f>DJ961*(DJ$4/DJ$3)/DJ461</f>
        <v>7.0069196944192065E-4</v>
      </c>
      <c r="DL977" s="66">
        <f>DL961*(DL$4/DL$3)/DL461</f>
        <v>9.7087034691148357E-4</v>
      </c>
      <c r="DM977" s="66">
        <f>DM961*(DM$4/DM$3)/DM461</f>
        <v>9.7180028650755074E-4</v>
      </c>
      <c r="DN977" s="66">
        <f>DN961*(DN$4/DN$3)/DN461</f>
        <v>9.7137255501997591E-4</v>
      </c>
      <c r="DP977" s="66">
        <f>DP961*(DP$4/DP$3)/DP461</f>
        <v>1.0776262648722935E-3</v>
      </c>
      <c r="DQ977" s="66">
        <f>DQ961*(DQ$4/DQ$3)/DQ461</f>
        <v>1.0784291861209692E-3</v>
      </c>
      <c r="DR977" s="66">
        <f>DR961*(DR$4/DR$3)/DR461</f>
        <v>1.0780318791615458E-3</v>
      </c>
      <c r="DW977" s="928"/>
    </row>
    <row r="978" spans="1:128" s="20" customFormat="1" ht="13.8">
      <c r="A978" s="20" t="s">
        <v>603</v>
      </c>
      <c r="B978" s="49"/>
      <c r="BH978" s="66">
        <f>BH961*(BH$4/BH$3)/BH1402</f>
        <v>4.3686811628246948E-3</v>
      </c>
      <c r="BI978" s="66">
        <f>BI961*(BI$4/BI$3)/BI1402</f>
        <v>4.1464560889312345E-3</v>
      </c>
      <c r="BJ978" s="66">
        <f>BJ961*(BJ$4/BJ$3)/BJ1402</f>
        <v>4.1612926775849903E-3</v>
      </c>
      <c r="BK978" s="49"/>
      <c r="BL978" s="66">
        <f>BL961*(BL$4/BL$3)/BL1402</f>
        <v>3.4680772772267823E-3</v>
      </c>
      <c r="BM978" s="66">
        <f>BM961*(BM$4/BM$3)/BM1402</f>
        <v>2.9767741208441326E-3</v>
      </c>
      <c r="BN978" s="66">
        <f>BN961*(BN$4/BN$3)/BN1402</f>
        <v>3.2018388720721305E-3</v>
      </c>
      <c r="BO978" s="49"/>
      <c r="BP978" s="66">
        <f>BP961*(BP$4/BP$3)/BP1402</f>
        <v>3.0109250237776541E-3</v>
      </c>
      <c r="BQ978" s="66">
        <f>BQ961*(BQ$4/BQ$3)/BQ1402</f>
        <v>3.9633973478055808E-3</v>
      </c>
      <c r="BR978" s="66">
        <f>BR961*(BR$4/BR$3)/BR1402</f>
        <v>3.4453082335718838E-3</v>
      </c>
      <c r="BT978" s="66">
        <f>BT961*(BT$4/BT$3)/BT1402</f>
        <v>5.4919415628701673E-3</v>
      </c>
      <c r="BU978" s="66">
        <f>BU961*(BU$4/BU$3)/BU1402</f>
        <v>5.8971744126260894E-3</v>
      </c>
      <c r="BV978" s="66">
        <f>BV961*(BV$4/BV$3)/BV1402</f>
        <v>5.5562972789482802E-3</v>
      </c>
      <c r="BX978" s="66">
        <f>BX961*(BX$4/BX$3)/BX1402</f>
        <v>4.2244529662941697E-3</v>
      </c>
      <c r="BY978" s="66">
        <f>BY961*(BY$4/BY$3)/BY1402</f>
        <v>2.836360087346296E-3</v>
      </c>
      <c r="BZ978" s="66">
        <f>BZ961*(BZ$4/BZ$3)/BZ1402</f>
        <v>3.5596169032817353E-3</v>
      </c>
      <c r="CB978" s="66">
        <f>CB961*(CB$4/CB$3)/CB1402</f>
        <v>2.3867831068069092E-3</v>
      </c>
      <c r="CC978" s="66">
        <f>CC961*(CC$4/CC$3)/CC1402</f>
        <v>1.654333625674481E-3</v>
      </c>
      <c r="CD978" s="66">
        <f>CD961*(CD$4/CD$3)/CD1402</f>
        <v>2.0380354286391373E-3</v>
      </c>
      <c r="CF978" s="66">
        <f>CF961*(CF$4/CF$3)/CF1402</f>
        <v>2.2810618704379756E-3</v>
      </c>
      <c r="CG978" s="66">
        <f>CG961*(CG$4/CG$3)/CG1402</f>
        <v>2.2390110154214805E-3</v>
      </c>
      <c r="CH978" s="66">
        <f>CH961*(CH$4/CH$3)/CH1402</f>
        <v>2.2200130687561785E-3</v>
      </c>
      <c r="CJ978" s="66">
        <f>CJ961*(CJ$4/CJ$3)/CJ1402</f>
        <v>8.6736425412632743E-3</v>
      </c>
      <c r="CK978" s="66">
        <f>CK961*(CK$4/CK$3)/CK1402</f>
        <v>5.9105036426811688E-3</v>
      </c>
      <c r="CL978" s="66">
        <f>CL961*(CL$4/CL$3)/CL1402</f>
        <v>7.6047739537880828E-3</v>
      </c>
      <c r="CN978" s="66">
        <f>CN961*(CN$4/CN$3)/CN1402</f>
        <v>-2.880395604652761E-3</v>
      </c>
      <c r="CO978" s="66">
        <f>CO961*(CO$4/CO$3)/CO1402</f>
        <v>-4.4258564853970507E-4</v>
      </c>
      <c r="CP978" s="66">
        <f>CP961*(CP$4/CP$3)/CP1402</f>
        <v>-1.6554841196152971E-3</v>
      </c>
      <c r="CR978" s="66">
        <f>CR961*(CR$4/CR$3)/CR1402</f>
        <v>-1.6328345222865845E-3</v>
      </c>
      <c r="CS978" s="66">
        <f>CS961*(CS$4/CS$3)/CS1402</f>
        <v>2.8854682255978855E-4</v>
      </c>
      <c r="CT978" s="66">
        <f>CT961*(CT$4/CT$3)/CT1402</f>
        <v>-6.4544488401466714E-4</v>
      </c>
      <c r="CV978" s="66">
        <f>CV961*(CV$4/CV$3)/CV1402</f>
        <v>7.7247438192024542E-4</v>
      </c>
      <c r="CW978" s="66">
        <f>CW961*(CW$4/CW$3)/CW1402</f>
        <v>6.4000497976477398E-4</v>
      </c>
      <c r="CX978" s="66">
        <f>CX961*(CX$4/CX$3)/CX1402</f>
        <v>7.0192326975914007E-4</v>
      </c>
      <c r="CZ978" s="66">
        <f>CZ961*(CZ$4/CZ$3)/CZ1402</f>
        <v>4.0178276753710033E-4</v>
      </c>
      <c r="DA978" s="66">
        <f>DA961*(DA$4/DA$3)/DA1402</f>
        <v>1.8605423813281283E-3</v>
      </c>
      <c r="DB978" s="66">
        <f>DB961*(DB$4/DB$3)/DB1402</f>
        <v>1.1240776887190774E-3</v>
      </c>
      <c r="DD978" s="66">
        <f>DD961*(DD$4/DD$3)/DD1402</f>
        <v>7.6913863245363639E-4</v>
      </c>
      <c r="DE978" s="66">
        <f>DE961*(DE$4/DE$3)/DE1402</f>
        <v>1.5974287606875918E-3</v>
      </c>
      <c r="DF978" s="66">
        <f>DF961*(DF$4/DF$3)/DF1402</f>
        <v>1.193236701904579E-3</v>
      </c>
      <c r="DH978" s="66">
        <f ca="1">DH961*(DH$4/DH$3)/DH1402</f>
        <v>1.1305710248070194E-3</v>
      </c>
      <c r="DI978" s="66">
        <f ca="1">DI961*(DI$4/DI$3)/DI1402</f>
        <v>1.8115260829975007E-3</v>
      </c>
      <c r="DJ978" s="66">
        <f ca="1">DJ961*(DJ$4/DJ$3)/DJ1402</f>
        <v>1.4607965085013934E-3</v>
      </c>
      <c r="DL978" s="66">
        <f ca="1">DL961*(DL$4/DL$3)/DL1402</f>
        <v>2.0431706306065717E-3</v>
      </c>
      <c r="DM978" s="66">
        <f ca="1">DM961*(DM$4/DM$3)/DM1402</f>
        <v>2.0465435355904323E-3</v>
      </c>
      <c r="DN978" s="66">
        <f ca="1">DN961*(DN$4/DN$3)/DN1402</f>
        <v>2.0223766639540582E-3</v>
      </c>
      <c r="DP978" s="66">
        <f ca="1">DP961*(DP$4/DP$3)/DP1402</f>
        <v>2.2768908990755516E-3</v>
      </c>
      <c r="DQ978" s="66">
        <f ca="1">DQ961*(DQ$4/DQ$3)/DQ1402</f>
        <v>2.278214381310172E-3</v>
      </c>
      <c r="DR978" s="66">
        <f ca="1">DR961*(DR$4/DR$3)/DR1402</f>
        <v>2.2540537574315817E-3</v>
      </c>
      <c r="DW978" s="928"/>
    </row>
    <row r="979" spans="1:128" s="20" customFormat="1" ht="13.8">
      <c r="B979" s="49"/>
      <c r="BH979" s="49"/>
      <c r="BI979" s="49"/>
      <c r="BJ979" s="49"/>
      <c r="BK979" s="49"/>
      <c r="BL979" s="49"/>
      <c r="BM979" s="49"/>
      <c r="BN979" s="49"/>
      <c r="BO979" s="49"/>
      <c r="BP979" s="49"/>
      <c r="BQ979" s="49"/>
      <c r="BR979" s="49"/>
      <c r="BT979" s="49"/>
      <c r="BU979" s="49"/>
      <c r="BV979" s="49"/>
      <c r="BX979" s="49"/>
      <c r="BY979" s="49"/>
      <c r="BZ979" s="49"/>
      <c r="CB979" s="49"/>
      <c r="CC979" s="49"/>
      <c r="CD979" s="49"/>
      <c r="CF979" s="49"/>
      <c r="CG979" s="49"/>
      <c r="CH979" s="49"/>
      <c r="CJ979" s="49"/>
      <c r="CK979" s="49"/>
      <c r="CL979" s="49"/>
      <c r="CN979" s="49"/>
      <c r="CO979" s="49"/>
      <c r="CP979" s="49"/>
      <c r="CR979" s="49"/>
      <c r="CS979" s="49"/>
      <c r="CT979" s="49"/>
      <c r="CV979" s="49"/>
      <c r="CW979" s="49"/>
      <c r="CX979" s="49"/>
      <c r="CZ979" s="49"/>
      <c r="DA979" s="49"/>
      <c r="DB979" s="49"/>
      <c r="DD979" s="49"/>
      <c r="DE979" s="49"/>
      <c r="DF979" s="49"/>
      <c r="DH979" s="49"/>
      <c r="DI979" s="49"/>
      <c r="DJ979" s="49"/>
      <c r="DL979" s="49"/>
      <c r="DM979" s="49"/>
      <c r="DN979" s="49"/>
      <c r="DP979" s="49"/>
      <c r="DQ979" s="49"/>
      <c r="DR979" s="49"/>
      <c r="DW979" s="553"/>
    </row>
    <row r="980" spans="1:128" s="20" customFormat="1" ht="13.8">
      <c r="A980" s="20" t="s">
        <v>604</v>
      </c>
      <c r="B980" s="49"/>
      <c r="BD980" s="65"/>
      <c r="BE980" s="65"/>
      <c r="BF980" s="65"/>
      <c r="BH980" s="65">
        <f>+BH973-BH149</f>
        <v>221433</v>
      </c>
      <c r="BI980" s="65">
        <f>+BI973-BI149</f>
        <v>235294</v>
      </c>
      <c r="BJ980" s="65">
        <f>+BJ973-BJ149</f>
        <v>235294</v>
      </c>
      <c r="BK980" s="49"/>
      <c r="BL980" s="65">
        <f>+BL973-BL149</f>
        <v>249772</v>
      </c>
      <c r="BM980" s="65">
        <f>+BM973-BM149</f>
        <v>255189</v>
      </c>
      <c r="BN980" s="65">
        <f>+BN973-BN149</f>
        <v>255189</v>
      </c>
      <c r="BO980" s="49"/>
      <c r="BP980" s="65">
        <f>+BP973-BP149</f>
        <v>274537</v>
      </c>
      <c r="BQ980" s="65">
        <f>+BQ973-BQ149</f>
        <v>274526</v>
      </c>
      <c r="BR980" s="65">
        <f>+BR973-BR149</f>
        <v>274526</v>
      </c>
      <c r="BT980" s="65">
        <f>+BT973-BT149</f>
        <v>253163</v>
      </c>
      <c r="BU980" s="65">
        <f>+BU973-BU149</f>
        <v>257435</v>
      </c>
      <c r="BV980" s="65">
        <f>+BV973-BV149</f>
        <v>257435</v>
      </c>
      <c r="BX980" s="65">
        <f>+BX973-BX149</f>
        <v>250002</v>
      </c>
      <c r="BY980" s="65">
        <f>+BY973-BY149</f>
        <v>247193</v>
      </c>
      <c r="BZ980" s="65">
        <f>+BZ973-BZ149</f>
        <v>247193</v>
      </c>
      <c r="CB980" s="65">
        <f>+CB973-CB149</f>
        <v>250872</v>
      </c>
      <c r="CC980" s="65">
        <f>+CC973-CC149</f>
        <v>262656</v>
      </c>
      <c r="CD980" s="65">
        <f>+CD973-CD149</f>
        <v>262656</v>
      </c>
      <c r="CF980" s="65">
        <f>+CF973-CF149</f>
        <v>265270</v>
      </c>
      <c r="CG980" s="65">
        <f>+CG973-CG149</f>
        <v>275357</v>
      </c>
      <c r="CH980" s="65">
        <f>+CH973-CH149</f>
        <v>275357</v>
      </c>
      <c r="CJ980" s="65">
        <f>+CJ973-CJ149</f>
        <v>312511</v>
      </c>
      <c r="CK980" s="65">
        <f>+CK973-CK149</f>
        <v>264184</v>
      </c>
      <c r="CL980" s="65">
        <f>+CL973-CL149</f>
        <v>264184</v>
      </c>
      <c r="CN980" s="65">
        <f>+CN973-CN149</f>
        <v>250468</v>
      </c>
      <c r="CO980" s="65">
        <f>+CO973-CO149</f>
        <v>261626</v>
      </c>
      <c r="CP980" s="65">
        <f>+CP973-CP149</f>
        <v>261626</v>
      </c>
      <c r="CR980" s="65">
        <f>+CR973-CR149</f>
        <v>281303</v>
      </c>
      <c r="CS980" s="65">
        <f>+CS973-CS149</f>
        <v>301882</v>
      </c>
      <c r="CT980" s="65">
        <f>+CT973-CT149</f>
        <v>301882</v>
      </c>
      <c r="CV980" s="65">
        <f>+CV973-CV149</f>
        <v>303260</v>
      </c>
      <c r="CW980" s="65">
        <f>+CW973-CW149</f>
        <v>306614</v>
      </c>
      <c r="CX980" s="65">
        <f>+CX973-CX149</f>
        <v>306614</v>
      </c>
      <c r="CZ980" s="65">
        <f>+CZ973-CZ149</f>
        <v>304213</v>
      </c>
      <c r="DA980" s="65">
        <f>+DA973-DA149</f>
        <v>323018</v>
      </c>
      <c r="DB980" s="65">
        <f>+DB973-DB149</f>
        <v>323018</v>
      </c>
      <c r="DD980" s="65">
        <f>+DD973-DD149</f>
        <v>329284</v>
      </c>
      <c r="DE980" s="65">
        <f>+DE973-DE149</f>
        <v>329974</v>
      </c>
      <c r="DF980" s="65">
        <f>+DF973-DF149</f>
        <v>329974</v>
      </c>
      <c r="DH980" s="65">
        <f>+DH973-DH149</f>
        <v>330104.99044945842</v>
      </c>
      <c r="DI980" s="65">
        <f>+DI973-DI149</f>
        <v>335605.7160533102</v>
      </c>
      <c r="DJ980" s="65">
        <f>+DJ973-DJ149</f>
        <v>335605.7160533102</v>
      </c>
      <c r="DL980" s="65">
        <f>+DL973-DL149</f>
        <v>340096.27894029627</v>
      </c>
      <c r="DM980" s="65">
        <f>+DM973-DM149</f>
        <v>346333.47497835336</v>
      </c>
      <c r="DN980" s="65">
        <f>+DN973-DN149</f>
        <v>346333.47497835336</v>
      </c>
      <c r="DP980" s="65">
        <f>+DP973-DP149</f>
        <v>351710.60337186221</v>
      </c>
      <c r="DQ980" s="65">
        <f>+DQ973-DQ149</f>
        <v>358558.83926172217</v>
      </c>
      <c r="DR980" s="65">
        <f>+DR973-DR149</f>
        <v>358558.83926172217</v>
      </c>
      <c r="DW980" s="928"/>
    </row>
    <row r="981" spans="1:128" s="20" customFormat="1" ht="13.8">
      <c r="A981" s="20" t="s">
        <v>605</v>
      </c>
      <c r="B981" s="49"/>
      <c r="BH981" s="65">
        <f>AVERAGE(BE980,BH980)</f>
        <v>221433</v>
      </c>
      <c r="BI981" s="65">
        <f>AVERAGE(BH980,BI980)</f>
        <v>228363.5</v>
      </c>
      <c r="BJ981" s="65">
        <f>AVERAGE(BF980,BJ980)</f>
        <v>235294</v>
      </c>
      <c r="BK981" s="49"/>
      <c r="BL981" s="65">
        <f>AVERAGE(BI980,BL980)</f>
        <v>242533</v>
      </c>
      <c r="BM981" s="65">
        <f>AVERAGE(BL980,BM980)</f>
        <v>252480.5</v>
      </c>
      <c r="BN981" s="65">
        <f>AVERAGE(BJ980,BN980)</f>
        <v>245241.5</v>
      </c>
      <c r="BO981" s="49"/>
      <c r="BP981" s="65">
        <f>AVERAGE(BM980,BP980)</f>
        <v>264863</v>
      </c>
      <c r="BQ981" s="65">
        <f>AVERAGE(BP980,BQ980)</f>
        <v>274531.5</v>
      </c>
      <c r="BR981" s="65">
        <f>AVERAGE(BN980,BR980)</f>
        <v>264857.5</v>
      </c>
      <c r="BT981" s="65">
        <f>AVERAGE(BQ980,BT980)</f>
        <v>263844.5</v>
      </c>
      <c r="BU981" s="65">
        <f>AVERAGE(BT980,BU980)</f>
        <v>255299</v>
      </c>
      <c r="BV981" s="65">
        <f>AVERAGE(BR980,BV980)</f>
        <v>265980.5</v>
      </c>
      <c r="BX981" s="65">
        <f>AVERAGE(BU980,BX980)</f>
        <v>253718.5</v>
      </c>
      <c r="BY981" s="65">
        <f>AVERAGE(BX980,BY980)</f>
        <v>248597.5</v>
      </c>
      <c r="BZ981" s="65">
        <f>AVERAGE(BV980,BZ980)</f>
        <v>252314</v>
      </c>
      <c r="CB981" s="65">
        <f>AVERAGE(BY980,CB980)</f>
        <v>249032.5</v>
      </c>
      <c r="CC981" s="65">
        <f>AVERAGE(CB980,CC980)</f>
        <v>256764</v>
      </c>
      <c r="CD981" s="65">
        <f>AVERAGE(BZ980,CD980)</f>
        <v>254924.5</v>
      </c>
      <c r="CF981" s="65">
        <f>AVERAGE(CC980,CF980)</f>
        <v>263963</v>
      </c>
      <c r="CG981" s="65">
        <f>AVERAGE(CF980,CG980)</f>
        <v>270313.5</v>
      </c>
      <c r="CH981" s="65">
        <f>AVERAGE(CD980,CH980)</f>
        <v>269006.5</v>
      </c>
      <c r="CJ981" s="65">
        <f>AVERAGE(CG980,CJ980)</f>
        <v>293934</v>
      </c>
      <c r="CK981" s="65">
        <f>AVERAGE(CJ980,CK980)</f>
        <v>288347.5</v>
      </c>
      <c r="CL981" s="65">
        <f>AVERAGE(CH980,CL980)</f>
        <v>269770.5</v>
      </c>
      <c r="CN981" s="65">
        <f>AVERAGE(CK980,CN980)</f>
        <v>257326</v>
      </c>
      <c r="CO981" s="65">
        <f>AVERAGE(CN980,CO980)</f>
        <v>256047</v>
      </c>
      <c r="CP981" s="65">
        <f>AVERAGE(CL980,CP980)</f>
        <v>262905</v>
      </c>
      <c r="CR981" s="65">
        <f>AVERAGE(CO980,CR980)</f>
        <v>271464.5</v>
      </c>
      <c r="CS981" s="65">
        <f>AVERAGE(CR980,CS980)</f>
        <v>291592.5</v>
      </c>
      <c r="CT981" s="65">
        <f>AVERAGE(CP980,CT980)</f>
        <v>281754</v>
      </c>
      <c r="CV981" s="65">
        <f>AVERAGE(CS980,CV980)</f>
        <v>302571</v>
      </c>
      <c r="CW981" s="65">
        <f>AVERAGE(CV980,CW980)</f>
        <v>304937</v>
      </c>
      <c r="CX981" s="65">
        <f>AVERAGE(CT980,CX980)</f>
        <v>304248</v>
      </c>
      <c r="CZ981" s="65">
        <f>AVERAGE(CW980,CZ980)</f>
        <v>305413.5</v>
      </c>
      <c r="DA981" s="65">
        <f>AVERAGE(CZ980,DA980)</f>
        <v>313615.5</v>
      </c>
      <c r="DB981" s="65">
        <f>AVERAGE(CX980,DB980)</f>
        <v>314816</v>
      </c>
      <c r="DD981" s="65">
        <f>AVERAGE(DA980,DD980)</f>
        <v>326151</v>
      </c>
      <c r="DE981" s="65">
        <f>AVERAGE(DD980,DE980)</f>
        <v>329629</v>
      </c>
      <c r="DF981" s="65">
        <f>AVERAGE(DB980,DF980)</f>
        <v>326496</v>
      </c>
      <c r="DH981" s="65">
        <f>AVERAGE(DE980,DH980)</f>
        <v>330039.49522472918</v>
      </c>
      <c r="DI981" s="65">
        <f>AVERAGE(DH980,DI980)</f>
        <v>332855.35325138434</v>
      </c>
      <c r="DJ981" s="65">
        <f>AVERAGE(DF980,DJ980)</f>
        <v>332789.8580266551</v>
      </c>
      <c r="DL981" s="65">
        <f>AVERAGE(DI980,DL980)</f>
        <v>337850.99749680323</v>
      </c>
      <c r="DM981" s="65">
        <f>AVERAGE(DL980,DM980)</f>
        <v>343214.87695932481</v>
      </c>
      <c r="DN981" s="65">
        <f>AVERAGE(DJ980,DN980)</f>
        <v>340969.59551583178</v>
      </c>
      <c r="DP981" s="65">
        <f>AVERAGE(DM980,DP980)</f>
        <v>349022.03917510778</v>
      </c>
      <c r="DQ981" s="65">
        <f>AVERAGE(DP980,DQ980)</f>
        <v>355134.72131679219</v>
      </c>
      <c r="DR981" s="65">
        <f>AVERAGE(DN980,DR980)</f>
        <v>352446.15712003777</v>
      </c>
      <c r="DW981" s="928"/>
    </row>
    <row r="982" spans="1:128" s="20" customFormat="1" ht="13.8">
      <c r="A982" s="20" t="s">
        <v>606</v>
      </c>
      <c r="B982" s="49"/>
      <c r="BH982" s="66">
        <f t="shared" ref="BH982:BJ983" si="1534">+BH967*(BH$4/BH$3)/BH$980</f>
        <v>3.6227563289925267E-5</v>
      </c>
      <c r="BI982" s="66">
        <f t="shared" si="1534"/>
        <v>1.0002600629715616E-3</v>
      </c>
      <c r="BJ982" s="66">
        <f t="shared" si="1534"/>
        <v>5.1850025925012958E-4</v>
      </c>
      <c r="BK982" s="49"/>
      <c r="BL982" s="66">
        <f t="shared" ref="BL982:BN983" si="1535">+BL967*(BL$4/BL$3)/BL$980</f>
        <v>-3.5328923274729855E-4</v>
      </c>
      <c r="BM982" s="66">
        <f t="shared" si="1535"/>
        <v>-6.7216868534618942E-4</v>
      </c>
      <c r="BN982" s="66">
        <f t="shared" si="1535"/>
        <v>-5.0942634674692089E-4</v>
      </c>
      <c r="BO982" s="49"/>
      <c r="BP982" s="66">
        <f t="shared" ref="BP982:BR983" si="1536">+BP967*(BP$4/BP$3)/BP$980</f>
        <v>1.1468859839024882E-3</v>
      </c>
      <c r="BQ982" s="66">
        <f t="shared" si="1536"/>
        <v>3.0514593081631134E-4</v>
      </c>
      <c r="BR982" s="66">
        <f t="shared" si="1536"/>
        <v>7.2488580316618458E-4</v>
      </c>
      <c r="BT982" s="66">
        <f t="shared" ref="BT982:BV983" si="1537">+BT967*(BT$4/BT$3)/BT$980</f>
        <v>-7.4260456701808711E-4</v>
      </c>
      <c r="BU982" s="66">
        <f t="shared" si="1537"/>
        <v>1.0876531940101385E-4</v>
      </c>
      <c r="BV982" s="66">
        <f t="shared" si="1537"/>
        <v>-3.1075805543146813E-4</v>
      </c>
      <c r="BX982" s="66">
        <f t="shared" ref="BX982:BZ983" si="1538">+BX967*(BX$4/BX$3)/BX$980</f>
        <v>-7.2999416004671967E-4</v>
      </c>
      <c r="BY982" s="66">
        <f t="shared" si="1538"/>
        <v>-6.7777398068131936E-4</v>
      </c>
      <c r="BZ982" s="66">
        <f t="shared" si="1538"/>
        <v>-7.0794884968425483E-4</v>
      </c>
      <c r="CB982" s="66">
        <f t="shared" ref="CB982:CD983" si="1539">+CB967*(CB$4/CB$3)/CB$980</f>
        <v>-3.1976378479774634E-5</v>
      </c>
      <c r="CC982" s="66">
        <f t="shared" si="1539"/>
        <v>-4.2524819182138709E-4</v>
      </c>
      <c r="CD982" s="66">
        <f t="shared" si="1539"/>
        <v>-2.2843567251461987E-4</v>
      </c>
      <c r="CF982" s="66">
        <f t="shared" ref="CF982:CH983" si="1540">+CF967*(CF$4/CF$3)/CF$980</f>
        <v>9.8282612324908841E-5</v>
      </c>
      <c r="CG982" s="66">
        <f t="shared" si="1540"/>
        <v>-1.4486906228101578E-5</v>
      </c>
      <c r="CH982" s="66">
        <f t="shared" si="1540"/>
        <v>3.994814005091572E-5</v>
      </c>
      <c r="CJ982" s="66">
        <f t="shared" ref="CJ982:CL983" si="1541">+CJ967*(CJ$4/CJ$3)/CJ$980</f>
        <v>7.1997465689207741E-3</v>
      </c>
      <c r="CK982" s="66">
        <f t="shared" si="1541"/>
        <v>3.8382339581503801E-3</v>
      </c>
      <c r="CL982" s="66">
        <f t="shared" si="1541"/>
        <v>6.1775126427035705E-3</v>
      </c>
      <c r="CN982" s="66">
        <f t="shared" ref="CN982:CP983" si="1542">+CN967*(CN$4/CN$3)/CN$980</f>
        <v>-5.7890530026691129E-3</v>
      </c>
      <c r="CO982" s="66">
        <f t="shared" si="1542"/>
        <v>-6.86125219669725E-4</v>
      </c>
      <c r="CP982" s="66">
        <f t="shared" si="1542"/>
        <v>-3.1074893168110203E-3</v>
      </c>
      <c r="CR982" s="66">
        <f t="shared" ref="CR982:CT983" si="1543">+CR967*(CR$4/CR$3)/CR$980</f>
        <v>-3.1226350000056642E-3</v>
      </c>
      <c r="CS982" s="66">
        <f t="shared" si="1543"/>
        <v>6.3427236415574816E-4</v>
      </c>
      <c r="CT982" s="66">
        <f t="shared" si="1543"/>
        <v>-1.1328929846761318E-3</v>
      </c>
      <c r="CV982" s="66">
        <f t="shared" ref="CV982:CX983" si="1544">+CV967*(CV$4/CV$3)/CV$980</f>
        <v>1.2366532761573321E-3</v>
      </c>
      <c r="CW982" s="66">
        <f t="shared" si="1544"/>
        <v>-5.204029872414653E-5</v>
      </c>
      <c r="CX982" s="66">
        <f t="shared" si="1544"/>
        <v>5.8379591277632459E-4</v>
      </c>
      <c r="CZ982" s="66">
        <f t="shared" ref="CZ982:DB983" si="1545">+CZ967*(CZ$4/CZ$3)/CZ$980</f>
        <v>9.2040774062909873E-5</v>
      </c>
      <c r="DA982" s="66">
        <f t="shared" si="1545"/>
        <v>1.2445126896953112E-3</v>
      </c>
      <c r="DB982" s="66">
        <f t="shared" si="1545"/>
        <v>6.6559758279724349E-4</v>
      </c>
      <c r="DD982" s="66">
        <f t="shared" ref="DD982:DF983" si="1546">+DD967*(DD$4/DD$3)/DD$980</f>
        <v>2.0098552824102806E-4</v>
      </c>
      <c r="DE982" s="66">
        <f t="shared" si="1546"/>
        <v>5.9840780301915488E-4</v>
      </c>
      <c r="DF982" s="66">
        <f t="shared" si="1546"/>
        <v>4.0003151763472276E-4</v>
      </c>
      <c r="DH982" s="66">
        <f t="shared" ref="DH982:DJ983" ca="1" si="1547">+DH967*(DH$4/DH$3)/DH$980</f>
        <v>-5.4530027692587576E-4</v>
      </c>
      <c r="DI982" s="66">
        <f t="shared" ca="1" si="1547"/>
        <v>6.5598100173589751E-5</v>
      </c>
      <c r="DJ982" s="66">
        <f t="shared" ca="1" si="1547"/>
        <v>-2.3455762878559123E-4</v>
      </c>
      <c r="DL982" s="66">
        <f t="shared" ref="DL982:DN983" ca="1" si="1548">+DL967*(DL$4/DL$3)/DL$980</f>
        <v>-1.8471863193917834E-4</v>
      </c>
      <c r="DM982" s="66">
        <f t="shared" ca="1" si="1548"/>
        <v>5.5484529166235745E-4</v>
      </c>
      <c r="DN982" s="66">
        <f t="shared" ca="1" si="1548"/>
        <v>1.8773519340626547E-4</v>
      </c>
      <c r="DP982" s="66">
        <f t="shared" ref="DP982:DR982" ca="1" si="1549">+DP967*(DP$4/DP$3)/DP$980</f>
        <v>4.6691985409386285E-4</v>
      </c>
      <c r="DQ982" s="66">
        <f t="shared" ca="1" si="1549"/>
        <v>5.2284135662761515E-4</v>
      </c>
      <c r="DR982" s="66">
        <f t="shared" ca="1" si="1549"/>
        <v>4.9042167567840624E-4</v>
      </c>
      <c r="DW982" s="928"/>
    </row>
    <row r="983" spans="1:128" s="20" customFormat="1" ht="13.8">
      <c r="A983" s="21" t="s">
        <v>607</v>
      </c>
      <c r="B983" s="27"/>
      <c r="C983" s="21"/>
      <c r="D983" s="21"/>
      <c r="E983" s="21"/>
      <c r="F983" s="21"/>
      <c r="G983" s="21"/>
      <c r="H983" s="21"/>
      <c r="I983" s="21"/>
      <c r="J983" s="21"/>
      <c r="K983" s="21"/>
      <c r="L983" s="21"/>
      <c r="M983" s="21"/>
      <c r="N983" s="21"/>
      <c r="O983" s="21"/>
      <c r="P983" s="21"/>
      <c r="Q983" s="21"/>
      <c r="R983" s="21"/>
      <c r="S983" s="21"/>
      <c r="T983" s="21"/>
      <c r="U983" s="21"/>
      <c r="V983" s="21"/>
      <c r="W983" s="21"/>
      <c r="X983" s="21"/>
      <c r="Y983" s="21"/>
      <c r="Z983" s="21"/>
      <c r="AA983" s="21"/>
      <c r="AB983" s="21"/>
      <c r="AC983" s="21"/>
      <c r="AD983" s="21"/>
      <c r="AE983" s="21"/>
      <c r="AF983" s="21"/>
      <c r="AG983" s="21"/>
      <c r="AH983" s="21"/>
      <c r="AI983" s="21"/>
      <c r="AJ983" s="21"/>
      <c r="AK983" s="21"/>
      <c r="AL983" s="21"/>
      <c r="AM983" s="21"/>
      <c r="AN983" s="21"/>
      <c r="AO983" s="21"/>
      <c r="AP983" s="21"/>
      <c r="AQ983" s="21"/>
      <c r="AR983" s="21"/>
      <c r="AS983" s="21"/>
      <c r="AT983" s="21"/>
      <c r="AU983" s="21"/>
      <c r="AV983" s="21"/>
      <c r="AW983" s="21"/>
      <c r="AX983" s="21"/>
      <c r="AY983" s="21"/>
      <c r="AZ983" s="21"/>
      <c r="BA983" s="21"/>
      <c r="BB983" s="21"/>
      <c r="BC983" s="21"/>
      <c r="BD983" s="21"/>
      <c r="BE983" s="21"/>
      <c r="BF983" s="21"/>
      <c r="BG983" s="21"/>
      <c r="BH983" s="74">
        <f t="shared" si="1534"/>
        <v>5.3888500393763838E-3</v>
      </c>
      <c r="BI983" s="74">
        <f t="shared" si="1534"/>
        <v>4.0688544934436403E-3</v>
      </c>
      <c r="BJ983" s="74">
        <f t="shared" si="1534"/>
        <v>4.5687522843761421E-3</v>
      </c>
      <c r="BK983" s="27"/>
      <c r="BL983" s="74">
        <f t="shared" si="1535"/>
        <v>4.5927600257148803E-3</v>
      </c>
      <c r="BM983" s="74">
        <f t="shared" si="1535"/>
        <v>4.2753054753996008E-3</v>
      </c>
      <c r="BN983" s="74">
        <f t="shared" si="1535"/>
        <v>4.3849852462292654E-3</v>
      </c>
      <c r="BO983" s="27"/>
      <c r="BP983" s="74">
        <f t="shared" si="1536"/>
        <v>2.5786672122138743E-3</v>
      </c>
      <c r="BQ983" s="74">
        <f t="shared" si="1536"/>
        <v>4.744292686263126E-3</v>
      </c>
      <c r="BR983" s="74">
        <f t="shared" si="1536"/>
        <v>3.6644980803275462E-3</v>
      </c>
      <c r="BS983" s="21"/>
      <c r="BT983" s="74">
        <f t="shared" si="1537"/>
        <v>7.9948491683223856E-3</v>
      </c>
      <c r="BU983" s="74">
        <f t="shared" si="1537"/>
        <v>7.9554062190455837E-3</v>
      </c>
      <c r="BV983" s="74">
        <f t="shared" si="1537"/>
        <v>7.9087925107308634E-3</v>
      </c>
      <c r="BW983" s="21"/>
      <c r="BX983" s="74">
        <f t="shared" si="1538"/>
        <v>6.5057721296471385E-3</v>
      </c>
      <c r="BY983" s="74">
        <f t="shared" si="1538"/>
        <v>4.5426994181378905E-3</v>
      </c>
      <c r="BZ983" s="74">
        <f t="shared" si="1538"/>
        <v>5.5584098255209496E-3</v>
      </c>
      <c r="CA983" s="21"/>
      <c r="CB983" s="74">
        <f t="shared" si="1539"/>
        <v>3.2935669834167876E-3</v>
      </c>
      <c r="CC983" s="74">
        <f t="shared" si="1539"/>
        <v>2.5514891509283225E-3</v>
      </c>
      <c r="CD983" s="74">
        <f t="shared" si="1539"/>
        <v>2.8478313840155944E-3</v>
      </c>
      <c r="CE983" s="21"/>
      <c r="CF983" s="74">
        <f t="shared" si="1540"/>
        <v>2.8728763602665665E-3</v>
      </c>
      <c r="CG983" s="74">
        <f t="shared" si="1540"/>
        <v>2.9263550580765187E-3</v>
      </c>
      <c r="CH983" s="74">
        <f t="shared" si="1540"/>
        <v>2.8472128909016294E-3</v>
      </c>
      <c r="CI983" s="21"/>
      <c r="CJ983" s="74">
        <f t="shared" si="1541"/>
        <v>3.5134763256333378E-3</v>
      </c>
      <c r="CK983" s="74">
        <f t="shared" si="1541"/>
        <v>4.2167580171395694E-3</v>
      </c>
      <c r="CL983" s="74">
        <f t="shared" si="1541"/>
        <v>4.1864760924204339E-3</v>
      </c>
      <c r="CM983" s="21"/>
      <c r="CN983" s="74">
        <f t="shared" si="1542"/>
        <v>1.8576214337748744E-3</v>
      </c>
      <c r="CO983" s="74">
        <f t="shared" si="1542"/>
        <v>1.0673058972640167E-4</v>
      </c>
      <c r="CP983" s="74">
        <f t="shared" si="1542"/>
        <v>9.4027352021588072E-4</v>
      </c>
      <c r="CQ983" s="21"/>
      <c r="CR983" s="74">
        <f t="shared" si="1543"/>
        <v>1.0979127625590692E-3</v>
      </c>
      <c r="CS983" s="74">
        <f t="shared" si="1543"/>
        <v>-2.9070816690471795E-4</v>
      </c>
      <c r="CT983" s="74">
        <f t="shared" si="1543"/>
        <v>3.6438078454495464E-4</v>
      </c>
      <c r="CU983" s="21"/>
      <c r="CV983" s="74">
        <f t="shared" si="1544"/>
        <v>-3.5710843268714406E-4</v>
      </c>
      <c r="CW983" s="74">
        <f t="shared" si="1544"/>
        <v>7.80604480862198E-4</v>
      </c>
      <c r="CX983" s="74">
        <f t="shared" si="1544"/>
        <v>2.1525435890076773E-4</v>
      </c>
      <c r="CY983" s="21"/>
      <c r="CZ983" s="74">
        <f t="shared" si="1545"/>
        <v>3.6816309625163949E-4</v>
      </c>
      <c r="DA983" s="74">
        <f t="shared" si="1545"/>
        <v>8.3586673188491042E-4</v>
      </c>
      <c r="DB983" s="74">
        <f t="shared" si="1545"/>
        <v>5.9129831774080706E-4</v>
      </c>
      <c r="DC983" s="21"/>
      <c r="DD983" s="74">
        <f t="shared" si="1546"/>
        <v>6.8213270190894374E-4</v>
      </c>
      <c r="DE983" s="74">
        <f t="shared" si="1546"/>
        <v>1.19077108277549E-3</v>
      </c>
      <c r="DF983" s="74">
        <f t="shared" si="1546"/>
        <v>9.3643741628128281E-4</v>
      </c>
      <c r="DG983" s="21"/>
      <c r="DH983" s="74">
        <f t="shared" ca="1" si="1547"/>
        <v>1.8173418347357394E-3</v>
      </c>
      <c r="DI983" s="74">
        <f t="shared" ca="1" si="1547"/>
        <v>1.9797821590198401E-3</v>
      </c>
      <c r="DJ983" s="74">
        <f t="shared" ca="1" si="1547"/>
        <v>1.8839318051945982E-3</v>
      </c>
      <c r="DK983" s="21"/>
      <c r="DL983" s="74">
        <f t="shared" ca="1" si="1548"/>
        <v>2.5059667867868111E-3</v>
      </c>
      <c r="DM983" s="74">
        <f t="shared" ca="1" si="1548"/>
        <v>1.779890530565612E-3</v>
      </c>
      <c r="DN983" s="74">
        <f t="shared" ca="1" si="1548"/>
        <v>2.1194306016322512E-3</v>
      </c>
      <c r="DO983" s="21"/>
      <c r="DP983" s="74">
        <f t="shared" ref="DP983:DR983" ca="1" si="1550">+DP968*(DP$4/DP$3)/DP$980</f>
        <v>2.1390002366065627E-3</v>
      </c>
      <c r="DQ983" s="74">
        <f t="shared" ca="1" si="1550"/>
        <v>2.0886985180288572E-3</v>
      </c>
      <c r="DR983" s="74">
        <f t="shared" ca="1" si="1550"/>
        <v>2.0934226347795685E-3</v>
      </c>
      <c r="DW983" s="928"/>
    </row>
    <row r="984" spans="1:128" s="21" customFormat="1" ht="13.8">
      <c r="A984" s="20" t="s">
        <v>608</v>
      </c>
      <c r="B984" s="27"/>
      <c r="BH984" s="66">
        <f>+BH968*(BH$4/BH$3)/BH$981</f>
        <v>5.3888500393763838E-3</v>
      </c>
      <c r="BI984" s="66">
        <f>+BI968*(BI$4/BI$3)/BI$981</f>
        <v>4.1923383079184185E-3</v>
      </c>
      <c r="BJ984" s="66">
        <f>+BJ968*(BJ$4/BJ$3)/BJ$981</f>
        <v>4.5687522843761421E-3</v>
      </c>
      <c r="BK984" s="27"/>
      <c r="BL984" s="66">
        <f>+BL968*(BL$4/BL$3)/BL$981</f>
        <v>4.7298423601854472E-3</v>
      </c>
      <c r="BM984" s="66">
        <f>+BM968*(BM$4/BM$3)/BM$981</f>
        <v>4.3211690762722217E-3</v>
      </c>
      <c r="BN984" s="66">
        <f>+BN968*(BN$4/BN$3)/BN$981</f>
        <v>4.5628492730634901E-3</v>
      </c>
      <c r="BO984" s="27"/>
      <c r="BP984" s="66">
        <f>+BP968*(BP$4/BP$3)/BP$981</f>
        <v>2.6728518533715938E-3</v>
      </c>
      <c r="BQ984" s="66">
        <f>+BQ968*(BQ$4/BQ$3)/BQ$981</f>
        <v>4.7441976384825458E-3</v>
      </c>
      <c r="BR984" s="66">
        <f>+BR968*(BR$4/BR$3)/BR$981</f>
        <v>3.7982688804357062E-3</v>
      </c>
      <c r="BT984" s="66">
        <f>+BT968*(BT$4/BT$3)/BT$981</f>
        <v>7.6711851109270805E-3</v>
      </c>
      <c r="BU984" s="66">
        <f>+BU968*(BU$4/BU$3)/BU$981</f>
        <v>8.0219664001817473E-3</v>
      </c>
      <c r="BV984" s="66">
        <f>+BV968*(BV$4/BV$3)/BV$981</f>
        <v>7.6546964909081682E-3</v>
      </c>
      <c r="BX984" s="66">
        <f>+BX968*(BX$4/BX$3)/BX$981</f>
        <v>6.4104747740351764E-3</v>
      </c>
      <c r="BY984" s="66">
        <f>+BY968*(BY$4/BY$3)/BY$981</f>
        <v>4.5170345529128792E-3</v>
      </c>
      <c r="BZ984" s="66">
        <f>+BZ968*(BZ$4/BZ$3)/BZ$981</f>
        <v>5.4455955674278878E-3</v>
      </c>
      <c r="CB984" s="66">
        <f>+CB968*(CB$4/CB$3)/CB$981</f>
        <v>3.3178951994769211E-3</v>
      </c>
      <c r="CC984" s="66">
        <f>+CC968*(CC$4/CC$3)/CC$981</f>
        <v>2.610038535099272E-3</v>
      </c>
      <c r="CD984" s="66">
        <f>+CD968*(CD$4/CD$3)/CD$981</f>
        <v>2.9342020872846668E-3</v>
      </c>
      <c r="CF984" s="66">
        <f>+CF968*(CF$4/CF$3)/CF$981</f>
        <v>2.8871012683137865E-3</v>
      </c>
      <c r="CG984" s="66">
        <f>+CG968*(CG$4/CG$3)/CG$981</f>
        <v>2.9809548902543746E-3</v>
      </c>
      <c r="CH984" s="66">
        <f>+CH968*(CH$4/CH$3)/CH$981</f>
        <v>2.9144277182893349E-3</v>
      </c>
      <c r="CJ984" s="66">
        <f>+CJ968*(CJ$4/CJ$3)/CJ$981</f>
        <v>3.7355324664720651E-3</v>
      </c>
      <c r="CK984" s="66">
        <f>+CK968*(CK$4/CK$3)/CK$981</f>
        <v>3.8633939950927267E-3</v>
      </c>
      <c r="CL984" s="66">
        <f>+CL968*(CL$4/CL$3)/CL$981</f>
        <v>4.0997811102400005E-3</v>
      </c>
      <c r="CN984" s="66">
        <f>+CN968*(CN$4/CN$3)/CN$981</f>
        <v>1.8081139304801119E-3</v>
      </c>
      <c r="CO984" s="66">
        <f>+CO968*(CO$4/CO$3)/CO$981</f>
        <v>1.0905613917663382E-4</v>
      </c>
      <c r="CP984" s="66">
        <f>+CP968*(CP$4/CP$3)/CP$981</f>
        <v>9.3569920693786725E-4</v>
      </c>
      <c r="CR984" s="66">
        <f>+CR968*(CR$4/CR$3)/CR$981</f>
        <v>1.1377036549757109E-3</v>
      </c>
      <c r="CS984" s="66">
        <f>+CS968*(CS$4/CS$3)/CS$981</f>
        <v>-3.0096646121395462E-4</v>
      </c>
      <c r="CT984" s="66">
        <f>+CT968*(CT$4/CT$3)/CT$981</f>
        <v>3.9041149371437495E-4</v>
      </c>
      <c r="CV984" s="66">
        <f>+CV968*(CV$4/CV$3)/CV$981</f>
        <v>-3.5792162268262094E-4</v>
      </c>
      <c r="CW984" s="66">
        <f>+CW968*(CW$4/CW$3)/CW$981</f>
        <v>7.8489741256417543E-4</v>
      </c>
      <c r="CX984" s="66">
        <f>+CX968*(CX$4/CX$3)/CX$981</f>
        <v>2.1692829533801372E-4</v>
      </c>
      <c r="CZ984" s="66">
        <f>+CZ968*(CZ$4/CZ$3)/CZ$981</f>
        <v>3.6671594412165801E-4</v>
      </c>
      <c r="DA984" s="66">
        <f>+DA968*(DA$4/DA$3)/DA$981</f>
        <v>8.6092683556775738E-4</v>
      </c>
      <c r="DB984" s="66">
        <f>+DB968*(DB$4/DB$3)/DB$981</f>
        <v>6.0670359829233581E-4</v>
      </c>
      <c r="DD984" s="66">
        <f>+DD968*(DD$4/DD$3)/DD$981</f>
        <v>6.886852550364237E-4</v>
      </c>
      <c r="DE984" s="66">
        <f>+DE968*(DE$4/DE$3)/DE$981</f>
        <v>1.1920173809578634E-3</v>
      </c>
      <c r="DF984" s="66">
        <f>+DF968*(DF$4/DF$3)/DF$981</f>
        <v>9.4641281975889444E-4</v>
      </c>
      <c r="DH984" s="66">
        <f ca="1">+DH968*(DH$4/DH$3)/DH$981</f>
        <v>1.8177024800936376E-3</v>
      </c>
      <c r="DI984" s="66">
        <f ca="1">+DI968*(DI$4/DI$3)/DI$981</f>
        <v>1.9961409742015575E-3</v>
      </c>
      <c r="DJ984" s="66">
        <f ca="1">+DJ968*(DJ$4/DJ$3)/DJ$981</f>
        <v>1.8998724487189666E-3</v>
      </c>
      <c r="DL984" s="66">
        <f ca="1">+DL968*(DL$4/DL$3)/DL$981</f>
        <v>2.5226208762110566E-3</v>
      </c>
      <c r="DM984" s="66">
        <f ca="1">+DM968*(DM$4/DM$3)/DM$981</f>
        <v>1.796063381614162E-3</v>
      </c>
      <c r="DN984" s="66">
        <f ca="1">+DN968*(DN$4/DN$3)/DN$981</f>
        <v>2.1527719036892176E-3</v>
      </c>
      <c r="DP984" s="66">
        <f ca="1">+DP968*(DP$4/DP$3)/DP$981</f>
        <v>2.1554772461002368E-3</v>
      </c>
      <c r="DQ984" s="66">
        <f ca="1">+DQ968*(DQ$4/DQ$3)/DQ$981</f>
        <v>2.1088372137064095E-3</v>
      </c>
      <c r="DR984" s="66">
        <f ca="1">+DR968*(DR$4/DR$3)/DR$981</f>
        <v>2.1297301015971359E-3</v>
      </c>
      <c r="DW984" s="928"/>
    </row>
    <row r="985" spans="1:128" s="21" customFormat="1" ht="13.8">
      <c r="A985" s="20" t="s">
        <v>609</v>
      </c>
      <c r="B985" s="27"/>
      <c r="BH985" s="66">
        <f>+BH969*(BH$4/BH$3)/BH$514</f>
        <v>3.7239871065069003E-3</v>
      </c>
      <c r="BI985" s="66">
        <f>+BI969*(BI$4/BI$3)/BI$514</f>
        <v>3.6042536732421799E-3</v>
      </c>
      <c r="BJ985" s="66">
        <f>+BJ969*(BJ$4/BJ$3)/BJ$514</f>
        <v>3.5282154068353648E-3</v>
      </c>
      <c r="BK985" s="27"/>
      <c r="BL985" s="66">
        <f>+BL969*(BL$4/BL$3)/BL$514</f>
        <v>3.0254101010738464E-3</v>
      </c>
      <c r="BM985" s="66">
        <f>+BM969*(BM$4/BM$3)/BM$514</f>
        <v>2.5460898205985302E-3</v>
      </c>
      <c r="BN985" s="66">
        <f>+BN969*(BN$4/BN$3)/BN$514</f>
        <v>2.8225127498237713E-3</v>
      </c>
      <c r="BO985" s="27"/>
      <c r="BP985" s="66">
        <f>+BP969*(BP$4/BP$3)/BP$514</f>
        <v>2.7333327929806783E-3</v>
      </c>
      <c r="BQ985" s="66">
        <f>+BQ969*(BQ$4/BQ$3)/BQ$514</f>
        <v>3.5147114244227931E-3</v>
      </c>
      <c r="BR985" s="66">
        <f>+BR969*(BR$4/BR$3)/BR$514</f>
        <v>3.156656616011715E-3</v>
      </c>
      <c r="BT985" s="66">
        <f>+BT969*(BT$4/BT$3)/BT$514</f>
        <v>4.6465014577259474E-3</v>
      </c>
      <c r="BU985" s="66">
        <f>+BU969*(BU$4/BU$3)/BU$514</f>
        <v>5.2100783394004643E-3</v>
      </c>
      <c r="BV985" s="66">
        <f>+BV969*(BV$4/BV$3)/BV$514</f>
        <v>4.8265370706917421E-3</v>
      </c>
      <c r="BX985" s="66">
        <f>+BX969*(BX$4/BX$3)/BX$514</f>
        <v>3.5846986401961317E-3</v>
      </c>
      <c r="BY985" s="66">
        <f>+BY969*(BY$4/BY$3)/BY$514</f>
        <v>2.424357995620653E-3</v>
      </c>
      <c r="BZ985" s="66">
        <f>+BZ969*(BZ$4/BZ$3)/BZ$514</f>
        <v>2.9986432327324792E-3</v>
      </c>
      <c r="CB985" s="66">
        <f>+CB969*(CB$4/CB$3)/CB$514</f>
        <v>2.079685237432826E-3</v>
      </c>
      <c r="CC985" s="66">
        <f>+CC969*(CC$4/CC$3)/CC$514</f>
        <v>1.4199645952252329E-3</v>
      </c>
      <c r="CD985" s="66">
        <f>+CD969*(CD$4/CD$3)/CD$514</f>
        <v>1.7597415635354947E-3</v>
      </c>
      <c r="CF985" s="66">
        <f>+CF969*(CF$4/CF$3)/CF$514</f>
        <v>2.0026637682851356E-3</v>
      </c>
      <c r="CG985" s="66">
        <f>+CG969*(CG$4/CG$3)/CG$514</f>
        <v>1.9718445910702331E-3</v>
      </c>
      <c r="CH985" s="66">
        <f>+CH969*(CH$4/CH$3)/CH$514</f>
        <v>1.9683552844149588E-3</v>
      </c>
      <c r="CJ985" s="66">
        <f>+CJ969*(CJ$4/CJ$3)/CJ$514</f>
        <v>7.732342694287235E-3</v>
      </c>
      <c r="CK985" s="66">
        <f>+CK969*(CK$4/CK$3)/CK$514</f>
        <v>4.8451951056243427E-3</v>
      </c>
      <c r="CL985" s="66">
        <f>+CL969*(CL$4/CL$3)/CL$514</f>
        <v>6.4701746923535907E-3</v>
      </c>
      <c r="CN985" s="66">
        <f>+CN969*(CN$4/CN$3)/CN$514</f>
        <v>-2.3513767588748185E-3</v>
      </c>
      <c r="CO985" s="66">
        <f>+CO969*(CO$4/CO$3)/CO$514</f>
        <v>-3.6781154174585418E-4</v>
      </c>
      <c r="CP985" s="66">
        <f>+CP969*(CP$4/CP$3)/CP$514</f>
        <v>-1.3412658048186216E-3</v>
      </c>
      <c r="CR985" s="66">
        <f>+CR969*(CR$4/CR$3)/CR$514</f>
        <v>-1.3338714456752482E-3</v>
      </c>
      <c r="CS985" s="66">
        <f>+CS969*(CS$4/CS$3)/CS$514</f>
        <v>2.3238313607580206E-4</v>
      </c>
      <c r="CT985" s="66">
        <f>+CT969*(CT$4/CT$3)/CT$514</f>
        <v>-5.3284091483272935E-4</v>
      </c>
      <c r="CV985" s="66">
        <f>+CV969*(CV$4/CV$3)/CV$514</f>
        <v>5.9923876414302044E-4</v>
      </c>
      <c r="CW985" s="66">
        <f>+CW969*(CW$4/CW$3)/CW$514</f>
        <v>5.142206035726191E-4</v>
      </c>
      <c r="CX985" s="66">
        <f>+CX969*(CX$4/CX$3)/CX$514</f>
        <v>5.5177384028962497E-4</v>
      </c>
      <c r="CZ985" s="66">
        <f>+CZ969*(CZ$4/CZ$3)/CZ$514</f>
        <v>3.2328606429236147E-4</v>
      </c>
      <c r="DA985" s="66">
        <f>+DA969*(DA$4/DA$3)/DA$514</f>
        <v>1.5283825414135947E-3</v>
      </c>
      <c r="DB985" s="66">
        <f>+DB969*(DB$4/DB$3)/DB$514</f>
        <v>9.228227009838517E-4</v>
      </c>
      <c r="DD985" s="66">
        <f>+DD969*(DD$4/DD$3)/DD$514</f>
        <v>6.3521786340411891E-4</v>
      </c>
      <c r="DE985" s="66">
        <f>+DE969*(DE$4/DE$3)/DE$514</f>
        <v>1.2729988888124195E-3</v>
      </c>
      <c r="DF985" s="66">
        <f>+DF969*(DF$4/DF$3)/DF$514</f>
        <v>9.7444673632156298E-4</v>
      </c>
      <c r="DH985" s="66">
        <f ca="1">+DH969*(DH$4/DH$3)/DH$514</f>
        <v>9.0681683924809058E-4</v>
      </c>
      <c r="DI985" s="66">
        <f ca="1">+DI969*(DI$4/DI$3)/DI$514</f>
        <v>1.4533646837337818E-3</v>
      </c>
      <c r="DJ985" s="66">
        <f ca="1">+DJ969*(DJ$4/DJ$3)/DJ$514</f>
        <v>1.1832758669339341E-3</v>
      </c>
      <c r="DL985" s="66">
        <f ca="1">+DL969*(DL$4/DL$3)/DL$514</f>
        <v>1.64276155965784E-3</v>
      </c>
      <c r="DM985" s="66">
        <f ca="1">+DM969*(DM$4/DM$3)/DM$514</f>
        <v>1.6553403876854009E-3</v>
      </c>
      <c r="DN985" s="66">
        <f ca="1">+DN969*(DN$4/DN$3)/DN$514</f>
        <v>1.6476100459391859E-3</v>
      </c>
      <c r="DP985" s="66">
        <f ca="1">+DP969*(DP$4/DP$3)/DP$514</f>
        <v>1.8381316260689098E-3</v>
      </c>
      <c r="DQ985" s="66">
        <f ca="1">+DQ969*(DQ$4/DQ$3)/DQ$514</f>
        <v>1.8412556587616583E-3</v>
      </c>
      <c r="DR985" s="66">
        <f ca="1">+DR969*(DR$4/DR$3)/DR$514</f>
        <v>1.8424863434307506E-3</v>
      </c>
      <c r="DW985" s="928"/>
    </row>
    <row r="986" spans="1:128" s="21" customFormat="1" ht="13.8">
      <c r="A986" s="21" t="s">
        <v>610</v>
      </c>
      <c r="B986" s="27"/>
      <c r="BH986" s="74">
        <f>+BH969*(BH$4/BH$3)/BH$980</f>
        <v>5.4250776026663096E-3</v>
      </c>
      <c r="BI986" s="74">
        <f>+BI969*(BI$4/BI$3)/BI$980</f>
        <v>5.0691145564152017E-3</v>
      </c>
      <c r="BJ986" s="74">
        <f>+BJ969*(BJ$4/BJ$3)/BJ$980</f>
        <v>5.087252543626272E-3</v>
      </c>
      <c r="BK986" s="27"/>
      <c r="BL986" s="74">
        <f>+BL969*(BL$4/BL$3)/BL$980</f>
        <v>4.2394707929675826E-3</v>
      </c>
      <c r="BM986" s="74">
        <f>+BM969*(BM$4/BM$3)/BM$980</f>
        <v>3.603136790053411E-3</v>
      </c>
      <c r="BN986" s="74">
        <f>+BN969*(BN$4/BN$3)/BN$980</f>
        <v>3.8755588994823444E-3</v>
      </c>
      <c r="BO986" s="27"/>
      <c r="BP986" s="74">
        <f>+BP969*(BP$4/BP$3)/BP$980</f>
        <v>3.7255531961163627E-3</v>
      </c>
      <c r="BQ986" s="74">
        <f>+BQ969*(BQ$4/BQ$3)/BQ$980</f>
        <v>5.0494386170794377E-3</v>
      </c>
      <c r="BR986" s="74">
        <f>+BR969*(BR$4/BR$3)/BR$980</f>
        <v>4.3893838834937306E-3</v>
      </c>
      <c r="BT986" s="74">
        <f>+BT969*(BT$4/BT$3)/BT$980</f>
        <v>7.2522446013042977E-3</v>
      </c>
      <c r="BU986" s="74">
        <f>+BU969*(BU$4/BU$3)/BU$980</f>
        <v>8.0641715384465983E-3</v>
      </c>
      <c r="BV986" s="74">
        <f>+BV969*(BV$4/BV$3)/BV$980</f>
        <v>7.5980344552993963E-3</v>
      </c>
      <c r="BX986" s="74">
        <f>+BX969*(BX$4/BX$3)/BX$980</f>
        <v>5.7757779696004192E-3</v>
      </c>
      <c r="BY986" s="74">
        <f>+BY969*(BY$4/BY$3)/BY$980</f>
        <v>3.8649254374565714E-3</v>
      </c>
      <c r="BZ986" s="74">
        <f>+BZ969*(BZ$4/BZ$3)/BZ$980</f>
        <v>4.8504609758366945E-3</v>
      </c>
      <c r="CB986" s="74">
        <f>+CB969*(CB$4/CB$3)/CB$980</f>
        <v>3.2615906049370128E-3</v>
      </c>
      <c r="CC986" s="74">
        <f>+CC969*(CC$4/CC$3)/CC$980</f>
        <v>2.1262409591069355E-3</v>
      </c>
      <c r="CD986" s="74">
        <f>+CD969*(CD$4/CD$3)/CD$980</f>
        <v>2.6193957115009745E-3</v>
      </c>
      <c r="CF986" s="74">
        <f>+CF969*(CF$4/CF$3)/CF$980</f>
        <v>2.971158972591475E-3</v>
      </c>
      <c r="CG986" s="74">
        <f>+CG969*(CG$4/CG$3)/CG$980</f>
        <v>2.9118681518484173E-3</v>
      </c>
      <c r="CH986" s="74">
        <f>+CH969*(CH$4/CH$3)/CH$980</f>
        <v>2.8871610309525453E-3</v>
      </c>
      <c r="CJ986" s="74">
        <f>+CJ969*(CJ$4/CJ$3)/CJ$980</f>
        <v>1.0713222894554111E-2</v>
      </c>
      <c r="CK986" s="74">
        <f>+CK969*(CK$4/CK$3)/CK$980</f>
        <v>8.0549919752899487E-3</v>
      </c>
      <c r="CL986" s="74">
        <f>+CL969*(CL$4/CL$3)/CL$980</f>
        <v>1.0363988735124004E-2</v>
      </c>
      <c r="CN986" s="74">
        <f>+CN969*(CN$4/CN$3)/CN$980</f>
        <v>-3.931431568894239E-3</v>
      </c>
      <c r="CO986" s="74">
        <f>+CO969*(CO$4/CO$3)/CO$980</f>
        <v>-5.7939462994332331E-4</v>
      </c>
      <c r="CP986" s="74">
        <f>+CP969*(CP$4/CP$3)/CP$980</f>
        <v>-2.1672157965951398E-3</v>
      </c>
      <c r="CR986" s="74">
        <f>+CR969*(CR$4/CR$3)/CR$980</f>
        <v>-2.0247222374465954E-3</v>
      </c>
      <c r="CS986" s="74">
        <f>+CS969*(CS$4/CS$3)/CS$980</f>
        <v>3.4356419725103027E-4</v>
      </c>
      <c r="CT986" s="74">
        <f>+CT969*(CT$4/CT$3)/CT$980</f>
        <v>-7.685122001311771E-4</v>
      </c>
      <c r="CV986" s="74">
        <f>+CV969*(CV$4/CV$3)/CV$980</f>
        <v>8.7954484347018802E-4</v>
      </c>
      <c r="CW986" s="74">
        <f>+CW969*(CW$4/CW$3)/CW$980</f>
        <v>7.285641821380514E-4</v>
      </c>
      <c r="CX986" s="74">
        <f>+CX969*(CX$4/CX$3)/CX$980</f>
        <v>7.9905027167709232E-4</v>
      </c>
      <c r="CZ986" s="74">
        <f>+CZ969*(CZ$4/CZ$3)/CZ$980</f>
        <v>4.6020387031454934E-4</v>
      </c>
      <c r="DA986" s="74">
        <f>+DA969*(DA$4/DA$3)/DA$980</f>
        <v>2.0803794215802215E-3</v>
      </c>
      <c r="DB986" s="74">
        <f>+DB969*(DB$4/DB$3)/DB$980</f>
        <v>1.2568959005380504E-3</v>
      </c>
      <c r="DD986" s="74">
        <f>+DD969*(DD$4/DD$3)/DD$980</f>
        <v>8.8311823014997179E-4</v>
      </c>
      <c r="DE986" s="74">
        <f>+DE969*(DE$4/DE$3)/DE$980</f>
        <v>1.7891788857946451E-3</v>
      </c>
      <c r="DF986" s="74">
        <f>+DF969*(DF$4/DF$3)/DF$980</f>
        <v>1.3364689339160055E-3</v>
      </c>
      <c r="DH986" s="74">
        <f>+DH969*(DH$4/DH$3)/DH$980</f>
        <v>1.2720415578098634E-3</v>
      </c>
      <c r="DI986" s="74">
        <f>+DI969*(DI$4/DI$3)/DI$980</f>
        <v>2.0453802591934296E-3</v>
      </c>
      <c r="DJ986" s="74">
        <f>+DJ969*(DJ$4/DJ$3)/DJ$980</f>
        <v>1.6493741764090071E-3</v>
      </c>
      <c r="DL986" s="74">
        <f>+DL969*(DL$4/DL$3)/DL$980</f>
        <v>2.3212481548476327E-3</v>
      </c>
      <c r="DM986" s="74">
        <f>+DM969*(DM$4/DM$3)/DM$980</f>
        <v>2.3347358222279698E-3</v>
      </c>
      <c r="DN986" s="74">
        <f>+DN969*(DN$4/DN$3)/DN$980</f>
        <v>2.3071657950385167E-3</v>
      </c>
      <c r="DP986" s="74">
        <f>+DP969*(DP$4/DP$3)/DP$980</f>
        <v>2.6059200907004258E-3</v>
      </c>
      <c r="DQ986" s="74">
        <f>+DQ969*(DQ$4/DQ$3)/DQ$980</f>
        <v>2.6115398746564722E-3</v>
      </c>
      <c r="DR986" s="74">
        <f>+DR969*(DR$4/DR$3)/DR$980</f>
        <v>2.5838443104579745E-3</v>
      </c>
      <c r="DW986" s="927">
        <f>+CL986+CP986+CT986</f>
        <v>7.4282607383976866E-3</v>
      </c>
    </row>
    <row r="988" spans="1:128" s="359" customFormat="1" ht="13.8">
      <c r="A988" s="359" t="s">
        <v>493</v>
      </c>
      <c r="B988" s="360"/>
      <c r="BH988" s="360"/>
      <c r="BI988" s="360"/>
      <c r="BJ988" s="360"/>
      <c r="BK988" s="360"/>
      <c r="BL988" s="360"/>
      <c r="BM988" s="360"/>
      <c r="BN988" s="360"/>
      <c r="BO988" s="360"/>
      <c r="BP988" s="360"/>
      <c r="BT988" s="360"/>
      <c r="BX988" s="360"/>
      <c r="CB988" s="360"/>
      <c r="CF988" s="360"/>
      <c r="CJ988" s="360"/>
      <c r="CN988" s="360"/>
      <c r="CR988" s="360"/>
      <c r="CV988" s="360"/>
      <c r="CZ988" s="360"/>
      <c r="DD988" s="360"/>
      <c r="DH988" s="360"/>
      <c r="DL988" s="360"/>
      <c r="DP988" s="360"/>
      <c r="DT988" s="744"/>
      <c r="DU988" s="744"/>
      <c r="DV988" s="744"/>
      <c r="DW988" s="20"/>
      <c r="DX988" s="20"/>
    </row>
    <row r="989" spans="1:128" s="20" customFormat="1" ht="13.8">
      <c r="B989" s="49"/>
      <c r="BH989" s="49"/>
      <c r="BI989" s="49"/>
      <c r="BJ989" s="49"/>
      <c r="BK989" s="49"/>
      <c r="BL989" s="49"/>
      <c r="BM989" s="49"/>
      <c r="BN989" s="49"/>
      <c r="BO989" s="49"/>
      <c r="BP989" s="49"/>
      <c r="BT989" s="49"/>
      <c r="BX989" s="49"/>
      <c r="CB989" s="49"/>
      <c r="CF989" s="49"/>
      <c r="CJ989" s="49"/>
      <c r="CN989" s="49"/>
      <c r="CR989" s="49"/>
      <c r="CV989" s="49"/>
      <c r="CZ989" s="49"/>
      <c r="DD989" s="49"/>
      <c r="DH989" s="49"/>
      <c r="DL989" s="49"/>
      <c r="DP989" s="49"/>
    </row>
    <row r="990" spans="1:128" s="20" customFormat="1" ht="13.8">
      <c r="A990" s="20" t="s">
        <v>545</v>
      </c>
      <c r="B990" s="49"/>
      <c r="BH990" s="65">
        <f>BH35</f>
        <v>-1265</v>
      </c>
      <c r="BI990" s="65">
        <f>BI35</f>
        <v>-1170</v>
      </c>
      <c r="BJ990" s="65">
        <f>BJ35</f>
        <v>-2435</v>
      </c>
      <c r="BK990" s="49"/>
      <c r="BL990" s="65">
        <f>BL35</f>
        <v>-1333</v>
      </c>
      <c r="BM990" s="65">
        <f>BM35</f>
        <v>-1367</v>
      </c>
      <c r="BN990" s="65">
        <f>BN35</f>
        <v>-2700</v>
      </c>
      <c r="BO990" s="49"/>
      <c r="BP990" s="65">
        <f>BP35</f>
        <v>-1398</v>
      </c>
      <c r="BQ990" s="65">
        <f>BQ35</f>
        <v>-1326</v>
      </c>
      <c r="BR990" s="65">
        <f>BR35</f>
        <v>-2724</v>
      </c>
      <c r="BT990" s="65">
        <f>BT35</f>
        <v>-1133</v>
      </c>
      <c r="BU990" s="65">
        <f>BU35</f>
        <v>-1166</v>
      </c>
      <c r="BV990" s="65">
        <f>BV35</f>
        <v>-2299</v>
      </c>
      <c r="BX990" s="65">
        <f>BX35</f>
        <v>-1406</v>
      </c>
      <c r="BY990" s="65">
        <f>BY35</f>
        <v>-1420</v>
      </c>
      <c r="BZ990" s="65">
        <f>+BX990+BY990</f>
        <v>-2826</v>
      </c>
      <c r="CB990" s="65">
        <f>CB35</f>
        <v>-1489</v>
      </c>
      <c r="CC990" s="65">
        <f>CC35</f>
        <v>-1286</v>
      </c>
      <c r="CD990" s="65">
        <f>+CB990+CC990</f>
        <v>-2775</v>
      </c>
      <c r="CF990" s="65">
        <f>CF35</f>
        <v>-1415</v>
      </c>
      <c r="CG990" s="65">
        <f>CG35</f>
        <v>-1263</v>
      </c>
      <c r="CH990" s="65">
        <f>+CF990+CG990</f>
        <v>-2678</v>
      </c>
      <c r="CJ990" s="65">
        <f>CJ35</f>
        <v>-886</v>
      </c>
      <c r="CK990" s="65">
        <f>CK35</f>
        <v>-986</v>
      </c>
      <c r="CL990" s="65">
        <f>+CJ990+CK990</f>
        <v>-1872</v>
      </c>
      <c r="CN990" s="65">
        <f>CN35</f>
        <v>-1442</v>
      </c>
      <c r="CO990" s="65">
        <f>CO35</f>
        <v>-1322</v>
      </c>
      <c r="CP990" s="65">
        <f>+CN990+CO990</f>
        <v>-2764</v>
      </c>
      <c r="CR990" s="65">
        <f>CR35</f>
        <v>-1328</v>
      </c>
      <c r="CS990" s="65">
        <f>CS35</f>
        <v>-1357</v>
      </c>
      <c r="CT990" s="65">
        <f>+CR990+CS990</f>
        <v>-2685</v>
      </c>
      <c r="CV990" s="65">
        <f>CV35</f>
        <v>-1567</v>
      </c>
      <c r="CW990" s="65">
        <f>CW35</f>
        <v>-1513</v>
      </c>
      <c r="CX990" s="65">
        <f>+CV990+CW990</f>
        <v>-3080</v>
      </c>
      <c r="CZ990" s="65">
        <f>CZ35</f>
        <v>-1496</v>
      </c>
      <c r="DA990" s="65">
        <f>DA35</f>
        <v>-1406</v>
      </c>
      <c r="DB990" s="65">
        <f>+CZ990+DA990</f>
        <v>-2902</v>
      </c>
      <c r="DD990" s="65">
        <f>DD35</f>
        <v>-1519</v>
      </c>
      <c r="DE990" s="65">
        <f>DE35</f>
        <v>-1231</v>
      </c>
      <c r="DF990" s="65">
        <f>+DD990+DE990</f>
        <v>-2750</v>
      </c>
      <c r="DH990" s="65">
        <f ca="1">+DH998</f>
        <v>-1557.245847282293</v>
      </c>
      <c r="DI990" s="65">
        <f ca="1">+DI998</f>
        <v>-1609.4408793469324</v>
      </c>
      <c r="DJ990" s="65">
        <f ca="1">+DH990+DI990</f>
        <v>-3166.6867266292256</v>
      </c>
      <c r="DL990" s="65">
        <f ca="1">+DL998</f>
        <v>-1673.8918121729657</v>
      </c>
      <c r="DM990" s="65">
        <f ca="1">+DM998</f>
        <v>-1679.729900806019</v>
      </c>
      <c r="DN990" s="65">
        <f ca="1">+DL990+DM990</f>
        <v>-3353.6217129789848</v>
      </c>
      <c r="DP990" s="65">
        <f ca="1">+DP998</f>
        <v>-1749.4826257272898</v>
      </c>
      <c r="DQ990" s="65">
        <f ca="1">+DQ998</f>
        <v>-1815.2349647719377</v>
      </c>
      <c r="DR990" s="65">
        <f ca="1">+DP990+DQ990</f>
        <v>-3564.7175904992273</v>
      </c>
    </row>
    <row r="991" spans="1:128" s="20" customFormat="1" ht="13.8">
      <c r="A991" s="20" t="s">
        <v>708</v>
      </c>
      <c r="B991" s="49"/>
      <c r="BH991" s="65">
        <f>BH34</f>
        <v>4449</v>
      </c>
      <c r="BI991" s="65">
        <f>BI34</f>
        <v>4488</v>
      </c>
      <c r="BJ991" s="65">
        <f>BJ34</f>
        <v>8937</v>
      </c>
      <c r="BK991" s="49"/>
      <c r="BL991" s="65">
        <f>BL34</f>
        <v>4854</v>
      </c>
      <c r="BM991" s="65">
        <f>BM34</f>
        <v>4975</v>
      </c>
      <c r="BN991" s="65">
        <f>BN34</f>
        <v>9829</v>
      </c>
      <c r="BO991" s="49"/>
      <c r="BP991" s="65">
        <f>BP34</f>
        <v>5082</v>
      </c>
      <c r="BQ991" s="65">
        <f>BQ34</f>
        <v>4872</v>
      </c>
      <c r="BR991" s="65">
        <f>BR34</f>
        <v>9954</v>
      </c>
      <c r="BT991" s="65">
        <f>BT34</f>
        <v>3919</v>
      </c>
      <c r="BU991" s="65">
        <f>BU34</f>
        <v>4280</v>
      </c>
      <c r="BV991" s="65">
        <f>BV34</f>
        <v>8199</v>
      </c>
      <c r="BX991" s="65">
        <f>BX34</f>
        <v>4769</v>
      </c>
      <c r="BY991" s="65">
        <f>BY34</f>
        <v>4881</v>
      </c>
      <c r="BZ991" s="65">
        <f>BZ34</f>
        <v>9650</v>
      </c>
      <c r="CB991" s="65">
        <f>CB34</f>
        <v>4989</v>
      </c>
      <c r="CC991" s="65">
        <f>CC34</f>
        <v>4289</v>
      </c>
      <c r="CD991" s="65">
        <f>CD34</f>
        <v>9278</v>
      </c>
      <c r="CF991" s="65">
        <f>CF34</f>
        <v>4988</v>
      </c>
      <c r="CG991" s="65">
        <f>CG34</f>
        <v>4175</v>
      </c>
      <c r="CH991" s="65">
        <f>CH34</f>
        <v>9163</v>
      </c>
      <c r="CJ991" s="65">
        <f>CJ34</f>
        <v>2300</v>
      </c>
      <c r="CK991" s="65">
        <f>CK34</f>
        <v>3331</v>
      </c>
      <c r="CL991" s="65">
        <f>CL34</f>
        <v>5631</v>
      </c>
      <c r="CN991" s="65">
        <f>CN34</f>
        <v>4432</v>
      </c>
      <c r="CO991" s="65">
        <f>CO34</f>
        <v>4531</v>
      </c>
      <c r="CP991" s="65">
        <f>CP34</f>
        <v>8963</v>
      </c>
      <c r="CR991" s="65">
        <f>CR34</f>
        <v>4441</v>
      </c>
      <c r="CS991" s="65">
        <f>CS34</f>
        <v>4759</v>
      </c>
      <c r="CT991" s="65">
        <f>CT34</f>
        <v>9200</v>
      </c>
      <c r="CV991" s="65">
        <f>CV34</f>
        <v>5410</v>
      </c>
      <c r="CW991" s="65">
        <f>CW34</f>
        <v>5111</v>
      </c>
      <c r="CX991" s="65">
        <f>CX34</f>
        <v>10521</v>
      </c>
      <c r="CZ991" s="65">
        <f>CZ34</f>
        <v>5062</v>
      </c>
      <c r="DA991" s="65">
        <f>DA34</f>
        <v>4600</v>
      </c>
      <c r="DB991" s="65">
        <f>DB34</f>
        <v>9662</v>
      </c>
      <c r="DD991" s="65">
        <f>DD34</f>
        <v>5108</v>
      </c>
      <c r="DE991" s="65">
        <f>DE34</f>
        <v>3470</v>
      </c>
      <c r="DF991" s="65">
        <f>DF34</f>
        <v>8578</v>
      </c>
      <c r="DH991" s="65">
        <f ca="1">DH34</f>
        <v>5278.7994823128574</v>
      </c>
      <c r="DI991" s="65">
        <f ca="1">DI34</f>
        <v>5455.7317943963817</v>
      </c>
      <c r="DJ991" s="65">
        <f ca="1">DJ34</f>
        <v>10734.531276709238</v>
      </c>
      <c r="DL991" s="65">
        <f ca="1">DL34</f>
        <v>5674.209532789715</v>
      </c>
      <c r="DM991" s="65">
        <f ca="1">DM34</f>
        <v>5693.9996637492177</v>
      </c>
      <c r="DN991" s="65">
        <f ca="1">DN34</f>
        <v>11368.209196538934</v>
      </c>
      <c r="DP991" s="65">
        <f ca="1">DP34</f>
        <v>5930.4495787365759</v>
      </c>
      <c r="DQ991" s="65">
        <f ca="1">DQ34</f>
        <v>6153.3388636336877</v>
      </c>
      <c r="DR991" s="65">
        <f ca="1">DR34</f>
        <v>12083.788442370267</v>
      </c>
    </row>
    <row r="992" spans="1:128" s="21" customFormat="1" ht="13.8">
      <c r="A992" s="21" t="s">
        <v>454</v>
      </c>
      <c r="B992" s="27"/>
      <c r="BH992" s="714">
        <f>-BH990/BH991</f>
        <v>0.28433355810294447</v>
      </c>
      <c r="BI992" s="714">
        <f>-BI990/BI991</f>
        <v>0.26069518716577539</v>
      </c>
      <c r="BJ992" s="714">
        <f>-BJ990/BJ991</f>
        <v>0.27246279512140537</v>
      </c>
      <c r="BK992" s="27"/>
      <c r="BL992" s="714">
        <f>-BL990/BL991</f>
        <v>0.27461887103419858</v>
      </c>
      <c r="BM992" s="714">
        <f>-BM990/BM991</f>
        <v>0.27477386934673365</v>
      </c>
      <c r="BN992" s="714">
        <f>-BN990/BN991</f>
        <v>0.27469732424458237</v>
      </c>
      <c r="BO992" s="27"/>
      <c r="BP992" s="714">
        <f>-BP990/BP991</f>
        <v>0.27508854781582054</v>
      </c>
      <c r="BQ992" s="714">
        <f>-BQ990/BQ991</f>
        <v>0.27216748768472904</v>
      </c>
      <c r="BR992" s="714">
        <f>-BR990/BR991</f>
        <v>0.27365883062085594</v>
      </c>
      <c r="BT992" s="714">
        <f>-BT990/BT991</f>
        <v>0.28910436335799949</v>
      </c>
      <c r="BU992" s="714">
        <f>-BU990/BU991</f>
        <v>0.27242990654205607</v>
      </c>
      <c r="BV992" s="714">
        <f>-BV990/BV991</f>
        <v>0.28040004878643737</v>
      </c>
      <c r="BX992" s="714">
        <f>-BX990/BX991</f>
        <v>0.29482071713147412</v>
      </c>
      <c r="BY992" s="714">
        <f>-BY990/BY991</f>
        <v>0.2909239909854538</v>
      </c>
      <c r="BZ992" s="714">
        <f>-BZ990/BZ991</f>
        <v>0.29284974093264249</v>
      </c>
      <c r="CB992" s="714">
        <f>-CB990/CB991</f>
        <v>0.29845660452996592</v>
      </c>
      <c r="CC992" s="714">
        <f>-CC990/CC991</f>
        <v>0.29983679179295875</v>
      </c>
      <c r="CD992" s="714">
        <f>-CD990/CD991</f>
        <v>0.29909463246389306</v>
      </c>
      <c r="CF992" s="714">
        <f>-CF990/CF991</f>
        <v>0.28368083400160388</v>
      </c>
      <c r="CG992" s="714">
        <f>-CG990/CG991</f>
        <v>0.30251497005988026</v>
      </c>
      <c r="CH992" s="714">
        <f>-CH990/CH991</f>
        <v>0.29226235948925022</v>
      </c>
      <c r="CJ992" s="714">
        <f>-CJ990/CJ991</f>
        <v>0.38521739130434784</v>
      </c>
      <c r="CK992" s="714">
        <f>-CK990/CK991</f>
        <v>0.29600720504353045</v>
      </c>
      <c r="CL992" s="714">
        <f>-CL990/CL991</f>
        <v>0.33244539158231218</v>
      </c>
      <c r="CN992" s="714">
        <f>-CN990/CN991</f>
        <v>0.32536101083032493</v>
      </c>
      <c r="CO992" s="714">
        <f>-CO990/CO991</f>
        <v>0.29176782167291987</v>
      </c>
      <c r="CP992" s="714">
        <f>-CP990/CP991</f>
        <v>0.30837889099631821</v>
      </c>
      <c r="CR992" s="714">
        <f>-CR990/CR991</f>
        <v>0.29903174960594459</v>
      </c>
      <c r="CS992" s="714">
        <f>-CS990/CS991</f>
        <v>0.28514393780205927</v>
      </c>
      <c r="CT992" s="714">
        <f>-CT990/CT991</f>
        <v>0.29184782608695653</v>
      </c>
      <c r="CV992" s="714">
        <f>-CV990/CV991</f>
        <v>0.28964879852125691</v>
      </c>
      <c r="CW992" s="714">
        <f>-CW990/CW991</f>
        <v>0.29602817452553315</v>
      </c>
      <c r="CX992" s="714">
        <f>-CX990/CX991</f>
        <v>0.29274783765801732</v>
      </c>
      <c r="CZ992" s="714">
        <f>-CZ990/CZ991</f>
        <v>0.2955353615171869</v>
      </c>
      <c r="DA992" s="714">
        <f>-DA990/DA991</f>
        <v>0.3056521739130435</v>
      </c>
      <c r="DB992" s="714">
        <f>-DB990/DB991</f>
        <v>0.30035189401780171</v>
      </c>
      <c r="DD992" s="714">
        <f>-DD990/DD991</f>
        <v>0.29737666405638213</v>
      </c>
      <c r="DE992" s="714">
        <f>-DE990/DE991</f>
        <v>0.35475504322766571</v>
      </c>
      <c r="DF992" s="714">
        <f>-DF990/DF991</f>
        <v>0.32058754954534857</v>
      </c>
      <c r="DH992" s="714">
        <f ca="1">-DH990/DH991</f>
        <v>0.29499999999999998</v>
      </c>
      <c r="DI992" s="714">
        <f ca="1">-DI990/DI991</f>
        <v>0.29499999999999998</v>
      </c>
      <c r="DJ992" s="714">
        <f ca="1">-DJ990/DJ991</f>
        <v>0.29500000000000004</v>
      </c>
      <c r="DL992" s="714">
        <f ca="1">-DL990/DL991</f>
        <v>0.29499999999999998</v>
      </c>
      <c r="DM992" s="714">
        <f ca="1">-DM990/DM991</f>
        <v>0.29499999999999998</v>
      </c>
      <c r="DN992" s="714">
        <f ca="1">-DN990/DN991</f>
        <v>0.29499999999999993</v>
      </c>
      <c r="DP992" s="714">
        <f ca="1">-DP990/DP991</f>
        <v>0.29499999999999998</v>
      </c>
      <c r="DQ992" s="714">
        <f ca="1">-DQ990/DQ991</f>
        <v>0.29499999999999998</v>
      </c>
      <c r="DR992" s="714">
        <f ca="1">-DR990/DR991</f>
        <v>0.29499999999999987</v>
      </c>
      <c r="DW992" s="20"/>
      <c r="DX992" s="347"/>
    </row>
    <row r="993" spans="1:128" s="21" customFormat="1" ht="13.8">
      <c r="A993" s="21" t="s">
        <v>864</v>
      </c>
      <c r="B993" s="27"/>
      <c r="BH993" s="714"/>
      <c r="BI993" s="714"/>
      <c r="BJ993" s="714"/>
      <c r="BK993" s="27"/>
      <c r="BL993" s="714"/>
      <c r="BM993" s="714"/>
      <c r="BN993" s="714"/>
      <c r="BO993" s="27"/>
      <c r="BP993" s="714"/>
      <c r="BQ993" s="714"/>
      <c r="BR993" s="714"/>
      <c r="BT993" s="714">
        <f>BT1562</f>
        <v>0.28835978835978837</v>
      </c>
      <c r="BU993" s="714">
        <f>BU1562</f>
        <v>0.28125686662272026</v>
      </c>
      <c r="BV993" s="714">
        <f>BV1562</f>
        <v>0.29223125564588981</v>
      </c>
      <c r="BX993" s="714">
        <f>BX1562</f>
        <v>0.28718967229394238</v>
      </c>
      <c r="BY993" s="714">
        <f>BY1562</f>
        <v>0.2909239909854538</v>
      </c>
      <c r="BZ993" s="714">
        <f>BZ1562</f>
        <v>0.2946205170975813</v>
      </c>
      <c r="CB993" s="714">
        <f>CB1562</f>
        <v>0.29845660452996592</v>
      </c>
      <c r="CC993" s="714">
        <f>CC1562</f>
        <v>0.29983679179295875</v>
      </c>
      <c r="CD993" s="714">
        <f>CD1562</f>
        <v>0.29909463246389306</v>
      </c>
      <c r="CF993" s="714">
        <f>CF1562</f>
        <v>0.28368083400160388</v>
      </c>
      <c r="CG993" s="714">
        <f>CG1562</f>
        <v>0.30251497005988026</v>
      </c>
      <c r="CH993" s="714">
        <f>CH1562</f>
        <v>0.29226235948925022</v>
      </c>
      <c r="CJ993" s="714">
        <f>CJ1562</f>
        <v>0.38521739130434784</v>
      </c>
      <c r="CK993" s="714">
        <f>CK1562</f>
        <v>0.29600720504353045</v>
      </c>
      <c r="CL993" s="714">
        <f>CL1562</f>
        <v>0.33244539158231218</v>
      </c>
      <c r="CN993" s="714">
        <f>CN1562</f>
        <v>0.32536101083032493</v>
      </c>
      <c r="CO993" s="714">
        <f>CO1562</f>
        <v>0.29176782167291987</v>
      </c>
      <c r="CP993" s="714">
        <f>CP1562</f>
        <v>0.30837889099631821</v>
      </c>
      <c r="CR993" s="714">
        <f>CR1562</f>
        <v>0.29903174960594459</v>
      </c>
      <c r="CS993" s="714">
        <f>CS1562</f>
        <v>0.28514393780205927</v>
      </c>
      <c r="CT993" s="714">
        <f>CT1562</f>
        <v>0.29184782608695653</v>
      </c>
      <c r="CV993" s="714">
        <f>CV1562</f>
        <v>0.28964879852125691</v>
      </c>
      <c r="CW993" s="714">
        <f>CW1562</f>
        <v>0.29602817452553315</v>
      </c>
      <c r="CX993" s="714">
        <f>CX1562</f>
        <v>0.29274783765801732</v>
      </c>
      <c r="CZ993" s="714">
        <f>CZ1562</f>
        <v>0.2955353615171869</v>
      </c>
      <c r="DA993" s="714">
        <f>DA1562</f>
        <v>0.3056521739130435</v>
      </c>
      <c r="DB993" s="714">
        <f>DB1562</f>
        <v>0.30035189401780171</v>
      </c>
      <c r="DD993" s="714">
        <f>DD1562</f>
        <v>0.29737666405638213</v>
      </c>
      <c r="DE993" s="714">
        <f>DE1562</f>
        <v>0.35475504322766571</v>
      </c>
      <c r="DF993" s="714">
        <f>DF1562</f>
        <v>0.32058754954534857</v>
      </c>
      <c r="DH993" s="714">
        <f ca="1">DH1562</f>
        <v>0.29499999999999998</v>
      </c>
      <c r="DI993" s="714">
        <f ca="1">DI1562</f>
        <v>0.29499999999999998</v>
      </c>
      <c r="DJ993" s="714">
        <f ca="1">DJ1562</f>
        <v>0.29500000000000004</v>
      </c>
      <c r="DL993" s="714">
        <f ca="1">DL1562</f>
        <v>0.29499999999999998</v>
      </c>
      <c r="DM993" s="714">
        <f ca="1">DM1562</f>
        <v>0.29499999999999998</v>
      </c>
      <c r="DN993" s="714">
        <f ca="1">DN1562</f>
        <v>0.29499999999999993</v>
      </c>
      <c r="DP993" s="714">
        <f ca="1">DP1562</f>
        <v>0.29499999999999998</v>
      </c>
      <c r="DQ993" s="714">
        <f ca="1">DQ1562</f>
        <v>0.29499999999999998</v>
      </c>
      <c r="DR993" s="714">
        <f ca="1">DR1562</f>
        <v>0.29499999999999987</v>
      </c>
      <c r="DW993" s="20"/>
      <c r="DX993" s="347"/>
    </row>
    <row r="994" spans="1:128" s="20" customFormat="1" ht="13.8">
      <c r="B994" s="791"/>
      <c r="BH994" s="49"/>
      <c r="BI994" s="49"/>
      <c r="BJ994" s="49"/>
      <c r="BK994" s="49"/>
      <c r="BL994" s="49"/>
      <c r="BM994" s="49"/>
      <c r="BN994" s="49"/>
      <c r="BO994" s="49"/>
      <c r="BP994" s="49"/>
      <c r="BT994" s="49"/>
      <c r="BX994" s="49"/>
      <c r="CB994" s="49"/>
      <c r="CF994" s="49"/>
      <c r="CJ994" s="49"/>
      <c r="CN994" s="49"/>
      <c r="CR994" s="49"/>
      <c r="CV994" s="49"/>
      <c r="CZ994" s="49"/>
      <c r="DD994" s="49"/>
      <c r="DH994" s="49"/>
      <c r="DL994" s="49"/>
      <c r="DP994" s="49"/>
    </row>
    <row r="995" spans="1:128" s="20" customFormat="1" ht="13.8">
      <c r="A995" s="20" t="s">
        <v>708</v>
      </c>
      <c r="B995" s="791"/>
      <c r="BH995" s="49"/>
      <c r="BI995" s="49"/>
      <c r="BJ995" s="49"/>
      <c r="BK995" s="49"/>
      <c r="BL995" s="49"/>
      <c r="BM995" s="49"/>
      <c r="BN995" s="49"/>
      <c r="BO995" s="49"/>
      <c r="BP995" s="49"/>
      <c r="BT995" s="49"/>
      <c r="BX995" s="65">
        <f>BX34</f>
        <v>4769</v>
      </c>
      <c r="BY995" s="65">
        <f>BY34</f>
        <v>4881</v>
      </c>
      <c r="BZ995" s="65">
        <f t="shared" ref="BZ995:BZ1000" si="1551">+BY995+BX995</f>
        <v>9650</v>
      </c>
      <c r="CB995" s="65">
        <f>CB34</f>
        <v>4989</v>
      </c>
      <c r="CC995" s="65">
        <f>CC34</f>
        <v>4289</v>
      </c>
      <c r="CD995" s="65">
        <f>CD34</f>
        <v>9278</v>
      </c>
      <c r="CF995" s="65">
        <f>CF34</f>
        <v>4988</v>
      </c>
      <c r="CG995" s="65">
        <f>CG34</f>
        <v>4175</v>
      </c>
      <c r="CH995" s="65">
        <f>CH34</f>
        <v>9163</v>
      </c>
      <c r="CJ995" s="65">
        <f>CJ34</f>
        <v>2300</v>
      </c>
      <c r="CK995" s="65">
        <f>CK34</f>
        <v>3331</v>
      </c>
      <c r="CL995" s="65">
        <f>CL34</f>
        <v>5631</v>
      </c>
      <c r="CN995" s="65">
        <f>CN34</f>
        <v>4432</v>
      </c>
      <c r="CO995" s="65">
        <f>CO34</f>
        <v>4531</v>
      </c>
      <c r="CP995" s="65">
        <f>CP34</f>
        <v>8963</v>
      </c>
      <c r="CR995" s="65">
        <f>CR34</f>
        <v>4441</v>
      </c>
      <c r="CS995" s="65">
        <f>CS34</f>
        <v>4759</v>
      </c>
      <c r="CT995" s="65">
        <f>CT34</f>
        <v>9200</v>
      </c>
      <c r="CV995" s="65">
        <f>CV34</f>
        <v>5410</v>
      </c>
      <c r="CW995" s="65">
        <f>CW34</f>
        <v>5111</v>
      </c>
      <c r="CX995" s="65">
        <f>CX34</f>
        <v>10521</v>
      </c>
      <c r="CZ995" s="65">
        <f>CZ34</f>
        <v>5062</v>
      </c>
      <c r="DA995" s="65">
        <f>DA34</f>
        <v>4600</v>
      </c>
      <c r="DB995" s="65">
        <f>DB34</f>
        <v>9662</v>
      </c>
      <c r="DD995" s="65">
        <f>DD34</f>
        <v>5108</v>
      </c>
      <c r="DE995" s="65">
        <f>DE34</f>
        <v>3470</v>
      </c>
      <c r="DF995" s="65">
        <f>DF34</f>
        <v>8578</v>
      </c>
      <c r="DH995" s="65">
        <f ca="1">DH34</f>
        <v>5278.7994823128574</v>
      </c>
      <c r="DI995" s="65">
        <f ca="1">DI34</f>
        <v>5455.7317943963817</v>
      </c>
      <c r="DJ995" s="65">
        <f ca="1">+DI995+DH995</f>
        <v>10734.53127670924</v>
      </c>
      <c r="DL995" s="65">
        <f ca="1">DL34</f>
        <v>5674.209532789715</v>
      </c>
      <c r="DM995" s="65">
        <f ca="1">DM34</f>
        <v>5693.9996637492177</v>
      </c>
      <c r="DN995" s="65">
        <f ca="1">+DM995+DL995</f>
        <v>11368.209196538934</v>
      </c>
      <c r="DP995" s="65">
        <f ca="1">DP34</f>
        <v>5930.4495787365759</v>
      </c>
      <c r="DQ995" s="65">
        <f ca="1">DQ34</f>
        <v>6153.3388636336877</v>
      </c>
      <c r="DR995" s="65">
        <f ca="1">+DQ995+DP995</f>
        <v>12083.788442370264</v>
      </c>
    </row>
    <row r="996" spans="1:128" s="20" customFormat="1" ht="13.8">
      <c r="A996" s="20" t="s">
        <v>967</v>
      </c>
      <c r="B996" s="791"/>
      <c r="BH996" s="49"/>
      <c r="BI996" s="49"/>
      <c r="BJ996" s="49"/>
      <c r="BK996" s="49"/>
      <c r="BL996" s="49"/>
      <c r="BM996" s="49"/>
      <c r="BN996" s="49"/>
      <c r="BO996" s="49"/>
      <c r="BP996" s="49"/>
      <c r="BT996" s="49"/>
      <c r="BX996" s="573">
        <v>-324</v>
      </c>
      <c r="BY996" s="573">
        <f>BY741+BY742</f>
        <v>14</v>
      </c>
      <c r="BZ996" s="65">
        <f t="shared" si="1551"/>
        <v>-310</v>
      </c>
      <c r="CB996" s="65">
        <f>CB524</f>
        <v>217</v>
      </c>
      <c r="CC996" s="65">
        <f>CC524</f>
        <v>-696</v>
      </c>
      <c r="CD996" s="65">
        <f>CD524</f>
        <v>-479</v>
      </c>
      <c r="CF996" s="65">
        <f>CF524</f>
        <v>114</v>
      </c>
      <c r="CG996" s="65">
        <f>CG524</f>
        <v>-481</v>
      </c>
      <c r="CH996" s="65">
        <f>CH524</f>
        <v>-367</v>
      </c>
      <c r="CJ996" s="65">
        <f>CJ524</f>
        <v>-1061</v>
      </c>
      <c r="CK996" s="65">
        <f>CK524</f>
        <v>-655</v>
      </c>
      <c r="CL996" s="65">
        <f>CL524</f>
        <v>-1716</v>
      </c>
      <c r="CN996" s="65">
        <f>CN524</f>
        <v>-925</v>
      </c>
      <c r="CO996" s="65">
        <f>CO524</f>
        <v>-183</v>
      </c>
      <c r="CP996" s="65">
        <f>CP524</f>
        <v>-1108</v>
      </c>
      <c r="CR996" s="65">
        <f>CR524</f>
        <v>18</v>
      </c>
      <c r="CS996" s="65">
        <f>CS524</f>
        <v>-144</v>
      </c>
      <c r="CT996" s="65">
        <f>CT524</f>
        <v>-126</v>
      </c>
      <c r="CV996" s="65">
        <f>CV524</f>
        <v>-213</v>
      </c>
      <c r="CW996" s="65">
        <f>CW524</f>
        <v>-233</v>
      </c>
      <c r="CX996" s="65">
        <f>CX524</f>
        <v>-446</v>
      </c>
      <c r="CZ996" s="65">
        <f>CZ524</f>
        <v>-162</v>
      </c>
      <c r="DA996" s="65">
        <f>DA524</f>
        <v>0</v>
      </c>
      <c r="DB996" s="65">
        <f>DB524</f>
        <v>-162</v>
      </c>
      <c r="DD996" s="65">
        <f>DD524</f>
        <v>0</v>
      </c>
      <c r="DE996" s="65">
        <f>DE524</f>
        <v>-1316</v>
      </c>
      <c r="DF996" s="65">
        <f>DF524</f>
        <v>-1316</v>
      </c>
      <c r="DH996" s="65">
        <f>DH524</f>
        <v>0</v>
      </c>
      <c r="DI996" s="65">
        <f>DI524</f>
        <v>0</v>
      </c>
      <c r="DJ996" s="65">
        <f>DJ524</f>
        <v>0</v>
      </c>
      <c r="DL996" s="65">
        <f>DL524</f>
        <v>0</v>
      </c>
      <c r="DM996" s="65">
        <f>DM524</f>
        <v>0</v>
      </c>
      <c r="DN996" s="65">
        <f>DN524</f>
        <v>0</v>
      </c>
      <c r="DP996" s="65">
        <f>DP524</f>
        <v>0</v>
      </c>
      <c r="DQ996" s="65">
        <f>DQ524</f>
        <v>0</v>
      </c>
      <c r="DR996" s="65">
        <f>DR524</f>
        <v>0</v>
      </c>
    </row>
    <row r="997" spans="1:128" s="21" customFormat="1" ht="13.8">
      <c r="A997" s="21" t="s">
        <v>906</v>
      </c>
      <c r="B997" s="791"/>
      <c r="BH997" s="27"/>
      <c r="BI997" s="27"/>
      <c r="BJ997" s="27"/>
      <c r="BK997" s="27"/>
      <c r="BL997" s="27"/>
      <c r="BM997" s="27"/>
      <c r="BN997" s="27"/>
      <c r="BO997" s="27"/>
      <c r="BP997" s="27"/>
      <c r="BT997" s="27"/>
      <c r="BX997" s="72">
        <f>+BX995-BX996</f>
        <v>5093</v>
      </c>
      <c r="BY997" s="72">
        <f>+BY995-BY996</f>
        <v>4867</v>
      </c>
      <c r="BZ997" s="72">
        <f t="shared" si="1551"/>
        <v>9960</v>
      </c>
      <c r="CB997" s="72">
        <f>+CB995-CB996</f>
        <v>4772</v>
      </c>
      <c r="CC997" s="72">
        <f>+CC995-CC996</f>
        <v>4985</v>
      </c>
      <c r="CD997" s="72">
        <f>+CD995-CD996</f>
        <v>9757</v>
      </c>
      <c r="CF997" s="72">
        <f>+CF995-CF996</f>
        <v>4874</v>
      </c>
      <c r="CG997" s="72">
        <f>+CG995-CG996</f>
        <v>4656</v>
      </c>
      <c r="CH997" s="72">
        <f>+CH995-CH996</f>
        <v>9530</v>
      </c>
      <c r="CJ997" s="72">
        <f>+CJ995-CJ996</f>
        <v>3361</v>
      </c>
      <c r="CK997" s="72">
        <f>+CK995-CK996</f>
        <v>3986</v>
      </c>
      <c r="CL997" s="72">
        <f>+CL995-CL996</f>
        <v>7347</v>
      </c>
      <c r="CN997" s="72">
        <f>+CN995-CN996</f>
        <v>5357</v>
      </c>
      <c r="CO997" s="72">
        <f>+CO995-CO996</f>
        <v>4714</v>
      </c>
      <c r="CP997" s="72">
        <f>+CP995-CP996</f>
        <v>10071</v>
      </c>
      <c r="CR997" s="72">
        <f>+CR995-CR996</f>
        <v>4423</v>
      </c>
      <c r="CS997" s="72">
        <f>+CS995-CS996</f>
        <v>4903</v>
      </c>
      <c r="CT997" s="72">
        <f>+CT995-CT996</f>
        <v>9326</v>
      </c>
      <c r="CV997" s="72">
        <f>+CV995-CV996</f>
        <v>5623</v>
      </c>
      <c r="CW997" s="72">
        <f>+CW995-CW996</f>
        <v>5344</v>
      </c>
      <c r="CX997" s="72">
        <f>+CX995-CX996</f>
        <v>10967</v>
      </c>
      <c r="CZ997" s="72">
        <f>+CZ995-CZ996</f>
        <v>5224</v>
      </c>
      <c r="DA997" s="72">
        <f>+DA995-DA996</f>
        <v>4600</v>
      </c>
      <c r="DB997" s="72">
        <f>+DB995-DB996</f>
        <v>9824</v>
      </c>
      <c r="DD997" s="72">
        <f>+DD995-DD996</f>
        <v>5108</v>
      </c>
      <c r="DE997" s="72">
        <f>+DE995-DE996</f>
        <v>4786</v>
      </c>
      <c r="DF997" s="72">
        <f>+DF995-DF996</f>
        <v>9894</v>
      </c>
      <c r="DH997" s="72">
        <f ca="1">+DH995-DH996</f>
        <v>5278.7994823128574</v>
      </c>
      <c r="DI997" s="72">
        <f ca="1">+DI995-DI996</f>
        <v>5455.7317943963817</v>
      </c>
      <c r="DJ997" s="72">
        <f ca="1">+DI997+DH997</f>
        <v>10734.53127670924</v>
      </c>
      <c r="DL997" s="72">
        <f ca="1">+DL995-DL996</f>
        <v>5674.209532789715</v>
      </c>
      <c r="DM997" s="72">
        <f ca="1">+DM995-DM996</f>
        <v>5693.9996637492177</v>
      </c>
      <c r="DN997" s="72">
        <f ca="1">+DM997+DL997</f>
        <v>11368.209196538934</v>
      </c>
      <c r="DP997" s="72">
        <f ca="1">+DP995-DP996</f>
        <v>5930.4495787365759</v>
      </c>
      <c r="DQ997" s="72">
        <f ca="1">+DQ995-DQ996</f>
        <v>6153.3388636336877</v>
      </c>
      <c r="DR997" s="72">
        <f ca="1">+DQ997+DP997</f>
        <v>12083.788442370264</v>
      </c>
    </row>
    <row r="998" spans="1:128" s="20" customFormat="1" ht="13.8">
      <c r="A998" s="20" t="s">
        <v>545</v>
      </c>
      <c r="B998" s="791"/>
      <c r="BH998" s="49"/>
      <c r="BI998" s="49"/>
      <c r="BJ998" s="49"/>
      <c r="BK998" s="49"/>
      <c r="BL998" s="49"/>
      <c r="BM998" s="49"/>
      <c r="BN998" s="49"/>
      <c r="BO998" s="49"/>
      <c r="BP998" s="49"/>
      <c r="BT998" s="49"/>
      <c r="BX998" s="65">
        <f>BX35</f>
        <v>-1406</v>
      </c>
      <c r="BY998" s="65">
        <f>BY35</f>
        <v>-1420</v>
      </c>
      <c r="BZ998" s="65">
        <f t="shared" si="1551"/>
        <v>-2826</v>
      </c>
      <c r="CB998" s="65">
        <f>CB35</f>
        <v>-1489</v>
      </c>
      <c r="CC998" s="65">
        <f>CC35</f>
        <v>-1286</v>
      </c>
      <c r="CD998" s="65">
        <f>CD35</f>
        <v>-2775</v>
      </c>
      <c r="CF998" s="65">
        <f>CF35</f>
        <v>-1415</v>
      </c>
      <c r="CG998" s="65">
        <f>CG35</f>
        <v>-1263</v>
      </c>
      <c r="CH998" s="65">
        <f>CH35</f>
        <v>-2678</v>
      </c>
      <c r="CJ998" s="65">
        <f>CJ35</f>
        <v>-886</v>
      </c>
      <c r="CK998" s="65">
        <f>CK35</f>
        <v>-986</v>
      </c>
      <c r="CL998" s="65">
        <f>CL35</f>
        <v>-1872</v>
      </c>
      <c r="CN998" s="65">
        <f>CN35</f>
        <v>-1442</v>
      </c>
      <c r="CO998" s="65">
        <f>CO35</f>
        <v>-1322</v>
      </c>
      <c r="CP998" s="65">
        <f>CP35</f>
        <v>-2764</v>
      </c>
      <c r="CR998" s="65">
        <f>CR35</f>
        <v>-1328</v>
      </c>
      <c r="CS998" s="65">
        <f>CS35</f>
        <v>-1357</v>
      </c>
      <c r="CT998" s="65">
        <f>CT35</f>
        <v>-2685</v>
      </c>
      <c r="CV998" s="65">
        <f>CV35</f>
        <v>-1567</v>
      </c>
      <c r="CW998" s="65">
        <f>CW35</f>
        <v>-1513</v>
      </c>
      <c r="CX998" s="65">
        <f>CX35</f>
        <v>-3080</v>
      </c>
      <c r="CZ998" s="65">
        <f>CZ35</f>
        <v>-1496</v>
      </c>
      <c r="DA998" s="65">
        <f>DA35</f>
        <v>-1406</v>
      </c>
      <c r="DB998" s="65">
        <f>DB35</f>
        <v>-2902</v>
      </c>
      <c r="DD998" s="65">
        <f>DD35</f>
        <v>-1519</v>
      </c>
      <c r="DE998" s="65">
        <f>DE35</f>
        <v>-1231</v>
      </c>
      <c r="DF998" s="65">
        <f>DF35</f>
        <v>-2750</v>
      </c>
      <c r="DH998" s="65">
        <f ca="1">+DH1000+DH999</f>
        <v>-1557.245847282293</v>
      </c>
      <c r="DI998" s="65">
        <f ca="1">+DI1000+DI999</f>
        <v>-1609.4408793469324</v>
      </c>
      <c r="DJ998" s="65">
        <f ca="1">+DI998+DH998</f>
        <v>-3166.6867266292256</v>
      </c>
      <c r="DL998" s="65">
        <f ca="1">+DL1000+DL999</f>
        <v>-1673.8918121729657</v>
      </c>
      <c r="DM998" s="65">
        <f ca="1">+DM1000+DM999</f>
        <v>-1679.729900806019</v>
      </c>
      <c r="DN998" s="65">
        <f ca="1">+DM998+DL998</f>
        <v>-3353.6217129789848</v>
      </c>
      <c r="DP998" s="65">
        <f ca="1">+DP1000+DP999</f>
        <v>-1749.4826257272898</v>
      </c>
      <c r="DQ998" s="65">
        <f ca="1">+DQ1000+DQ999</f>
        <v>-1815.2349647719377</v>
      </c>
      <c r="DR998" s="65">
        <f ca="1">+DQ998+DP998</f>
        <v>-3564.7175904992273</v>
      </c>
    </row>
    <row r="999" spans="1:128" s="20" customFormat="1" ht="13.8">
      <c r="A999" s="20" t="s">
        <v>967</v>
      </c>
      <c r="B999" s="791"/>
      <c r="BH999" s="49"/>
      <c r="BI999" s="49"/>
      <c r="BJ999" s="49"/>
      <c r="BK999" s="49"/>
      <c r="BL999" s="49"/>
      <c r="BM999" s="49"/>
      <c r="BN999" s="49"/>
      <c r="BO999" s="49"/>
      <c r="BP999" s="49"/>
      <c r="BT999" s="49"/>
      <c r="BX999" s="603">
        <v>-40</v>
      </c>
      <c r="BY999" s="603">
        <v>0</v>
      </c>
      <c r="BZ999" s="65">
        <f t="shared" si="1551"/>
        <v>-40</v>
      </c>
      <c r="CB999" s="65">
        <f>CB525</f>
        <v>-44</v>
      </c>
      <c r="CC999" s="65">
        <f>CC525</f>
        <v>142</v>
      </c>
      <c r="CD999" s="65">
        <f>CD525</f>
        <v>98</v>
      </c>
      <c r="CF999" s="65">
        <f>CF525</f>
        <v>-17</v>
      </c>
      <c r="CG999" s="65">
        <f>CG525</f>
        <v>82</v>
      </c>
      <c r="CH999" s="65">
        <f>CH525</f>
        <v>65</v>
      </c>
      <c r="CJ999" s="65">
        <f>CJ525</f>
        <v>74</v>
      </c>
      <c r="CK999" s="65">
        <f>CK525</f>
        <v>141</v>
      </c>
      <c r="CL999" s="65">
        <f>CL525</f>
        <v>215</v>
      </c>
      <c r="CN999" s="65">
        <f>CN525</f>
        <v>108</v>
      </c>
      <c r="CO999" s="65">
        <f>CO525</f>
        <v>54</v>
      </c>
      <c r="CP999" s="65">
        <f>CP525</f>
        <v>162</v>
      </c>
      <c r="CR999" s="65">
        <f>CR525</f>
        <v>-59</v>
      </c>
      <c r="CS999" s="65">
        <f>CS525</f>
        <v>31</v>
      </c>
      <c r="CT999" s="65">
        <f>CT525</f>
        <v>-28</v>
      </c>
      <c r="CV999" s="65">
        <f>CV525</f>
        <v>52</v>
      </c>
      <c r="CW999" s="65">
        <f>CW525</f>
        <v>87</v>
      </c>
      <c r="CX999" s="65">
        <f>CX525</f>
        <v>139</v>
      </c>
      <c r="CZ999" s="65">
        <f>CZ525</f>
        <v>0</v>
      </c>
      <c r="DA999" s="65">
        <f>DA525</f>
        <v>0</v>
      </c>
      <c r="DB999" s="65">
        <f>DB525</f>
        <v>0</v>
      </c>
      <c r="DD999" s="65">
        <f>DD525</f>
        <v>0</v>
      </c>
      <c r="DE999" s="65">
        <f>DE525</f>
        <v>207</v>
      </c>
      <c r="DF999" s="65">
        <f>DF525</f>
        <v>207</v>
      </c>
      <c r="DH999" s="65">
        <f>DH525</f>
        <v>0</v>
      </c>
      <c r="DI999" s="65">
        <f>DI525</f>
        <v>0</v>
      </c>
      <c r="DJ999" s="65">
        <f>DJ525</f>
        <v>0</v>
      </c>
      <c r="DL999" s="65">
        <f>DL525</f>
        <v>0</v>
      </c>
      <c r="DM999" s="65">
        <f>DM525</f>
        <v>0</v>
      </c>
      <c r="DN999" s="65">
        <f>DN525</f>
        <v>0</v>
      </c>
      <c r="DP999" s="65">
        <f>DP525</f>
        <v>0</v>
      </c>
      <c r="DQ999" s="65">
        <f>DQ525</f>
        <v>0</v>
      </c>
      <c r="DR999" s="65">
        <f>DR525</f>
        <v>0</v>
      </c>
    </row>
    <row r="1000" spans="1:128" s="20" customFormat="1" ht="13.8">
      <c r="A1000" s="20" t="s">
        <v>907</v>
      </c>
      <c r="B1000" s="791"/>
      <c r="BH1000" s="49"/>
      <c r="BI1000" s="49"/>
      <c r="BJ1000" s="49"/>
      <c r="BK1000" s="49"/>
      <c r="BL1000" s="49"/>
      <c r="BM1000" s="49"/>
      <c r="BN1000" s="49"/>
      <c r="BO1000" s="49"/>
      <c r="BP1000" s="49"/>
      <c r="BT1000" s="49"/>
      <c r="BX1000" s="65">
        <f>+BX998-BX999</f>
        <v>-1366</v>
      </c>
      <c r="BY1000" s="65">
        <f>+BY998-BY999</f>
        <v>-1420</v>
      </c>
      <c r="BZ1000" s="65">
        <f t="shared" si="1551"/>
        <v>-2786</v>
      </c>
      <c r="CB1000" s="65">
        <f>+CB998-CB999</f>
        <v>-1445</v>
      </c>
      <c r="CC1000" s="65">
        <f>+CC998-CC999</f>
        <v>-1428</v>
      </c>
      <c r="CD1000" s="65">
        <f>+CD998-CD999</f>
        <v>-2873</v>
      </c>
      <c r="CF1000" s="65">
        <f>+CF998-CF999</f>
        <v>-1398</v>
      </c>
      <c r="CG1000" s="65">
        <f>+CG998-CG999</f>
        <v>-1345</v>
      </c>
      <c r="CH1000" s="65">
        <f>+CH998-CH999</f>
        <v>-2743</v>
      </c>
      <c r="CJ1000" s="65">
        <f>+CJ998-CJ999</f>
        <v>-960</v>
      </c>
      <c r="CK1000" s="65">
        <f>+CK998-CK999</f>
        <v>-1127</v>
      </c>
      <c r="CL1000" s="65">
        <f>+CL998-CL999</f>
        <v>-2087</v>
      </c>
      <c r="CN1000" s="65">
        <f>+CN998-CN999</f>
        <v>-1550</v>
      </c>
      <c r="CO1000" s="65">
        <f>+CO998-CO999</f>
        <v>-1376</v>
      </c>
      <c r="CP1000" s="65">
        <f>+CP998-CP999</f>
        <v>-2926</v>
      </c>
      <c r="CR1000" s="65">
        <f>+CR998-CR999</f>
        <v>-1269</v>
      </c>
      <c r="CS1000" s="65">
        <f>+CS998-CS999</f>
        <v>-1388</v>
      </c>
      <c r="CT1000" s="65">
        <f>+CT998-CT999</f>
        <v>-2657</v>
      </c>
      <c r="CV1000" s="65">
        <f>+CV998-CV999</f>
        <v>-1619</v>
      </c>
      <c r="CW1000" s="65">
        <f>+CW998-CW999</f>
        <v>-1600</v>
      </c>
      <c r="CX1000" s="65">
        <f>+CX998-CX999</f>
        <v>-3219</v>
      </c>
      <c r="CZ1000" s="65">
        <f>+CZ998-CZ999</f>
        <v>-1496</v>
      </c>
      <c r="DA1000" s="65">
        <f>+DA998-DA999</f>
        <v>-1406</v>
      </c>
      <c r="DB1000" s="65">
        <f>+DB998-DB999</f>
        <v>-2902</v>
      </c>
      <c r="DD1000" s="65">
        <f>+DD998-DD999</f>
        <v>-1519</v>
      </c>
      <c r="DE1000" s="65">
        <f>+DE998-DE999</f>
        <v>-1438</v>
      </c>
      <c r="DF1000" s="65">
        <f>+DF998-DF999</f>
        <v>-2957</v>
      </c>
      <c r="DH1000" s="65">
        <f ca="1">-DH997*DH1001</f>
        <v>-1557.245847282293</v>
      </c>
      <c r="DI1000" s="65">
        <f ca="1">-DI997*DI1001</f>
        <v>-1609.4408793469324</v>
      </c>
      <c r="DJ1000" s="65">
        <f ca="1">+DI1000+DH1000</f>
        <v>-3166.6867266292256</v>
      </c>
      <c r="DL1000" s="65">
        <f ca="1">-DL997*DL1001</f>
        <v>-1673.8918121729657</v>
      </c>
      <c r="DM1000" s="65">
        <f ca="1">-DM997*DM1001</f>
        <v>-1679.729900806019</v>
      </c>
      <c r="DN1000" s="65">
        <f ca="1">+DM1000+DL1000</f>
        <v>-3353.6217129789848</v>
      </c>
      <c r="DP1000" s="65">
        <f ca="1">-DP997*DP1001</f>
        <v>-1749.4826257272898</v>
      </c>
      <c r="DQ1000" s="65">
        <f ca="1">-DQ997*DQ1001</f>
        <v>-1815.2349647719377</v>
      </c>
      <c r="DR1000" s="65">
        <f ca="1">+DQ1000+DP1000</f>
        <v>-3564.7175904992273</v>
      </c>
    </row>
    <row r="1001" spans="1:128" s="21" customFormat="1" ht="13.8">
      <c r="A1001" s="609" t="s">
        <v>908</v>
      </c>
      <c r="B1001" s="798"/>
      <c r="C1001" s="609"/>
      <c r="D1001" s="609"/>
      <c r="E1001" s="609"/>
      <c r="F1001" s="609"/>
      <c r="G1001" s="609"/>
      <c r="H1001" s="609"/>
      <c r="I1001" s="609"/>
      <c r="J1001" s="609"/>
      <c r="K1001" s="609"/>
      <c r="L1001" s="609"/>
      <c r="M1001" s="609"/>
      <c r="N1001" s="609"/>
      <c r="O1001" s="609"/>
      <c r="P1001" s="609"/>
      <c r="Q1001" s="609"/>
      <c r="R1001" s="609"/>
      <c r="S1001" s="609"/>
      <c r="T1001" s="609"/>
      <c r="U1001" s="609"/>
      <c r="V1001" s="609"/>
      <c r="W1001" s="609"/>
      <c r="X1001" s="609"/>
      <c r="Y1001" s="609"/>
      <c r="Z1001" s="609"/>
      <c r="AA1001" s="609"/>
      <c r="AB1001" s="609"/>
      <c r="AC1001" s="609"/>
      <c r="AD1001" s="609"/>
      <c r="AE1001" s="609"/>
      <c r="AF1001" s="609"/>
      <c r="AG1001" s="609"/>
      <c r="AH1001" s="609"/>
      <c r="AI1001" s="609"/>
      <c r="AJ1001" s="609"/>
      <c r="AK1001" s="609"/>
      <c r="AL1001" s="609"/>
      <c r="AM1001" s="609"/>
      <c r="AN1001" s="609"/>
      <c r="AO1001" s="609"/>
      <c r="AP1001" s="609"/>
      <c r="AQ1001" s="609"/>
      <c r="AR1001" s="609"/>
      <c r="AS1001" s="609"/>
      <c r="AT1001" s="609"/>
      <c r="AU1001" s="609"/>
      <c r="AV1001" s="609"/>
      <c r="AW1001" s="609"/>
      <c r="AX1001" s="609"/>
      <c r="AY1001" s="609"/>
      <c r="AZ1001" s="609"/>
      <c r="BA1001" s="609"/>
      <c r="BB1001" s="609"/>
      <c r="BC1001" s="609"/>
      <c r="BD1001" s="609"/>
      <c r="BE1001" s="609"/>
      <c r="BF1001" s="609"/>
      <c r="BG1001" s="609"/>
      <c r="BH1001" s="610"/>
      <c r="BI1001" s="610"/>
      <c r="BJ1001" s="610"/>
      <c r="BK1001" s="610"/>
      <c r="BL1001" s="610"/>
      <c r="BM1001" s="610"/>
      <c r="BN1001" s="610"/>
      <c r="BO1001" s="610"/>
      <c r="BP1001" s="610"/>
      <c r="BQ1001" s="609"/>
      <c r="BR1001" s="609"/>
      <c r="BS1001" s="609"/>
      <c r="BT1001" s="610"/>
      <c r="BU1001" s="609"/>
      <c r="BV1001" s="609"/>
      <c r="BW1001" s="609"/>
      <c r="BX1001" s="611">
        <f>-BX1000/BX997</f>
        <v>0.2682112703710976</v>
      </c>
      <c r="BY1001" s="611">
        <f>-BY1000/BY997</f>
        <v>0.29176083829874666</v>
      </c>
      <c r="BZ1001" s="611">
        <f>-BZ1000/BZ997</f>
        <v>0.27971887550200802</v>
      </c>
      <c r="CA1001" s="609"/>
      <c r="CB1001" s="611">
        <f>-CB1000/CB997</f>
        <v>0.30280804694048619</v>
      </c>
      <c r="CC1001" s="611">
        <f>-CC1000/CC997</f>
        <v>0.2864593781344032</v>
      </c>
      <c r="CD1001" s="611">
        <f>-CD1000/CD997</f>
        <v>0.29445526288818286</v>
      </c>
      <c r="CE1001" s="609"/>
      <c r="CF1001" s="611">
        <f>-CF1000/CF997</f>
        <v>0.28682806729585558</v>
      </c>
      <c r="CG1001" s="611">
        <f>-CG1000/CG997</f>
        <v>0.28887457044673537</v>
      </c>
      <c r="CH1001" s="611">
        <f>-CH1000/CH997</f>
        <v>0.28782791185729278</v>
      </c>
      <c r="CI1001" s="93"/>
      <c r="CJ1001" s="611">
        <f>-CJ1000/CJ997</f>
        <v>0.28562927700089258</v>
      </c>
      <c r="CK1001" s="611">
        <f>-CK1000/CK997</f>
        <v>0.28273958855995984</v>
      </c>
      <c r="CL1001" s="611">
        <f>-CL1000/CL997</f>
        <v>0.2840615217095413</v>
      </c>
      <c r="CM1001" s="93"/>
      <c r="CN1001" s="611">
        <f>-CN1000/CN997</f>
        <v>0.28934104909464253</v>
      </c>
      <c r="CO1001" s="611">
        <f>-CO1000/CO997</f>
        <v>0.29189647857445905</v>
      </c>
      <c r="CP1001" s="611">
        <f>-CP1000/CP997</f>
        <v>0.29053718597954525</v>
      </c>
      <c r="CQ1001" s="93"/>
      <c r="CR1001" s="611">
        <f>-CR1000/CR997</f>
        <v>0.28690933755369658</v>
      </c>
      <c r="CS1001" s="611">
        <f>-CS1000/CS997</f>
        <v>0.28309198449928613</v>
      </c>
      <c r="CT1001" s="611">
        <f>-CT1000/CT997</f>
        <v>0.2849024233326185</v>
      </c>
      <c r="CU1001" s="93"/>
      <c r="CV1001" s="611">
        <f>-CV1000/CV997</f>
        <v>0.28792459541170196</v>
      </c>
      <c r="CW1001" s="611">
        <f>-CW1000/CW997</f>
        <v>0.29940119760479039</v>
      </c>
      <c r="CX1001" s="611">
        <f>-CX1000/CX997</f>
        <v>0.29351691437950217</v>
      </c>
      <c r="CY1001" s="93"/>
      <c r="CZ1001" s="611">
        <f>-CZ1000/CZ997</f>
        <v>0.28637059724349156</v>
      </c>
      <c r="DA1001" s="611">
        <f>-DA1000/DA997</f>
        <v>0.3056521739130435</v>
      </c>
      <c r="DB1001" s="611">
        <f>-DB1000/DB997</f>
        <v>0.29539902280130292</v>
      </c>
      <c r="DC1001" s="93"/>
      <c r="DD1001" s="611">
        <f>-DD1000/DD997</f>
        <v>0.29737666405638213</v>
      </c>
      <c r="DE1001" s="611">
        <f>-DE1000/DE997</f>
        <v>0.30045967404931051</v>
      </c>
      <c r="DF1001" s="611">
        <f>-DF1000/DF997</f>
        <v>0.29886800080857084</v>
      </c>
      <c r="DG1001" s="93"/>
      <c r="DH1001" s="386">
        <v>0.29499999999999998</v>
      </c>
      <c r="DI1001" s="386">
        <v>0.29499999999999998</v>
      </c>
      <c r="DJ1001" s="611">
        <f ca="1">-DJ1000/DJ997</f>
        <v>0.29499999999999998</v>
      </c>
      <c r="DK1001" s="93"/>
      <c r="DL1001" s="386">
        <v>0.29499999999999998</v>
      </c>
      <c r="DM1001" s="386">
        <v>0.29499999999999998</v>
      </c>
      <c r="DN1001" s="611">
        <f ca="1">-DN1000/DN997</f>
        <v>0.29499999999999993</v>
      </c>
      <c r="DO1001" s="93"/>
      <c r="DP1001" s="386">
        <v>0.29499999999999998</v>
      </c>
      <c r="DQ1001" s="386">
        <v>0.29499999999999998</v>
      </c>
      <c r="DR1001" s="611">
        <f ca="1">-DR1000/DR997</f>
        <v>0.29499999999999998</v>
      </c>
      <c r="DS1001" s="93"/>
      <c r="DT1001" s="93"/>
      <c r="DU1001" s="93"/>
      <c r="DV1001" s="93"/>
    </row>
    <row r="1002" spans="1:128" s="20" customFormat="1" ht="13.8">
      <c r="B1002" s="791"/>
      <c r="BH1002" s="49"/>
      <c r="BI1002" s="49"/>
      <c r="BJ1002" s="49"/>
      <c r="BK1002" s="49"/>
      <c r="BL1002" s="49"/>
      <c r="BM1002" s="49"/>
      <c r="BN1002" s="49"/>
      <c r="BO1002" s="49"/>
      <c r="BP1002" s="49"/>
      <c r="BT1002" s="49"/>
      <c r="BX1002" s="49"/>
      <c r="CB1002" s="716"/>
      <c r="CC1002" s="716"/>
      <c r="CD1002" s="716"/>
      <c r="CE1002" s="540"/>
      <c r="CF1002" s="716"/>
      <c r="CG1002" s="716"/>
      <c r="CH1002" s="716"/>
      <c r="CI1002" s="540"/>
      <c r="CJ1002" s="716"/>
      <c r="CK1002" s="716"/>
      <c r="CL1002" s="716"/>
      <c r="CM1002" s="540"/>
      <c r="CN1002" s="716"/>
      <c r="CO1002" s="716"/>
      <c r="CP1002" s="716"/>
      <c r="CQ1002" s="540"/>
      <c r="CR1002" s="716"/>
      <c r="CS1002" s="716"/>
      <c r="CT1002" s="716"/>
      <c r="CV1002" s="716"/>
      <c r="CW1002" s="716"/>
      <c r="CX1002" s="716"/>
      <c r="CZ1002" s="716"/>
      <c r="DA1002" s="716"/>
      <c r="DB1002" s="716"/>
      <c r="DD1002" s="716"/>
      <c r="DE1002" s="716"/>
      <c r="DF1002" s="716"/>
      <c r="DH1002" s="716"/>
      <c r="DI1002" s="716"/>
      <c r="DJ1002" s="716"/>
      <c r="DL1002" s="716"/>
      <c r="DM1002" s="716"/>
      <c r="DN1002" s="716"/>
      <c r="DP1002" s="716"/>
      <c r="DQ1002" s="716"/>
      <c r="DR1002" s="716"/>
    </row>
    <row r="1003" spans="1:128" s="540" customFormat="1" ht="13.8">
      <c r="A1003" s="728" t="s">
        <v>964</v>
      </c>
      <c r="B1003" s="715" t="s">
        <v>544</v>
      </c>
      <c r="BH1003" s="715"/>
      <c r="BI1003" s="715"/>
      <c r="BJ1003" s="715"/>
      <c r="BK1003" s="715"/>
      <c r="BL1003" s="715"/>
      <c r="BM1003" s="715"/>
      <c r="BN1003" s="715"/>
      <c r="BO1003" s="715"/>
      <c r="BP1003" s="715"/>
      <c r="BQ1003" s="442"/>
      <c r="BR1003" s="442"/>
      <c r="BT1003" s="716"/>
      <c r="BU1003" s="442"/>
      <c r="BV1003" s="442"/>
      <c r="BX1003" s="1018">
        <v>0</v>
      </c>
      <c r="BY1003" s="1018">
        <v>-86</v>
      </c>
      <c r="BZ1003" s="716">
        <f>+BY1003+BX1003</f>
        <v>-86</v>
      </c>
      <c r="CB1003" s="1018">
        <v>-177</v>
      </c>
      <c r="CC1003" s="1018">
        <v>-178</v>
      </c>
      <c r="CD1003" s="716">
        <f>+CB1003+CC1003</f>
        <v>-355</v>
      </c>
      <c r="CF1003" s="1018">
        <v>-178</v>
      </c>
      <c r="CG1003" s="1018">
        <v>-185</v>
      </c>
      <c r="CH1003" s="716">
        <f>+CF1003+CG1003</f>
        <v>-363</v>
      </c>
      <c r="CJ1003" s="1018">
        <v>-196</v>
      </c>
      <c r="CK1003" s="1018">
        <v>-210</v>
      </c>
      <c r="CL1003" s="716">
        <f>+CJ1003+CK1003</f>
        <v>-406</v>
      </c>
      <c r="CN1003" s="1018">
        <v>-189</v>
      </c>
      <c r="CO1003" s="1018">
        <v>-157</v>
      </c>
      <c r="CP1003" s="716">
        <f>+CN1003+CO1003</f>
        <v>-346</v>
      </c>
      <c r="CR1003" s="1018">
        <v>-165</v>
      </c>
      <c r="CS1003" s="1018">
        <v>-175</v>
      </c>
      <c r="CT1003" s="716">
        <f>+CR1003+CS1003</f>
        <v>-340</v>
      </c>
      <c r="CV1003" s="1018">
        <v>-175</v>
      </c>
      <c r="CW1003" s="1018">
        <v>-178</v>
      </c>
      <c r="CX1003" s="716">
        <f>+CV1003+CW1003</f>
        <v>-353</v>
      </c>
      <c r="CZ1003" s="1018">
        <v>-192</v>
      </c>
      <c r="DA1003" s="1018">
        <v>-197</v>
      </c>
      <c r="DB1003" s="716">
        <f>+CZ1003+DA1003</f>
        <v>-389</v>
      </c>
      <c r="DD1003" s="1018">
        <v>-220</v>
      </c>
      <c r="DE1003" s="1018">
        <v>-231</v>
      </c>
      <c r="DF1003" s="716">
        <f>+DD1003+DE1003</f>
        <v>-451</v>
      </c>
      <c r="DH1003" s="716">
        <f ca="1">-DH1008*DH1009*(DD3/DD4)</f>
        <v>-231.6235760499427</v>
      </c>
      <c r="DI1003" s="716">
        <f ca="1">-DI1008*DI1009*(DE3/DE4)</f>
        <v>-238.35759038085035</v>
      </c>
      <c r="DJ1003" s="716">
        <f ca="1">+DH1003+DI1003</f>
        <v>-469.98116643079305</v>
      </c>
      <c r="DL1003" s="716">
        <f ca="1">-DL1008*DL1009*(DH3/DH4)</f>
        <v>-242.80375488889686</v>
      </c>
      <c r="DM1003" s="716">
        <f ca="1">-DM1008*DM1009*(DI3/DI4)</f>
        <v>-251.01459347364079</v>
      </c>
      <c r="DN1003" s="716">
        <f ca="1">+DL1003+DM1003</f>
        <v>-493.81834836253768</v>
      </c>
      <c r="DP1003" s="716">
        <f ca="1">-DP1008*DP1009*(DL3/DL4)</f>
        <v>-254.88447246790994</v>
      </c>
      <c r="DQ1003" s="716">
        <f ca="1">-DQ1008*DQ1009*(DM3/DM4)</f>
        <v>-262.30526160582644</v>
      </c>
      <c r="DR1003" s="716">
        <f ca="1">+DP1003+DQ1003</f>
        <v>-517.18973407373642</v>
      </c>
    </row>
    <row r="1004" spans="1:128" s="540" customFormat="1" ht="13.8">
      <c r="A1004" s="540" t="s">
        <v>866</v>
      </c>
      <c r="B1004" s="715" t="s">
        <v>544</v>
      </c>
      <c r="BH1004" s="715"/>
      <c r="BI1004" s="715"/>
      <c r="BJ1004" s="715"/>
      <c r="BK1004" s="715"/>
      <c r="BL1004" s="715"/>
      <c r="BM1004" s="715"/>
      <c r="BN1004" s="715"/>
      <c r="BO1004" s="715"/>
      <c r="BP1004" s="715"/>
      <c r="BQ1004" s="442"/>
      <c r="BR1004" s="442"/>
      <c r="BT1004" s="716"/>
      <c r="BU1004" s="442"/>
      <c r="BV1004" s="442"/>
      <c r="BX1004" s="716"/>
      <c r="BY1004" s="716">
        <f>BY378</f>
        <v>838251</v>
      </c>
      <c r="CB1004" s="716">
        <f>CB378</f>
        <v>876148</v>
      </c>
      <c r="CC1004" s="716">
        <f>CC378</f>
        <v>883751</v>
      </c>
      <c r="CF1004" s="716">
        <f>CF378</f>
        <v>920273</v>
      </c>
      <c r="CG1004" s="716">
        <f>CG378</f>
        <v>920343</v>
      </c>
      <c r="CJ1004" s="716">
        <f>CJ378</f>
        <v>1088580</v>
      </c>
      <c r="CK1004" s="716">
        <f>CK378</f>
        <v>980989</v>
      </c>
      <c r="CN1004" s="716">
        <f>CN378</f>
        <v>955763</v>
      </c>
      <c r="CO1004" s="716">
        <f>CO378</f>
        <v>915181</v>
      </c>
      <c r="CR1004" s="716">
        <f>CR378</f>
        <v>955605</v>
      </c>
      <c r="CS1004" s="716">
        <f>CS378</f>
        <v>1019328</v>
      </c>
      <c r="CV1004" s="716">
        <f>CV378</f>
        <v>1041657</v>
      </c>
      <c r="CW1004" s="716">
        <f>CW378</f>
        <v>1035626</v>
      </c>
      <c r="CZ1004" s="716">
        <f>CZ378</f>
        <v>1018625</v>
      </c>
      <c r="DA1004" s="716">
        <f>DA378</f>
        <v>1158487</v>
      </c>
      <c r="DD1004" s="716">
        <f>DD378</f>
        <v>1230278</v>
      </c>
      <c r="DE1004" s="716">
        <f>DE378</f>
        <v>1225241</v>
      </c>
      <c r="DH1004" s="716">
        <f ca="1">DH378</f>
        <v>1231847.7858692573</v>
      </c>
      <c r="DI1004" s="716">
        <f ca="1">DI378</f>
        <v>1258825.3406533112</v>
      </c>
      <c r="DL1004" s="716">
        <f ca="1">DL378</f>
        <v>1287081.1452910337</v>
      </c>
      <c r="DM1004" s="716">
        <f ca="1">DM378</f>
        <v>1319204.8659501341</v>
      </c>
      <c r="DP1004" s="716">
        <f ca="1">DP378</f>
        <v>1346216.2865073804</v>
      </c>
      <c r="DQ1004" s="716">
        <f ca="1">DQ378</f>
        <v>1375953.5945411113</v>
      </c>
    </row>
    <row r="1005" spans="1:128" s="540" customFormat="1" ht="13.8">
      <c r="A1005" s="540" t="s">
        <v>429</v>
      </c>
      <c r="B1005" s="715" t="s">
        <v>544</v>
      </c>
      <c r="BH1005" s="715"/>
      <c r="BI1005" s="715"/>
      <c r="BJ1005" s="715"/>
      <c r="BK1005" s="715"/>
      <c r="BL1005" s="715"/>
      <c r="BM1005" s="715"/>
      <c r="BN1005" s="715"/>
      <c r="BO1005" s="715"/>
      <c r="BP1005" s="715"/>
      <c r="BQ1005" s="442"/>
      <c r="BR1005" s="442"/>
      <c r="BT1005" s="716"/>
      <c r="BU1005" s="442"/>
      <c r="BV1005" s="442"/>
      <c r="BX1005" s="716"/>
      <c r="BY1005" s="716">
        <f>BY352-BY348</f>
        <v>466676</v>
      </c>
      <c r="CB1005" s="716">
        <f>CB352-CB348</f>
        <v>471870</v>
      </c>
      <c r="CC1005" s="716">
        <f>CC352-CC348</f>
        <v>486420</v>
      </c>
      <c r="CF1005" s="716">
        <f>CF352-CF348</f>
        <v>492623</v>
      </c>
      <c r="CG1005" s="716">
        <f>CG352-CG348</f>
        <v>511693</v>
      </c>
      <c r="CJ1005" s="716">
        <f>CJ352-CJ348</f>
        <v>566496</v>
      </c>
      <c r="CK1005" s="716">
        <f>CK352-CK348</f>
        <v>552363</v>
      </c>
      <c r="CN1005" s="716">
        <f>CN352-CN348</f>
        <v>561525</v>
      </c>
      <c r="CO1005" s="716">
        <f>CO352-CO348</f>
        <v>593582</v>
      </c>
      <c r="CR1005" s="716">
        <f>CR352-CR348</f>
        <v>611054</v>
      </c>
      <c r="CS1005" s="716">
        <f>CS352-CS348</f>
        <v>620430</v>
      </c>
      <c r="CV1005" s="716">
        <f>CV352-CV348</f>
        <v>648627</v>
      </c>
      <c r="CW1005" s="716">
        <f>CW352-CW348</f>
        <v>647119</v>
      </c>
      <c r="CZ1005" s="716">
        <f>CZ352-CZ348</f>
        <v>641090</v>
      </c>
      <c r="DA1005" s="716">
        <f>DA352-DA348</f>
        <v>715211</v>
      </c>
      <c r="DD1005" s="716">
        <f>DD352-DD348</f>
        <v>756565</v>
      </c>
      <c r="DE1005" s="716">
        <f>DE352-DE348</f>
        <v>748057</v>
      </c>
      <c r="DH1005" s="716">
        <f>DH352-DH348</f>
        <v>748402.45955411694</v>
      </c>
      <c r="DI1005" s="716">
        <f>DI352-DI348</f>
        <v>762830.53726947505</v>
      </c>
      <c r="DL1005" s="716">
        <f>DL352-DL348</f>
        <v>777615.40155765263</v>
      </c>
      <c r="DM1005" s="716">
        <f>DM352-DM348</f>
        <v>792764.77805399301</v>
      </c>
      <c r="DP1005" s="716">
        <f>DP352-DP348</f>
        <v>808286.62533161405</v>
      </c>
      <c r="DQ1005" s="716">
        <f>DQ352-DQ348</f>
        <v>824189.14036056562</v>
      </c>
    </row>
    <row r="1006" spans="1:128" s="540" customFormat="1" ht="13.8">
      <c r="A1006" s="541" t="s">
        <v>867</v>
      </c>
      <c r="B1006" s="718" t="s">
        <v>546</v>
      </c>
      <c r="C1006" s="541"/>
      <c r="D1006" s="541"/>
      <c r="E1006" s="541"/>
      <c r="F1006" s="541"/>
      <c r="G1006" s="541"/>
      <c r="H1006" s="541"/>
      <c r="I1006" s="541"/>
      <c r="J1006" s="541"/>
      <c r="K1006" s="541"/>
      <c r="L1006" s="541"/>
      <c r="M1006" s="541"/>
      <c r="N1006" s="541"/>
      <c r="O1006" s="541"/>
      <c r="P1006" s="541"/>
      <c r="Q1006" s="541"/>
      <c r="R1006" s="541"/>
      <c r="S1006" s="541"/>
      <c r="T1006" s="541"/>
      <c r="U1006" s="541"/>
      <c r="V1006" s="541"/>
      <c r="W1006" s="541"/>
      <c r="X1006" s="541"/>
      <c r="Y1006" s="541"/>
      <c r="Z1006" s="541"/>
      <c r="AA1006" s="541"/>
      <c r="AB1006" s="541"/>
      <c r="AC1006" s="541"/>
      <c r="AD1006" s="541"/>
      <c r="AE1006" s="541"/>
      <c r="AF1006" s="541"/>
      <c r="AG1006" s="541"/>
      <c r="AH1006" s="541"/>
      <c r="AI1006" s="541"/>
      <c r="AJ1006" s="541"/>
      <c r="AK1006" s="541"/>
      <c r="AL1006" s="541"/>
      <c r="AM1006" s="541"/>
      <c r="AN1006" s="541"/>
      <c r="AO1006" s="541"/>
      <c r="AP1006" s="541"/>
      <c r="AQ1006" s="541"/>
      <c r="AR1006" s="541"/>
      <c r="AS1006" s="541"/>
      <c r="AT1006" s="541"/>
      <c r="AU1006" s="541"/>
      <c r="AV1006" s="541"/>
      <c r="AW1006" s="541"/>
      <c r="AX1006" s="541"/>
      <c r="AY1006" s="541"/>
      <c r="AZ1006" s="541"/>
      <c r="BA1006" s="541"/>
      <c r="BB1006" s="541"/>
      <c r="BC1006" s="541"/>
      <c r="BD1006" s="541"/>
      <c r="BE1006" s="541"/>
      <c r="BF1006" s="541"/>
      <c r="BG1006" s="541"/>
      <c r="BH1006" s="718"/>
      <c r="BI1006" s="718"/>
      <c r="BJ1006" s="718"/>
      <c r="BK1006" s="718"/>
      <c r="BL1006" s="718"/>
      <c r="BM1006" s="718"/>
      <c r="BN1006" s="718"/>
      <c r="BO1006" s="718"/>
      <c r="BP1006" s="718"/>
      <c r="BQ1006" s="719"/>
      <c r="BR1006" s="719"/>
      <c r="BS1006" s="541"/>
      <c r="BT1006" s="720"/>
      <c r="BU1006" s="719"/>
      <c r="BV1006" s="719"/>
      <c r="BW1006" s="541"/>
      <c r="BX1006" s="720"/>
      <c r="BY1006" s="902">
        <v>0.56999999999999995</v>
      </c>
      <c r="BZ1006" s="541"/>
      <c r="CA1006" s="541"/>
      <c r="CB1006" s="902">
        <v>0.60199999999999998</v>
      </c>
      <c r="CC1006" s="902">
        <v>0.59899999999999998</v>
      </c>
      <c r="CD1006" s="541"/>
      <c r="CE1006" s="541"/>
      <c r="CF1006" s="902">
        <v>0.66</v>
      </c>
      <c r="CG1006" s="902">
        <v>0.59699999999999998</v>
      </c>
      <c r="CH1006" s="541"/>
      <c r="CI1006" s="541"/>
      <c r="CJ1006" s="902">
        <v>0.76831375096499632</v>
      </c>
      <c r="CK1006" s="902">
        <v>0.5087035156228783</v>
      </c>
      <c r="CL1006" s="541"/>
      <c r="CM1006" s="541"/>
      <c r="CN1006" s="902">
        <v>0.57705753220111455</v>
      </c>
      <c r="CO1006" s="902">
        <v>0.66249999999999998</v>
      </c>
      <c r="CP1006" s="541"/>
      <c r="CQ1006" s="541"/>
      <c r="CR1006" s="902">
        <v>0.66100000000000003</v>
      </c>
      <c r="CS1006" s="902">
        <v>0.70499999999999996</v>
      </c>
      <c r="CT1006" s="541"/>
      <c r="CU1006" s="1081"/>
      <c r="CV1006" s="902">
        <v>0.70499999999999996</v>
      </c>
      <c r="CW1006" s="902">
        <v>0.71499999999999997</v>
      </c>
      <c r="CX1006" s="541"/>
      <c r="CY1006" s="1081"/>
      <c r="CZ1006" s="902">
        <v>0.70499999999999996</v>
      </c>
      <c r="DA1006" s="902">
        <v>0.70099999999999996</v>
      </c>
      <c r="DB1006" s="541"/>
      <c r="DC1006" s="1081"/>
      <c r="DD1006" s="902">
        <v>0.66</v>
      </c>
      <c r="DE1006" s="1080">
        <v>0.61150000000000004</v>
      </c>
      <c r="DF1006" s="541"/>
      <c r="DG1006" s="541"/>
      <c r="DH1006" s="1080">
        <f>DE1006</f>
        <v>0.61150000000000004</v>
      </c>
      <c r="DI1006" s="1080">
        <f>DH1006</f>
        <v>0.61150000000000004</v>
      </c>
      <c r="DJ1006" s="1081"/>
      <c r="DK1006" s="541"/>
      <c r="DL1006" s="1080">
        <f>DI1006</f>
        <v>0.61150000000000004</v>
      </c>
      <c r="DM1006" s="1080">
        <f>DL1006</f>
        <v>0.61150000000000004</v>
      </c>
      <c r="DN1006" s="1081"/>
      <c r="DO1006" s="541"/>
      <c r="DP1006" s="1080">
        <f>DM1006</f>
        <v>0.61150000000000004</v>
      </c>
      <c r="DQ1006" s="1080">
        <f>DP1006</f>
        <v>0.61150000000000004</v>
      </c>
      <c r="DR1006" s="1081"/>
      <c r="DS1006" s="541"/>
      <c r="DT1006" s="541"/>
      <c r="DU1006" s="541"/>
      <c r="DV1006" s="541"/>
      <c r="DX1006" s="717"/>
    </row>
    <row r="1007" spans="1:128" s="540" customFormat="1" ht="13.8">
      <c r="A1007" s="540" t="s">
        <v>867</v>
      </c>
      <c r="B1007" s="715" t="s">
        <v>544</v>
      </c>
      <c r="BH1007" s="715"/>
      <c r="BI1007" s="715"/>
      <c r="BJ1007" s="715"/>
      <c r="BK1007" s="715"/>
      <c r="BL1007" s="715"/>
      <c r="BM1007" s="715"/>
      <c r="BN1007" s="715"/>
      <c r="BO1007" s="715"/>
      <c r="BP1007" s="715"/>
      <c r="BQ1007" s="442"/>
      <c r="BR1007" s="442"/>
      <c r="BT1007" s="716"/>
      <c r="BU1007" s="442"/>
      <c r="BV1007" s="442"/>
      <c r="BX1007" s="716"/>
      <c r="BY1007" s="716">
        <f>+BY1005*BY1006</f>
        <v>266005.31999999995</v>
      </c>
      <c r="CB1007" s="716">
        <f>+CB1005*CB1006</f>
        <v>284065.74</v>
      </c>
      <c r="CC1007" s="716">
        <f>+CC1005*CC1006</f>
        <v>291365.58</v>
      </c>
      <c r="CF1007" s="716">
        <f>+CF1005*CF1006</f>
        <v>325131.18</v>
      </c>
      <c r="CG1007" s="716">
        <f>+CG1005*CG1006</f>
        <v>305480.72099999996</v>
      </c>
      <c r="CJ1007" s="716">
        <f>+CJ1005*CJ1006</f>
        <v>435246.66666666657</v>
      </c>
      <c r="CK1007" s="716">
        <f>+CK1005*CK1006</f>
        <v>280988.99999999994</v>
      </c>
      <c r="CN1007" s="716">
        <f>+CN1005*CN1006</f>
        <v>324032.23076923087</v>
      </c>
      <c r="CO1007" s="716">
        <f>+CO1005*CO1006</f>
        <v>393248.07500000001</v>
      </c>
      <c r="CR1007" s="716">
        <f>+CR1005*CR1006</f>
        <v>403906.69400000002</v>
      </c>
      <c r="CS1007" s="716">
        <f>+CS1005*CS1006</f>
        <v>437403.14999999997</v>
      </c>
      <c r="CV1007" s="716">
        <f>+CV1005*CV1006</f>
        <v>457282.03499999997</v>
      </c>
      <c r="CW1007" s="716">
        <f>+CW1005*CW1006</f>
        <v>462690.08499999996</v>
      </c>
      <c r="CZ1007" s="716">
        <f>+CZ1005*CZ1006</f>
        <v>451968.44999999995</v>
      </c>
      <c r="DA1007" s="716">
        <f>+DA1005*DA1006</f>
        <v>501362.91099999996</v>
      </c>
      <c r="DD1007" s="716">
        <f>+DD1005*DD1006</f>
        <v>499332.9</v>
      </c>
      <c r="DE1007" s="716">
        <f>+DE1005*DE1006</f>
        <v>457436.85550000001</v>
      </c>
      <c r="DH1007" s="716">
        <f>+DH1005*DH1006</f>
        <v>457648.10401734256</v>
      </c>
      <c r="DI1007" s="716">
        <f>+DI1005*DI1006</f>
        <v>466470.87354028405</v>
      </c>
      <c r="DL1007" s="716">
        <f>+DL1005*DL1006</f>
        <v>475511.81805250462</v>
      </c>
      <c r="DM1007" s="716">
        <f>+DM1005*DM1006</f>
        <v>484775.66178001679</v>
      </c>
      <c r="DP1007" s="716">
        <f>+DP1005*DP1006</f>
        <v>494267.27139028203</v>
      </c>
      <c r="DQ1007" s="716">
        <f>+DQ1005*DQ1006</f>
        <v>503991.65933048591</v>
      </c>
    </row>
    <row r="1008" spans="1:128" s="540" customFormat="1" ht="13.8">
      <c r="A1008" s="540" t="s">
        <v>868</v>
      </c>
      <c r="B1008" s="715" t="s">
        <v>544</v>
      </c>
      <c r="BH1008" s="715"/>
      <c r="BI1008" s="715"/>
      <c r="BJ1008" s="715"/>
      <c r="BK1008" s="715"/>
      <c r="BL1008" s="715"/>
      <c r="BM1008" s="715"/>
      <c r="BN1008" s="715"/>
      <c r="BO1008" s="715"/>
      <c r="BP1008" s="715"/>
      <c r="BQ1008" s="442"/>
      <c r="BR1008" s="442"/>
      <c r="BT1008" s="716"/>
      <c r="BU1008" s="442"/>
      <c r="BV1008" s="442"/>
      <c r="BX1008" s="716"/>
      <c r="BY1008" s="716">
        <f>+BY1004-BY1007</f>
        <v>572245.68000000005</v>
      </c>
      <c r="CB1008" s="716">
        <f>+CB1004-CB1007</f>
        <v>592082.26</v>
      </c>
      <c r="CC1008" s="716">
        <f>+CC1004-CC1007</f>
        <v>592385.41999999993</v>
      </c>
      <c r="CD1008" s="716">
        <f>AVERAGE(CB1008:CC1008)</f>
        <v>592233.84</v>
      </c>
      <c r="CF1008" s="716">
        <f>+CF1004-CF1007</f>
        <v>595141.82000000007</v>
      </c>
      <c r="CG1008" s="716">
        <f>+CG1004-CG1007</f>
        <v>614862.2790000001</v>
      </c>
      <c r="CH1008" s="716">
        <f>AVERAGE(CF1008:CG1008)</f>
        <v>605002.04950000008</v>
      </c>
      <c r="CJ1008" s="716">
        <f>+CJ1004-CJ1007</f>
        <v>653333.33333333349</v>
      </c>
      <c r="CK1008" s="716">
        <f>+CK1004-CK1007</f>
        <v>700000</v>
      </c>
      <c r="CL1008" s="716">
        <f>AVERAGE(CJ1008:CK1008)</f>
        <v>676666.66666666674</v>
      </c>
      <c r="CN1008" s="716">
        <f>+CN1004-CN1007</f>
        <v>631730.76923076913</v>
      </c>
      <c r="CO1008" s="716">
        <f>+CO1004-CO1007</f>
        <v>521932.92499999999</v>
      </c>
      <c r="CP1008" s="716">
        <f>AVERAGE(CN1008:CO1008)</f>
        <v>576831.84711538453</v>
      </c>
      <c r="CR1008" s="716">
        <f>+CR1004-CR1007</f>
        <v>551698.30599999998</v>
      </c>
      <c r="CS1008" s="716">
        <f>+CS1004-CS1007</f>
        <v>581924.85000000009</v>
      </c>
      <c r="CT1008" s="716">
        <f>AVERAGE(CR1008:CS1008)</f>
        <v>566811.57799999998</v>
      </c>
      <c r="CV1008" s="716">
        <f>+CV1004-CV1007</f>
        <v>584374.96500000008</v>
      </c>
      <c r="CW1008" s="716">
        <f>+CW1004-CW1007</f>
        <v>572935.91500000004</v>
      </c>
      <c r="CX1008" s="716">
        <f>AVERAGE(CV1008:CW1008)</f>
        <v>578655.44000000006</v>
      </c>
      <c r="CZ1008" s="716">
        <f>+CZ1004-CZ1007</f>
        <v>566656.55000000005</v>
      </c>
      <c r="DA1008" s="716">
        <f>+DA1004-DA1007</f>
        <v>657124.08900000004</v>
      </c>
      <c r="DB1008" s="716">
        <f>AVERAGE(CZ1008:DA1008)</f>
        <v>611890.31949999998</v>
      </c>
      <c r="DD1008" s="716">
        <f>+DD1004-DD1007</f>
        <v>730945.1</v>
      </c>
      <c r="DE1008" s="716">
        <f>+DE1004-DE1007</f>
        <v>767804.14449999994</v>
      </c>
      <c r="DF1008" s="716">
        <f>AVERAGE(DD1008:DE1008)</f>
        <v>749374.62225000001</v>
      </c>
      <c r="DH1008" s="716">
        <f ca="1">+DH1004-DH1007</f>
        <v>774199.68185191473</v>
      </c>
      <c r="DI1008" s="716">
        <f ca="1">+DI1004-DI1007</f>
        <v>792354.46711302712</v>
      </c>
      <c r="DJ1008" s="716">
        <f ca="1">AVERAGE(DH1008:DI1008)</f>
        <v>783277.07448247098</v>
      </c>
      <c r="DL1008" s="716">
        <f ca="1">+DL1004-DL1007</f>
        <v>811569.32723852899</v>
      </c>
      <c r="DM1008" s="716">
        <f ca="1">+DM1004-DM1007</f>
        <v>834429.20417011739</v>
      </c>
      <c r="DN1008" s="716">
        <f ca="1">AVERAGE(DL1008:DM1008)</f>
        <v>822999.26570432319</v>
      </c>
      <c r="DP1008" s="716">
        <f ca="1">+DP1004-DP1007</f>
        <v>851949.01511709834</v>
      </c>
      <c r="DQ1008" s="716">
        <f ca="1">+DQ1004-DQ1007</f>
        <v>871961.93521062541</v>
      </c>
      <c r="DR1008" s="716">
        <f ca="1">AVERAGE(DP1008:DQ1008)</f>
        <v>861955.47516386188</v>
      </c>
    </row>
    <row r="1009" spans="1:128" s="540" customFormat="1" ht="13.8">
      <c r="A1009" s="541" t="s">
        <v>869</v>
      </c>
      <c r="B1009" s="718" t="s">
        <v>546</v>
      </c>
      <c r="C1009" s="541"/>
      <c r="D1009" s="541"/>
      <c r="E1009" s="541"/>
      <c r="F1009" s="541"/>
      <c r="G1009" s="541"/>
      <c r="H1009" s="541"/>
      <c r="I1009" s="541"/>
      <c r="J1009" s="541"/>
      <c r="K1009" s="541"/>
      <c r="L1009" s="541"/>
      <c r="M1009" s="541"/>
      <c r="N1009" s="541"/>
      <c r="O1009" s="541"/>
      <c r="P1009" s="541"/>
      <c r="Q1009" s="541"/>
      <c r="R1009" s="541"/>
      <c r="S1009" s="541"/>
      <c r="T1009" s="541"/>
      <c r="U1009" s="541"/>
      <c r="V1009" s="541"/>
      <c r="W1009" s="541"/>
      <c r="X1009" s="541"/>
      <c r="Y1009" s="541"/>
      <c r="Z1009" s="541"/>
      <c r="AA1009" s="541"/>
      <c r="AB1009" s="541"/>
      <c r="AC1009" s="541"/>
      <c r="AD1009" s="541"/>
      <c r="AE1009" s="541"/>
      <c r="AF1009" s="541"/>
      <c r="AG1009" s="541"/>
      <c r="AH1009" s="541"/>
      <c r="AI1009" s="541"/>
      <c r="AJ1009" s="541"/>
      <c r="AK1009" s="541"/>
      <c r="AL1009" s="541"/>
      <c r="AM1009" s="541"/>
      <c r="AN1009" s="541"/>
      <c r="AO1009" s="541"/>
      <c r="AP1009" s="541"/>
      <c r="AQ1009" s="541"/>
      <c r="AR1009" s="541"/>
      <c r="AS1009" s="541"/>
      <c r="AT1009" s="541"/>
      <c r="AU1009" s="541"/>
      <c r="AV1009" s="541"/>
      <c r="AW1009" s="541"/>
      <c r="AX1009" s="541"/>
      <c r="AY1009" s="541"/>
      <c r="AZ1009" s="541"/>
      <c r="BA1009" s="541"/>
      <c r="BB1009" s="541"/>
      <c r="BC1009" s="541"/>
      <c r="BD1009" s="541"/>
      <c r="BE1009" s="541"/>
      <c r="BF1009" s="541"/>
      <c r="BG1009" s="541"/>
      <c r="BH1009" s="718"/>
      <c r="BI1009" s="718"/>
      <c r="BJ1009" s="718"/>
      <c r="BK1009" s="718"/>
      <c r="BL1009" s="718"/>
      <c r="BM1009" s="718"/>
      <c r="BN1009" s="718"/>
      <c r="BO1009" s="718"/>
      <c r="BP1009" s="718"/>
      <c r="BQ1009" s="719"/>
      <c r="BR1009" s="719"/>
      <c r="BS1009" s="541"/>
      <c r="BT1009" s="720"/>
      <c r="BU1009" s="719"/>
      <c r="BV1009" s="719"/>
      <c r="BW1009" s="541"/>
      <c r="BX1009" s="720"/>
      <c r="BY1009" s="731">
        <v>5.9999999999999995E-4</v>
      </c>
      <c r="BZ1009" s="541"/>
      <c r="CA1009" s="541"/>
      <c r="CB1009" s="731">
        <v>5.9999999999999995E-4</v>
      </c>
      <c r="CC1009" s="731">
        <v>5.9999999999999995E-4</v>
      </c>
      <c r="CD1009" s="730">
        <f>-CD1003*(CD$4/CD$3)/CD1008</f>
        <v>5.9942538913345452E-4</v>
      </c>
      <c r="CE1009" s="541"/>
      <c r="CF1009" s="731">
        <v>5.9999999999999995E-4</v>
      </c>
      <c r="CG1009" s="731">
        <v>5.9999999999999995E-4</v>
      </c>
      <c r="CH1009" s="730">
        <f>-CH1003*(CH$4/CH$3)/CH1008</f>
        <v>5.9999796744490198E-4</v>
      </c>
      <c r="CI1009" s="541"/>
      <c r="CJ1009" s="731">
        <v>5.9999999999999995E-4</v>
      </c>
      <c r="CK1009" s="731">
        <v>5.9999999999999995E-4</v>
      </c>
      <c r="CL1009" s="730">
        <f>-CL1003*(CL$4/CL$3)/CL1008</f>
        <v>5.9999999999999995E-4</v>
      </c>
      <c r="CM1009" s="541"/>
      <c r="CN1009" s="731">
        <v>5.9999999999999995E-4</v>
      </c>
      <c r="CO1009" s="731">
        <v>5.9999999999999995E-4</v>
      </c>
      <c r="CP1009" s="730">
        <f>-CP1003*(CP$4/CP$3)/CP1008</f>
        <v>5.9982818516396701E-4</v>
      </c>
      <c r="CQ1009" s="541"/>
      <c r="CR1009" s="731">
        <v>5.9999999999999995E-4</v>
      </c>
      <c r="CS1009" s="731">
        <v>5.9999999999999995E-4</v>
      </c>
      <c r="CT1009" s="730">
        <f>-CT1003*(CT$4/CT$3)/CT1008</f>
        <v>5.9984660369799298E-4</v>
      </c>
      <c r="CU1009" s="541"/>
      <c r="CV1009" s="731">
        <v>5.9999999999999995E-4</v>
      </c>
      <c r="CW1009" s="731">
        <v>5.9999999999999995E-4</v>
      </c>
      <c r="CX1009" s="730">
        <f>-CX1003*(CX$4/CX$3)/CX1008</f>
        <v>6.1003487671350666E-4</v>
      </c>
      <c r="CY1009" s="541"/>
      <c r="CZ1009" s="731">
        <v>5.9999999999999995E-4</v>
      </c>
      <c r="DA1009" s="731">
        <v>5.9999999999999995E-4</v>
      </c>
      <c r="DB1009" s="730">
        <f>-DB1003*(DB$4/DB$3)/DB1008</f>
        <v>6.357348492093606E-4</v>
      </c>
      <c r="DC1009" s="541"/>
      <c r="DD1009" s="731">
        <v>5.9999999999999995E-4</v>
      </c>
      <c r="DE1009" s="731">
        <v>5.9999999999999995E-4</v>
      </c>
      <c r="DF1009" s="730">
        <f>-DF1003*(DF$4/DF$3)/DF1008</f>
        <v>6.0183516576244717E-4</v>
      </c>
      <c r="DG1009" s="541"/>
      <c r="DH1009" s="731">
        <v>5.9999999999999995E-4</v>
      </c>
      <c r="DI1009" s="731">
        <v>5.9999999999999995E-4</v>
      </c>
      <c r="DJ1009" s="730">
        <f ca="1">-DJ1003*(DJ$4/DJ$3)/DJ1008</f>
        <v>6.0001905039965627E-4</v>
      </c>
      <c r="DK1009" s="541"/>
      <c r="DL1009" s="731">
        <v>5.9999999999999995E-4</v>
      </c>
      <c r="DM1009" s="731">
        <v>5.9999999999999995E-4</v>
      </c>
      <c r="DN1009" s="730">
        <f ca="1">-DN1003*(DN$4/DN$3)/DN1008</f>
        <v>6.0002282983804081E-4</v>
      </c>
      <c r="DO1009" s="541"/>
      <c r="DP1009" s="731">
        <v>5.9999999999999995E-4</v>
      </c>
      <c r="DQ1009" s="731">
        <v>5.9999999999999995E-4</v>
      </c>
      <c r="DR1009" s="730">
        <f ca="1">-DR1003*(DR$4/DR$3)/DR1008</f>
        <v>6.0001908332378323E-4</v>
      </c>
      <c r="DS1009" s="541"/>
      <c r="DT1009" s="541"/>
      <c r="DU1009" s="541"/>
      <c r="DV1009" s="541"/>
    </row>
    <row r="1010" spans="1:128" s="20" customFormat="1" ht="13.8">
      <c r="A1010" s="78" t="s">
        <v>884</v>
      </c>
      <c r="B1010" s="49"/>
      <c r="BH1010" s="49"/>
      <c r="BI1010" s="49"/>
      <c r="BJ1010" s="49"/>
      <c r="BK1010" s="49"/>
      <c r="BL1010" s="49"/>
      <c r="BM1010" s="49"/>
      <c r="BN1010" s="49"/>
      <c r="BO1010" s="49"/>
      <c r="BP1010" s="49"/>
      <c r="BT1010" s="49"/>
      <c r="BX1010" s="49"/>
      <c r="BY1010" s="793">
        <f>-BY1008*BY1009*(BY3/BY4)/2</f>
        <v>-86.072021457534248</v>
      </c>
      <c r="CB1010" s="768">
        <f>-CB1008*CB1009*(CB3/CB4)</f>
        <v>-177.13803504657534</v>
      </c>
      <c r="CC1010" s="768">
        <f>-CC1008*CC1009*(CC3/CC4)</f>
        <v>-178.20251812602737</v>
      </c>
      <c r="CF1010" s="768">
        <f>-CF1008*CF1009*(CF3/CF4)</f>
        <v>-178.05338833972604</v>
      </c>
      <c r="CG1010" s="768">
        <f>-CG1008*CG1009*(CG3/CG4)</f>
        <v>-184.96404995671236</v>
      </c>
      <c r="CJ1010" s="768">
        <f>-CJ1008*CJ1009*(CJ3/CJ4)</f>
        <v>-196.00000000000003</v>
      </c>
      <c r="CK1010" s="768">
        <f>-CK1008*CK1009*(CK3/CK4)</f>
        <v>-209.99999999999997</v>
      </c>
      <c r="CN1010" s="768">
        <f>-CN1008*CN1009*(CN3/CN4)</f>
        <v>-188.99999999999994</v>
      </c>
      <c r="CO1010" s="768">
        <f>-CO1008*CO1009*(CO3/CO4)</f>
        <v>-157.00886346575342</v>
      </c>
      <c r="CR1010" s="768">
        <f>-CR1008*CR1009*(CR3/CR4)</f>
        <v>-165.05604113753424</v>
      </c>
      <c r="CS1010" s="768">
        <f>-CS1008*CS1009*(CS3/CS4)</f>
        <v>-175.05574939726031</v>
      </c>
      <c r="CV1010" s="768">
        <f>-CV1008*CV1009*(CV3/CV4)</f>
        <v>-174.83218130958903</v>
      </c>
      <c r="CW1010" s="768">
        <f>-CW1008*CW1009*(CW3/CW4)</f>
        <v>-172.35168073150686</v>
      </c>
      <c r="CZ1010" s="768">
        <f>-CZ1008*CZ1009*(CZ3/CZ4)</f>
        <v>-169.99696499999999</v>
      </c>
      <c r="DA1010" s="768">
        <f>-DA1008*DA1009*(DA3/DA4)</f>
        <v>-197.13722669999999</v>
      </c>
      <c r="DD1010" s="768">
        <f>-DD1008*DD1009*(DD3/DD4)</f>
        <v>-218.68275320547943</v>
      </c>
      <c r="DE1010" s="768">
        <f>-DE1008*DE1009*(DE3/DE4)</f>
        <v>-230.97231524958903</v>
      </c>
      <c r="DH1010" s="49"/>
      <c r="DL1010" s="49"/>
      <c r="DP1010" s="49"/>
    </row>
    <row r="1011" spans="1:128" s="20" customFormat="1" ht="13.8">
      <c r="B1011" s="49"/>
      <c r="BH1011" s="49"/>
      <c r="BI1011" s="49"/>
      <c r="BJ1011" s="49"/>
      <c r="BK1011" s="49"/>
      <c r="BL1011" s="49"/>
      <c r="BM1011" s="49"/>
      <c r="BN1011" s="49"/>
      <c r="BO1011" s="49"/>
      <c r="BP1011" s="49"/>
      <c r="BT1011" s="49"/>
      <c r="BX1011" s="49"/>
      <c r="CB1011" s="49"/>
      <c r="CF1011" s="49"/>
      <c r="CJ1011" s="49"/>
      <c r="CN1011" s="49"/>
      <c r="CR1011" s="49"/>
      <c r="CV1011" s="49"/>
      <c r="CZ1011" s="49"/>
      <c r="DD1011" s="49"/>
      <c r="DH1011" s="49"/>
      <c r="DL1011" s="49"/>
      <c r="DP1011" s="49"/>
    </row>
    <row r="1012" spans="1:128" s="20" customFormat="1" ht="13.8">
      <c r="B1012" s="49"/>
      <c r="BH1012" s="49"/>
      <c r="BI1012" s="49"/>
      <c r="BJ1012" s="49"/>
      <c r="BK1012" s="49"/>
      <c r="BL1012" s="49"/>
      <c r="BM1012" s="49"/>
      <c r="BN1012" s="49"/>
      <c r="BO1012" s="49"/>
      <c r="BP1012" s="49"/>
      <c r="BT1012" s="49"/>
      <c r="BX1012" s="49"/>
      <c r="CB1012" s="49"/>
      <c r="CF1012" s="49"/>
      <c r="CJ1012" s="49"/>
      <c r="CN1012" s="49"/>
      <c r="CR1012" s="49"/>
      <c r="CV1012" s="49"/>
      <c r="CZ1012" s="49"/>
      <c r="DD1012" s="49"/>
      <c r="DH1012" s="49"/>
      <c r="DL1012" s="49"/>
      <c r="DP1012" s="49"/>
    </row>
    <row r="1013" spans="1:128" s="359" customFormat="1" ht="13.8">
      <c r="A1013" s="359" t="s">
        <v>464</v>
      </c>
      <c r="B1013" s="360"/>
      <c r="BH1013" s="360"/>
      <c r="BI1013" s="360"/>
      <c r="BJ1013" s="360"/>
      <c r="BK1013" s="360"/>
      <c r="BL1013" s="360"/>
      <c r="BM1013" s="360"/>
      <c r="BN1013" s="360"/>
      <c r="BO1013" s="360"/>
      <c r="BP1013" s="360"/>
      <c r="BT1013" s="360"/>
      <c r="BX1013" s="360"/>
      <c r="CB1013" s="360"/>
      <c r="CF1013" s="360"/>
      <c r="CJ1013" s="360"/>
      <c r="CN1013" s="360"/>
      <c r="CR1013" s="360"/>
      <c r="CV1013" s="360"/>
      <c r="CZ1013" s="360"/>
      <c r="DD1013" s="360"/>
      <c r="DH1013" s="360"/>
      <c r="DL1013" s="360"/>
      <c r="DP1013" s="360"/>
      <c r="DT1013" s="744"/>
      <c r="DU1013" s="744"/>
      <c r="DV1013" s="744"/>
      <c r="DW1013" s="20"/>
      <c r="DX1013" s="20"/>
    </row>
    <row r="1014" spans="1:128" s="20" customFormat="1" ht="13.8">
      <c r="B1014" s="49"/>
      <c r="BH1014" s="49"/>
      <c r="BI1014" s="49"/>
      <c r="BJ1014" s="49"/>
      <c r="BK1014" s="49"/>
      <c r="BL1014" s="49"/>
      <c r="BM1014" s="49"/>
      <c r="BN1014" s="49"/>
      <c r="BO1014" s="49"/>
      <c r="BP1014" s="49"/>
      <c r="BT1014" s="49"/>
      <c r="BX1014" s="49">
        <f>76+36+178-105-1+316</f>
        <v>500</v>
      </c>
      <c r="CB1014" s="49"/>
      <c r="CF1014" s="49"/>
      <c r="CJ1014" s="49"/>
      <c r="CN1014" s="49"/>
      <c r="CR1014" s="49"/>
      <c r="CV1014" s="49"/>
      <c r="CZ1014" s="49"/>
      <c r="DD1014" s="49"/>
      <c r="DH1014" s="49"/>
      <c r="DL1014" s="49"/>
      <c r="DP1014" s="49"/>
    </row>
    <row r="1015" spans="1:128" s="20" customFormat="1" ht="13.8">
      <c r="A1015" s="21" t="s">
        <v>347</v>
      </c>
      <c r="B1015" s="49"/>
      <c r="BH1015" s="49"/>
      <c r="BI1015" s="49"/>
      <c r="BJ1015" s="49"/>
      <c r="BK1015" s="49"/>
      <c r="BL1015" s="49"/>
      <c r="BM1015" s="49"/>
      <c r="BN1015" s="49"/>
      <c r="BO1015" s="49"/>
      <c r="BP1015" s="49"/>
      <c r="BT1015" s="49"/>
      <c r="BX1015" s="49"/>
      <c r="CB1015" s="49"/>
      <c r="CF1015" s="49"/>
      <c r="CN1015" s="49"/>
      <c r="CR1015" s="49"/>
      <c r="CV1015" s="49"/>
      <c r="CZ1015" s="49"/>
      <c r="DD1015" s="49"/>
      <c r="DH1015" s="49"/>
      <c r="DL1015" s="49"/>
      <c r="DP1015" s="49"/>
    </row>
    <row r="1016" spans="1:128" s="325" customFormat="1" ht="13.8">
      <c r="A1016" s="325" t="s">
        <v>611</v>
      </c>
      <c r="B1016" s="324"/>
      <c r="BH1016" s="327">
        <v>-53</v>
      </c>
      <c r="BI1016" s="326">
        <f t="shared" ref="BI1016:BI1023" si="1552">BJ1016-BH1016</f>
        <v>-31</v>
      </c>
      <c r="BJ1016" s="327">
        <v>-84</v>
      </c>
      <c r="BK1016" s="324"/>
      <c r="BL1016" s="327">
        <v>-37</v>
      </c>
      <c r="BM1016" s="327">
        <v>13</v>
      </c>
      <c r="BN1016" s="326">
        <f t="shared" ref="BN1016:BN1023" si="1553">+BM1016+BL1016</f>
        <v>-24</v>
      </c>
      <c r="BO1016" s="324"/>
      <c r="BP1016" s="327">
        <v>-79</v>
      </c>
      <c r="BQ1016" s="327">
        <v>95</v>
      </c>
      <c r="BR1016" s="326">
        <f t="shared" ref="BR1016:BR1023" si="1554">+BQ1016+BP1016</f>
        <v>16</v>
      </c>
      <c r="BT1016" s="327">
        <v>29</v>
      </c>
      <c r="BU1016" s="327">
        <v>-73</v>
      </c>
      <c r="BV1016" s="326">
        <f t="shared" ref="BV1016:BV1023" si="1555">+BU1016+BT1016</f>
        <v>-44</v>
      </c>
      <c r="BX1016" s="599">
        <v>-76</v>
      </c>
      <c r="BY1016" s="599">
        <v>18</v>
      </c>
      <c r="BZ1016" s="326">
        <f t="shared" ref="BZ1016:BZ1023" si="1556">+BY1016+BX1016</f>
        <v>-58</v>
      </c>
      <c r="CB1016" s="599">
        <v>23</v>
      </c>
      <c r="CC1016" s="599">
        <v>-30</v>
      </c>
      <c r="CD1016" s="326">
        <f t="shared" ref="CD1016:CD1023" si="1557">+CC1016+CB1016</f>
        <v>-7</v>
      </c>
      <c r="CF1016" s="599">
        <v>18</v>
      </c>
      <c r="CG1016" s="599">
        <v>-7</v>
      </c>
      <c r="CH1016" s="326">
        <f t="shared" ref="CH1016:CH1023" si="1558">+CG1016+CF1016</f>
        <v>11</v>
      </c>
      <c r="CJ1016" s="599">
        <v>0</v>
      </c>
      <c r="CK1016" s="599">
        <v>0</v>
      </c>
      <c r="CL1016" s="326">
        <f t="shared" ref="CL1016:CL1023" si="1559">+CK1016+CJ1016</f>
        <v>0</v>
      </c>
      <c r="CN1016" s="599">
        <v>0</v>
      </c>
      <c r="CO1016" s="599">
        <v>0</v>
      </c>
      <c r="CP1016" s="326">
        <f t="shared" ref="CP1016:CP1023" si="1560">+CO1016+CN1016</f>
        <v>0</v>
      </c>
      <c r="CR1016" s="599">
        <v>0</v>
      </c>
      <c r="CS1016" s="599">
        <v>0</v>
      </c>
      <c r="CT1016" s="326">
        <f t="shared" ref="CT1016:CT1023" si="1561">+CS1016+CR1016</f>
        <v>0</v>
      </c>
      <c r="CV1016" s="599">
        <v>0</v>
      </c>
      <c r="CW1016" s="599">
        <v>0</v>
      </c>
      <c r="CX1016" s="326">
        <f t="shared" ref="CX1016:CX1023" si="1562">+CW1016+CV1016</f>
        <v>0</v>
      </c>
      <c r="CZ1016" s="599">
        <v>0</v>
      </c>
      <c r="DA1016" s="599">
        <v>0</v>
      </c>
      <c r="DB1016" s="326">
        <f t="shared" ref="DB1016:DB1023" si="1563">+DA1016+CZ1016</f>
        <v>0</v>
      </c>
      <c r="DD1016" s="599">
        <v>0</v>
      </c>
      <c r="DE1016" s="599">
        <v>0</v>
      </c>
      <c r="DF1016" s="326">
        <f t="shared" ref="DF1016:DF1023" si="1564">+DE1016+DD1016</f>
        <v>0</v>
      </c>
      <c r="DH1016" s="328">
        <v>0</v>
      </c>
      <c r="DI1016" s="328">
        <v>0</v>
      </c>
      <c r="DJ1016" s="326">
        <f t="shared" ref="DJ1016:DJ1021" si="1565">+DI1016+DH1016</f>
        <v>0</v>
      </c>
      <c r="DL1016" s="328">
        <v>0</v>
      </c>
      <c r="DM1016" s="328">
        <v>0</v>
      </c>
      <c r="DN1016" s="326">
        <f t="shared" ref="DN1016:DN1021" si="1566">+DM1016+DL1016</f>
        <v>0</v>
      </c>
      <c r="DP1016" s="328">
        <v>0</v>
      </c>
      <c r="DQ1016" s="328">
        <v>0</v>
      </c>
      <c r="DR1016" s="326">
        <f t="shared" ref="DR1016:DR1021" si="1567">+DQ1016+DP1016</f>
        <v>0</v>
      </c>
      <c r="DW1016" s="20"/>
      <c r="DX1016" s="20"/>
    </row>
    <row r="1017" spans="1:128" s="325" customFormat="1" ht="13.8">
      <c r="A1017" s="325" t="s">
        <v>460</v>
      </c>
      <c r="B1017" s="324"/>
      <c r="BH1017" s="327">
        <v>-19</v>
      </c>
      <c r="BI1017" s="326">
        <f t="shared" si="1552"/>
        <v>-27</v>
      </c>
      <c r="BJ1017" s="327">
        <v>-46</v>
      </c>
      <c r="BK1017" s="324"/>
      <c r="BL1017" s="327">
        <v>3</v>
      </c>
      <c r="BM1017" s="327">
        <v>23</v>
      </c>
      <c r="BN1017" s="326">
        <f t="shared" si="1553"/>
        <v>26</v>
      </c>
      <c r="BO1017" s="324"/>
      <c r="BP1017" s="327">
        <v>67</v>
      </c>
      <c r="BQ1017" s="327">
        <v>6</v>
      </c>
      <c r="BR1017" s="326">
        <f t="shared" si="1554"/>
        <v>73</v>
      </c>
      <c r="BT1017" s="327">
        <v>14</v>
      </c>
      <c r="BU1017" s="327">
        <v>40</v>
      </c>
      <c r="BV1017" s="326">
        <f t="shared" si="1555"/>
        <v>54</v>
      </c>
      <c r="BX1017" s="599">
        <v>-36</v>
      </c>
      <c r="BY1017" s="599">
        <v>2</v>
      </c>
      <c r="BZ1017" s="326">
        <f t="shared" si="1556"/>
        <v>-34</v>
      </c>
      <c r="CB1017" s="599">
        <v>4</v>
      </c>
      <c r="CC1017" s="599">
        <v>4</v>
      </c>
      <c r="CD1017" s="326">
        <f t="shared" si="1557"/>
        <v>8</v>
      </c>
      <c r="CF1017" s="599">
        <v>-115</v>
      </c>
      <c r="CG1017" s="599">
        <v>-7</v>
      </c>
      <c r="CH1017" s="326">
        <f t="shared" si="1558"/>
        <v>-122</v>
      </c>
      <c r="CJ1017" s="599">
        <v>0</v>
      </c>
      <c r="CK1017" s="599">
        <v>0</v>
      </c>
      <c r="CL1017" s="326">
        <f t="shared" si="1559"/>
        <v>0</v>
      </c>
      <c r="CN1017" s="599">
        <v>0</v>
      </c>
      <c r="CO1017" s="599">
        <v>0</v>
      </c>
      <c r="CP1017" s="326">
        <f t="shared" si="1560"/>
        <v>0</v>
      </c>
      <c r="CR1017" s="599">
        <v>0</v>
      </c>
      <c r="CS1017" s="599">
        <v>0</v>
      </c>
      <c r="CT1017" s="326">
        <f t="shared" si="1561"/>
        <v>0</v>
      </c>
      <c r="CV1017" s="599">
        <v>0</v>
      </c>
      <c r="CW1017" s="599">
        <v>0</v>
      </c>
      <c r="CX1017" s="326">
        <f t="shared" si="1562"/>
        <v>0</v>
      </c>
      <c r="CZ1017" s="599">
        <v>0</v>
      </c>
      <c r="DA1017" s="599">
        <v>0</v>
      </c>
      <c r="DB1017" s="326">
        <f t="shared" si="1563"/>
        <v>0</v>
      </c>
      <c r="DD1017" s="599">
        <v>0</v>
      </c>
      <c r="DE1017" s="599">
        <v>0</v>
      </c>
      <c r="DF1017" s="326">
        <f t="shared" si="1564"/>
        <v>0</v>
      </c>
      <c r="DH1017" s="328">
        <v>0</v>
      </c>
      <c r="DI1017" s="328">
        <v>0</v>
      </c>
      <c r="DJ1017" s="326">
        <f t="shared" si="1565"/>
        <v>0</v>
      </c>
      <c r="DL1017" s="328">
        <v>0</v>
      </c>
      <c r="DM1017" s="328">
        <v>0</v>
      </c>
      <c r="DN1017" s="326">
        <f t="shared" si="1566"/>
        <v>0</v>
      </c>
      <c r="DP1017" s="328">
        <v>0</v>
      </c>
      <c r="DQ1017" s="328">
        <v>0</v>
      </c>
      <c r="DR1017" s="326">
        <f t="shared" si="1567"/>
        <v>0</v>
      </c>
      <c r="DW1017" s="20"/>
      <c r="DX1017" s="20"/>
    </row>
    <row r="1018" spans="1:128" s="325" customFormat="1" ht="13.8">
      <c r="A1018" s="325" t="s">
        <v>461</v>
      </c>
      <c r="B1018" s="324"/>
      <c r="BH1018" s="327">
        <v>-192</v>
      </c>
      <c r="BI1018" s="326">
        <f t="shared" si="1552"/>
        <v>249</v>
      </c>
      <c r="BJ1018" s="327">
        <v>57</v>
      </c>
      <c r="BK1018" s="324"/>
      <c r="BL1018" s="327">
        <v>-78</v>
      </c>
      <c r="BM1018" s="327">
        <v>150</v>
      </c>
      <c r="BN1018" s="326">
        <f t="shared" si="1553"/>
        <v>72</v>
      </c>
      <c r="BO1018" s="324"/>
      <c r="BP1018" s="327">
        <v>14</v>
      </c>
      <c r="BQ1018" s="327">
        <v>165</v>
      </c>
      <c r="BR1018" s="326">
        <f t="shared" si="1554"/>
        <v>179</v>
      </c>
      <c r="BT1018" s="327">
        <v>-128</v>
      </c>
      <c r="BU1018" s="327">
        <v>26</v>
      </c>
      <c r="BV1018" s="326">
        <f t="shared" si="1555"/>
        <v>-102</v>
      </c>
      <c r="BX1018" s="599">
        <v>-178</v>
      </c>
      <c r="BY1018" s="599">
        <v>-31</v>
      </c>
      <c r="BZ1018" s="326">
        <f t="shared" si="1556"/>
        <v>-209</v>
      </c>
      <c r="CB1018" s="599">
        <v>124</v>
      </c>
      <c r="CC1018" s="599">
        <v>124</v>
      </c>
      <c r="CD1018" s="326">
        <f t="shared" si="1557"/>
        <v>248</v>
      </c>
      <c r="CF1018" s="599">
        <v>-185</v>
      </c>
      <c r="CG1018" s="599">
        <v>67</v>
      </c>
      <c r="CH1018" s="326">
        <f t="shared" si="1558"/>
        <v>-118</v>
      </c>
      <c r="CJ1018" s="599">
        <v>340</v>
      </c>
      <c r="CK1018" s="599">
        <v>-461</v>
      </c>
      <c r="CL1018" s="326">
        <f t="shared" si="1559"/>
        <v>-121</v>
      </c>
      <c r="CN1018" s="599">
        <v>-51</v>
      </c>
      <c r="CO1018" s="599">
        <v>128</v>
      </c>
      <c r="CP1018" s="326">
        <f t="shared" si="1560"/>
        <v>77</v>
      </c>
      <c r="CR1018" s="599">
        <v>373</v>
      </c>
      <c r="CS1018" s="599">
        <v>196</v>
      </c>
      <c r="CT1018" s="326">
        <f t="shared" si="1561"/>
        <v>569</v>
      </c>
      <c r="CV1018" s="599">
        <v>-190</v>
      </c>
      <c r="CW1018" s="599">
        <v>-27</v>
      </c>
      <c r="CX1018" s="326">
        <f t="shared" si="1562"/>
        <v>-217</v>
      </c>
      <c r="CZ1018" s="599">
        <v>-197</v>
      </c>
      <c r="DA1018" s="599">
        <v>-67</v>
      </c>
      <c r="DB1018" s="326">
        <f t="shared" si="1563"/>
        <v>-264</v>
      </c>
      <c r="DD1018" s="599">
        <v>167</v>
      </c>
      <c r="DE1018" s="599">
        <v>-39</v>
      </c>
      <c r="DF1018" s="326">
        <f t="shared" si="1564"/>
        <v>128</v>
      </c>
      <c r="DH1018" s="328">
        <v>0</v>
      </c>
      <c r="DI1018" s="328">
        <v>0</v>
      </c>
      <c r="DJ1018" s="326">
        <f t="shared" si="1565"/>
        <v>0</v>
      </c>
      <c r="DL1018" s="328">
        <v>0</v>
      </c>
      <c r="DM1018" s="328">
        <v>0</v>
      </c>
      <c r="DN1018" s="326">
        <f t="shared" si="1566"/>
        <v>0</v>
      </c>
      <c r="DP1018" s="328">
        <v>0</v>
      </c>
      <c r="DQ1018" s="328">
        <v>0</v>
      </c>
      <c r="DR1018" s="326">
        <f t="shared" si="1567"/>
        <v>0</v>
      </c>
      <c r="DW1018" s="20"/>
      <c r="DX1018" s="20"/>
    </row>
    <row r="1019" spans="1:128" s="325" customFormat="1" ht="13.8">
      <c r="A1019" s="325" t="s">
        <v>462</v>
      </c>
      <c r="B1019" s="324"/>
      <c r="BH1019" s="327">
        <v>-16</v>
      </c>
      <c r="BI1019" s="326">
        <f t="shared" si="1552"/>
        <v>-143</v>
      </c>
      <c r="BJ1019" s="327">
        <v>-159</v>
      </c>
      <c r="BK1019" s="324"/>
      <c r="BL1019" s="327">
        <v>-18</v>
      </c>
      <c r="BM1019" s="327">
        <v>119</v>
      </c>
      <c r="BN1019" s="326">
        <f t="shared" si="1553"/>
        <v>101</v>
      </c>
      <c r="BO1019" s="324"/>
      <c r="BP1019" s="327">
        <v>-176</v>
      </c>
      <c r="BQ1019" s="327">
        <v>179</v>
      </c>
      <c r="BR1019" s="326">
        <f t="shared" si="1554"/>
        <v>3</v>
      </c>
      <c r="BT1019" s="327">
        <v>39</v>
      </c>
      <c r="BU1019" s="327">
        <v>-131</v>
      </c>
      <c r="BV1019" s="326">
        <f t="shared" si="1555"/>
        <v>-92</v>
      </c>
      <c r="BX1019" s="599">
        <v>105</v>
      </c>
      <c r="BY1019" s="599">
        <v>-6</v>
      </c>
      <c r="BZ1019" s="326">
        <f t="shared" si="1556"/>
        <v>99</v>
      </c>
      <c r="CB1019" s="599">
        <v>-40</v>
      </c>
      <c r="CC1019" s="599">
        <v>49</v>
      </c>
      <c r="CD1019" s="326">
        <f t="shared" si="1557"/>
        <v>9</v>
      </c>
      <c r="CF1019" s="599">
        <v>-60</v>
      </c>
      <c r="CG1019" s="599">
        <v>79</v>
      </c>
      <c r="CH1019" s="326">
        <f t="shared" si="1558"/>
        <v>19</v>
      </c>
      <c r="CJ1019" s="599">
        <v>-120</v>
      </c>
      <c r="CK1019" s="599">
        <v>156</v>
      </c>
      <c r="CL1019" s="326">
        <f t="shared" si="1559"/>
        <v>36</v>
      </c>
      <c r="CN1019" s="599">
        <v>12</v>
      </c>
      <c r="CO1019" s="599">
        <v>-108</v>
      </c>
      <c r="CP1019" s="326">
        <f t="shared" si="1560"/>
        <v>-96</v>
      </c>
      <c r="CR1019" s="599">
        <v>49</v>
      </c>
      <c r="CS1019" s="599">
        <v>5</v>
      </c>
      <c r="CT1019" s="326">
        <f t="shared" si="1561"/>
        <v>54</v>
      </c>
      <c r="CV1019" s="599">
        <v>-84</v>
      </c>
      <c r="CW1019" s="599">
        <v>-6</v>
      </c>
      <c r="CX1019" s="326">
        <f t="shared" si="1562"/>
        <v>-90</v>
      </c>
      <c r="CZ1019" s="599">
        <v>52</v>
      </c>
      <c r="DA1019" s="599">
        <v>22</v>
      </c>
      <c r="DB1019" s="326">
        <f t="shared" si="1563"/>
        <v>74</v>
      </c>
      <c r="DD1019" s="599">
        <v>-36</v>
      </c>
      <c r="DE1019" s="599">
        <v>112</v>
      </c>
      <c r="DF1019" s="326">
        <f t="shared" si="1564"/>
        <v>76</v>
      </c>
      <c r="DH1019" s="328">
        <v>0</v>
      </c>
      <c r="DI1019" s="328">
        <v>0</v>
      </c>
      <c r="DJ1019" s="326">
        <f t="shared" si="1565"/>
        <v>0</v>
      </c>
      <c r="DL1019" s="328">
        <v>0</v>
      </c>
      <c r="DM1019" s="328">
        <v>0</v>
      </c>
      <c r="DN1019" s="326">
        <f t="shared" si="1566"/>
        <v>0</v>
      </c>
      <c r="DP1019" s="328">
        <v>0</v>
      </c>
      <c r="DQ1019" s="328">
        <v>0</v>
      </c>
      <c r="DR1019" s="326">
        <f t="shared" si="1567"/>
        <v>0</v>
      </c>
      <c r="DW1019" s="20"/>
      <c r="DX1019" s="20"/>
    </row>
    <row r="1020" spans="1:128" s="325" customFormat="1" ht="13.8">
      <c r="A1020" s="325" t="s">
        <v>463</v>
      </c>
      <c r="B1020" s="324"/>
      <c r="BH1020" s="327">
        <v>38</v>
      </c>
      <c r="BI1020" s="326">
        <f t="shared" si="1552"/>
        <v>12</v>
      </c>
      <c r="BJ1020" s="327">
        <v>50</v>
      </c>
      <c r="BK1020" s="324"/>
      <c r="BL1020" s="327">
        <v>7</v>
      </c>
      <c r="BM1020" s="327">
        <v>-28</v>
      </c>
      <c r="BN1020" s="326">
        <f t="shared" si="1553"/>
        <v>-21</v>
      </c>
      <c r="BO1020" s="324"/>
      <c r="BP1020" s="327">
        <v>4</v>
      </c>
      <c r="BQ1020" s="327">
        <v>2</v>
      </c>
      <c r="BR1020" s="326">
        <f t="shared" si="1554"/>
        <v>6</v>
      </c>
      <c r="BT1020" s="327">
        <v>2</v>
      </c>
      <c r="BU1020" s="327">
        <v>2</v>
      </c>
      <c r="BV1020" s="326">
        <f t="shared" si="1555"/>
        <v>4</v>
      </c>
      <c r="BX1020" s="599">
        <v>1</v>
      </c>
      <c r="BY1020" s="599">
        <v>2</v>
      </c>
      <c r="BZ1020" s="326">
        <f t="shared" si="1556"/>
        <v>3</v>
      </c>
      <c r="CB1020" s="599">
        <v>3</v>
      </c>
      <c r="CC1020" s="599">
        <v>1</v>
      </c>
      <c r="CD1020" s="326">
        <f t="shared" si="1557"/>
        <v>4</v>
      </c>
      <c r="CF1020" s="599">
        <v>1</v>
      </c>
      <c r="CG1020" s="599">
        <v>1</v>
      </c>
      <c r="CH1020" s="326">
        <f t="shared" si="1558"/>
        <v>2</v>
      </c>
      <c r="CJ1020" s="599">
        <v>2</v>
      </c>
      <c r="CK1020" s="599">
        <v>0</v>
      </c>
      <c r="CL1020" s="326">
        <f t="shared" si="1559"/>
        <v>2</v>
      </c>
      <c r="CN1020" s="599">
        <v>0</v>
      </c>
      <c r="CO1020" s="599">
        <v>0</v>
      </c>
      <c r="CP1020" s="326">
        <f t="shared" si="1560"/>
        <v>0</v>
      </c>
      <c r="CR1020" s="599">
        <v>0</v>
      </c>
      <c r="CS1020" s="599">
        <v>0</v>
      </c>
      <c r="CT1020" s="326">
        <f t="shared" si="1561"/>
        <v>0</v>
      </c>
      <c r="CV1020" s="599">
        <v>0</v>
      </c>
      <c r="CW1020" s="599">
        <v>0</v>
      </c>
      <c r="CX1020" s="326">
        <f t="shared" si="1562"/>
        <v>0</v>
      </c>
      <c r="CZ1020" s="599">
        <v>0</v>
      </c>
      <c r="DA1020" s="599">
        <v>0</v>
      </c>
      <c r="DB1020" s="326">
        <f t="shared" si="1563"/>
        <v>0</v>
      </c>
      <c r="DD1020" s="599">
        <v>0</v>
      </c>
      <c r="DE1020" s="599">
        <v>0</v>
      </c>
      <c r="DF1020" s="326">
        <f t="shared" si="1564"/>
        <v>0</v>
      </c>
      <c r="DH1020" s="328">
        <v>0</v>
      </c>
      <c r="DI1020" s="328">
        <v>0</v>
      </c>
      <c r="DJ1020" s="326">
        <f t="shared" si="1565"/>
        <v>0</v>
      </c>
      <c r="DL1020" s="328">
        <v>0</v>
      </c>
      <c r="DM1020" s="328">
        <v>0</v>
      </c>
      <c r="DN1020" s="326">
        <f t="shared" si="1566"/>
        <v>0</v>
      </c>
      <c r="DP1020" s="328">
        <v>0</v>
      </c>
      <c r="DQ1020" s="328">
        <v>0</v>
      </c>
      <c r="DR1020" s="326">
        <f t="shared" si="1567"/>
        <v>0</v>
      </c>
      <c r="DW1020" s="20"/>
      <c r="DX1020" s="20"/>
    </row>
    <row r="1021" spans="1:128" s="325" customFormat="1" ht="13.8">
      <c r="A1021" s="325" t="s">
        <v>777</v>
      </c>
      <c r="B1021" s="324"/>
      <c r="BH1021" s="327">
        <v>0</v>
      </c>
      <c r="BI1021" s="326">
        <f>BJ1021-BH1021</f>
        <v>0</v>
      </c>
      <c r="BJ1021" s="327">
        <v>0</v>
      </c>
      <c r="BK1021" s="324"/>
      <c r="BL1021" s="327">
        <v>0</v>
      </c>
      <c r="BM1021" s="327">
        <v>0</v>
      </c>
      <c r="BN1021" s="326">
        <f>+BM1021+BL1021</f>
        <v>0</v>
      </c>
      <c r="BO1021" s="324"/>
      <c r="BP1021" s="327">
        <v>0</v>
      </c>
      <c r="BQ1021" s="327">
        <v>0</v>
      </c>
      <c r="BR1021" s="326">
        <f>+BQ1021+BP1021</f>
        <v>0</v>
      </c>
      <c r="BT1021" s="327">
        <v>0</v>
      </c>
      <c r="BU1021" s="327">
        <v>0</v>
      </c>
      <c r="BV1021" s="326">
        <f t="shared" si="1555"/>
        <v>0</v>
      </c>
      <c r="BX1021" s="599">
        <v>-316</v>
      </c>
      <c r="BY1021" s="599">
        <v>-17</v>
      </c>
      <c r="BZ1021" s="326">
        <f t="shared" si="1556"/>
        <v>-333</v>
      </c>
      <c r="CB1021" s="599">
        <v>333</v>
      </c>
      <c r="CC1021" s="599">
        <v>0</v>
      </c>
      <c r="CD1021" s="326">
        <f t="shared" si="1557"/>
        <v>333</v>
      </c>
      <c r="CF1021" s="599">
        <v>0</v>
      </c>
      <c r="CG1021" s="599">
        <v>0</v>
      </c>
      <c r="CH1021" s="326">
        <f t="shared" si="1558"/>
        <v>0</v>
      </c>
      <c r="CJ1021" s="599">
        <v>0</v>
      </c>
      <c r="CK1021" s="599">
        <v>0</v>
      </c>
      <c r="CL1021" s="326">
        <f t="shared" si="1559"/>
        <v>0</v>
      </c>
      <c r="CN1021" s="599">
        <v>0</v>
      </c>
      <c r="CO1021" s="599">
        <v>0</v>
      </c>
      <c r="CP1021" s="326">
        <f t="shared" si="1560"/>
        <v>0</v>
      </c>
      <c r="CR1021" s="599">
        <v>0</v>
      </c>
      <c r="CS1021" s="599">
        <v>0</v>
      </c>
      <c r="CT1021" s="326">
        <f t="shared" si="1561"/>
        <v>0</v>
      </c>
      <c r="CV1021" s="599">
        <v>0</v>
      </c>
      <c r="CW1021" s="599">
        <v>0</v>
      </c>
      <c r="CX1021" s="326">
        <f t="shared" si="1562"/>
        <v>0</v>
      </c>
      <c r="CZ1021" s="599">
        <v>0</v>
      </c>
      <c r="DA1021" s="599">
        <v>0</v>
      </c>
      <c r="DB1021" s="326">
        <f t="shared" si="1563"/>
        <v>0</v>
      </c>
      <c r="DD1021" s="599">
        <v>0</v>
      </c>
      <c r="DE1021" s="599">
        <v>0</v>
      </c>
      <c r="DF1021" s="326">
        <f t="shared" si="1564"/>
        <v>0</v>
      </c>
      <c r="DH1021" s="328">
        <v>0</v>
      </c>
      <c r="DI1021" s="328">
        <v>0</v>
      </c>
      <c r="DJ1021" s="326">
        <f t="shared" si="1565"/>
        <v>0</v>
      </c>
      <c r="DL1021" s="328">
        <v>0</v>
      </c>
      <c r="DM1021" s="328">
        <v>0</v>
      </c>
      <c r="DN1021" s="326">
        <f t="shared" si="1566"/>
        <v>0</v>
      </c>
      <c r="DP1021" s="328">
        <v>0</v>
      </c>
      <c r="DQ1021" s="328">
        <v>0</v>
      </c>
      <c r="DR1021" s="326">
        <f t="shared" si="1567"/>
        <v>0</v>
      </c>
      <c r="DW1021" s="20"/>
      <c r="DX1021" s="20"/>
    </row>
    <row r="1022" spans="1:128" s="325" customFormat="1" ht="13.8">
      <c r="A1022" s="325" t="s">
        <v>800</v>
      </c>
      <c r="B1022" s="324"/>
      <c r="BH1022" s="327"/>
      <c r="BI1022" s="326"/>
      <c r="BJ1022" s="327"/>
      <c r="BK1022" s="324"/>
      <c r="BL1022" s="327"/>
      <c r="BM1022" s="327"/>
      <c r="BN1022" s="326"/>
      <c r="BO1022" s="324"/>
      <c r="BP1022" s="327"/>
      <c r="BQ1022" s="327"/>
      <c r="BR1022" s="326"/>
      <c r="BT1022" s="327">
        <v>0</v>
      </c>
      <c r="BU1022" s="327">
        <v>0</v>
      </c>
      <c r="BV1022" s="326">
        <f>+BU1022+BT1022</f>
        <v>0</v>
      </c>
      <c r="BX1022" s="327">
        <v>0</v>
      </c>
      <c r="BY1022" s="599">
        <v>0</v>
      </c>
      <c r="BZ1022" s="326">
        <f t="shared" si="1556"/>
        <v>0</v>
      </c>
      <c r="CB1022" s="599">
        <v>0</v>
      </c>
      <c r="CC1022" s="599">
        <v>0</v>
      </c>
      <c r="CD1022" s="326">
        <f t="shared" si="1557"/>
        <v>0</v>
      </c>
      <c r="CF1022" s="599">
        <v>0</v>
      </c>
      <c r="CG1022" s="599">
        <v>0</v>
      </c>
      <c r="CH1022" s="326">
        <f t="shared" si="1558"/>
        <v>0</v>
      </c>
      <c r="CJ1022" s="599">
        <v>0</v>
      </c>
      <c r="CK1022" s="599">
        <v>0</v>
      </c>
      <c r="CL1022" s="326">
        <f t="shared" si="1559"/>
        <v>0</v>
      </c>
      <c r="CN1022" s="599">
        <v>0</v>
      </c>
      <c r="CO1022" s="599">
        <v>0</v>
      </c>
      <c r="CP1022" s="326">
        <f t="shared" si="1560"/>
        <v>0</v>
      </c>
      <c r="CR1022" s="599">
        <v>0</v>
      </c>
      <c r="CS1022" s="599">
        <v>0</v>
      </c>
      <c r="CT1022" s="326">
        <f t="shared" si="1561"/>
        <v>0</v>
      </c>
      <c r="CV1022" s="599">
        <v>0</v>
      </c>
      <c r="CW1022" s="599">
        <v>0</v>
      </c>
      <c r="CX1022" s="326">
        <f t="shared" si="1562"/>
        <v>0</v>
      </c>
      <c r="CZ1022" s="599">
        <v>0</v>
      </c>
      <c r="DA1022" s="599">
        <v>0</v>
      </c>
      <c r="DB1022" s="326">
        <f t="shared" si="1563"/>
        <v>0</v>
      </c>
      <c r="DD1022" s="599">
        <v>0</v>
      </c>
      <c r="DE1022" s="599">
        <v>0</v>
      </c>
      <c r="DF1022" s="326">
        <f t="shared" si="1564"/>
        <v>0</v>
      </c>
      <c r="DH1022" s="328">
        <v>0</v>
      </c>
      <c r="DI1022" s="328">
        <v>0</v>
      </c>
      <c r="DJ1022" s="326">
        <f>+DI1022+DH1022</f>
        <v>0</v>
      </c>
      <c r="DL1022" s="328">
        <v>0</v>
      </c>
      <c r="DM1022" s="328">
        <v>0</v>
      </c>
      <c r="DN1022" s="326">
        <f>+DM1022+DL1022</f>
        <v>0</v>
      </c>
      <c r="DP1022" s="328">
        <v>0</v>
      </c>
      <c r="DQ1022" s="328">
        <v>0</v>
      </c>
      <c r="DR1022" s="326">
        <f>+DQ1022+DP1022</f>
        <v>0</v>
      </c>
      <c r="DW1022" s="20"/>
      <c r="DX1022" s="20"/>
    </row>
    <row r="1023" spans="1:128" s="325" customFormat="1" ht="13.8">
      <c r="A1023" s="325" t="s">
        <v>166</v>
      </c>
      <c r="B1023" s="324"/>
      <c r="BH1023" s="327">
        <v>0</v>
      </c>
      <c r="BI1023" s="326">
        <f t="shared" si="1552"/>
        <v>0</v>
      </c>
      <c r="BJ1023" s="327">
        <v>0</v>
      </c>
      <c r="BK1023" s="324"/>
      <c r="BL1023" s="327">
        <v>0</v>
      </c>
      <c r="BM1023" s="327">
        <v>0</v>
      </c>
      <c r="BN1023" s="326">
        <f t="shared" si="1553"/>
        <v>0</v>
      </c>
      <c r="BO1023" s="324"/>
      <c r="BP1023" s="327">
        <v>0</v>
      </c>
      <c r="BQ1023" s="327">
        <v>0</v>
      </c>
      <c r="BR1023" s="326">
        <f t="shared" si="1554"/>
        <v>0</v>
      </c>
      <c r="BT1023" s="327">
        <v>0</v>
      </c>
      <c r="BU1023" s="327">
        <v>0</v>
      </c>
      <c r="BV1023" s="326">
        <f t="shared" si="1555"/>
        <v>0</v>
      </c>
      <c r="BX1023" s="599">
        <v>0</v>
      </c>
      <c r="BY1023" s="599">
        <v>0</v>
      </c>
      <c r="BZ1023" s="326">
        <f t="shared" si="1556"/>
        <v>0</v>
      </c>
      <c r="CB1023" s="599">
        <v>0</v>
      </c>
      <c r="CC1023" s="599">
        <v>0</v>
      </c>
      <c r="CD1023" s="326">
        <f t="shared" si="1557"/>
        <v>0</v>
      </c>
      <c r="CF1023" s="599">
        <v>0</v>
      </c>
      <c r="CG1023" s="599">
        <v>0</v>
      </c>
      <c r="CH1023" s="326">
        <f t="shared" si="1558"/>
        <v>0</v>
      </c>
      <c r="CJ1023" s="599">
        <v>0</v>
      </c>
      <c r="CK1023" s="599">
        <v>0</v>
      </c>
      <c r="CL1023" s="326">
        <f t="shared" si="1559"/>
        <v>0</v>
      </c>
      <c r="CN1023" s="599">
        <v>0</v>
      </c>
      <c r="CO1023" s="599">
        <v>0</v>
      </c>
      <c r="CP1023" s="326">
        <f t="shared" si="1560"/>
        <v>0</v>
      </c>
      <c r="CR1023" s="599">
        <v>0</v>
      </c>
      <c r="CS1023" s="599">
        <v>0</v>
      </c>
      <c r="CT1023" s="326">
        <f t="shared" si="1561"/>
        <v>0</v>
      </c>
      <c r="CV1023" s="599">
        <v>0</v>
      </c>
      <c r="CW1023" s="599">
        <v>0</v>
      </c>
      <c r="CX1023" s="326">
        <f t="shared" si="1562"/>
        <v>0</v>
      </c>
      <c r="CZ1023" s="599">
        <v>0</v>
      </c>
      <c r="DA1023" s="599">
        <v>0</v>
      </c>
      <c r="DB1023" s="326">
        <f t="shared" si="1563"/>
        <v>0</v>
      </c>
      <c r="DD1023" s="599">
        <v>-57</v>
      </c>
      <c r="DE1023" s="599">
        <v>-43</v>
      </c>
      <c r="DF1023" s="326">
        <f t="shared" si="1564"/>
        <v>-100</v>
      </c>
      <c r="DH1023" s="328">
        <v>0</v>
      </c>
      <c r="DI1023" s="328">
        <v>0</v>
      </c>
      <c r="DJ1023" s="326">
        <f>+DI1023+DH1023</f>
        <v>0</v>
      </c>
      <c r="DL1023" s="328">
        <v>0</v>
      </c>
      <c r="DM1023" s="328">
        <v>0</v>
      </c>
      <c r="DN1023" s="326">
        <f>+DM1023+DL1023</f>
        <v>0</v>
      </c>
      <c r="DP1023" s="328">
        <v>0</v>
      </c>
      <c r="DQ1023" s="328">
        <v>0</v>
      </c>
      <c r="DR1023" s="326">
        <f>+DQ1023+DP1023</f>
        <v>0</v>
      </c>
      <c r="DW1023" s="20"/>
      <c r="DX1023" s="20"/>
    </row>
    <row r="1024" spans="1:128" s="21" customFormat="1" ht="13.8">
      <c r="A1024" s="21" t="s">
        <v>529</v>
      </c>
      <c r="B1024" s="27"/>
      <c r="BH1024" s="72">
        <f>SUM(BH1016:BH1023)</f>
        <v>-242</v>
      </c>
      <c r="BI1024" s="72">
        <f>SUM(BI1016:BI1023)</f>
        <v>60</v>
      </c>
      <c r="BJ1024" s="72">
        <f>SUM(BJ1016:BJ1023)</f>
        <v>-182</v>
      </c>
      <c r="BK1024" s="27"/>
      <c r="BL1024" s="72">
        <f>SUM(BL1016:BL1023)</f>
        <v>-123</v>
      </c>
      <c r="BM1024" s="72">
        <f>SUM(BM1016:BM1023)</f>
        <v>277</v>
      </c>
      <c r="BN1024" s="72">
        <f>SUM(BN1016:BN1023)</f>
        <v>154</v>
      </c>
      <c r="BO1024" s="27"/>
      <c r="BP1024" s="72">
        <f>SUM(BP1016:BP1023)</f>
        <v>-170</v>
      </c>
      <c r="BQ1024" s="72">
        <f>SUM(BQ1016:BQ1023)</f>
        <v>447</v>
      </c>
      <c r="BR1024" s="72">
        <f>SUM(BR1016:BR1023)</f>
        <v>277</v>
      </c>
      <c r="BT1024" s="72">
        <f>SUM(BT1016:BT1023)</f>
        <v>-44</v>
      </c>
      <c r="BU1024" s="72">
        <f>SUM(BU1016:BU1023)</f>
        <v>-136</v>
      </c>
      <c r="BV1024" s="72">
        <f>SUM(BV1016:BV1023)</f>
        <v>-180</v>
      </c>
      <c r="BX1024" s="72">
        <f>SUM(BX1016:BX1023)</f>
        <v>-500</v>
      </c>
      <c r="BY1024" s="72">
        <f>SUM(BY1016:BY1023)</f>
        <v>-32</v>
      </c>
      <c r="BZ1024" s="72">
        <f>SUM(BZ1016:BZ1023)</f>
        <v>-532</v>
      </c>
      <c r="CB1024" s="72">
        <f>SUM(CB1016:CB1023)</f>
        <v>447</v>
      </c>
      <c r="CC1024" s="72">
        <f>SUM(CC1016:CC1023)</f>
        <v>148</v>
      </c>
      <c r="CD1024" s="72">
        <f>SUM(CD1016:CD1023)</f>
        <v>595</v>
      </c>
      <c r="CF1024" s="72">
        <f>SUM(CF1016:CF1023)</f>
        <v>-341</v>
      </c>
      <c r="CG1024" s="72">
        <f>SUM(CG1016:CG1023)</f>
        <v>133</v>
      </c>
      <c r="CH1024" s="72">
        <f>SUM(CH1016:CH1023)</f>
        <v>-208</v>
      </c>
      <c r="CJ1024" s="72">
        <f>SUM(CJ1016:CJ1023)</f>
        <v>222</v>
      </c>
      <c r="CK1024" s="72">
        <f>SUM(CK1016:CK1023)</f>
        <v>-305</v>
      </c>
      <c r="CL1024" s="72">
        <f>SUM(CL1016:CL1023)</f>
        <v>-83</v>
      </c>
      <c r="CN1024" s="72">
        <f>SUM(CN1016:CN1023)</f>
        <v>-39</v>
      </c>
      <c r="CO1024" s="72">
        <f>SUM(CO1016:CO1023)</f>
        <v>20</v>
      </c>
      <c r="CP1024" s="72">
        <f>SUM(CP1016:CP1023)</f>
        <v>-19</v>
      </c>
      <c r="CR1024" s="72">
        <f>SUM(CR1016:CR1023)</f>
        <v>422</v>
      </c>
      <c r="CS1024" s="72">
        <f>SUM(CS1016:CS1023)</f>
        <v>201</v>
      </c>
      <c r="CT1024" s="72">
        <f>SUM(CT1016:CT1023)</f>
        <v>623</v>
      </c>
      <c r="CV1024" s="72">
        <f>SUM(CV1016:CV1023)</f>
        <v>-274</v>
      </c>
      <c r="CW1024" s="72">
        <f>SUM(CW1016:CW1023)</f>
        <v>-33</v>
      </c>
      <c r="CX1024" s="72">
        <f>SUM(CX1016:CX1023)</f>
        <v>-307</v>
      </c>
      <c r="CZ1024" s="72">
        <f>SUM(CZ1016:CZ1023)</f>
        <v>-145</v>
      </c>
      <c r="DA1024" s="72">
        <f>SUM(DA1016:DA1023)</f>
        <v>-45</v>
      </c>
      <c r="DB1024" s="72">
        <f>SUM(DB1016:DB1023)</f>
        <v>-190</v>
      </c>
      <c r="DD1024" s="72">
        <f>SUM(DD1016:DD1023)</f>
        <v>74</v>
      </c>
      <c r="DE1024" s="72">
        <f>SUM(DE1016:DE1023)</f>
        <v>30</v>
      </c>
      <c r="DF1024" s="72">
        <f>SUM(DF1016:DF1023)</f>
        <v>104</v>
      </c>
      <c r="DH1024" s="72">
        <f>SUM(DH1016:DH1023)</f>
        <v>0</v>
      </c>
      <c r="DI1024" s="72">
        <f>SUM(DI1016:DI1023)</f>
        <v>0</v>
      </c>
      <c r="DJ1024" s="72">
        <f>SUM(DJ1016:DJ1023)</f>
        <v>0</v>
      </c>
      <c r="DL1024" s="72">
        <f>SUM(DL1016:DL1023)</f>
        <v>0</v>
      </c>
      <c r="DM1024" s="72">
        <f>SUM(DM1016:DM1023)</f>
        <v>0</v>
      </c>
      <c r="DN1024" s="72">
        <f>SUM(DN1016:DN1023)</f>
        <v>0</v>
      </c>
      <c r="DP1024" s="72">
        <f>SUM(DP1016:DP1023)</f>
        <v>0</v>
      </c>
      <c r="DQ1024" s="72">
        <f>SUM(DQ1016:DQ1023)</f>
        <v>0</v>
      </c>
      <c r="DR1024" s="72">
        <f>SUM(DR1016:DR1023)</f>
        <v>0</v>
      </c>
      <c r="DW1024" s="20"/>
      <c r="DX1024" s="20"/>
    </row>
    <row r="1025" spans="1:128" s="20" customFormat="1" ht="13.8">
      <c r="B1025" s="49"/>
      <c r="BH1025" s="49"/>
      <c r="BI1025" s="49"/>
      <c r="BJ1025" s="49"/>
      <c r="BK1025" s="49"/>
      <c r="BL1025" s="49"/>
      <c r="BM1025" s="49"/>
      <c r="BN1025" s="49"/>
      <c r="BO1025" s="49"/>
      <c r="BP1025" s="49"/>
      <c r="BQ1025" s="49"/>
      <c r="BR1025" s="49"/>
      <c r="BT1025" s="49"/>
      <c r="BX1025" s="49"/>
      <c r="CB1025" s="49"/>
    </row>
    <row r="1026" spans="1:128" s="20" customFormat="1" ht="13.8">
      <c r="A1026" s="21" t="s">
        <v>703</v>
      </c>
      <c r="B1026" s="49"/>
      <c r="BH1026" s="65"/>
      <c r="BI1026" s="65"/>
      <c r="BJ1026" s="65"/>
      <c r="BK1026" s="49"/>
      <c r="BL1026" s="65"/>
      <c r="BM1026" s="65"/>
      <c r="BN1026" s="65"/>
      <c r="BO1026" s="49"/>
      <c r="BP1026" s="65"/>
      <c r="BQ1026" s="65"/>
      <c r="BR1026" s="65"/>
      <c r="BT1026" s="65"/>
      <c r="BX1026" s="65"/>
      <c r="CB1026" s="65"/>
      <c r="CF1026" s="49"/>
      <c r="CJ1026" s="49"/>
      <c r="CN1026" s="49"/>
      <c r="CR1026" s="49"/>
      <c r="CV1026" s="49"/>
      <c r="CZ1026" s="49"/>
      <c r="DD1026" s="49"/>
      <c r="DH1026" s="49"/>
      <c r="DL1026" s="49"/>
      <c r="DP1026" s="49"/>
    </row>
    <row r="1027" spans="1:128" s="325" customFormat="1" ht="13.8">
      <c r="A1027" s="325" t="s">
        <v>703</v>
      </c>
      <c r="B1027" s="324"/>
      <c r="BD1027" s="327"/>
      <c r="BE1027" s="327"/>
      <c r="BF1027" s="326"/>
      <c r="BH1027" s="327">
        <v>-5</v>
      </c>
      <c r="BI1027" s="327">
        <v>-5</v>
      </c>
      <c r="BJ1027" s="326">
        <f>+BI1027+BH1027</f>
        <v>-10</v>
      </c>
      <c r="BK1027" s="324"/>
      <c r="BL1027" s="327">
        <v>-6</v>
      </c>
      <c r="BM1027" s="327">
        <v>-6</v>
      </c>
      <c r="BN1027" s="326">
        <f>+BM1027+BL1027</f>
        <v>-12</v>
      </c>
      <c r="BO1027" s="324"/>
      <c r="BP1027" s="327">
        <v>-8</v>
      </c>
      <c r="BQ1027" s="327">
        <v>-6</v>
      </c>
      <c r="BR1027" s="326">
        <f>+BQ1027+BP1027</f>
        <v>-14</v>
      </c>
      <c r="BT1027" s="327">
        <v>-4</v>
      </c>
      <c r="BU1027" s="328">
        <v>-7</v>
      </c>
      <c r="BV1027" s="326">
        <f>+BU1027+BT1027</f>
        <v>-11</v>
      </c>
      <c r="BX1027" s="327">
        <v>-8</v>
      </c>
      <c r="BY1027" s="599">
        <f>-15-BX1027</f>
        <v>-7</v>
      </c>
      <c r="BZ1027" s="326">
        <f>+BY1027+BX1027</f>
        <v>-15</v>
      </c>
      <c r="CB1027" s="599">
        <v>-7</v>
      </c>
      <c r="CC1027" s="599">
        <v>-9</v>
      </c>
      <c r="CD1027" s="326">
        <f>+CC1027+CB1027</f>
        <v>-16</v>
      </c>
      <c r="CF1027" s="599">
        <v>-9</v>
      </c>
      <c r="CG1027" s="599">
        <v>-6</v>
      </c>
      <c r="CH1027" s="326">
        <f>+CG1027+CF1027</f>
        <v>-15</v>
      </c>
      <c r="CJ1027" s="599">
        <v>-1</v>
      </c>
      <c r="CK1027" s="599">
        <v>0</v>
      </c>
      <c r="CL1027" s="326">
        <f>+CK1027+CJ1027</f>
        <v>-1</v>
      </c>
      <c r="CN1027" s="599">
        <v>0</v>
      </c>
      <c r="CO1027" s="599">
        <v>0</v>
      </c>
      <c r="CP1027" s="326">
        <f>+CO1027+CN1027</f>
        <v>0</v>
      </c>
      <c r="CR1027" s="599">
        <v>0</v>
      </c>
      <c r="CS1027" s="599">
        <v>0</v>
      </c>
      <c r="CT1027" s="326">
        <f>+CS1027+CR1027</f>
        <v>0</v>
      </c>
      <c r="CV1027" s="599">
        <v>-14</v>
      </c>
      <c r="CW1027" s="599">
        <v>-14</v>
      </c>
      <c r="CX1027" s="326">
        <f>+CW1027+CV1027</f>
        <v>-28</v>
      </c>
      <c r="CZ1027" s="599">
        <v>-14</v>
      </c>
      <c r="DA1027" s="599">
        <v>-21</v>
      </c>
      <c r="DB1027" s="326">
        <f>+DA1027+CZ1027</f>
        <v>-35</v>
      </c>
      <c r="DD1027" s="599">
        <v>-21</v>
      </c>
      <c r="DE1027" s="599">
        <v>-20</v>
      </c>
      <c r="DF1027" s="326">
        <f>+DE1027+DD1027</f>
        <v>-41</v>
      </c>
      <c r="DH1027" s="328">
        <f>DE1027</f>
        <v>-20</v>
      </c>
      <c r="DI1027" s="328">
        <f>DH1027</f>
        <v>-20</v>
      </c>
      <c r="DJ1027" s="326">
        <f>+DI1027+DH1027</f>
        <v>-40</v>
      </c>
      <c r="DL1027" s="328">
        <f>DI1027</f>
        <v>-20</v>
      </c>
      <c r="DM1027" s="328">
        <f>DL1027</f>
        <v>-20</v>
      </c>
      <c r="DN1027" s="326">
        <f>+DM1027+DL1027</f>
        <v>-40</v>
      </c>
      <c r="DP1027" s="328">
        <f>DM1027</f>
        <v>-20</v>
      </c>
      <c r="DQ1027" s="328">
        <f>DP1027</f>
        <v>-20</v>
      </c>
      <c r="DR1027" s="326">
        <f>+DQ1027+DP1027</f>
        <v>-40</v>
      </c>
      <c r="DW1027" s="20"/>
      <c r="DX1027" s="20"/>
    </row>
    <row r="1028" spans="1:128" s="20" customFormat="1" ht="13.8">
      <c r="B1028" s="49"/>
      <c r="BD1028" s="67"/>
      <c r="BE1028" s="67"/>
      <c r="BF1028" s="65"/>
      <c r="BH1028" s="67"/>
      <c r="BI1028" s="67"/>
      <c r="BJ1028" s="65"/>
      <c r="BK1028" s="49"/>
      <c r="BL1028" s="67"/>
      <c r="BM1028" s="67"/>
      <c r="BN1028" s="65"/>
      <c r="BO1028" s="49"/>
      <c r="BP1028" s="67"/>
      <c r="BQ1028" s="67"/>
      <c r="BR1028" s="65"/>
      <c r="BT1028" s="67"/>
      <c r="BU1028" s="781"/>
      <c r="BV1028" s="65"/>
      <c r="BX1028" s="67"/>
      <c r="BY1028" s="67"/>
      <c r="BZ1028" s="65"/>
      <c r="CB1028" s="67"/>
      <c r="CC1028" s="67"/>
      <c r="CD1028" s="65"/>
      <c r="CF1028" s="67"/>
      <c r="CG1028" s="67"/>
      <c r="CH1028" s="65"/>
      <c r="CJ1028" s="67"/>
      <c r="CK1028" s="67"/>
      <c r="CL1028" s="65"/>
      <c r="CN1028" s="67"/>
      <c r="CO1028" s="67"/>
      <c r="CP1028" s="65"/>
      <c r="CR1028" s="67"/>
      <c r="CS1028" s="67"/>
      <c r="CT1028" s="65"/>
      <c r="CV1028" s="67"/>
      <c r="CW1028" s="67"/>
      <c r="CX1028" s="65"/>
      <c r="CZ1028" s="67"/>
      <c r="DA1028" s="67"/>
      <c r="DB1028" s="65"/>
      <c r="DD1028" s="67"/>
      <c r="DE1028" s="67"/>
      <c r="DF1028" s="65"/>
      <c r="DH1028" s="781"/>
      <c r="DI1028" s="781"/>
      <c r="DJ1028" s="65"/>
      <c r="DL1028" s="781"/>
      <c r="DM1028" s="781"/>
      <c r="DN1028" s="65"/>
      <c r="DP1028" s="781"/>
      <c r="DQ1028" s="781"/>
      <c r="DR1028" s="65"/>
    </row>
    <row r="1029" spans="1:128" s="20" customFormat="1" ht="13.8">
      <c r="A1029" s="21" t="s">
        <v>948</v>
      </c>
      <c r="B1029" s="49"/>
      <c r="BD1029" s="67"/>
      <c r="BE1029" s="67"/>
      <c r="BF1029" s="65"/>
      <c r="BH1029" s="67"/>
      <c r="BI1029" s="67"/>
      <c r="BJ1029" s="65"/>
      <c r="BK1029" s="49"/>
      <c r="BL1029" s="67"/>
      <c r="BM1029" s="67"/>
      <c r="BN1029" s="65"/>
      <c r="BO1029" s="49"/>
      <c r="BP1029" s="67"/>
      <c r="BQ1029" s="67"/>
      <c r="BR1029" s="65"/>
      <c r="BT1029" s="67"/>
      <c r="BU1029" s="781"/>
      <c r="BV1029" s="65"/>
      <c r="BX1029" s="67"/>
      <c r="BY1029" s="67"/>
      <c r="BZ1029" s="65"/>
      <c r="CB1029" s="67"/>
      <c r="CC1029" s="67"/>
      <c r="CD1029" s="65"/>
      <c r="CF1029" s="67"/>
      <c r="CG1029" s="67"/>
      <c r="CH1029" s="65"/>
      <c r="CJ1029" s="67"/>
      <c r="CK1029" s="67"/>
      <c r="CL1029" s="65"/>
      <c r="CN1029" s="67"/>
      <c r="CO1029" s="67"/>
      <c r="CP1029" s="65"/>
      <c r="CR1029" s="67"/>
      <c r="CS1029" s="67"/>
      <c r="CT1029" s="65"/>
      <c r="CV1029" s="67"/>
      <c r="CW1029" s="67"/>
      <c r="CX1029" s="65"/>
      <c r="CZ1029" s="67"/>
      <c r="DA1029" s="67"/>
      <c r="DB1029" s="65"/>
      <c r="DD1029" s="67"/>
      <c r="DE1029" s="67"/>
      <c r="DF1029" s="65"/>
      <c r="DH1029" s="781"/>
      <c r="DI1029" s="781"/>
      <c r="DJ1029" s="65"/>
      <c r="DL1029" s="781"/>
      <c r="DM1029" s="781"/>
      <c r="DN1029" s="65"/>
      <c r="DP1029" s="781"/>
      <c r="DQ1029" s="781"/>
      <c r="DR1029" s="65"/>
    </row>
    <row r="1030" spans="1:128" s="20" customFormat="1" ht="13.8">
      <c r="A1030" s="533" t="s">
        <v>922</v>
      </c>
      <c r="B1030" s="547"/>
      <c r="C1030" s="533"/>
      <c r="D1030" s="533"/>
      <c r="E1030" s="533"/>
      <c r="F1030" s="533"/>
      <c r="G1030" s="533"/>
      <c r="H1030" s="533"/>
      <c r="I1030" s="533"/>
      <c r="J1030" s="533"/>
      <c r="K1030" s="533"/>
      <c r="L1030" s="533"/>
      <c r="M1030" s="533"/>
      <c r="N1030" s="533"/>
      <c r="O1030" s="533"/>
      <c r="P1030" s="533"/>
      <c r="Q1030" s="533"/>
      <c r="R1030" s="533"/>
      <c r="S1030" s="533"/>
      <c r="T1030" s="533"/>
      <c r="U1030" s="533"/>
      <c r="V1030" s="533"/>
      <c r="W1030" s="533"/>
      <c r="X1030" s="533"/>
      <c r="Y1030" s="533"/>
      <c r="Z1030" s="533"/>
      <c r="AA1030" s="533"/>
      <c r="AB1030" s="533"/>
      <c r="AC1030" s="533"/>
      <c r="AD1030" s="533"/>
      <c r="AE1030" s="533"/>
      <c r="AF1030" s="533"/>
      <c r="AG1030" s="533"/>
      <c r="AH1030" s="533"/>
      <c r="AI1030" s="533"/>
      <c r="AJ1030" s="533"/>
      <c r="AK1030" s="533"/>
      <c r="AL1030" s="533"/>
      <c r="AM1030" s="533"/>
      <c r="AN1030" s="533"/>
      <c r="AO1030" s="533"/>
      <c r="AP1030" s="533"/>
      <c r="AQ1030" s="533"/>
      <c r="AR1030" s="533"/>
      <c r="AS1030" s="533"/>
      <c r="AT1030" s="533"/>
      <c r="AU1030" s="533"/>
      <c r="AV1030" s="533"/>
      <c r="AW1030" s="533"/>
      <c r="AX1030" s="533"/>
      <c r="AY1030" s="533"/>
      <c r="AZ1030" s="533"/>
      <c r="BA1030" s="533"/>
      <c r="BB1030" s="533"/>
      <c r="BC1030" s="533"/>
      <c r="BD1030" s="533"/>
      <c r="BE1030" s="533"/>
      <c r="BF1030" s="533"/>
      <c r="BG1030" s="533"/>
      <c r="BH1030" s="576"/>
      <c r="BI1030" s="576"/>
      <c r="BJ1030" s="576"/>
      <c r="BK1030" s="547"/>
      <c r="BL1030" s="576"/>
      <c r="BM1030" s="576"/>
      <c r="BN1030" s="576"/>
      <c r="BO1030" s="547"/>
      <c r="BP1030" s="576"/>
      <c r="BQ1030" s="576"/>
      <c r="BR1030" s="576"/>
      <c r="BS1030" s="533"/>
      <c r="BT1030" s="576"/>
      <c r="BU1030" s="576"/>
      <c r="BV1030" s="576"/>
      <c r="BW1030" s="533"/>
      <c r="BX1030" s="327">
        <f>(3411-3355)</f>
        <v>56</v>
      </c>
      <c r="BY1030" s="327">
        <f>(3527-3454)</f>
        <v>73</v>
      </c>
      <c r="BZ1030" s="326">
        <f>+BY1030+BX1030</f>
        <v>129</v>
      </c>
      <c r="CA1030" s="533"/>
      <c r="CB1030" s="326">
        <f ca="1">CB1036-CB1033-CB1034-CB1035-CB1031-CB1032</f>
        <v>49</v>
      </c>
      <c r="CC1030" s="326">
        <f>CC1036-CC1033-CC1034-CC1035-CC1031-CC1032</f>
        <v>32</v>
      </c>
      <c r="CD1030" s="326">
        <f ca="1">+CC1030+CB1030</f>
        <v>81</v>
      </c>
      <c r="CE1030" s="533"/>
      <c r="CF1030" s="326">
        <f>CF1036-CF1033-CF1034-CF1035-CF1031-CF1032</f>
        <v>-17.5</v>
      </c>
      <c r="CG1030" s="326">
        <f>CG1036-CG1033-CG1034-CG1035-CG1031-CG1032</f>
        <v>-119</v>
      </c>
      <c r="CH1030" s="326">
        <f>+CG1030+CF1030</f>
        <v>-136.5</v>
      </c>
      <c r="CI1030" s="533"/>
      <c r="CJ1030" s="326">
        <f>CJ1036-CJ1033-CJ1034-CJ1035-CJ1031-CJ1032</f>
        <v>4</v>
      </c>
      <c r="CK1030" s="326">
        <f>CK1036-CK1033-CK1034-CK1035-CK1031-CK1032</f>
        <v>-4</v>
      </c>
      <c r="CL1030" s="326">
        <f>+CK1030+CJ1030</f>
        <v>0</v>
      </c>
      <c r="CM1030" s="533"/>
      <c r="CN1030" s="326">
        <f>CN1036-CN1033-CN1034-CN1035-CN1031-CN1032</f>
        <v>-7</v>
      </c>
      <c r="CO1030" s="326">
        <f>CO1036-CO1033-CO1034-CO1035-CO1031-CO1032</f>
        <v>-9</v>
      </c>
      <c r="CP1030" s="326">
        <f>+CO1030+CN1030</f>
        <v>-16</v>
      </c>
      <c r="CQ1030" s="533"/>
      <c r="CR1030" s="326">
        <f>CR1036-CR1033-CR1034-CR1035-CR1031-CR1032</f>
        <v>-5</v>
      </c>
      <c r="CS1030" s="326">
        <f>CS1036-CS1033-CS1034-CS1035-CS1031-CS1032</f>
        <v>-14</v>
      </c>
      <c r="CT1030" s="326">
        <f>+CS1030+CR1030</f>
        <v>-19</v>
      </c>
      <c r="CU1030" s="533"/>
      <c r="CV1030" s="326">
        <f>CV1036-CV1033-CV1034-CV1035-CV1031-CV1032</f>
        <v>0</v>
      </c>
      <c r="CW1030" s="326">
        <f>CW1036-CW1033-CW1034-CW1035-CW1031-CW1032</f>
        <v>0</v>
      </c>
      <c r="CX1030" s="326">
        <f>+CW1030+CV1030</f>
        <v>0</v>
      </c>
      <c r="CY1030" s="533"/>
      <c r="CZ1030" s="326">
        <f>CZ1036-CZ1033-CZ1034-CZ1035-CZ1031-CZ1032</f>
        <v>0</v>
      </c>
      <c r="DA1030" s="326">
        <f>DA1036-DA1033-DA1034-DA1035-DA1031-DA1032</f>
        <v>0</v>
      </c>
      <c r="DB1030" s="326">
        <f>+DA1030+CZ1030</f>
        <v>0</v>
      </c>
      <c r="DC1030" s="533"/>
      <c r="DD1030" s="326">
        <f>DD1036-DD1033-DD1034-DD1035-DD1031-DD1032</f>
        <v>0</v>
      </c>
      <c r="DE1030" s="326">
        <f>DE1036-DE1033-DE1034-DE1035-DE1031-DE1032</f>
        <v>0</v>
      </c>
      <c r="DF1030" s="326">
        <f>+DE1030+DD1030</f>
        <v>0</v>
      </c>
      <c r="DG1030" s="533"/>
      <c r="DH1030" s="327">
        <v>0</v>
      </c>
      <c r="DI1030" s="327">
        <v>0</v>
      </c>
      <c r="DJ1030" s="326">
        <f t="shared" ref="DJ1030:DJ1036" si="1568">+DI1030+DH1030</f>
        <v>0</v>
      </c>
      <c r="DK1030" s="533"/>
      <c r="DL1030" s="327">
        <v>0</v>
      </c>
      <c r="DM1030" s="327">
        <v>0</v>
      </c>
      <c r="DN1030" s="326">
        <f t="shared" ref="DN1030:DN1036" si="1569">+DM1030+DL1030</f>
        <v>0</v>
      </c>
      <c r="DO1030" s="533"/>
      <c r="DP1030" s="327">
        <v>0</v>
      </c>
      <c r="DQ1030" s="327">
        <v>0</v>
      </c>
      <c r="DR1030" s="326">
        <f t="shared" ref="DR1030:DR1036" si="1570">+DQ1030+DP1030</f>
        <v>0</v>
      </c>
      <c r="DS1030" s="533"/>
      <c r="DT1030" s="533"/>
      <c r="DU1030" s="533"/>
    </row>
    <row r="1031" spans="1:128" s="20" customFormat="1" ht="13.8">
      <c r="A1031" s="533" t="s">
        <v>966</v>
      </c>
      <c r="B1031" s="547"/>
      <c r="C1031" s="533"/>
      <c r="D1031" s="533"/>
      <c r="E1031" s="533"/>
      <c r="F1031" s="533"/>
      <c r="G1031" s="533"/>
      <c r="H1031" s="533"/>
      <c r="I1031" s="533"/>
      <c r="J1031" s="533"/>
      <c r="K1031" s="533"/>
      <c r="L1031" s="533"/>
      <c r="M1031" s="533"/>
      <c r="N1031" s="533"/>
      <c r="O1031" s="533"/>
      <c r="P1031" s="533"/>
      <c r="Q1031" s="533"/>
      <c r="R1031" s="533"/>
      <c r="S1031" s="533"/>
      <c r="T1031" s="533"/>
      <c r="U1031" s="533"/>
      <c r="V1031" s="533"/>
      <c r="W1031" s="533"/>
      <c r="X1031" s="533"/>
      <c r="Y1031" s="533"/>
      <c r="Z1031" s="533"/>
      <c r="AA1031" s="533"/>
      <c r="AB1031" s="533"/>
      <c r="AC1031" s="533"/>
      <c r="AD1031" s="533"/>
      <c r="AE1031" s="533"/>
      <c r="AF1031" s="533"/>
      <c r="AG1031" s="533"/>
      <c r="AH1031" s="533"/>
      <c r="AI1031" s="533"/>
      <c r="AJ1031" s="533"/>
      <c r="AK1031" s="533"/>
      <c r="AL1031" s="533"/>
      <c r="AM1031" s="533"/>
      <c r="AN1031" s="533"/>
      <c r="AO1031" s="533"/>
      <c r="AP1031" s="533"/>
      <c r="AQ1031" s="533"/>
      <c r="AR1031" s="533"/>
      <c r="AS1031" s="533"/>
      <c r="AT1031" s="533"/>
      <c r="AU1031" s="533"/>
      <c r="AV1031" s="533"/>
      <c r="AW1031" s="533"/>
      <c r="AX1031" s="533"/>
      <c r="AY1031" s="533"/>
      <c r="AZ1031" s="533"/>
      <c r="BA1031" s="533"/>
      <c r="BB1031" s="533"/>
      <c r="BC1031" s="533"/>
      <c r="BD1031" s="533"/>
      <c r="BE1031" s="533"/>
      <c r="BF1031" s="533"/>
      <c r="BG1031" s="533"/>
      <c r="BH1031" s="576"/>
      <c r="BI1031" s="576"/>
      <c r="BJ1031" s="576"/>
      <c r="BK1031" s="547"/>
      <c r="BL1031" s="576"/>
      <c r="BM1031" s="576"/>
      <c r="BN1031" s="576"/>
      <c r="BO1031" s="547"/>
      <c r="BP1031" s="576"/>
      <c r="BQ1031" s="576"/>
      <c r="BR1031" s="576"/>
      <c r="BS1031" s="533"/>
      <c r="BT1031" s="576"/>
      <c r="BU1031" s="576"/>
      <c r="BV1031" s="576"/>
      <c r="BW1031" s="533"/>
      <c r="BX1031" s="327"/>
      <c r="BY1031" s="327"/>
      <c r="BZ1031" s="326"/>
      <c r="CA1031" s="533"/>
      <c r="CB1031" s="326">
        <f>-CB1016</f>
        <v>-23</v>
      </c>
      <c r="CC1031" s="326">
        <f>-CC1016</f>
        <v>30</v>
      </c>
      <c r="CD1031" s="326">
        <f>+CC1031+CB1031</f>
        <v>7</v>
      </c>
      <c r="CE1031" s="533"/>
      <c r="CF1031" s="326">
        <f>-CF1016</f>
        <v>-18</v>
      </c>
      <c r="CG1031" s="326">
        <f>-CG1016</f>
        <v>7</v>
      </c>
      <c r="CH1031" s="326">
        <f>+CG1031+CF1031</f>
        <v>-11</v>
      </c>
      <c r="CI1031" s="533"/>
      <c r="CJ1031" s="326">
        <f>-CJ1016</f>
        <v>0</v>
      </c>
      <c r="CK1031" s="583">
        <f>-CK1016</f>
        <v>0</v>
      </c>
      <c r="CL1031" s="326">
        <f>+CK1031+CJ1031</f>
        <v>0</v>
      </c>
      <c r="CM1031" s="533"/>
      <c r="CN1031" s="326">
        <f>-CN1016</f>
        <v>0</v>
      </c>
      <c r="CO1031" s="583">
        <f>-CO1016</f>
        <v>0</v>
      </c>
      <c r="CP1031" s="326">
        <f>+CO1031+CN1031</f>
        <v>0</v>
      </c>
      <c r="CQ1031" s="533"/>
      <c r="CR1031" s="326">
        <f>-CR1016</f>
        <v>0</v>
      </c>
      <c r="CS1031" s="583">
        <f>-CS1016</f>
        <v>0</v>
      </c>
      <c r="CT1031" s="326">
        <f>+CS1031+CR1031</f>
        <v>0</v>
      </c>
      <c r="CU1031" s="533"/>
      <c r="CV1031" s="326">
        <v>0</v>
      </c>
      <c r="CW1031" s="583">
        <f>-CW1016</f>
        <v>0</v>
      </c>
      <c r="CX1031" s="326">
        <f>+CW1031+CV1031</f>
        <v>0</v>
      </c>
      <c r="CY1031" s="533"/>
      <c r="CZ1031" s="326">
        <v>0</v>
      </c>
      <c r="DA1031" s="583">
        <f>-DA1016</f>
        <v>0</v>
      </c>
      <c r="DB1031" s="326">
        <f>+DA1031+CZ1031</f>
        <v>0</v>
      </c>
      <c r="DC1031" s="533"/>
      <c r="DD1031" s="326">
        <v>0</v>
      </c>
      <c r="DE1031" s="583">
        <f>-DE1016</f>
        <v>0</v>
      </c>
      <c r="DF1031" s="326">
        <f>+DE1031+DD1031</f>
        <v>0</v>
      </c>
      <c r="DG1031" s="533"/>
      <c r="DH1031" s="326">
        <f>-DH1016</f>
        <v>0</v>
      </c>
      <c r="DI1031" s="326">
        <f>-DI1016</f>
        <v>0</v>
      </c>
      <c r="DJ1031" s="326">
        <f t="shared" si="1568"/>
        <v>0</v>
      </c>
      <c r="DK1031" s="533"/>
      <c r="DL1031" s="326">
        <f>-DL1016</f>
        <v>0</v>
      </c>
      <c r="DM1031" s="326">
        <f>-DM1016</f>
        <v>0</v>
      </c>
      <c r="DN1031" s="326">
        <f t="shared" si="1569"/>
        <v>0</v>
      </c>
      <c r="DO1031" s="533"/>
      <c r="DP1031" s="326">
        <f>-DP1016</f>
        <v>0</v>
      </c>
      <c r="DQ1031" s="326">
        <f>-DQ1016</f>
        <v>0</v>
      </c>
      <c r="DR1031" s="326">
        <f t="shared" si="1570"/>
        <v>0</v>
      </c>
      <c r="DS1031" s="533"/>
      <c r="DT1031" s="533"/>
      <c r="DU1031" s="533"/>
    </row>
    <row r="1032" spans="1:128" s="20" customFormat="1" ht="13.8">
      <c r="A1032" s="533" t="s">
        <v>460</v>
      </c>
      <c r="B1032" s="547"/>
      <c r="C1032" s="533"/>
      <c r="D1032" s="533"/>
      <c r="E1032" s="533"/>
      <c r="F1032" s="533"/>
      <c r="G1032" s="533"/>
      <c r="H1032" s="533"/>
      <c r="I1032" s="533"/>
      <c r="J1032" s="533"/>
      <c r="K1032" s="533"/>
      <c r="L1032" s="533"/>
      <c r="M1032" s="533"/>
      <c r="N1032" s="533"/>
      <c r="O1032" s="533"/>
      <c r="P1032" s="533"/>
      <c r="Q1032" s="533"/>
      <c r="R1032" s="533"/>
      <c r="S1032" s="533"/>
      <c r="T1032" s="533"/>
      <c r="U1032" s="533"/>
      <c r="V1032" s="533"/>
      <c r="W1032" s="533"/>
      <c r="X1032" s="533"/>
      <c r="Y1032" s="533"/>
      <c r="Z1032" s="533"/>
      <c r="AA1032" s="533"/>
      <c r="AB1032" s="533"/>
      <c r="AC1032" s="533"/>
      <c r="AD1032" s="533"/>
      <c r="AE1032" s="533"/>
      <c r="AF1032" s="533"/>
      <c r="AG1032" s="533"/>
      <c r="AH1032" s="533"/>
      <c r="AI1032" s="533"/>
      <c r="AJ1032" s="533"/>
      <c r="AK1032" s="533"/>
      <c r="AL1032" s="533"/>
      <c r="AM1032" s="533"/>
      <c r="AN1032" s="533"/>
      <c r="AO1032" s="533"/>
      <c r="AP1032" s="533"/>
      <c r="AQ1032" s="533"/>
      <c r="AR1032" s="533"/>
      <c r="AS1032" s="533"/>
      <c r="AT1032" s="533"/>
      <c r="AU1032" s="533"/>
      <c r="AV1032" s="533"/>
      <c r="AW1032" s="533"/>
      <c r="AX1032" s="533"/>
      <c r="AY1032" s="533"/>
      <c r="AZ1032" s="533"/>
      <c r="BA1032" s="533"/>
      <c r="BB1032" s="533"/>
      <c r="BC1032" s="533"/>
      <c r="BD1032" s="533"/>
      <c r="BE1032" s="533"/>
      <c r="BF1032" s="533"/>
      <c r="BG1032" s="533"/>
      <c r="BH1032" s="576"/>
      <c r="BI1032" s="576"/>
      <c r="BJ1032" s="576"/>
      <c r="BK1032" s="547"/>
      <c r="BL1032" s="576"/>
      <c r="BM1032" s="576"/>
      <c r="BN1032" s="576"/>
      <c r="BO1032" s="547"/>
      <c r="BP1032" s="576"/>
      <c r="BQ1032" s="576"/>
      <c r="BR1032" s="576"/>
      <c r="BS1032" s="533"/>
      <c r="BT1032" s="576"/>
      <c r="BU1032" s="576"/>
      <c r="BV1032" s="576"/>
      <c r="BW1032" s="533"/>
      <c r="BX1032" s="327"/>
      <c r="BY1032" s="327"/>
      <c r="BZ1032" s="326"/>
      <c r="CA1032" s="533"/>
      <c r="CB1032" s="327">
        <v>6</v>
      </c>
      <c r="CC1032" s="327">
        <v>0</v>
      </c>
      <c r="CD1032" s="326">
        <f>+CC1032+CB1032</f>
        <v>6</v>
      </c>
      <c r="CE1032" s="533"/>
      <c r="CF1032" s="327">
        <v>38</v>
      </c>
      <c r="CG1032" s="327">
        <v>7</v>
      </c>
      <c r="CH1032" s="326">
        <f>+CG1032+CF1032</f>
        <v>45</v>
      </c>
      <c r="CI1032" s="533"/>
      <c r="CJ1032" s="327">
        <v>0</v>
      </c>
      <c r="CK1032" s="599">
        <v>0</v>
      </c>
      <c r="CL1032" s="326">
        <f>+CK1032+CJ1032</f>
        <v>0</v>
      </c>
      <c r="CM1032" s="533"/>
      <c r="CN1032" s="327">
        <v>0</v>
      </c>
      <c r="CO1032" s="599">
        <v>0</v>
      </c>
      <c r="CP1032" s="326">
        <f>+CO1032+CN1032</f>
        <v>0</v>
      </c>
      <c r="CQ1032" s="533"/>
      <c r="CR1032" s="327">
        <v>0</v>
      </c>
      <c r="CS1032" s="599">
        <v>0</v>
      </c>
      <c r="CT1032" s="326">
        <f>+CS1032+CR1032</f>
        <v>0</v>
      </c>
      <c r="CU1032" s="533"/>
      <c r="CV1032" s="327">
        <v>0</v>
      </c>
      <c r="CW1032" s="599">
        <v>0</v>
      </c>
      <c r="CX1032" s="326">
        <f>+CW1032+CV1032</f>
        <v>0</v>
      </c>
      <c r="CY1032" s="533"/>
      <c r="CZ1032" s="327">
        <v>0</v>
      </c>
      <c r="DA1032" s="599">
        <v>0</v>
      </c>
      <c r="DB1032" s="326">
        <f>+DA1032+CZ1032</f>
        <v>0</v>
      </c>
      <c r="DC1032" s="533"/>
      <c r="DD1032" s="327">
        <v>0</v>
      </c>
      <c r="DE1032" s="599">
        <v>0</v>
      </c>
      <c r="DF1032" s="326">
        <f>+DE1032+DD1032</f>
        <v>0</v>
      </c>
      <c r="DG1032" s="533"/>
      <c r="DH1032" s="327">
        <v>0</v>
      </c>
      <c r="DI1032" s="327">
        <v>0</v>
      </c>
      <c r="DJ1032" s="326">
        <f t="shared" si="1568"/>
        <v>0</v>
      </c>
      <c r="DK1032" s="533"/>
      <c r="DL1032" s="327">
        <v>0</v>
      </c>
      <c r="DM1032" s="327">
        <v>0</v>
      </c>
      <c r="DN1032" s="326">
        <f t="shared" si="1569"/>
        <v>0</v>
      </c>
      <c r="DO1032" s="533"/>
      <c r="DP1032" s="327">
        <v>0</v>
      </c>
      <c r="DQ1032" s="327">
        <v>0</v>
      </c>
      <c r="DR1032" s="326">
        <f t="shared" si="1570"/>
        <v>0</v>
      </c>
      <c r="DS1032" s="533"/>
      <c r="DT1032" s="533"/>
      <c r="DU1032" s="533"/>
    </row>
    <row r="1033" spans="1:128" s="20" customFormat="1" ht="13.8">
      <c r="A1033" s="533" t="s">
        <v>894</v>
      </c>
      <c r="B1033" s="547"/>
      <c r="C1033" s="533"/>
      <c r="D1033" s="533"/>
      <c r="E1033" s="533"/>
      <c r="F1033" s="533"/>
      <c r="G1033" s="533"/>
      <c r="H1033" s="533"/>
      <c r="I1033" s="533"/>
      <c r="J1033" s="533"/>
      <c r="K1033" s="533"/>
      <c r="L1033" s="533"/>
      <c r="M1033" s="533"/>
      <c r="N1033" s="533"/>
      <c r="O1033" s="533"/>
      <c r="P1033" s="533"/>
      <c r="Q1033" s="533"/>
      <c r="R1033" s="533"/>
      <c r="S1033" s="533"/>
      <c r="T1033" s="533"/>
      <c r="U1033" s="533"/>
      <c r="V1033" s="533"/>
      <c r="W1033" s="533"/>
      <c r="X1033" s="533"/>
      <c r="Y1033" s="533"/>
      <c r="Z1033" s="533"/>
      <c r="AA1033" s="533"/>
      <c r="AB1033" s="533"/>
      <c r="AC1033" s="533"/>
      <c r="AD1033" s="533"/>
      <c r="AE1033" s="533"/>
      <c r="AF1033" s="533"/>
      <c r="AG1033" s="533"/>
      <c r="AH1033" s="533"/>
      <c r="AI1033" s="533"/>
      <c r="AJ1033" s="533"/>
      <c r="AK1033" s="533"/>
      <c r="AL1033" s="533"/>
      <c r="AM1033" s="533"/>
      <c r="AN1033" s="533"/>
      <c r="AO1033" s="533"/>
      <c r="AP1033" s="533"/>
      <c r="AQ1033" s="533"/>
      <c r="AR1033" s="533"/>
      <c r="AS1033" s="533"/>
      <c r="AT1033" s="533"/>
      <c r="AU1033" s="533"/>
      <c r="AV1033" s="533"/>
      <c r="AW1033" s="533"/>
      <c r="AX1033" s="533"/>
      <c r="AY1033" s="533"/>
      <c r="AZ1033" s="533"/>
      <c r="BA1033" s="533"/>
      <c r="BB1033" s="533"/>
      <c r="BC1033" s="533"/>
      <c r="BD1033" s="533"/>
      <c r="BE1033" s="533"/>
      <c r="BF1033" s="533"/>
      <c r="BG1033" s="533"/>
      <c r="BH1033" s="576"/>
      <c r="BI1033" s="576"/>
      <c r="BJ1033" s="576"/>
      <c r="BK1033" s="547"/>
      <c r="BL1033" s="576"/>
      <c r="BM1033" s="576"/>
      <c r="BN1033" s="576"/>
      <c r="BO1033" s="547"/>
      <c r="BP1033" s="576"/>
      <c r="BQ1033" s="576"/>
      <c r="BR1033" s="576"/>
      <c r="BS1033" s="533"/>
      <c r="BT1033" s="576"/>
      <c r="BU1033" s="576"/>
      <c r="BV1033" s="576"/>
      <c r="BW1033" s="533"/>
      <c r="BX1033" s="327">
        <v>0</v>
      </c>
      <c r="BY1033" s="327">
        <v>0</v>
      </c>
      <c r="BZ1033" s="326">
        <f>+BY1033+BX1033</f>
        <v>0</v>
      </c>
      <c r="CA1033" s="533"/>
      <c r="CB1033" s="327">
        <v>0</v>
      </c>
      <c r="CC1033" s="327">
        <v>0</v>
      </c>
      <c r="CD1033" s="326">
        <f>+CC1033+CB1033</f>
        <v>0</v>
      </c>
      <c r="CE1033" s="533"/>
      <c r="CF1033" s="327">
        <v>0</v>
      </c>
      <c r="CG1033" s="327">
        <v>0</v>
      </c>
      <c r="CH1033" s="326">
        <f>+CG1033+CF1033</f>
        <v>0</v>
      </c>
      <c r="CI1033" s="533"/>
      <c r="CJ1033" s="327">
        <v>0</v>
      </c>
      <c r="CK1033" s="599">
        <v>0</v>
      </c>
      <c r="CL1033" s="326">
        <f>+CK1033+CJ1033</f>
        <v>0</v>
      </c>
      <c r="CM1033" s="533"/>
      <c r="CN1033" s="327">
        <v>0</v>
      </c>
      <c r="CO1033" s="599">
        <v>0</v>
      </c>
      <c r="CP1033" s="326">
        <f>+CO1033+CN1033</f>
        <v>0</v>
      </c>
      <c r="CQ1033" s="533"/>
      <c r="CR1033" s="327">
        <v>0</v>
      </c>
      <c r="CS1033" s="599">
        <v>0</v>
      </c>
      <c r="CT1033" s="326">
        <f>+CS1033+CR1033</f>
        <v>0</v>
      </c>
      <c r="CU1033" s="533"/>
      <c r="CV1033" s="327">
        <v>0</v>
      </c>
      <c r="CW1033" s="599">
        <v>0</v>
      </c>
      <c r="CX1033" s="326">
        <f>+CW1033+CV1033</f>
        <v>0</v>
      </c>
      <c r="CY1033" s="533"/>
      <c r="CZ1033" s="327">
        <v>0</v>
      </c>
      <c r="DA1033" s="599">
        <v>0</v>
      </c>
      <c r="DB1033" s="326">
        <f>+DA1033+CZ1033</f>
        <v>0</v>
      </c>
      <c r="DC1033" s="533"/>
      <c r="DD1033" s="327">
        <v>0</v>
      </c>
      <c r="DE1033" s="599">
        <v>0</v>
      </c>
      <c r="DF1033" s="326">
        <f>+DE1033+DD1033</f>
        <v>0</v>
      </c>
      <c r="DG1033" s="533"/>
      <c r="DH1033" s="327">
        <v>0</v>
      </c>
      <c r="DI1033" s="327">
        <v>0</v>
      </c>
      <c r="DJ1033" s="326">
        <f t="shared" si="1568"/>
        <v>0</v>
      </c>
      <c r="DK1033" s="533"/>
      <c r="DL1033" s="327">
        <v>0</v>
      </c>
      <c r="DM1033" s="327">
        <v>0</v>
      </c>
      <c r="DN1033" s="326">
        <f t="shared" si="1569"/>
        <v>0</v>
      </c>
      <c r="DO1033" s="533"/>
      <c r="DP1033" s="327">
        <v>0</v>
      </c>
      <c r="DQ1033" s="327">
        <v>0</v>
      </c>
      <c r="DR1033" s="326">
        <f t="shared" si="1570"/>
        <v>0</v>
      </c>
      <c r="DS1033" s="533"/>
      <c r="DT1033" s="533"/>
      <c r="DU1033" s="533"/>
    </row>
    <row r="1034" spans="1:128" s="20" customFormat="1" ht="13.8">
      <c r="A1034" s="533" t="s">
        <v>915</v>
      </c>
      <c r="B1034" s="547"/>
      <c r="C1034" s="533"/>
      <c r="D1034" s="533"/>
      <c r="E1034" s="533"/>
      <c r="F1034" s="533"/>
      <c r="G1034" s="533"/>
      <c r="H1034" s="533"/>
      <c r="I1034" s="533"/>
      <c r="J1034" s="533"/>
      <c r="K1034" s="533"/>
      <c r="L1034" s="533"/>
      <c r="M1034" s="533"/>
      <c r="N1034" s="533"/>
      <c r="O1034" s="533"/>
      <c r="P1034" s="533"/>
      <c r="Q1034" s="533"/>
      <c r="R1034" s="533"/>
      <c r="S1034" s="533"/>
      <c r="T1034" s="533"/>
      <c r="U1034" s="533"/>
      <c r="V1034" s="533"/>
      <c r="W1034" s="533"/>
      <c r="X1034" s="533"/>
      <c r="Y1034" s="533"/>
      <c r="Z1034" s="533"/>
      <c r="AA1034" s="533"/>
      <c r="AB1034" s="533"/>
      <c r="AC1034" s="533"/>
      <c r="AD1034" s="533"/>
      <c r="AE1034" s="533"/>
      <c r="AF1034" s="533"/>
      <c r="AG1034" s="533"/>
      <c r="AH1034" s="533"/>
      <c r="AI1034" s="533"/>
      <c r="AJ1034" s="533"/>
      <c r="AK1034" s="533"/>
      <c r="AL1034" s="533"/>
      <c r="AM1034" s="533"/>
      <c r="AN1034" s="533"/>
      <c r="AO1034" s="533"/>
      <c r="AP1034" s="533"/>
      <c r="AQ1034" s="533"/>
      <c r="AR1034" s="533"/>
      <c r="AS1034" s="533"/>
      <c r="AT1034" s="533"/>
      <c r="AU1034" s="533"/>
      <c r="AV1034" s="533"/>
      <c r="AW1034" s="533"/>
      <c r="AX1034" s="533"/>
      <c r="AY1034" s="533"/>
      <c r="AZ1034" s="533"/>
      <c r="BA1034" s="533"/>
      <c r="BB1034" s="533"/>
      <c r="BC1034" s="533"/>
      <c r="BD1034" s="533"/>
      <c r="BE1034" s="533"/>
      <c r="BF1034" s="533"/>
      <c r="BG1034" s="533"/>
      <c r="BH1034" s="576"/>
      <c r="BI1034" s="576"/>
      <c r="BJ1034" s="576"/>
      <c r="BK1034" s="547"/>
      <c r="BL1034" s="576"/>
      <c r="BM1034" s="576"/>
      <c r="BN1034" s="576"/>
      <c r="BO1034" s="547"/>
      <c r="BP1034" s="576"/>
      <c r="BQ1034" s="576"/>
      <c r="BR1034" s="576"/>
      <c r="BS1034" s="533"/>
      <c r="BT1034" s="576"/>
      <c r="BU1034" s="576"/>
      <c r="BV1034" s="576"/>
      <c r="BW1034" s="533"/>
      <c r="BX1034" s="327"/>
      <c r="BY1034" s="327"/>
      <c r="BZ1034" s="326"/>
      <c r="CA1034" s="533"/>
      <c r="CB1034" s="327">
        <v>0</v>
      </c>
      <c r="CC1034" s="327">
        <v>-127</v>
      </c>
      <c r="CD1034" s="326">
        <f>SUM(CB1034:CC1034)</f>
        <v>-127</v>
      </c>
      <c r="CE1034" s="533"/>
      <c r="CF1034" s="327">
        <f>-75*0.7</f>
        <v>-52.5</v>
      </c>
      <c r="CG1034" s="327">
        <v>-154</v>
      </c>
      <c r="CH1034" s="326">
        <f>SUM(CF1034:CG1034)</f>
        <v>-206.5</v>
      </c>
      <c r="CI1034" s="533"/>
      <c r="CJ1034" s="327">
        <v>-94</v>
      </c>
      <c r="CK1034" s="599">
        <v>-2</v>
      </c>
      <c r="CL1034" s="326">
        <f>SUM(CJ1034:CK1034)</f>
        <v>-96</v>
      </c>
      <c r="CM1034" s="533"/>
      <c r="CN1034" s="327">
        <v>-1</v>
      </c>
      <c r="CO1034" s="599">
        <v>0</v>
      </c>
      <c r="CP1034" s="326">
        <f>SUM(CN1034:CO1034)</f>
        <v>-1</v>
      </c>
      <c r="CQ1034" s="533"/>
      <c r="CR1034" s="327">
        <v>0</v>
      </c>
      <c r="CS1034" s="599">
        <v>0</v>
      </c>
      <c r="CT1034" s="326">
        <f>SUM(CR1034:CS1034)</f>
        <v>0</v>
      </c>
      <c r="CU1034" s="533"/>
      <c r="CV1034" s="327">
        <v>0</v>
      </c>
      <c r="CW1034" s="599">
        <v>0</v>
      </c>
      <c r="CX1034" s="326">
        <f>SUM(CV1034:CW1034)</f>
        <v>0</v>
      </c>
      <c r="CY1034" s="533"/>
      <c r="CZ1034" s="327">
        <v>0</v>
      </c>
      <c r="DA1034" s="599">
        <v>0</v>
      </c>
      <c r="DB1034" s="326">
        <f>SUM(CZ1034:DA1034)</f>
        <v>0</v>
      </c>
      <c r="DC1034" s="533"/>
      <c r="DD1034" s="327">
        <v>0</v>
      </c>
      <c r="DE1034" s="599">
        <v>0</v>
      </c>
      <c r="DF1034" s="326">
        <f>SUM(DD1034:DE1034)</f>
        <v>0</v>
      </c>
      <c r="DG1034" s="533"/>
      <c r="DH1034" s="327">
        <v>0</v>
      </c>
      <c r="DI1034" s="327">
        <v>0</v>
      </c>
      <c r="DJ1034" s="326">
        <f t="shared" si="1568"/>
        <v>0</v>
      </c>
      <c r="DK1034" s="533"/>
      <c r="DL1034" s="327">
        <v>0</v>
      </c>
      <c r="DM1034" s="327">
        <v>0</v>
      </c>
      <c r="DN1034" s="326">
        <f t="shared" si="1569"/>
        <v>0</v>
      </c>
      <c r="DO1034" s="533"/>
      <c r="DP1034" s="327">
        <v>0</v>
      </c>
      <c r="DQ1034" s="327">
        <v>0</v>
      </c>
      <c r="DR1034" s="326">
        <f t="shared" si="1570"/>
        <v>0</v>
      </c>
      <c r="DS1034" s="533"/>
      <c r="DT1034" s="533"/>
      <c r="DU1034" s="533"/>
    </row>
    <row r="1035" spans="1:128" s="20" customFormat="1" ht="13.8">
      <c r="A1035" s="533" t="s">
        <v>893</v>
      </c>
      <c r="B1035" s="547"/>
      <c r="C1035" s="533"/>
      <c r="D1035" s="533"/>
      <c r="E1035" s="533"/>
      <c r="F1035" s="533"/>
      <c r="G1035" s="533"/>
      <c r="H1035" s="533"/>
      <c r="I1035" s="533"/>
      <c r="J1035" s="533"/>
      <c r="K1035" s="533"/>
      <c r="L1035" s="533"/>
      <c r="M1035" s="533"/>
      <c r="N1035" s="533"/>
      <c r="O1035" s="533"/>
      <c r="P1035" s="533"/>
      <c r="Q1035" s="533"/>
      <c r="R1035" s="533"/>
      <c r="S1035" s="533"/>
      <c r="T1035" s="533"/>
      <c r="U1035" s="533"/>
      <c r="V1035" s="533"/>
      <c r="W1035" s="533"/>
      <c r="X1035" s="533"/>
      <c r="Y1035" s="533"/>
      <c r="Z1035" s="533"/>
      <c r="AA1035" s="533"/>
      <c r="AB1035" s="533"/>
      <c r="AC1035" s="533"/>
      <c r="AD1035" s="533"/>
      <c r="AE1035" s="533"/>
      <c r="AF1035" s="533"/>
      <c r="AG1035" s="533"/>
      <c r="AH1035" s="533"/>
      <c r="AI1035" s="533"/>
      <c r="AJ1035" s="533"/>
      <c r="AK1035" s="533"/>
      <c r="AL1035" s="533"/>
      <c r="AM1035" s="533"/>
      <c r="AN1035" s="533"/>
      <c r="AO1035" s="533"/>
      <c r="AP1035" s="533"/>
      <c r="AQ1035" s="533"/>
      <c r="AR1035" s="533"/>
      <c r="AS1035" s="533"/>
      <c r="AT1035" s="533"/>
      <c r="AU1035" s="533"/>
      <c r="AV1035" s="533"/>
      <c r="AW1035" s="533"/>
      <c r="AX1035" s="533"/>
      <c r="AY1035" s="533"/>
      <c r="AZ1035" s="533"/>
      <c r="BA1035" s="533"/>
      <c r="BB1035" s="533"/>
      <c r="BC1035" s="533"/>
      <c r="BD1035" s="533"/>
      <c r="BE1035" s="533"/>
      <c r="BF1035" s="533"/>
      <c r="BG1035" s="533"/>
      <c r="BH1035" s="576"/>
      <c r="BI1035" s="576"/>
      <c r="BJ1035" s="576"/>
      <c r="BK1035" s="547"/>
      <c r="BL1035" s="576"/>
      <c r="BM1035" s="576"/>
      <c r="BN1035" s="576"/>
      <c r="BO1035" s="547"/>
      <c r="BP1035" s="576"/>
      <c r="BQ1035" s="576"/>
      <c r="BR1035" s="576"/>
      <c r="BS1035" s="533"/>
      <c r="BT1035" s="576"/>
      <c r="BU1035" s="576"/>
      <c r="BV1035" s="576"/>
      <c r="BW1035" s="533"/>
      <c r="BX1035" s="327">
        <v>0</v>
      </c>
      <c r="BY1035" s="327">
        <v>0</v>
      </c>
      <c r="BZ1035" s="326">
        <f>+BY1035+BX1035</f>
        <v>0</v>
      </c>
      <c r="CA1035" s="533"/>
      <c r="CB1035" s="327">
        <f>-632-17</f>
        <v>-649</v>
      </c>
      <c r="CC1035" s="327">
        <v>0</v>
      </c>
      <c r="CD1035" s="326">
        <f>+CC1035+CB1035</f>
        <v>-649</v>
      </c>
      <c r="CE1035" s="533"/>
      <c r="CF1035" s="327">
        <v>0</v>
      </c>
      <c r="CG1035" s="327">
        <v>0</v>
      </c>
      <c r="CH1035" s="326">
        <f>+CG1035+CF1035</f>
        <v>0</v>
      </c>
      <c r="CI1035" s="533"/>
      <c r="CJ1035" s="327">
        <v>0</v>
      </c>
      <c r="CK1035" s="599">
        <v>-2</v>
      </c>
      <c r="CL1035" s="326">
        <f>+CK1035+CJ1035</f>
        <v>-2</v>
      </c>
      <c r="CM1035" s="533"/>
      <c r="CN1035" s="327">
        <v>0</v>
      </c>
      <c r="CO1035" s="599">
        <v>0</v>
      </c>
      <c r="CP1035" s="326">
        <f>+CO1035+CN1035</f>
        <v>0</v>
      </c>
      <c r="CQ1035" s="533"/>
      <c r="CR1035" s="327">
        <v>0</v>
      </c>
      <c r="CS1035" s="599">
        <v>0</v>
      </c>
      <c r="CT1035" s="326">
        <f>+CS1035+CR1035</f>
        <v>0</v>
      </c>
      <c r="CU1035" s="533"/>
      <c r="CV1035" s="327">
        <v>0</v>
      </c>
      <c r="CW1035" s="599">
        <v>0</v>
      </c>
      <c r="CX1035" s="326">
        <f>+CW1035+CV1035</f>
        <v>0</v>
      </c>
      <c r="CY1035" s="533"/>
      <c r="CZ1035" s="327">
        <v>0</v>
      </c>
      <c r="DA1035" s="599">
        <v>0</v>
      </c>
      <c r="DB1035" s="326">
        <f>+DA1035+CZ1035</f>
        <v>0</v>
      </c>
      <c r="DC1035" s="533"/>
      <c r="DD1035" s="327">
        <v>0</v>
      </c>
      <c r="DE1035" s="599">
        <v>0</v>
      </c>
      <c r="DF1035" s="326">
        <f>+DE1035+DD1035</f>
        <v>0</v>
      </c>
      <c r="DG1035" s="533"/>
      <c r="DH1035" s="327">
        <v>0</v>
      </c>
      <c r="DI1035" s="327">
        <v>0</v>
      </c>
      <c r="DJ1035" s="326">
        <f t="shared" si="1568"/>
        <v>0</v>
      </c>
      <c r="DK1035" s="533"/>
      <c r="DL1035" s="327">
        <v>0</v>
      </c>
      <c r="DM1035" s="327">
        <v>0</v>
      </c>
      <c r="DN1035" s="326">
        <f t="shared" si="1569"/>
        <v>0</v>
      </c>
      <c r="DO1035" s="533"/>
      <c r="DP1035" s="327">
        <v>0</v>
      </c>
      <c r="DQ1035" s="327">
        <v>0</v>
      </c>
      <c r="DR1035" s="326">
        <f t="shared" si="1570"/>
        <v>0</v>
      </c>
      <c r="DS1035" s="533"/>
      <c r="DT1035" s="533"/>
      <c r="DU1035" s="533"/>
    </row>
    <row r="1036" spans="1:128" s="20" customFormat="1" ht="13.8">
      <c r="A1036" s="21" t="s">
        <v>529</v>
      </c>
      <c r="B1036" s="49"/>
      <c r="BH1036" s="73"/>
      <c r="BI1036" s="73"/>
      <c r="BJ1036" s="73"/>
      <c r="BK1036" s="49"/>
      <c r="BL1036" s="73"/>
      <c r="BM1036" s="73"/>
      <c r="BN1036" s="73"/>
      <c r="BO1036" s="49"/>
      <c r="BP1036" s="73"/>
      <c r="BQ1036" s="73"/>
      <c r="BR1036" s="73"/>
      <c r="BT1036" s="73"/>
      <c r="BU1036" s="73"/>
      <c r="BV1036" s="73"/>
      <c r="BX1036" s="104">
        <f>SUM(BX1030:BX1035)</f>
        <v>56</v>
      </c>
      <c r="BY1036" s="104">
        <f>SUM(BY1030:BY1035)</f>
        <v>73</v>
      </c>
      <c r="BZ1036" s="72">
        <f>+BY1036+BX1036</f>
        <v>129</v>
      </c>
      <c r="CA1036" s="21"/>
      <c r="CB1036" s="104">
        <f ca="1">SUM(CB1030:CB1035)</f>
        <v>-617</v>
      </c>
      <c r="CC1036" s="607">
        <f>-65</f>
        <v>-65</v>
      </c>
      <c r="CD1036" s="72">
        <f ca="1">+CC1036+CB1036</f>
        <v>-682</v>
      </c>
      <c r="CE1036" s="21"/>
      <c r="CF1036" s="607">
        <v>-50</v>
      </c>
      <c r="CG1036" s="607">
        <v>-259</v>
      </c>
      <c r="CH1036" s="72">
        <f>+CG1036+CF1036</f>
        <v>-309</v>
      </c>
      <c r="CI1036" s="21"/>
      <c r="CJ1036" s="607">
        <v>-90</v>
      </c>
      <c r="CK1036" s="607">
        <v>-8</v>
      </c>
      <c r="CL1036" s="72">
        <f>+CK1036+CJ1036</f>
        <v>-98</v>
      </c>
      <c r="CM1036" s="21"/>
      <c r="CN1036" s="607">
        <v>-8</v>
      </c>
      <c r="CO1036" s="607">
        <v>-9</v>
      </c>
      <c r="CP1036" s="72">
        <f>+CO1036+CN1036</f>
        <v>-17</v>
      </c>
      <c r="CQ1036" s="21"/>
      <c r="CR1036" s="607">
        <v>-5</v>
      </c>
      <c r="CS1036" s="607">
        <v>-14</v>
      </c>
      <c r="CT1036" s="72">
        <f>+CS1036+CR1036</f>
        <v>-19</v>
      </c>
      <c r="CU1036" s="21"/>
      <c r="CV1036" s="607">
        <v>0</v>
      </c>
      <c r="CW1036" s="607">
        <v>0</v>
      </c>
      <c r="CX1036" s="72">
        <f>+CW1036+CV1036</f>
        <v>0</v>
      </c>
      <c r="CY1036" s="21"/>
      <c r="CZ1036" s="607">
        <v>0</v>
      </c>
      <c r="DA1036" s="607">
        <v>0</v>
      </c>
      <c r="DB1036" s="72">
        <f>+DA1036+CZ1036</f>
        <v>0</v>
      </c>
      <c r="DC1036" s="21"/>
      <c r="DD1036" s="607">
        <v>0</v>
      </c>
      <c r="DE1036" s="607">
        <v>0</v>
      </c>
      <c r="DF1036" s="72">
        <f>+DE1036+DD1036</f>
        <v>0</v>
      </c>
      <c r="DG1036" s="21"/>
      <c r="DH1036" s="104">
        <f>SUM(DH1030:DH1035)</f>
        <v>0</v>
      </c>
      <c r="DI1036" s="104">
        <f>SUM(DI1030:DI1035)</f>
        <v>0</v>
      </c>
      <c r="DJ1036" s="72">
        <f t="shared" si="1568"/>
        <v>0</v>
      </c>
      <c r="DK1036" s="21"/>
      <c r="DL1036" s="104">
        <f>SUM(DL1030:DL1035)</f>
        <v>0</v>
      </c>
      <c r="DM1036" s="104">
        <f>SUM(DM1030:DM1035)</f>
        <v>0</v>
      </c>
      <c r="DN1036" s="72">
        <f t="shared" si="1569"/>
        <v>0</v>
      </c>
      <c r="DO1036" s="21"/>
      <c r="DP1036" s="104">
        <f>SUM(DP1030:DP1035)</f>
        <v>0</v>
      </c>
      <c r="DQ1036" s="104">
        <f>SUM(DQ1030:DQ1035)</f>
        <v>0</v>
      </c>
      <c r="DR1036" s="72">
        <f t="shared" si="1570"/>
        <v>0</v>
      </c>
      <c r="DS1036" s="21"/>
      <c r="DT1036" s="21"/>
      <c r="DU1036" s="21"/>
    </row>
    <row r="1037" spans="1:128" s="20" customFormat="1" ht="13.8">
      <c r="A1037" s="21"/>
      <c r="B1037" s="49"/>
      <c r="BH1037" s="73"/>
      <c r="BI1037" s="73"/>
      <c r="BJ1037" s="73"/>
      <c r="BK1037" s="49"/>
      <c r="BL1037" s="73"/>
      <c r="BM1037" s="73"/>
      <c r="BN1037" s="73"/>
      <c r="BO1037" s="49"/>
      <c r="BP1037" s="73"/>
      <c r="BQ1037" s="73"/>
      <c r="BR1037" s="73"/>
      <c r="BT1037" s="73"/>
      <c r="BU1037" s="73"/>
      <c r="BV1037" s="73"/>
      <c r="BX1037" s="104"/>
      <c r="BY1037" s="104"/>
      <c r="BZ1037" s="72"/>
      <c r="CA1037" s="21"/>
      <c r="CB1037" s="104"/>
      <c r="CC1037" s="607"/>
      <c r="CD1037" s="72"/>
      <c r="CE1037" s="21"/>
      <c r="CF1037" s="104"/>
      <c r="CG1037" s="607"/>
      <c r="CH1037" s="72"/>
      <c r="CI1037" s="21"/>
      <c r="CJ1037" s="104"/>
      <c r="CK1037" s="104"/>
      <c r="CL1037" s="72"/>
      <c r="CM1037" s="21"/>
      <c r="CN1037" s="104"/>
      <c r="CO1037" s="104"/>
      <c r="CP1037" s="72"/>
      <c r="CQ1037" s="21"/>
      <c r="CR1037" s="104"/>
      <c r="CS1037" s="104"/>
      <c r="CT1037" s="72"/>
      <c r="CU1037" s="21"/>
      <c r="CV1037" s="104"/>
      <c r="CW1037" s="104"/>
      <c r="CX1037" s="72"/>
      <c r="CY1037" s="21"/>
      <c r="CZ1037" s="104"/>
      <c r="DA1037" s="104"/>
      <c r="DB1037" s="72"/>
      <c r="DC1037" s="21"/>
      <c r="DD1037" s="104"/>
      <c r="DE1037" s="104"/>
      <c r="DF1037" s="72"/>
      <c r="DG1037" s="21"/>
      <c r="DH1037" s="104"/>
      <c r="DI1037" s="104"/>
      <c r="DJ1037" s="72"/>
      <c r="DK1037" s="21"/>
      <c r="DL1037" s="104"/>
      <c r="DM1037" s="104"/>
      <c r="DN1037" s="72"/>
      <c r="DO1037" s="21"/>
      <c r="DP1037" s="104"/>
      <c r="DQ1037" s="104"/>
      <c r="DR1037" s="72"/>
      <c r="DS1037" s="21"/>
      <c r="DT1037" s="21"/>
      <c r="DU1037" s="21"/>
    </row>
    <row r="1038" spans="1:128" s="318" customFormat="1" ht="13.8">
      <c r="A1038" s="316" t="s">
        <v>612</v>
      </c>
      <c r="B1038" s="317"/>
      <c r="BH1038" s="317"/>
      <c r="BI1038" s="317"/>
      <c r="BJ1038" s="317"/>
      <c r="BK1038" s="317"/>
      <c r="BL1038" s="317"/>
      <c r="BM1038" s="317"/>
      <c r="BN1038" s="317"/>
      <c r="BO1038" s="317"/>
      <c r="BP1038" s="317"/>
      <c r="BT1038" s="317"/>
      <c r="BX1038" s="317"/>
      <c r="CB1038" s="317"/>
      <c r="CF1038" s="317"/>
      <c r="CJ1038" s="317"/>
      <c r="CN1038" s="317"/>
      <c r="CR1038" s="317"/>
      <c r="CV1038" s="317"/>
      <c r="CZ1038" s="317"/>
      <c r="DD1038" s="317"/>
      <c r="DH1038" s="317"/>
      <c r="DL1038" s="317"/>
      <c r="DP1038" s="317"/>
      <c r="DT1038" s="742"/>
      <c r="DU1038" s="742"/>
      <c r="DV1038" s="742"/>
      <c r="DW1038" s="20"/>
      <c r="DX1038" s="20"/>
    </row>
    <row r="1039" spans="1:128" s="20" customFormat="1" ht="13.8">
      <c r="B1039" s="49"/>
      <c r="BH1039" s="49"/>
      <c r="BI1039" s="49"/>
      <c r="BJ1039" s="49"/>
      <c r="BK1039" s="49"/>
      <c r="BL1039" s="49"/>
      <c r="BM1039" s="49"/>
      <c r="BN1039" s="49"/>
      <c r="BO1039" s="49"/>
      <c r="BP1039" s="49"/>
      <c r="BT1039" s="49"/>
      <c r="BX1039" s="49"/>
      <c r="CB1039" s="49"/>
      <c r="CF1039" s="49"/>
      <c r="CJ1039" s="49"/>
      <c r="CN1039" s="49"/>
      <c r="CR1039" s="49"/>
      <c r="CV1039" s="49"/>
      <c r="CZ1039" s="49"/>
      <c r="DD1039" s="49"/>
      <c r="DH1039" s="49"/>
      <c r="DL1039" s="49"/>
      <c r="DP1039" s="49"/>
    </row>
    <row r="1040" spans="1:128" s="20" customFormat="1" ht="13.8">
      <c r="A1040" s="20" t="s">
        <v>519</v>
      </c>
      <c r="B1040" s="49" t="s">
        <v>1065</v>
      </c>
      <c r="BH1040" s="67">
        <v>23589</v>
      </c>
      <c r="BI1040" s="67">
        <v>23641</v>
      </c>
      <c r="BJ1040" s="65">
        <f>BI1040</f>
        <v>23641</v>
      </c>
      <c r="BK1040" s="49"/>
      <c r="BL1040" s="67">
        <v>23529</v>
      </c>
      <c r="BM1040" s="67">
        <v>24031</v>
      </c>
      <c r="BN1040" s="65">
        <f>BM1040</f>
        <v>24031</v>
      </c>
      <c r="BO1040" s="49"/>
      <c r="BP1040" s="67">
        <v>24152</v>
      </c>
      <c r="BQ1040" s="67">
        <v>28367</v>
      </c>
      <c r="BR1040" s="65">
        <f>BQ1040</f>
        <v>28367</v>
      </c>
      <c r="BT1040" s="67">
        <v>28625</v>
      </c>
      <c r="BU1040" s="67">
        <v>28765</v>
      </c>
      <c r="BV1040" s="65">
        <f>BU1040</f>
        <v>28765</v>
      </c>
      <c r="BX1040" s="67">
        <v>29036</v>
      </c>
      <c r="BY1040" s="67">
        <v>29088</v>
      </c>
      <c r="BZ1040" s="65">
        <f>BY1040</f>
        <v>29088</v>
      </c>
      <c r="CB1040" s="67">
        <v>27933</v>
      </c>
      <c r="CC1040" s="67">
        <v>27205</v>
      </c>
      <c r="CD1040" s="65">
        <f>CC1040</f>
        <v>27205</v>
      </c>
      <c r="CF1040" s="67">
        <v>26048</v>
      </c>
      <c r="CG1040" s="67">
        <v>26490</v>
      </c>
      <c r="CH1040" s="65">
        <f>CG1040</f>
        <v>26490</v>
      </c>
      <c r="CJ1040" s="67">
        <v>26440</v>
      </c>
      <c r="CK1040" s="67">
        <v>26531</v>
      </c>
      <c r="CL1040" s="65">
        <f>CK1040</f>
        <v>26531</v>
      </c>
      <c r="CN1040" s="67">
        <v>26615</v>
      </c>
      <c r="CO1040" s="67">
        <v>25984</v>
      </c>
      <c r="CP1040" s="65">
        <f>CO1040</f>
        <v>25984</v>
      </c>
      <c r="CR1040" s="67">
        <v>25091</v>
      </c>
      <c r="CS1040" s="67">
        <v>28797</v>
      </c>
      <c r="CT1040" s="65">
        <f>CS1040</f>
        <v>28797</v>
      </c>
      <c r="CV1040" s="67">
        <v>29054</v>
      </c>
      <c r="CW1040" s="67">
        <v>29082</v>
      </c>
      <c r="CX1040" s="65">
        <f>CW1040</f>
        <v>29082</v>
      </c>
      <c r="CZ1040" s="67">
        <v>29033</v>
      </c>
      <c r="DA1040" s="67">
        <v>28182</v>
      </c>
      <c r="DB1040" s="65">
        <f>DA1040</f>
        <v>28182</v>
      </c>
      <c r="DD1040" s="67">
        <v>27860</v>
      </c>
      <c r="DE1040" s="67">
        <v>28191</v>
      </c>
      <c r="DF1040" s="65">
        <f>DE1040</f>
        <v>28191</v>
      </c>
      <c r="DH1040" s="65">
        <f>DH1065</f>
        <v>28962.087524819999</v>
      </c>
      <c r="DI1040" s="65">
        <f ca="1">DI1065</f>
        <v>28991.049612344817</v>
      </c>
      <c r="DJ1040" s="65">
        <f ca="1">DI1040</f>
        <v>28991.049612344817</v>
      </c>
      <c r="DL1040" s="65">
        <f ca="1">DL1065</f>
        <v>29020.040661957162</v>
      </c>
      <c r="DM1040" s="65">
        <f ca="1">DM1065</f>
        <v>28533.688814196255</v>
      </c>
      <c r="DN1040" s="65">
        <f ca="1">DM1040</f>
        <v>28533.688814196255</v>
      </c>
      <c r="DP1040" s="65">
        <f ca="1">DP1065</f>
        <v>28082.622426217698</v>
      </c>
      <c r="DQ1040" s="65">
        <f ca="1">DQ1065</f>
        <v>27569.298113075227</v>
      </c>
      <c r="DR1040" s="65">
        <f ca="1">DQ1040</f>
        <v>27569.298113075227</v>
      </c>
    </row>
    <row r="1041" spans="1:128" s="20" customFormat="1" ht="13.8">
      <c r="A1041" s="20" t="s">
        <v>137</v>
      </c>
      <c r="B1041" s="49" t="s">
        <v>1065</v>
      </c>
      <c r="BH1041" s="67">
        <v>-2528</v>
      </c>
      <c r="BI1041" s="67">
        <v>-907</v>
      </c>
      <c r="BJ1041" s="65">
        <f>BI1041</f>
        <v>-907</v>
      </c>
      <c r="BK1041" s="49"/>
      <c r="BL1041" s="67">
        <v>-334</v>
      </c>
      <c r="BM1041" s="67">
        <v>-239</v>
      </c>
      <c r="BN1041" s="65">
        <f>BM1041</f>
        <v>-239</v>
      </c>
      <c r="BO1041" s="49"/>
      <c r="BP1041" s="67">
        <v>2188</v>
      </c>
      <c r="BQ1041" s="67">
        <v>1571</v>
      </c>
      <c r="BR1041" s="65">
        <f>BQ1041</f>
        <v>1571</v>
      </c>
      <c r="BT1041" s="67">
        <v>377</v>
      </c>
      <c r="BU1041" s="67">
        <v>1078</v>
      </c>
      <c r="BV1041" s="65">
        <f>BU1041</f>
        <v>1078</v>
      </c>
      <c r="BX1041" s="67">
        <v>115</v>
      </c>
      <c r="BY1041" s="67">
        <v>37</v>
      </c>
      <c r="BZ1041" s="65">
        <f>BY1041</f>
        <v>37</v>
      </c>
      <c r="CB1041" s="67">
        <v>541</v>
      </c>
      <c r="CC1041" s="67">
        <v>323</v>
      </c>
      <c r="CD1041" s="65">
        <f>CC1041</f>
        <v>323</v>
      </c>
      <c r="CF1041" s="67">
        <v>1709</v>
      </c>
      <c r="CG1041" s="67">
        <v>1629</v>
      </c>
      <c r="CH1041" s="65">
        <f>CG1041</f>
        <v>1629</v>
      </c>
      <c r="CJ1041" s="67">
        <v>2851</v>
      </c>
      <c r="CK1041" s="67">
        <v>1501</v>
      </c>
      <c r="CL1041" s="65">
        <f>CK1041</f>
        <v>1501</v>
      </c>
      <c r="CN1041" s="67">
        <v>741</v>
      </c>
      <c r="CO1041" s="67">
        <v>1228</v>
      </c>
      <c r="CP1041" s="65">
        <f>CO1041</f>
        <v>1228</v>
      </c>
      <c r="CR1041" s="67">
        <v>-1422</v>
      </c>
      <c r="CS1041" s="67">
        <v>-2606</v>
      </c>
      <c r="CT1041" s="65">
        <f>CS1041</f>
        <v>-2606</v>
      </c>
      <c r="CV1041" s="67">
        <v>-1019</v>
      </c>
      <c r="CW1041" s="67">
        <v>-1735</v>
      </c>
      <c r="CX1041" s="65">
        <f>CW1041</f>
        <v>-1735</v>
      </c>
      <c r="CZ1041" s="67">
        <v>-1466</v>
      </c>
      <c r="DA1041" s="67">
        <v>-1774</v>
      </c>
      <c r="DB1041" s="65">
        <f>DA1041</f>
        <v>-1774</v>
      </c>
      <c r="DD1041" s="67">
        <v>-990</v>
      </c>
      <c r="DE1041" s="67">
        <v>-1555</v>
      </c>
      <c r="DF1041" s="65">
        <f>DE1041</f>
        <v>-1555</v>
      </c>
      <c r="DH1041" s="102">
        <f>DH1085</f>
        <v>-1555</v>
      </c>
      <c r="DI1041" s="102">
        <f>DI1085</f>
        <v>-1555</v>
      </c>
      <c r="DJ1041" s="65">
        <f>DI1041</f>
        <v>-1555</v>
      </c>
      <c r="DL1041" s="102">
        <f>DL1085</f>
        <v>-1555</v>
      </c>
      <c r="DM1041" s="102">
        <f>DM1085</f>
        <v>-1555</v>
      </c>
      <c r="DN1041" s="65">
        <f>DM1041</f>
        <v>-1555</v>
      </c>
      <c r="DP1041" s="102">
        <f>DP1085</f>
        <v>-1555</v>
      </c>
      <c r="DQ1041" s="102">
        <f>DQ1085</f>
        <v>-1555</v>
      </c>
      <c r="DR1041" s="65">
        <f>DQ1041</f>
        <v>-1555</v>
      </c>
    </row>
    <row r="1042" spans="1:128" s="20" customFormat="1" ht="13.8">
      <c r="A1042" s="20" t="s">
        <v>409</v>
      </c>
      <c r="B1042" s="49" t="s">
        <v>1065</v>
      </c>
      <c r="BH1042" s="67">
        <v>20518</v>
      </c>
      <c r="BI1042" s="67">
        <v>21936</v>
      </c>
      <c r="BJ1042" s="65">
        <f>BI1042</f>
        <v>21936</v>
      </c>
      <c r="BK1042" s="49"/>
      <c r="BL1042" s="67">
        <v>22905</v>
      </c>
      <c r="BM1042" s="67">
        <v>24544</v>
      </c>
      <c r="BN1042" s="65">
        <f>BM1042</f>
        <v>24544</v>
      </c>
      <c r="BO1042" s="49"/>
      <c r="BP1042" s="67">
        <v>25616</v>
      </c>
      <c r="BQ1042" s="67">
        <v>27309</v>
      </c>
      <c r="BR1042" s="65">
        <f>BQ1042</f>
        <v>27309</v>
      </c>
      <c r="BT1042" s="67">
        <v>27361</v>
      </c>
      <c r="BU1042" s="67">
        <v>27975</v>
      </c>
      <c r="BV1042" s="65">
        <f>BU1042</f>
        <v>27975</v>
      </c>
      <c r="BX1042" s="67">
        <v>28640</v>
      </c>
      <c r="BY1042" s="67">
        <v>29834</v>
      </c>
      <c r="BZ1042" s="65">
        <f>BY1042</f>
        <v>29834</v>
      </c>
      <c r="CB1042" s="67">
        <v>30900</v>
      </c>
      <c r="CC1042" s="67">
        <v>31715</v>
      </c>
      <c r="CD1042" s="65">
        <f>CC1042</f>
        <v>31715</v>
      </c>
      <c r="CF1042" s="67">
        <v>32064</v>
      </c>
      <c r="CG1042" s="67">
        <v>32664</v>
      </c>
      <c r="CH1042" s="65">
        <f>CG1042</f>
        <v>32664</v>
      </c>
      <c r="CJ1042" s="67">
        <v>32073</v>
      </c>
      <c r="CK1042" s="67">
        <v>33255</v>
      </c>
      <c r="CL1042" s="65">
        <f>CK1042</f>
        <v>33255</v>
      </c>
      <c r="CN1042" s="67">
        <v>35210</v>
      </c>
      <c r="CO1042" s="67">
        <v>36453</v>
      </c>
      <c r="CP1042" s="65">
        <f>CO1042</f>
        <v>36453</v>
      </c>
      <c r="CR1042" s="67">
        <v>38078</v>
      </c>
      <c r="CS1042" s="67">
        <v>39716</v>
      </c>
      <c r="CT1042" s="65">
        <f>CS1042</f>
        <v>39716</v>
      </c>
      <c r="CV1042" s="67">
        <v>41020</v>
      </c>
      <c r="CW1042" s="67">
        <v>42148</v>
      </c>
      <c r="CX1042" s="65">
        <f>CW1042</f>
        <v>42148</v>
      </c>
      <c r="CZ1042" s="67">
        <v>42739</v>
      </c>
      <c r="DA1042" s="67">
        <v>43449</v>
      </c>
      <c r="DB1042" s="65">
        <f>DA1042</f>
        <v>43449</v>
      </c>
      <c r="DD1042" s="67">
        <v>44697</v>
      </c>
      <c r="DE1042" s="67">
        <v>44492</v>
      </c>
      <c r="DF1042" s="65">
        <f>DE1042</f>
        <v>44492</v>
      </c>
      <c r="DH1042" s="65">
        <f ca="1">DH1078</f>
        <v>45697.231885630565</v>
      </c>
      <c r="DI1042" s="65">
        <f ca="1">DI1078</f>
        <v>46949.450792508927</v>
      </c>
      <c r="DJ1042" s="65">
        <f ca="1">DI1042</f>
        <v>46949.450792508927</v>
      </c>
      <c r="DL1042" s="65">
        <f ca="1">DL1078</f>
        <v>48307.890690892047</v>
      </c>
      <c r="DM1042" s="65">
        <f ca="1">DM1078</f>
        <v>49575.54440381586</v>
      </c>
      <c r="DN1042" s="65">
        <f ca="1">DM1042</f>
        <v>49575.54440381586</v>
      </c>
      <c r="DP1042" s="65">
        <f ca="1">DP1078</f>
        <v>50960.465220394341</v>
      </c>
      <c r="DQ1042" s="65">
        <f ca="1">DQ1078</f>
        <v>52449.916425974821</v>
      </c>
      <c r="DR1042" s="65">
        <f ca="1">DQ1042</f>
        <v>52449.916425974821</v>
      </c>
    </row>
    <row r="1043" spans="1:128" s="21" customFormat="1" ht="13.8">
      <c r="A1043" s="21" t="s">
        <v>418</v>
      </c>
      <c r="B1043" s="27"/>
      <c r="BH1043" s="72">
        <f>SUM(BH1040:BH1042)</f>
        <v>41579</v>
      </c>
      <c r="BI1043" s="72">
        <f>SUM(BI1040:BI1042)</f>
        <v>44670</v>
      </c>
      <c r="BJ1043" s="72">
        <f>SUM(BJ1040:BJ1042)</f>
        <v>44670</v>
      </c>
      <c r="BK1043" s="27"/>
      <c r="BL1043" s="72">
        <f>SUM(BL1040:BL1042)</f>
        <v>46100</v>
      </c>
      <c r="BM1043" s="72">
        <f>SUM(BM1040:BM1042)</f>
        <v>48336</v>
      </c>
      <c r="BN1043" s="72">
        <f>SUM(BN1040:BN1042)</f>
        <v>48336</v>
      </c>
      <c r="BO1043" s="27"/>
      <c r="BP1043" s="72">
        <f>SUM(BP1040:BP1042)</f>
        <v>51956</v>
      </c>
      <c r="BQ1043" s="72">
        <f>SUM(BQ1040:BQ1042)</f>
        <v>57247</v>
      </c>
      <c r="BR1043" s="72">
        <f>SUM(BR1040:BR1042)</f>
        <v>57247</v>
      </c>
      <c r="BT1043" s="72">
        <f>SUM(BT1040:BT1042)</f>
        <v>56363</v>
      </c>
      <c r="BU1043" s="72">
        <f>SUM(BU1040:BU1042)</f>
        <v>57818</v>
      </c>
      <c r="BV1043" s="72">
        <f>SUM(BV1040:BV1042)</f>
        <v>57818</v>
      </c>
      <c r="BX1043" s="72">
        <f>SUM(BX1040:BX1042)</f>
        <v>57791</v>
      </c>
      <c r="BY1043" s="72">
        <f>SUM(BY1040:BY1042)</f>
        <v>58959</v>
      </c>
      <c r="BZ1043" s="72">
        <f>SUM(BZ1040:BZ1042)</f>
        <v>58959</v>
      </c>
      <c r="CB1043" s="72">
        <f>SUM(CB1040:CB1042)</f>
        <v>59374</v>
      </c>
      <c r="CC1043" s="72">
        <f>SUM(CC1040:CC1042)</f>
        <v>59243</v>
      </c>
      <c r="CD1043" s="72">
        <f>SUM(CD1040:CD1042)</f>
        <v>59243</v>
      </c>
      <c r="CF1043" s="72">
        <f>SUM(CF1040:CF1042)</f>
        <v>59821</v>
      </c>
      <c r="CG1043" s="72">
        <f>SUM(CG1040:CG1042)</f>
        <v>60783</v>
      </c>
      <c r="CH1043" s="72">
        <f>SUM(CH1040:CH1042)</f>
        <v>60783</v>
      </c>
      <c r="CJ1043" s="72">
        <f>SUM(CJ1040:CJ1042)</f>
        <v>61364</v>
      </c>
      <c r="CK1043" s="72">
        <f>SUM(CK1040:CK1042)</f>
        <v>61287</v>
      </c>
      <c r="CL1043" s="72">
        <f>SUM(CL1040:CL1042)</f>
        <v>61287</v>
      </c>
      <c r="CN1043" s="72">
        <f>SUM(CN1040:CN1042)</f>
        <v>62566</v>
      </c>
      <c r="CO1043" s="72">
        <f>SUM(CO1040:CO1042)</f>
        <v>63665</v>
      </c>
      <c r="CP1043" s="72">
        <f>SUM(CP1040:CP1042)</f>
        <v>63665</v>
      </c>
      <c r="CR1043" s="72">
        <f>SUM(CR1040:CR1042)</f>
        <v>61747</v>
      </c>
      <c r="CS1043" s="72">
        <f>SUM(CS1040:CS1042)</f>
        <v>65907</v>
      </c>
      <c r="CT1043" s="72">
        <f>SUM(CT1040:CT1042)</f>
        <v>65907</v>
      </c>
      <c r="CV1043" s="72">
        <f>SUM(CV1040:CV1042)</f>
        <v>69055</v>
      </c>
      <c r="CW1043" s="72">
        <f>SUM(CW1040:CW1042)</f>
        <v>69495</v>
      </c>
      <c r="CX1043" s="72">
        <f>SUM(CX1040:CX1042)</f>
        <v>69495</v>
      </c>
      <c r="CZ1043" s="72">
        <f>SUM(CZ1040:CZ1042)</f>
        <v>70306</v>
      </c>
      <c r="DA1043" s="72">
        <f>SUM(DA1040:DA1042)</f>
        <v>69857</v>
      </c>
      <c r="DB1043" s="72">
        <f>SUM(DB1040:DB1042)</f>
        <v>69857</v>
      </c>
      <c r="DD1043" s="72">
        <f>SUM(DD1040:DD1042)</f>
        <v>71567</v>
      </c>
      <c r="DE1043" s="72">
        <f>SUM(DE1040:DE1042)</f>
        <v>71128</v>
      </c>
      <c r="DF1043" s="72">
        <f>SUM(DF1040:DF1042)</f>
        <v>71128</v>
      </c>
      <c r="DH1043" s="72">
        <f ca="1">SUM(DH1040:DH1042)</f>
        <v>73104.319410450567</v>
      </c>
      <c r="DI1043" s="72">
        <f ca="1">SUM(DI1040:DI1042)</f>
        <v>74385.500404853752</v>
      </c>
      <c r="DJ1043" s="72">
        <f ca="1">SUM(DJ1040:DJ1042)</f>
        <v>74385.500404853752</v>
      </c>
      <c r="DL1043" s="72">
        <f ca="1">SUM(DL1040:DL1042)</f>
        <v>75772.931352849206</v>
      </c>
      <c r="DM1043" s="72">
        <f ca="1">SUM(DM1040:DM1042)</f>
        <v>76554.233218012116</v>
      </c>
      <c r="DN1043" s="72">
        <f ca="1">SUM(DN1040:DN1042)</f>
        <v>76554.233218012116</v>
      </c>
      <c r="DP1043" s="72">
        <f ca="1">SUM(DP1040:DP1042)</f>
        <v>77488.087646612039</v>
      </c>
      <c r="DQ1043" s="72">
        <f ca="1">SUM(DQ1040:DQ1042)</f>
        <v>78464.214539050052</v>
      </c>
      <c r="DR1043" s="72">
        <f ca="1">SUM(DR1040:DR1042)</f>
        <v>78464.214539050052</v>
      </c>
      <c r="DW1043" s="20"/>
      <c r="DX1043" s="20"/>
    </row>
    <row r="1044" spans="1:128" s="20" customFormat="1" ht="13.8">
      <c r="A1044" s="20" t="s">
        <v>613</v>
      </c>
      <c r="B1044" s="49" t="s">
        <v>1065</v>
      </c>
      <c r="BH1044" s="67">
        <v>871</v>
      </c>
      <c r="BI1044" s="67">
        <v>871</v>
      </c>
      <c r="BJ1044" s="65">
        <f>BI1044</f>
        <v>871</v>
      </c>
      <c r="BK1044" s="49"/>
      <c r="BL1044" s="67">
        <v>871</v>
      </c>
      <c r="BM1044" s="67">
        <v>871</v>
      </c>
      <c r="BN1044" s="65">
        <f>BM1044</f>
        <v>871</v>
      </c>
      <c r="BO1044" s="49"/>
      <c r="BP1044" s="67">
        <v>0</v>
      </c>
      <c r="BQ1044" s="67">
        <v>0</v>
      </c>
      <c r="BR1044" s="65">
        <f>BQ1044</f>
        <v>0</v>
      </c>
      <c r="BT1044" s="67">
        <v>0</v>
      </c>
      <c r="BU1044" s="67">
        <v>0</v>
      </c>
      <c r="BV1044" s="65">
        <f>BU1044</f>
        <v>0</v>
      </c>
      <c r="BX1044" s="67">
        <v>0</v>
      </c>
      <c r="BY1044" s="67">
        <v>0</v>
      </c>
      <c r="BZ1044" s="65">
        <f>BY1044</f>
        <v>0</v>
      </c>
      <c r="CB1044" s="67">
        <v>0</v>
      </c>
      <c r="CC1044" s="67">
        <v>0</v>
      </c>
      <c r="CD1044" s="65">
        <f>CC1044</f>
        <v>0</v>
      </c>
      <c r="CF1044" s="67">
        <v>0</v>
      </c>
      <c r="CG1044" s="67">
        <v>0</v>
      </c>
      <c r="CH1044" s="65">
        <f>CG1044</f>
        <v>0</v>
      </c>
      <c r="CJ1044" s="67">
        <v>0</v>
      </c>
      <c r="CK1044" s="67">
        <v>0</v>
      </c>
      <c r="CL1044" s="65">
        <f>CK1044</f>
        <v>0</v>
      </c>
      <c r="CN1044" s="67">
        <v>0</v>
      </c>
      <c r="CO1044" s="67">
        <v>0</v>
      </c>
      <c r="CP1044" s="65">
        <f>CO1044</f>
        <v>0</v>
      </c>
      <c r="CR1044" s="67">
        <v>0</v>
      </c>
      <c r="CS1044" s="67">
        <v>0</v>
      </c>
      <c r="CT1044" s="65">
        <f>CS1044</f>
        <v>0</v>
      </c>
      <c r="CV1044" s="67">
        <v>0</v>
      </c>
      <c r="CW1044" s="67">
        <v>0</v>
      </c>
      <c r="CX1044" s="65">
        <f>CW1044</f>
        <v>0</v>
      </c>
      <c r="CZ1044" s="67">
        <v>0</v>
      </c>
      <c r="DA1044" s="67">
        <v>0</v>
      </c>
      <c r="DB1044" s="65">
        <f>DA1044</f>
        <v>0</v>
      </c>
      <c r="DD1044" s="67">
        <v>0</v>
      </c>
      <c r="DE1044" s="67">
        <v>0</v>
      </c>
      <c r="DF1044" s="65">
        <f>DE1044</f>
        <v>0</v>
      </c>
      <c r="DH1044" s="102">
        <f>DH1090</f>
        <v>0</v>
      </c>
      <c r="DI1044" s="102">
        <f>DI1090</f>
        <v>0</v>
      </c>
      <c r="DJ1044" s="65">
        <f>DI1044</f>
        <v>0</v>
      </c>
      <c r="DL1044" s="102">
        <f>DL1090</f>
        <v>0</v>
      </c>
      <c r="DM1044" s="102">
        <f>DM1090</f>
        <v>0</v>
      </c>
      <c r="DN1044" s="65">
        <f>DM1044</f>
        <v>0</v>
      </c>
      <c r="DP1044" s="102">
        <f>DP1090</f>
        <v>0</v>
      </c>
      <c r="DQ1044" s="102">
        <f>DQ1090</f>
        <v>0</v>
      </c>
      <c r="DR1044" s="65">
        <f>DQ1044</f>
        <v>0</v>
      </c>
    </row>
    <row r="1045" spans="1:128" s="20" customFormat="1" ht="13.8">
      <c r="A1045" s="20" t="s">
        <v>614</v>
      </c>
      <c r="B1045" s="49" t="s">
        <v>1065</v>
      </c>
      <c r="BH1045" s="67">
        <v>53</v>
      </c>
      <c r="BI1045" s="67">
        <v>62</v>
      </c>
      <c r="BJ1045" s="65">
        <f>BI1045</f>
        <v>62</v>
      </c>
      <c r="BK1045" s="49"/>
      <c r="BL1045" s="67">
        <v>67</v>
      </c>
      <c r="BM1045" s="67">
        <v>77</v>
      </c>
      <c r="BN1045" s="65">
        <f>BM1045</f>
        <v>77</v>
      </c>
      <c r="BO1045" s="49"/>
      <c r="BP1045" s="67">
        <v>95</v>
      </c>
      <c r="BQ1045" s="67">
        <v>106</v>
      </c>
      <c r="BR1045" s="65">
        <f>BQ1045</f>
        <v>106</v>
      </c>
      <c r="BT1045" s="67">
        <v>101</v>
      </c>
      <c r="BU1045" s="67">
        <v>109</v>
      </c>
      <c r="BV1045" s="65">
        <f>BU1045</f>
        <v>109</v>
      </c>
      <c r="BX1045" s="67">
        <v>117</v>
      </c>
      <c r="BY1045" s="67">
        <v>116</v>
      </c>
      <c r="BZ1045" s="65">
        <f>BY1045</f>
        <v>116</v>
      </c>
      <c r="CB1045" s="67">
        <v>126</v>
      </c>
      <c r="CC1045" s="67">
        <v>140</v>
      </c>
      <c r="CD1045" s="65">
        <f>CC1045</f>
        <v>140</v>
      </c>
      <c r="CF1045" s="67">
        <v>150</v>
      </c>
      <c r="CG1045" s="67">
        <v>11</v>
      </c>
      <c r="CH1045" s="65">
        <f>CG1045</f>
        <v>11</v>
      </c>
      <c r="CJ1045" s="67">
        <v>11</v>
      </c>
      <c r="CK1045" s="67">
        <v>10</v>
      </c>
      <c r="CL1045" s="65">
        <f>CK1045</f>
        <v>10</v>
      </c>
      <c r="CN1045" s="67">
        <v>10</v>
      </c>
      <c r="CO1045" s="67">
        <v>11</v>
      </c>
      <c r="CP1045" s="65">
        <f>CO1045</f>
        <v>11</v>
      </c>
      <c r="CR1045" s="67">
        <v>9</v>
      </c>
      <c r="CS1045" s="67">
        <v>494</v>
      </c>
      <c r="CT1045" s="65">
        <f>CS1045</f>
        <v>494</v>
      </c>
      <c r="CV1045" s="67">
        <v>525</v>
      </c>
      <c r="CW1045" s="67">
        <v>522</v>
      </c>
      <c r="CX1045" s="65">
        <f>CW1045</f>
        <v>522</v>
      </c>
      <c r="CZ1045" s="67">
        <v>768</v>
      </c>
      <c r="DA1045" s="67">
        <v>771</v>
      </c>
      <c r="DB1045" s="65">
        <f>DA1045</f>
        <v>771</v>
      </c>
      <c r="DD1045" s="67">
        <v>764</v>
      </c>
      <c r="DE1045" s="67">
        <v>739</v>
      </c>
      <c r="DF1045" s="65">
        <f>DE1045</f>
        <v>739</v>
      </c>
      <c r="DH1045" s="102">
        <f>DH1095</f>
        <v>744</v>
      </c>
      <c r="DI1045" s="102">
        <f>DI1095</f>
        <v>749</v>
      </c>
      <c r="DJ1045" s="65">
        <f>DI1045</f>
        <v>749</v>
      </c>
      <c r="DL1045" s="102">
        <f>DL1095</f>
        <v>754</v>
      </c>
      <c r="DM1045" s="102">
        <f>DM1095</f>
        <v>759</v>
      </c>
      <c r="DN1045" s="65">
        <f>DM1045</f>
        <v>759</v>
      </c>
      <c r="DP1045" s="102">
        <f>DP1095</f>
        <v>764</v>
      </c>
      <c r="DQ1045" s="102">
        <f>DQ1095</f>
        <v>769</v>
      </c>
      <c r="DR1045" s="65">
        <f>DQ1045</f>
        <v>769</v>
      </c>
    </row>
    <row r="1046" spans="1:128" s="21" customFormat="1" ht="13.8">
      <c r="A1046" s="21" t="s">
        <v>155</v>
      </c>
      <c r="B1046" s="27"/>
      <c r="BH1046" s="72">
        <f>SUM(BH1043:BH1045)</f>
        <v>42503</v>
      </c>
      <c r="BI1046" s="72">
        <f>SUM(BI1043:BI1045)</f>
        <v>45603</v>
      </c>
      <c r="BJ1046" s="72">
        <f>SUM(BJ1043:BJ1045)</f>
        <v>45603</v>
      </c>
      <c r="BK1046" s="27"/>
      <c r="BL1046" s="72">
        <f>SUM(BL1043:BL1045)</f>
        <v>47038</v>
      </c>
      <c r="BM1046" s="72">
        <f>SUM(BM1043:BM1045)</f>
        <v>49284</v>
      </c>
      <c r="BN1046" s="72">
        <f>SUM(BN1043:BN1045)</f>
        <v>49284</v>
      </c>
      <c r="BO1046" s="27"/>
      <c r="BP1046" s="72">
        <f>SUM(BP1043:BP1045)</f>
        <v>52051</v>
      </c>
      <c r="BQ1046" s="72">
        <f>SUM(BQ1043:BQ1045)</f>
        <v>57353</v>
      </c>
      <c r="BR1046" s="72">
        <f>SUM(BR1043:BR1045)</f>
        <v>57353</v>
      </c>
      <c r="BT1046" s="72">
        <f>SUM(BT1043:BT1045)</f>
        <v>56464</v>
      </c>
      <c r="BU1046" s="72">
        <f>SUM(BU1043:BU1045)</f>
        <v>57927</v>
      </c>
      <c r="BV1046" s="72">
        <f>SUM(BV1043:BV1045)</f>
        <v>57927</v>
      </c>
      <c r="BX1046" s="72">
        <f>SUM(BX1043:BX1045)</f>
        <v>57908</v>
      </c>
      <c r="BY1046" s="72">
        <f>SUM(BY1043:BY1045)</f>
        <v>59075</v>
      </c>
      <c r="BZ1046" s="72">
        <f>SUM(BZ1043:BZ1045)</f>
        <v>59075</v>
      </c>
      <c r="CB1046" s="72">
        <f>SUM(CB1043:CB1045)</f>
        <v>59500</v>
      </c>
      <c r="CC1046" s="72">
        <f>SUM(CC1043:CC1045)</f>
        <v>59383</v>
      </c>
      <c r="CD1046" s="72">
        <f>SUM(CD1043:CD1045)</f>
        <v>59383</v>
      </c>
      <c r="CF1046" s="72">
        <f>SUM(CF1043:CF1045)</f>
        <v>59971</v>
      </c>
      <c r="CG1046" s="72">
        <f>SUM(CG1043:CG1045)</f>
        <v>60794</v>
      </c>
      <c r="CH1046" s="72">
        <f>SUM(CH1043:CH1045)</f>
        <v>60794</v>
      </c>
      <c r="CJ1046" s="72">
        <f>SUM(CJ1043:CJ1045)</f>
        <v>61375</v>
      </c>
      <c r="CK1046" s="72">
        <f>SUM(CK1043:CK1045)</f>
        <v>61297</v>
      </c>
      <c r="CL1046" s="72">
        <f>SUM(CL1043:CL1045)</f>
        <v>61297</v>
      </c>
      <c r="CN1046" s="72">
        <f>SUM(CN1043:CN1045)</f>
        <v>62576</v>
      </c>
      <c r="CO1046" s="72">
        <f>SUM(CO1043:CO1045)</f>
        <v>63676</v>
      </c>
      <c r="CP1046" s="72">
        <f>SUM(CP1043:CP1045)</f>
        <v>63676</v>
      </c>
      <c r="CR1046" s="72">
        <f>SUM(CR1043:CR1045)</f>
        <v>61756</v>
      </c>
      <c r="CS1046" s="72">
        <f>SUM(CS1043:CS1045)</f>
        <v>66401</v>
      </c>
      <c r="CT1046" s="72">
        <f>SUM(CT1043:CT1045)</f>
        <v>66401</v>
      </c>
      <c r="CV1046" s="72">
        <f>SUM(CV1043:CV1045)</f>
        <v>69580</v>
      </c>
      <c r="CW1046" s="72">
        <f>SUM(CW1043:CW1045)</f>
        <v>70017</v>
      </c>
      <c r="CX1046" s="72">
        <f>SUM(CX1043:CX1045)</f>
        <v>70017</v>
      </c>
      <c r="CZ1046" s="72">
        <f>SUM(CZ1043:CZ1045)</f>
        <v>71074</v>
      </c>
      <c r="DA1046" s="72">
        <f>SUM(DA1043:DA1045)</f>
        <v>70628</v>
      </c>
      <c r="DB1046" s="72">
        <f>SUM(DB1043:DB1045)</f>
        <v>70628</v>
      </c>
      <c r="DD1046" s="72">
        <f>SUM(DD1043:DD1045)</f>
        <v>72331</v>
      </c>
      <c r="DE1046" s="72">
        <f>SUM(DE1043:DE1045)</f>
        <v>71867</v>
      </c>
      <c r="DF1046" s="72">
        <f>SUM(DF1043:DF1045)</f>
        <v>71867</v>
      </c>
      <c r="DH1046" s="72">
        <f ca="1">SUM(DH1043:DH1045)</f>
        <v>73848.319410450567</v>
      </c>
      <c r="DI1046" s="72">
        <f ca="1">SUM(DI1043:DI1045)</f>
        <v>75134.500404853752</v>
      </c>
      <c r="DJ1046" s="72">
        <f ca="1">SUM(DJ1043:DJ1045)</f>
        <v>75134.500404853752</v>
      </c>
      <c r="DL1046" s="72">
        <f ca="1">SUM(DL1043:DL1045)</f>
        <v>76526.931352849206</v>
      </c>
      <c r="DM1046" s="72">
        <f ca="1">SUM(DM1043:DM1045)</f>
        <v>77313.233218012116</v>
      </c>
      <c r="DN1046" s="72">
        <f ca="1">SUM(DN1043:DN1045)</f>
        <v>77313.233218012116</v>
      </c>
      <c r="DP1046" s="72">
        <f ca="1">SUM(DP1043:DP1045)</f>
        <v>78252.087646612039</v>
      </c>
      <c r="DQ1046" s="72">
        <f ca="1">SUM(DQ1043:DQ1045)</f>
        <v>79233.214539050052</v>
      </c>
      <c r="DR1046" s="72">
        <f ca="1">SUM(DR1043:DR1045)</f>
        <v>79233.214539050052</v>
      </c>
      <c r="DW1046" s="20"/>
      <c r="DX1046" s="20"/>
    </row>
    <row r="1047" spans="1:128" s="21" customFormat="1" ht="13.8">
      <c r="A1047" s="78" t="s">
        <v>1139</v>
      </c>
      <c r="B1047" s="27"/>
      <c r="BH1047" s="72"/>
      <c r="BI1047" s="72"/>
      <c r="BJ1047" s="72"/>
      <c r="BK1047" s="27"/>
      <c r="BL1047" s="72"/>
      <c r="BM1047" s="72"/>
      <c r="BN1047" s="72"/>
      <c r="BO1047" s="27"/>
      <c r="BP1047" s="72"/>
      <c r="BQ1047" s="72"/>
      <c r="BR1047" s="72"/>
      <c r="BT1047" s="72"/>
      <c r="BU1047" s="72"/>
      <c r="BV1047" s="72"/>
      <c r="BX1047" s="72"/>
      <c r="BY1047" s="72"/>
      <c r="BZ1047" s="72"/>
      <c r="CB1047" s="72"/>
      <c r="CC1047" s="72"/>
      <c r="CD1047" s="72"/>
      <c r="CF1047" s="72"/>
      <c r="CG1047" s="72"/>
      <c r="CH1047" s="72"/>
      <c r="CJ1047" s="72"/>
      <c r="CK1047" s="72"/>
      <c r="CL1047" s="72"/>
      <c r="CN1047" s="72"/>
      <c r="CO1047" s="72"/>
      <c r="CP1047" s="72"/>
      <c r="CR1047" s="72"/>
      <c r="CS1047" s="72"/>
      <c r="CT1047" s="72"/>
      <c r="CV1047" s="72"/>
      <c r="CW1047" s="72"/>
      <c r="CX1047" s="72"/>
      <c r="CZ1047" s="72"/>
      <c r="DA1047" s="72"/>
      <c r="DB1047" s="72"/>
      <c r="DD1047" s="72"/>
      <c r="DE1047" s="72"/>
      <c r="DF1047" s="72"/>
      <c r="DH1047" s="72"/>
      <c r="DI1047" s="72"/>
      <c r="DJ1047" s="72"/>
      <c r="DL1047" s="72"/>
      <c r="DM1047" s="72"/>
      <c r="DN1047" s="72"/>
      <c r="DP1047" s="72"/>
      <c r="DQ1047" s="72"/>
      <c r="DR1047" s="72"/>
      <c r="DW1047" s="20"/>
      <c r="DX1047" s="20"/>
    </row>
    <row r="1048" spans="1:128" s="21" customFormat="1" ht="13.8">
      <c r="A1048" s="20" t="s">
        <v>1138</v>
      </c>
      <c r="B1048" s="27"/>
      <c r="BH1048" s="72"/>
      <c r="BI1048" s="72"/>
      <c r="BJ1048" s="72"/>
      <c r="BK1048" s="27"/>
      <c r="BL1048" s="72"/>
      <c r="BM1048" s="72"/>
      <c r="BN1048" s="72"/>
      <c r="BO1048" s="27"/>
      <c r="BP1048" s="72"/>
      <c r="BQ1048" s="72"/>
      <c r="BR1048" s="72"/>
      <c r="BT1048" s="72"/>
      <c r="BU1048" s="72"/>
      <c r="BV1048" s="72"/>
      <c r="BX1048" s="72"/>
      <c r="BY1048" s="72"/>
      <c r="BZ1048" s="72"/>
      <c r="CB1048" s="72"/>
      <c r="CC1048" s="72"/>
      <c r="CD1048" s="72"/>
      <c r="CF1048" s="72"/>
      <c r="CG1048" s="72"/>
      <c r="CH1048" s="72"/>
      <c r="CJ1048" s="72"/>
      <c r="CK1048" s="72"/>
      <c r="CL1048" s="72"/>
      <c r="CN1048" s="72"/>
      <c r="CO1048" s="72"/>
      <c r="CP1048" s="72"/>
      <c r="CR1048" s="72"/>
      <c r="CS1048" s="72"/>
      <c r="CT1048" s="72"/>
      <c r="CV1048" s="67">
        <f>739+245</f>
        <v>984</v>
      </c>
      <c r="CW1048" s="604">
        <f>CW1055</f>
        <v>932</v>
      </c>
      <c r="CX1048" s="72">
        <f>CW1048</f>
        <v>932</v>
      </c>
      <c r="CY1048" s="20"/>
      <c r="CZ1048" s="604">
        <f t="shared" ref="CZ1048:DA1048" si="1571">CZ1055</f>
        <v>872</v>
      </c>
      <c r="DA1048" s="604">
        <f t="shared" si="1571"/>
        <v>1868</v>
      </c>
      <c r="DB1048" s="72">
        <f>DA1048</f>
        <v>1868</v>
      </c>
      <c r="DC1048" s="20"/>
      <c r="DD1048" s="604">
        <f t="shared" ref="DD1048:DE1048" si="1572">DD1055</f>
        <v>1619</v>
      </c>
      <c r="DE1048" s="604">
        <f t="shared" si="1572"/>
        <v>1422</v>
      </c>
      <c r="DF1048" s="72">
        <f>DE1048</f>
        <v>1422</v>
      </c>
      <c r="DH1048" s="604">
        <f t="shared" ref="DH1048:DI1048" si="1573">DH1055</f>
        <v>405</v>
      </c>
      <c r="DI1048" s="604">
        <f t="shared" si="1573"/>
        <v>405</v>
      </c>
      <c r="DJ1048" s="65">
        <f>DI1048</f>
        <v>405</v>
      </c>
      <c r="DL1048" s="604">
        <f t="shared" ref="DL1048:DM1048" si="1574">DL1055</f>
        <v>405</v>
      </c>
      <c r="DM1048" s="604">
        <f t="shared" si="1574"/>
        <v>405</v>
      </c>
      <c r="DN1048" s="65">
        <f>DM1048</f>
        <v>405</v>
      </c>
      <c r="DP1048" s="604">
        <f t="shared" ref="DP1048:DQ1048" si="1575">DP1055</f>
        <v>405</v>
      </c>
      <c r="DQ1048" s="604">
        <f t="shared" si="1575"/>
        <v>405</v>
      </c>
      <c r="DR1048" s="65">
        <f>DQ1048</f>
        <v>405</v>
      </c>
      <c r="DW1048" s="20"/>
      <c r="DX1048" s="20"/>
    </row>
    <row r="1049" spans="1:128" s="20" customFormat="1" ht="13.8">
      <c r="A1049" s="20" t="s">
        <v>1222</v>
      </c>
      <c r="B1049" s="49"/>
      <c r="BH1049" s="65"/>
      <c r="BI1049" s="65"/>
      <c r="BJ1049" s="65"/>
      <c r="BK1049" s="49"/>
      <c r="BL1049" s="65"/>
      <c r="BM1049" s="65"/>
      <c r="BN1049" s="65"/>
      <c r="BO1049" s="49"/>
      <c r="BP1049" s="65"/>
      <c r="BQ1049" s="65"/>
      <c r="BR1049" s="65"/>
      <c r="BT1049" s="65"/>
      <c r="BU1049" s="65"/>
      <c r="BV1049" s="65"/>
      <c r="BX1049" s="65"/>
      <c r="BY1049" s="65"/>
      <c r="BZ1049" s="65"/>
      <c r="CB1049" s="65"/>
      <c r="CC1049" s="65"/>
      <c r="CD1049" s="65"/>
      <c r="CF1049" s="65"/>
      <c r="CG1049" s="65"/>
      <c r="CH1049" s="65"/>
      <c r="CJ1049" s="65"/>
      <c r="CK1049" s="65"/>
      <c r="CL1049" s="65"/>
      <c r="CN1049" s="65"/>
      <c r="CO1049" s="65"/>
      <c r="CP1049" s="65"/>
      <c r="CR1049" s="65"/>
      <c r="CS1049" s="65"/>
      <c r="CT1049" s="65"/>
      <c r="CV1049" s="65">
        <f>CV1046-CV1048</f>
        <v>68596</v>
      </c>
      <c r="CW1049" s="65">
        <f>CW1046-CW1048</f>
        <v>69085</v>
      </c>
      <c r="CX1049" s="65">
        <f>CW1049</f>
        <v>69085</v>
      </c>
      <c r="CZ1049" s="65">
        <f>CZ1046-CZ1048</f>
        <v>70202</v>
      </c>
      <c r="DA1049" s="65">
        <f>DA1046-DA1048</f>
        <v>68760</v>
      </c>
      <c r="DB1049" s="65">
        <f>DA1049</f>
        <v>68760</v>
      </c>
      <c r="DD1049" s="65">
        <f>DD1046-DD1048</f>
        <v>70712</v>
      </c>
      <c r="DE1049" s="65">
        <f>DE1046-DE1048</f>
        <v>70445</v>
      </c>
      <c r="DF1049" s="65">
        <f>DE1049</f>
        <v>70445</v>
      </c>
      <c r="DH1049" s="65">
        <f ca="1">DH1046-DH1048</f>
        <v>73443.319410450567</v>
      </c>
      <c r="DI1049" s="65">
        <f t="shared" ref="DI1049:DJ1049" ca="1" si="1576">DI1046-DI1048</f>
        <v>74729.500404853752</v>
      </c>
      <c r="DJ1049" s="65">
        <f t="shared" ca="1" si="1576"/>
        <v>74729.500404853752</v>
      </c>
      <c r="DL1049" s="65">
        <f ca="1">DL1046-DL1048</f>
        <v>76121.931352849206</v>
      </c>
      <c r="DM1049" s="65">
        <f t="shared" ref="DM1049:DN1049" ca="1" si="1577">DM1046-DM1048</f>
        <v>76908.233218012116</v>
      </c>
      <c r="DN1049" s="65">
        <f t="shared" ca="1" si="1577"/>
        <v>76908.233218012116</v>
      </c>
      <c r="DP1049" s="65">
        <f ca="1">DP1046-DP1048</f>
        <v>77847.087646612039</v>
      </c>
      <c r="DQ1049" s="65">
        <f t="shared" ref="DQ1049:DR1049" ca="1" si="1578">DQ1046-DQ1048</f>
        <v>78828.214539050052</v>
      </c>
      <c r="DR1049" s="65">
        <f t="shared" ca="1" si="1578"/>
        <v>78828.214539050052</v>
      </c>
    </row>
    <row r="1050" spans="1:128" s="21" customFormat="1" ht="13.8">
      <c r="B1050" s="27"/>
      <c r="BH1050" s="72"/>
      <c r="BI1050" s="72"/>
      <c r="BJ1050" s="72"/>
      <c r="BK1050" s="27"/>
      <c r="BL1050" s="72"/>
      <c r="BM1050" s="72"/>
      <c r="BN1050" s="72"/>
      <c r="BO1050" s="27"/>
      <c r="BP1050" s="72"/>
      <c r="BQ1050" s="72"/>
      <c r="BR1050" s="72"/>
      <c r="BT1050" s="72"/>
      <c r="BU1050" s="72"/>
      <c r="BV1050" s="72"/>
      <c r="BX1050" s="72"/>
      <c r="BY1050" s="72"/>
      <c r="BZ1050" s="72"/>
      <c r="CB1050" s="72"/>
      <c r="CC1050" s="72"/>
      <c r="CD1050" s="72"/>
      <c r="CF1050" s="72"/>
      <c r="CG1050" s="72"/>
      <c r="CH1050" s="72"/>
      <c r="CJ1050" s="72"/>
      <c r="CK1050" s="72"/>
      <c r="CL1050" s="72"/>
      <c r="CN1050" s="72"/>
      <c r="CO1050" s="72"/>
      <c r="CP1050" s="72"/>
      <c r="CR1050" s="72"/>
      <c r="CS1050" s="72"/>
      <c r="CT1050" s="72"/>
      <c r="CV1050" s="72"/>
      <c r="CW1050" s="72"/>
      <c r="CX1050" s="72"/>
      <c r="CZ1050" s="72"/>
      <c r="DA1050" s="72"/>
      <c r="DB1050" s="72"/>
      <c r="DD1050" s="72"/>
      <c r="DE1050" s="72"/>
      <c r="DF1050" s="72"/>
      <c r="DH1050" s="72"/>
      <c r="DI1050" s="72"/>
      <c r="DJ1050" s="72"/>
      <c r="DL1050" s="72"/>
      <c r="DM1050" s="72"/>
      <c r="DN1050" s="72"/>
      <c r="DP1050" s="72"/>
      <c r="DQ1050" s="72"/>
      <c r="DR1050" s="72"/>
      <c r="DW1050" s="20"/>
      <c r="DX1050" s="20"/>
    </row>
    <row r="1051" spans="1:128" s="21" customFormat="1" ht="13.8">
      <c r="A1051" s="21" t="str">
        <f>A1048</f>
        <v>Non-Bank Group and ANZGHL</v>
      </c>
      <c r="B1051" s="27"/>
      <c r="BH1051" s="72"/>
      <c r="BI1051" s="72"/>
      <c r="BJ1051" s="72"/>
      <c r="BK1051" s="27"/>
      <c r="BL1051" s="72"/>
      <c r="BM1051" s="72"/>
      <c r="BN1051" s="72"/>
      <c r="BO1051" s="27"/>
      <c r="BP1051" s="72"/>
      <c r="BQ1051" s="72"/>
      <c r="BR1051" s="72"/>
      <c r="BT1051" s="72"/>
      <c r="BU1051" s="72"/>
      <c r="BV1051" s="72"/>
      <c r="BX1051" s="72"/>
      <c r="BY1051" s="72"/>
      <c r="BZ1051" s="72"/>
      <c r="CB1051" s="72"/>
      <c r="CC1051" s="72"/>
      <c r="CD1051" s="72"/>
      <c r="CF1051" s="72"/>
      <c r="CG1051" s="72"/>
      <c r="CH1051" s="72"/>
      <c r="CJ1051" s="72"/>
      <c r="CK1051" s="72"/>
      <c r="CL1051" s="72"/>
      <c r="CN1051" s="72"/>
      <c r="CO1051" s="72"/>
      <c r="CP1051" s="72"/>
      <c r="CR1051" s="72"/>
      <c r="CS1051" s="72"/>
      <c r="CT1051" s="72"/>
      <c r="CV1051" s="72"/>
      <c r="CW1051" s="72"/>
      <c r="CX1051" s="72"/>
      <c r="CZ1051" s="72"/>
      <c r="DA1051" s="72"/>
      <c r="DB1051" s="72"/>
      <c r="DD1051" s="72"/>
      <c r="DE1051" s="72"/>
      <c r="DF1051" s="72"/>
      <c r="DH1051" s="72"/>
      <c r="DI1051" s="72"/>
      <c r="DJ1051" s="72"/>
      <c r="DL1051" s="72"/>
      <c r="DM1051" s="72"/>
      <c r="DN1051" s="72"/>
      <c r="DP1051" s="72"/>
      <c r="DQ1051" s="72"/>
      <c r="DR1051" s="72"/>
      <c r="DW1051" s="20"/>
      <c r="DX1051" s="20"/>
    </row>
    <row r="1052" spans="1:128" s="21" customFormat="1" ht="13.8">
      <c r="A1052" s="20" t="s">
        <v>1223</v>
      </c>
      <c r="B1052" s="27"/>
      <c r="BH1052" s="72"/>
      <c r="BI1052" s="72"/>
      <c r="BJ1052" s="72"/>
      <c r="BK1052" s="27"/>
      <c r="BL1052" s="72"/>
      <c r="BM1052" s="72"/>
      <c r="BN1052" s="72"/>
      <c r="BO1052" s="27"/>
      <c r="BP1052" s="72"/>
      <c r="BQ1052" s="72"/>
      <c r="BR1052" s="72"/>
      <c r="BT1052" s="72"/>
      <c r="BU1052" s="72"/>
      <c r="BV1052" s="72"/>
      <c r="BX1052" s="72"/>
      <c r="BY1052" s="72"/>
      <c r="BZ1052" s="72"/>
      <c r="CB1052" s="72"/>
      <c r="CC1052" s="72"/>
      <c r="CD1052" s="72"/>
      <c r="CF1052" s="72"/>
      <c r="CG1052" s="72"/>
      <c r="CH1052" s="72"/>
      <c r="CJ1052" s="72"/>
      <c r="CK1052" s="72"/>
      <c r="CL1052" s="72"/>
      <c r="CN1052" s="72"/>
      <c r="CO1052" s="72"/>
      <c r="CP1052" s="72"/>
      <c r="CR1052" s="72"/>
      <c r="CS1052" s="72"/>
      <c r="CT1052" s="72"/>
      <c r="CV1052" s="72"/>
      <c r="CW1052" s="67">
        <v>749</v>
      </c>
      <c r="CX1052" s="65">
        <f>CW1052</f>
        <v>749</v>
      </c>
      <c r="CZ1052" s="67">
        <v>716</v>
      </c>
      <c r="DA1052" s="67">
        <v>567</v>
      </c>
      <c r="DB1052" s="65">
        <f>DA1052</f>
        <v>567</v>
      </c>
      <c r="DD1052" s="67">
        <v>591</v>
      </c>
      <c r="DE1052" s="67">
        <v>405</v>
      </c>
      <c r="DF1052" s="65">
        <f>DE1052</f>
        <v>405</v>
      </c>
      <c r="DH1052" s="604">
        <f>DE1052</f>
        <v>405</v>
      </c>
      <c r="DI1052" s="604">
        <f>DH1052</f>
        <v>405</v>
      </c>
      <c r="DJ1052" s="65">
        <f>DI1052</f>
        <v>405</v>
      </c>
      <c r="DL1052" s="604">
        <f>DI1052</f>
        <v>405</v>
      </c>
      <c r="DM1052" s="604">
        <f>DL1052</f>
        <v>405</v>
      </c>
      <c r="DN1052" s="65">
        <f>DM1052</f>
        <v>405</v>
      </c>
      <c r="DP1052" s="604">
        <f>DM1052</f>
        <v>405</v>
      </c>
      <c r="DQ1052" s="604">
        <f>DP1052</f>
        <v>405</v>
      </c>
      <c r="DR1052" s="65">
        <f>DQ1052</f>
        <v>405</v>
      </c>
      <c r="DW1052" s="20"/>
      <c r="DX1052" s="20"/>
    </row>
    <row r="1053" spans="1:128" s="21" customFormat="1" ht="13.8">
      <c r="A1053" s="20" t="s">
        <v>1224</v>
      </c>
      <c r="B1053" s="27"/>
      <c r="BH1053" s="72"/>
      <c r="BI1053" s="72"/>
      <c r="BJ1053" s="72"/>
      <c r="BK1053" s="27"/>
      <c r="BL1053" s="72"/>
      <c r="BM1053" s="72"/>
      <c r="BN1053" s="72"/>
      <c r="BO1053" s="27"/>
      <c r="BP1053" s="72"/>
      <c r="BQ1053" s="72"/>
      <c r="BR1053" s="72"/>
      <c r="BT1053" s="72"/>
      <c r="BU1053" s="72"/>
      <c r="BV1053" s="72"/>
      <c r="BX1053" s="72"/>
      <c r="BY1053" s="72"/>
      <c r="BZ1053" s="72"/>
      <c r="CB1053" s="72"/>
      <c r="CC1053" s="72"/>
      <c r="CD1053" s="72"/>
      <c r="CF1053" s="72"/>
      <c r="CG1053" s="72"/>
      <c r="CH1053" s="72"/>
      <c r="CJ1053" s="72"/>
      <c r="CK1053" s="72"/>
      <c r="CL1053" s="72"/>
      <c r="CN1053" s="72"/>
      <c r="CO1053" s="72"/>
      <c r="CP1053" s="72"/>
      <c r="CR1053" s="72"/>
      <c r="CS1053" s="72"/>
      <c r="CT1053" s="72"/>
      <c r="CV1053" s="72"/>
      <c r="CW1053" s="608">
        <v>0</v>
      </c>
      <c r="CX1053" s="65">
        <f t="shared" ref="CX1053:CX1055" si="1579">CW1053</f>
        <v>0</v>
      </c>
      <c r="CZ1053" s="608">
        <v>0</v>
      </c>
      <c r="DA1053" s="1310">
        <f>-($CZ$1197+$DA$1197+$DD$1197+$DE$1197+$DH$1197+$DI$1197)+DA$1062</f>
        <v>291</v>
      </c>
      <c r="DB1053" s="65">
        <f t="shared" ref="DB1053:DB1055" si="1580">DA1053</f>
        <v>291</v>
      </c>
      <c r="DD1053" s="608">
        <f>-($CZ$1197+$DA$1197+$DD$1197+$DE$1197+$DH$1197+$DI$1197)+DA1062+DD1062</f>
        <v>6</v>
      </c>
      <c r="DE1053" s="608">
        <v>0</v>
      </c>
      <c r="DF1053" s="604">
        <f t="shared" ref="DF1053:DF1055" si="1581">DE1053</f>
        <v>0</v>
      </c>
      <c r="DH1053" s="1310">
        <v>0</v>
      </c>
      <c r="DI1053" s="1310">
        <v>0</v>
      </c>
      <c r="DJ1053" s="604">
        <f>DI1053</f>
        <v>0</v>
      </c>
      <c r="DL1053" s="1310">
        <f>-($CZ$1197+$DA$1197+$DD$1197+$DE$1197+$DH$1197+$DI$1197)+DE1062+DD1062+DA1062+DH1062+DI1062+DL1062</f>
        <v>0</v>
      </c>
      <c r="DM1053" s="608">
        <v>0</v>
      </c>
      <c r="DN1053" s="604">
        <f>DM1053</f>
        <v>0</v>
      </c>
      <c r="DP1053" s="1310">
        <v>0</v>
      </c>
      <c r="DQ1053" s="608">
        <v>0</v>
      </c>
      <c r="DR1053" s="604">
        <f>DQ1053</f>
        <v>0</v>
      </c>
      <c r="DW1053" s="20"/>
      <c r="DX1053" s="20"/>
    </row>
    <row r="1054" spans="1:128" s="21" customFormat="1" ht="13.8">
      <c r="A1054" s="533" t="s">
        <v>1225</v>
      </c>
      <c r="B1054" s="610"/>
      <c r="C1054" s="609"/>
      <c r="D1054" s="609"/>
      <c r="E1054" s="609"/>
      <c r="F1054" s="609"/>
      <c r="G1054" s="609"/>
      <c r="H1054" s="609"/>
      <c r="I1054" s="609"/>
      <c r="J1054" s="609"/>
      <c r="K1054" s="609"/>
      <c r="L1054" s="609"/>
      <c r="M1054" s="609"/>
      <c r="N1054" s="609"/>
      <c r="O1054" s="609"/>
      <c r="P1054" s="609"/>
      <c r="Q1054" s="609"/>
      <c r="R1054" s="609"/>
      <c r="S1054" s="609"/>
      <c r="T1054" s="609"/>
      <c r="U1054" s="609"/>
      <c r="V1054" s="609"/>
      <c r="W1054" s="609"/>
      <c r="X1054" s="609"/>
      <c r="Y1054" s="609"/>
      <c r="Z1054" s="609"/>
      <c r="AA1054" s="609"/>
      <c r="AB1054" s="609"/>
      <c r="AC1054" s="609"/>
      <c r="AD1054" s="609"/>
      <c r="AE1054" s="609"/>
      <c r="AF1054" s="609"/>
      <c r="AG1054" s="609"/>
      <c r="AH1054" s="609"/>
      <c r="AI1054" s="609"/>
      <c r="AJ1054" s="609"/>
      <c r="AK1054" s="609"/>
      <c r="AL1054" s="609"/>
      <c r="AM1054" s="609"/>
      <c r="AN1054" s="609"/>
      <c r="AO1054" s="609"/>
      <c r="AP1054" s="609"/>
      <c r="AQ1054" s="609"/>
      <c r="AR1054" s="609"/>
      <c r="AS1054" s="609"/>
      <c r="AT1054" s="609"/>
      <c r="AU1054" s="609"/>
      <c r="AV1054" s="609"/>
      <c r="AW1054" s="609"/>
      <c r="AX1054" s="609"/>
      <c r="AY1054" s="609"/>
      <c r="AZ1054" s="609"/>
      <c r="BA1054" s="609"/>
      <c r="BB1054" s="609"/>
      <c r="BC1054" s="609"/>
      <c r="BD1054" s="609"/>
      <c r="BE1054" s="609"/>
      <c r="BF1054" s="609"/>
      <c r="BG1054" s="609"/>
      <c r="BH1054" s="580"/>
      <c r="BI1054" s="580"/>
      <c r="BJ1054" s="580"/>
      <c r="BK1054" s="610"/>
      <c r="BL1054" s="580"/>
      <c r="BM1054" s="580"/>
      <c r="BN1054" s="580"/>
      <c r="BO1054" s="610"/>
      <c r="BP1054" s="580"/>
      <c r="BQ1054" s="580"/>
      <c r="BR1054" s="580"/>
      <c r="BS1054" s="609"/>
      <c r="BT1054" s="580"/>
      <c r="BU1054" s="580"/>
      <c r="BV1054" s="580"/>
      <c r="BW1054" s="609"/>
      <c r="BX1054" s="580"/>
      <c r="BY1054" s="580"/>
      <c r="BZ1054" s="580"/>
      <c r="CA1054" s="609"/>
      <c r="CB1054" s="580"/>
      <c r="CC1054" s="580"/>
      <c r="CD1054" s="580"/>
      <c r="CE1054" s="609"/>
      <c r="CF1054" s="580"/>
      <c r="CG1054" s="580"/>
      <c r="CH1054" s="580"/>
      <c r="CI1054" s="609"/>
      <c r="CJ1054" s="580"/>
      <c r="CK1054" s="580"/>
      <c r="CL1054" s="580"/>
      <c r="CM1054" s="609"/>
      <c r="CN1054" s="580"/>
      <c r="CO1054" s="580"/>
      <c r="CP1054" s="580"/>
      <c r="CQ1054" s="609"/>
      <c r="CR1054" s="580"/>
      <c r="CS1054" s="580"/>
      <c r="CT1054" s="580"/>
      <c r="CU1054" s="609"/>
      <c r="CV1054" s="580"/>
      <c r="CW1054" s="599">
        <v>183</v>
      </c>
      <c r="CX1054" s="583">
        <f t="shared" si="1579"/>
        <v>183</v>
      </c>
      <c r="CY1054" s="609"/>
      <c r="CZ1054" s="599">
        <v>156</v>
      </c>
      <c r="DA1054" s="599">
        <f>1301-DA1053</f>
        <v>1010</v>
      </c>
      <c r="DB1054" s="583">
        <f t="shared" si="1580"/>
        <v>1010</v>
      </c>
      <c r="DC1054" s="609"/>
      <c r="DD1054" s="599">
        <f>1028-DD1053</f>
        <v>1022</v>
      </c>
      <c r="DE1054" s="599">
        <v>1017</v>
      </c>
      <c r="DF1054" s="583">
        <f t="shared" si="1581"/>
        <v>1017</v>
      </c>
      <c r="DG1054" s="533"/>
      <c r="DH1054" s="1573">
        <v>0</v>
      </c>
      <c r="DI1054" s="1573">
        <v>0</v>
      </c>
      <c r="DJ1054" s="583">
        <f>DI1054</f>
        <v>0</v>
      </c>
      <c r="DK1054" s="533"/>
      <c r="DL1054" s="1573">
        <v>0</v>
      </c>
      <c r="DM1054" s="1573">
        <v>0</v>
      </c>
      <c r="DN1054" s="583">
        <f>DM1054</f>
        <v>0</v>
      </c>
      <c r="DO1054" s="533"/>
      <c r="DP1054" s="1573">
        <v>0</v>
      </c>
      <c r="DQ1054" s="1573">
        <v>0</v>
      </c>
      <c r="DR1054" s="583">
        <f>DQ1054</f>
        <v>0</v>
      </c>
      <c r="DS1054" s="325"/>
      <c r="DT1054" s="325"/>
      <c r="DU1054" s="325"/>
      <c r="DV1054" s="325"/>
      <c r="DW1054" s="20"/>
      <c r="DX1054" s="20"/>
    </row>
    <row r="1055" spans="1:128" s="21" customFormat="1" ht="13.8">
      <c r="A1055" s="21" t="s">
        <v>1226</v>
      </c>
      <c r="B1055" s="27"/>
      <c r="BH1055" s="72"/>
      <c r="BI1055" s="72"/>
      <c r="BJ1055" s="72"/>
      <c r="BK1055" s="27"/>
      <c r="BL1055" s="72"/>
      <c r="BM1055" s="72"/>
      <c r="BN1055" s="72"/>
      <c r="BO1055" s="27"/>
      <c r="BP1055" s="72"/>
      <c r="BQ1055" s="72"/>
      <c r="BR1055" s="72"/>
      <c r="BT1055" s="72"/>
      <c r="BU1055" s="72"/>
      <c r="BV1055" s="72"/>
      <c r="BX1055" s="72"/>
      <c r="BY1055" s="72"/>
      <c r="BZ1055" s="72"/>
      <c r="CB1055" s="72"/>
      <c r="CC1055" s="72"/>
      <c r="CD1055" s="72"/>
      <c r="CF1055" s="72"/>
      <c r="CG1055" s="72"/>
      <c r="CH1055" s="72"/>
      <c r="CJ1055" s="72"/>
      <c r="CK1055" s="72"/>
      <c r="CL1055" s="72"/>
      <c r="CN1055" s="72"/>
      <c r="CO1055" s="72"/>
      <c r="CP1055" s="72"/>
      <c r="CR1055" s="72"/>
      <c r="CS1055" s="72"/>
      <c r="CT1055" s="72"/>
      <c r="CV1055" s="72"/>
      <c r="CW1055" s="72">
        <f>SUM(CW1052:CW1054)</f>
        <v>932</v>
      </c>
      <c r="CX1055" s="72">
        <f t="shared" si="1579"/>
        <v>932</v>
      </c>
      <c r="CZ1055" s="72">
        <f>SUM(CZ1052:CZ1054)</f>
        <v>872</v>
      </c>
      <c r="DA1055" s="72">
        <f>SUM(DA1052:DA1054)</f>
        <v>1868</v>
      </c>
      <c r="DB1055" s="72">
        <f t="shared" si="1580"/>
        <v>1868</v>
      </c>
      <c r="DD1055" s="72">
        <f>SUM(DD1052:DD1054)</f>
        <v>1619</v>
      </c>
      <c r="DE1055" s="72">
        <f>SUM(DE1052:DE1054)</f>
        <v>1422</v>
      </c>
      <c r="DF1055" s="72">
        <f t="shared" si="1581"/>
        <v>1422</v>
      </c>
      <c r="DH1055" s="72">
        <f>SUM(DH1052:DH1054)</f>
        <v>405</v>
      </c>
      <c r="DI1055" s="72">
        <f>SUM(DI1052:DI1054)</f>
        <v>405</v>
      </c>
      <c r="DJ1055" s="72">
        <f t="shared" ref="DJ1055" si="1582">DI1055</f>
        <v>405</v>
      </c>
      <c r="DL1055" s="72">
        <f>SUM(DL1052:DL1054)</f>
        <v>405</v>
      </c>
      <c r="DM1055" s="72">
        <f>SUM(DM1052:DM1054)</f>
        <v>405</v>
      </c>
      <c r="DN1055" s="72">
        <f t="shared" ref="DN1055" si="1583">DM1055</f>
        <v>405</v>
      </c>
      <c r="DP1055" s="72">
        <f>SUM(DP1052:DP1054)</f>
        <v>405</v>
      </c>
      <c r="DQ1055" s="72">
        <f>SUM(DQ1052:DQ1054)</f>
        <v>405</v>
      </c>
      <c r="DR1055" s="72">
        <f t="shared" ref="DR1055" si="1584">DQ1055</f>
        <v>405</v>
      </c>
      <c r="DW1055" s="20"/>
      <c r="DX1055" s="20"/>
    </row>
    <row r="1056" spans="1:128" s="20" customFormat="1" ht="13.8">
      <c r="B1056" s="49"/>
      <c r="BH1056" s="49"/>
      <c r="BI1056" s="49"/>
      <c r="BJ1056" s="49"/>
      <c r="BK1056" s="49"/>
      <c r="BL1056" s="49"/>
      <c r="BM1056" s="49"/>
      <c r="BN1056" s="49"/>
      <c r="BO1056" s="49"/>
      <c r="BP1056" s="49"/>
      <c r="BQ1056" s="49"/>
      <c r="BR1056" s="49"/>
      <c r="BT1056" s="49"/>
      <c r="BX1056" s="49"/>
      <c r="CB1056" s="49"/>
      <c r="CF1056" s="49"/>
      <c r="CJ1056" s="49"/>
      <c r="CN1056" s="49"/>
      <c r="CR1056" s="49"/>
      <c r="CV1056" s="49"/>
      <c r="CW1056" s="28"/>
      <c r="CZ1056" s="49"/>
      <c r="DA1056" s="28"/>
      <c r="DD1056" s="49"/>
      <c r="DH1056" s="49"/>
      <c r="DL1056" s="49"/>
      <c r="DP1056" s="49"/>
    </row>
    <row r="1057" spans="1:128" s="20" customFormat="1" ht="13.8">
      <c r="A1057" s="21" t="s">
        <v>519</v>
      </c>
      <c r="B1057" s="49"/>
      <c r="BH1057" s="49"/>
      <c r="BI1057" s="49"/>
      <c r="BJ1057" s="49"/>
      <c r="BK1057" s="49"/>
      <c r="BL1057" s="49"/>
      <c r="BM1057" s="49"/>
      <c r="BN1057" s="49"/>
      <c r="BO1057" s="49"/>
      <c r="BP1057" s="49"/>
      <c r="BQ1057" s="49"/>
      <c r="BR1057" s="49"/>
      <c r="BT1057" s="49"/>
      <c r="BX1057" s="49"/>
      <c r="CB1057" s="49"/>
      <c r="CC1057" s="49"/>
      <c r="CF1057" s="49"/>
      <c r="CG1057" s="49"/>
      <c r="CJ1057" s="49"/>
      <c r="CK1057" s="49"/>
      <c r="CN1057" s="49"/>
      <c r="CO1057" s="49"/>
      <c r="CR1057" s="49"/>
      <c r="CV1057" s="49"/>
      <c r="CZ1057" s="49"/>
      <c r="DD1057" s="49"/>
      <c r="DH1057" s="49"/>
      <c r="DL1057" s="49"/>
      <c r="DP1057" s="49"/>
    </row>
    <row r="1058" spans="1:128" s="20" customFormat="1" ht="13.8">
      <c r="A1058" s="20" t="s">
        <v>310</v>
      </c>
      <c r="B1058" s="49"/>
      <c r="BH1058" s="67">
        <v>23070</v>
      </c>
      <c r="BI1058" s="65">
        <f>BH1065</f>
        <v>23589</v>
      </c>
      <c r="BJ1058" s="65">
        <f>BH1058</f>
        <v>23070</v>
      </c>
      <c r="BK1058" s="49"/>
      <c r="BL1058" s="65">
        <f>BI1065</f>
        <v>23641</v>
      </c>
      <c r="BM1058" s="65">
        <f>BL1065</f>
        <v>23529</v>
      </c>
      <c r="BN1058" s="65">
        <f>BL1058</f>
        <v>23641</v>
      </c>
      <c r="BO1058" s="49"/>
      <c r="BP1058" s="65">
        <f>BM1065</f>
        <v>24031</v>
      </c>
      <c r="BQ1058" s="65">
        <f>BP1065</f>
        <v>24152</v>
      </c>
      <c r="BR1058" s="65">
        <f>BP1058</f>
        <v>24031</v>
      </c>
      <c r="BT1058" s="65">
        <f>BQ1065</f>
        <v>28367</v>
      </c>
      <c r="BU1058" s="65">
        <f>BT1065</f>
        <v>28625</v>
      </c>
      <c r="BV1058" s="65">
        <f>BT1058</f>
        <v>28367</v>
      </c>
      <c r="BX1058" s="65">
        <f>BU1065</f>
        <v>28765</v>
      </c>
      <c r="BY1058" s="65">
        <f>BX1065</f>
        <v>29036</v>
      </c>
      <c r="BZ1058" s="65">
        <f>BX1058</f>
        <v>28765</v>
      </c>
      <c r="CB1058" s="65">
        <f>BY1065</f>
        <v>29088</v>
      </c>
      <c r="CC1058" s="65">
        <f>CB1065</f>
        <v>27933</v>
      </c>
      <c r="CD1058" s="65">
        <f>CB1058</f>
        <v>29088</v>
      </c>
      <c r="CF1058" s="65">
        <f>CC1065</f>
        <v>27205</v>
      </c>
      <c r="CG1058" s="65">
        <f>CF1065</f>
        <v>26048</v>
      </c>
      <c r="CH1058" s="65">
        <f>CF1058</f>
        <v>27205</v>
      </c>
      <c r="CJ1058" s="65">
        <f>CG1065</f>
        <v>26490</v>
      </c>
      <c r="CK1058" s="65">
        <f>CJ1065</f>
        <v>26440</v>
      </c>
      <c r="CL1058" s="65">
        <f>CJ1058</f>
        <v>26490</v>
      </c>
      <c r="CN1058" s="65">
        <f>CK1065</f>
        <v>26531</v>
      </c>
      <c r="CO1058" s="65">
        <f>CN1065</f>
        <v>26615</v>
      </c>
      <c r="CP1058" s="65">
        <f>CN1058</f>
        <v>26531</v>
      </c>
      <c r="CR1058" s="65">
        <f>CO1065</f>
        <v>25984</v>
      </c>
      <c r="CS1058" s="65">
        <f>CR1065</f>
        <v>25091</v>
      </c>
      <c r="CT1058" s="65">
        <f>CR1058</f>
        <v>25984</v>
      </c>
      <c r="CV1058" s="65">
        <f>CS1065</f>
        <v>28797</v>
      </c>
      <c r="CW1058" s="65">
        <f>CV1065</f>
        <v>29054</v>
      </c>
      <c r="CX1058" s="65">
        <f>CV1058</f>
        <v>28797</v>
      </c>
      <c r="CZ1058" s="65">
        <f>CW1065</f>
        <v>29082</v>
      </c>
      <c r="DA1058" s="65">
        <f>CZ1065</f>
        <v>29033</v>
      </c>
      <c r="DB1058" s="65">
        <f>CZ1058</f>
        <v>29082</v>
      </c>
      <c r="DD1058" s="65">
        <f>DA1065</f>
        <v>28182</v>
      </c>
      <c r="DE1058" s="65">
        <f>DD1065</f>
        <v>27860</v>
      </c>
      <c r="DF1058" s="65">
        <f>DD1058</f>
        <v>28182</v>
      </c>
      <c r="DH1058" s="65">
        <f>DE1065</f>
        <v>28191</v>
      </c>
      <c r="DI1058" s="65">
        <f>DH1065</f>
        <v>28962.087524819999</v>
      </c>
      <c r="DJ1058" s="65">
        <f>DH1058</f>
        <v>28191</v>
      </c>
      <c r="DL1058" s="65">
        <f ca="1">DI1065</f>
        <v>28991.049612344817</v>
      </c>
      <c r="DM1058" s="65">
        <f ca="1">DL1065</f>
        <v>29020.040661957162</v>
      </c>
      <c r="DN1058" s="65">
        <f ca="1">DL1058</f>
        <v>28991.049612344817</v>
      </c>
      <c r="DP1058" s="65">
        <f ca="1">DM1065</f>
        <v>28533.688814196255</v>
      </c>
      <c r="DQ1058" s="65">
        <f ca="1">DP1065</f>
        <v>28082.622426217698</v>
      </c>
      <c r="DR1058" s="65">
        <f ca="1">DP1058</f>
        <v>28533.688814196255</v>
      </c>
    </row>
    <row r="1059" spans="1:128" s="20" customFormat="1" ht="13.8">
      <c r="A1059" s="20" t="s">
        <v>615</v>
      </c>
      <c r="B1059" s="49"/>
      <c r="BH1059" s="106">
        <v>0</v>
      </c>
      <c r="BI1059" s="106">
        <v>0</v>
      </c>
      <c r="BJ1059" s="49">
        <f t="shared" ref="BJ1059:BJ1064" si="1585">SUM(BH1059:BI1059)</f>
        <v>0</v>
      </c>
      <c r="BK1059" s="49"/>
      <c r="BL1059" s="106">
        <v>0</v>
      </c>
      <c r="BM1059" s="106">
        <v>0</v>
      </c>
      <c r="BN1059" s="49">
        <f t="shared" ref="BN1059:BN1064" si="1586">SUM(BL1059:BM1059)</f>
        <v>0</v>
      </c>
      <c r="BO1059" s="49"/>
      <c r="BP1059" s="106">
        <v>0</v>
      </c>
      <c r="BQ1059" s="106">
        <f>3206-BP1059</f>
        <v>3206</v>
      </c>
      <c r="BR1059" s="49">
        <f t="shared" ref="BR1059:BR1064" si="1587">SUM(BP1059:BQ1059)</f>
        <v>3206</v>
      </c>
      <c r="BT1059" s="106">
        <v>0</v>
      </c>
      <c r="BU1059" s="106">
        <v>0</v>
      </c>
      <c r="BV1059" s="49">
        <f t="shared" ref="BV1059:BV1064" si="1588">SUM(BT1059:BU1059)</f>
        <v>0</v>
      </c>
      <c r="BX1059" s="106">
        <v>0</v>
      </c>
      <c r="BY1059" s="106">
        <v>0</v>
      </c>
      <c r="BZ1059" s="49">
        <f t="shared" ref="BZ1059:BZ1064" si="1589">SUM(BX1059:BY1059)</f>
        <v>0</v>
      </c>
      <c r="CB1059" s="106">
        <v>0</v>
      </c>
      <c r="CC1059" s="106">
        <v>0</v>
      </c>
      <c r="CD1059" s="49">
        <f t="shared" ref="CD1059:CD1064" si="1590">SUM(CB1059:CC1059)</f>
        <v>0</v>
      </c>
      <c r="CF1059" s="106">
        <v>0</v>
      </c>
      <c r="CG1059" s="106">
        <v>0</v>
      </c>
      <c r="CH1059" s="49">
        <f t="shared" ref="CH1059:CH1064" si="1591">SUM(CF1059:CG1059)</f>
        <v>0</v>
      </c>
      <c r="CJ1059" s="106">
        <v>0</v>
      </c>
      <c r="CK1059" s="106">
        <v>0</v>
      </c>
      <c r="CL1059" s="49">
        <f t="shared" ref="CL1059:CL1064" si="1592">SUM(CJ1059:CK1059)</f>
        <v>0</v>
      </c>
      <c r="CN1059" s="106">
        <v>0</v>
      </c>
      <c r="CO1059" s="106">
        <v>0</v>
      </c>
      <c r="CP1059" s="49">
        <f t="shared" ref="CP1059:CP1064" si="1593">SUM(CN1059:CO1059)</f>
        <v>0</v>
      </c>
      <c r="CR1059" s="106">
        <v>0</v>
      </c>
      <c r="CS1059" s="67">
        <v>3497</v>
      </c>
      <c r="CT1059" s="49">
        <f t="shared" ref="CT1059:CT1064" si="1594">SUM(CR1059:CS1059)</f>
        <v>3497</v>
      </c>
      <c r="CV1059" s="106">
        <v>0</v>
      </c>
      <c r="CW1059" s="67">
        <v>0</v>
      </c>
      <c r="CX1059" s="49">
        <f t="shared" ref="CX1059:CX1064" si="1595">SUM(CV1059:CW1059)</f>
        <v>0</v>
      </c>
      <c r="CZ1059" s="106">
        <v>0</v>
      </c>
      <c r="DA1059" s="67">
        <v>0</v>
      </c>
      <c r="DB1059" s="49">
        <f t="shared" ref="DB1059:DB1064" si="1596">SUM(CZ1059:DA1059)</f>
        <v>0</v>
      </c>
      <c r="DD1059" s="106">
        <v>0</v>
      </c>
      <c r="DE1059" s="67">
        <v>0</v>
      </c>
      <c r="DF1059" s="49">
        <f t="shared" ref="DF1059:DF1064" si="1597">SUM(DD1059:DE1059)</f>
        <v>0</v>
      </c>
      <c r="DH1059" s="65">
        <f>DE1186</f>
        <v>0</v>
      </c>
      <c r="DI1059" s="65">
        <f ca="1">DH1186</f>
        <v>0</v>
      </c>
      <c r="DJ1059" s="65">
        <f t="shared" ref="DJ1059:DJ1064" ca="1" si="1598">SUM(DH1059:DI1059)</f>
        <v>0</v>
      </c>
      <c r="DL1059" s="65">
        <f ca="1">DI1186</f>
        <v>0</v>
      </c>
      <c r="DM1059" s="65">
        <f ca="1">DL1186</f>
        <v>0</v>
      </c>
      <c r="DN1059" s="65">
        <f t="shared" ref="DN1059:DN1064" ca="1" si="1599">SUM(DL1059:DM1059)</f>
        <v>0</v>
      </c>
      <c r="DP1059" s="65">
        <f ca="1">DM1186</f>
        <v>0</v>
      </c>
      <c r="DQ1059" s="65">
        <f ca="1">DP1186</f>
        <v>0</v>
      </c>
      <c r="DR1059" s="65">
        <f t="shared" ref="DR1059:DR1064" ca="1" si="1600">SUM(DP1059:DQ1059)</f>
        <v>0</v>
      </c>
    </row>
    <row r="1060" spans="1:128" s="20" customFormat="1" ht="13.8">
      <c r="A1060" s="20" t="s">
        <v>616</v>
      </c>
      <c r="B1060" s="49" t="s">
        <v>1066</v>
      </c>
      <c r="BH1060" s="106">
        <v>451</v>
      </c>
      <c r="BI1060" s="106">
        <v>392</v>
      </c>
      <c r="BJ1060" s="49">
        <f t="shared" si="1585"/>
        <v>843</v>
      </c>
      <c r="BK1060" s="49"/>
      <c r="BL1060" s="106">
        <v>476</v>
      </c>
      <c r="BM1060" s="106">
        <v>375</v>
      </c>
      <c r="BN1060" s="49">
        <f t="shared" si="1586"/>
        <v>851</v>
      </c>
      <c r="BO1060" s="49"/>
      <c r="BP1060" s="106">
        <v>257</v>
      </c>
      <c r="BQ1060" s="106">
        <f>1122-BP1060</f>
        <v>865</v>
      </c>
      <c r="BR1060" s="49">
        <f t="shared" si="1587"/>
        <v>1122</v>
      </c>
      <c r="BT1060" s="106">
        <v>215</v>
      </c>
      <c r="BU1060" s="106">
        <f>413-BT1060</f>
        <v>198</v>
      </c>
      <c r="BV1060" s="49">
        <f t="shared" si="1588"/>
        <v>413</v>
      </c>
      <c r="BX1060" s="106">
        <v>199</v>
      </c>
      <c r="BY1060" s="106">
        <v>176</v>
      </c>
      <c r="BZ1060" s="49">
        <f t="shared" si="1589"/>
        <v>375</v>
      </c>
      <c r="CB1060" s="67">
        <v>192</v>
      </c>
      <c r="CC1060" s="67">
        <v>200</v>
      </c>
      <c r="CD1060" s="65">
        <f t="shared" si="1590"/>
        <v>392</v>
      </c>
      <c r="CE1060" s="28"/>
      <c r="CF1060" s="67">
        <v>199</v>
      </c>
      <c r="CG1060" s="67">
        <v>233</v>
      </c>
      <c r="CH1060" s="65">
        <f t="shared" si="1591"/>
        <v>432</v>
      </c>
      <c r="CJ1060" s="67">
        <v>185</v>
      </c>
      <c r="CK1060" s="67">
        <v>61</v>
      </c>
      <c r="CL1060" s="65">
        <f t="shared" si="1592"/>
        <v>246</v>
      </c>
      <c r="CN1060" s="67">
        <v>94</v>
      </c>
      <c r="CO1060" s="65">
        <f>CN1171</f>
        <v>198.24539983999998</v>
      </c>
      <c r="CP1060" s="65">
        <f t="shared" si="1593"/>
        <v>292.24539984</v>
      </c>
      <c r="CR1060" s="65">
        <f>CO1171</f>
        <v>203.83917375999999</v>
      </c>
      <c r="CS1060" s="65">
        <f>CR1171</f>
        <v>183.61915616000002</v>
      </c>
      <c r="CT1060" s="65">
        <f t="shared" si="1594"/>
        <v>387.45832991999998</v>
      </c>
      <c r="CV1060" s="65">
        <f>CS1171</f>
        <v>206.05503078000004</v>
      </c>
      <c r="CW1060" s="65">
        <f>CV1171</f>
        <v>326</v>
      </c>
      <c r="CX1060" s="65">
        <f t="shared" si="1595"/>
        <v>532.05503078000004</v>
      </c>
      <c r="CZ1060" s="65">
        <f>CW1171</f>
        <v>211</v>
      </c>
      <c r="DA1060" s="65">
        <f>CZ1171</f>
        <v>324</v>
      </c>
      <c r="DB1060" s="65">
        <f t="shared" si="1596"/>
        <v>535</v>
      </c>
      <c r="DD1060" s="65">
        <f>DA1171</f>
        <v>211</v>
      </c>
      <c r="DE1060" s="65">
        <f>DD1171</f>
        <v>192</v>
      </c>
      <c r="DF1060" s="65">
        <f t="shared" si="1597"/>
        <v>403</v>
      </c>
      <c r="DH1060" s="65">
        <f>DE1171</f>
        <v>742.89652481999997</v>
      </c>
      <c r="DI1060" s="65">
        <f ca="1">DH1171</f>
        <v>255.40720081710893</v>
      </c>
      <c r="DJ1060" s="65">
        <f t="shared" ca="1" si="1598"/>
        <v>998.30372563710887</v>
      </c>
      <c r="DL1060" s="65">
        <f ca="1">DI1171</f>
        <v>260.18778222336255</v>
      </c>
      <c r="DM1060" s="65">
        <f ca="1">DL1171</f>
        <v>270.66160500193899</v>
      </c>
      <c r="DN1060" s="65">
        <f t="shared" ca="1" si="1599"/>
        <v>530.8493872253016</v>
      </c>
      <c r="DP1060" s="65">
        <f ca="1">DM1171</f>
        <v>275.60461364308065</v>
      </c>
      <c r="DQ1060" s="65">
        <f ca="1">DP1171</f>
        <v>280.86526932812683</v>
      </c>
      <c r="DR1060" s="65">
        <f t="shared" ca="1" si="1600"/>
        <v>556.46988297120743</v>
      </c>
    </row>
    <row r="1061" spans="1:128" s="20" customFormat="1" ht="13.8">
      <c r="A1061" s="20" t="s">
        <v>617</v>
      </c>
      <c r="B1061" s="49"/>
      <c r="BH1061" s="106">
        <v>0</v>
      </c>
      <c r="BI1061" s="67">
        <v>-425</v>
      </c>
      <c r="BJ1061" s="387">
        <f t="shared" si="1585"/>
        <v>-425</v>
      </c>
      <c r="BK1061" s="49"/>
      <c r="BL1061" s="106">
        <v>-500</v>
      </c>
      <c r="BM1061" s="67">
        <v>0</v>
      </c>
      <c r="BN1061" s="387">
        <f t="shared" si="1586"/>
        <v>-500</v>
      </c>
      <c r="BO1061" s="49"/>
      <c r="BP1061" s="106">
        <v>0</v>
      </c>
      <c r="BQ1061" s="67">
        <v>0</v>
      </c>
      <c r="BR1061" s="387">
        <f t="shared" si="1587"/>
        <v>0</v>
      </c>
      <c r="BT1061" s="106">
        <v>0</v>
      </c>
      <c r="BU1061" s="67">
        <v>0</v>
      </c>
      <c r="BV1061" s="387">
        <f t="shared" si="1588"/>
        <v>0</v>
      </c>
      <c r="BX1061" s="67">
        <v>0</v>
      </c>
      <c r="BY1061" s="67">
        <v>-176</v>
      </c>
      <c r="BZ1061" s="387">
        <f t="shared" si="1589"/>
        <v>-176</v>
      </c>
      <c r="CB1061" s="67">
        <v>-192</v>
      </c>
      <c r="CC1061" s="67">
        <v>-200</v>
      </c>
      <c r="CD1061" s="65">
        <f t="shared" si="1590"/>
        <v>-392</v>
      </c>
      <c r="CE1061" s="28"/>
      <c r="CF1061" s="67">
        <v>-199</v>
      </c>
      <c r="CG1061" s="65">
        <f>-CG1060</f>
        <v>-233</v>
      </c>
      <c r="CH1061" s="65">
        <f t="shared" si="1591"/>
        <v>-432</v>
      </c>
      <c r="CJ1061" s="65">
        <f>-CJ1060</f>
        <v>-185</v>
      </c>
      <c r="CK1061" s="573">
        <v>0</v>
      </c>
      <c r="CL1061" s="65">
        <f t="shared" si="1592"/>
        <v>-185</v>
      </c>
      <c r="CN1061" s="65">
        <f>-CN1060</f>
        <v>-94</v>
      </c>
      <c r="CO1061" s="573">
        <f>-7.103024*27.91</f>
        <v>-198.24539983999998</v>
      </c>
      <c r="CP1061" s="65">
        <f t="shared" si="1593"/>
        <v>-292.24539984</v>
      </c>
      <c r="CR1061" s="65">
        <f>-CR1060</f>
        <v>-203.83917375999999</v>
      </c>
      <c r="CS1061" s="65">
        <f>CR1175</f>
        <v>0</v>
      </c>
      <c r="CT1061" s="65">
        <f t="shared" si="1594"/>
        <v>-203.83917375999999</v>
      </c>
      <c r="CV1061" s="65">
        <f>CS1175</f>
        <v>0</v>
      </c>
      <c r="CW1061" s="65">
        <f>CV1175</f>
        <v>-326</v>
      </c>
      <c r="CX1061" s="65">
        <f t="shared" si="1595"/>
        <v>-326</v>
      </c>
      <c r="CZ1061" s="65">
        <f>CW1175</f>
        <v>-211</v>
      </c>
      <c r="DA1061" s="65">
        <f>CZ1175</f>
        <v>-324</v>
      </c>
      <c r="DB1061" s="65">
        <f t="shared" si="1596"/>
        <v>-535</v>
      </c>
      <c r="DD1061" s="65">
        <f>DA1175</f>
        <v>-211</v>
      </c>
      <c r="DE1061" s="65">
        <f>DD1175</f>
        <v>0</v>
      </c>
      <c r="DF1061" s="65">
        <f t="shared" si="1597"/>
        <v>-211</v>
      </c>
      <c r="DH1061" s="65">
        <f>DE1175</f>
        <v>0</v>
      </c>
      <c r="DI1061" s="65">
        <f ca="1">DH1175</f>
        <v>-255.40720081710893</v>
      </c>
      <c r="DJ1061" s="65">
        <f t="shared" ca="1" si="1598"/>
        <v>-255.40720081710893</v>
      </c>
      <c r="DL1061" s="65">
        <f ca="1">DI1175</f>
        <v>-260.18778222336255</v>
      </c>
      <c r="DM1061" s="65">
        <f ca="1">DL1175</f>
        <v>-270.66160500193899</v>
      </c>
      <c r="DN1061" s="65">
        <f t="shared" ca="1" si="1599"/>
        <v>-530.8493872253016</v>
      </c>
      <c r="DP1061" s="65">
        <f ca="1">DM1175</f>
        <v>-275.60461364308065</v>
      </c>
      <c r="DQ1061" s="65">
        <f ca="1">DP1175</f>
        <v>-280.86526932812683</v>
      </c>
      <c r="DR1061" s="65">
        <f t="shared" ca="1" si="1600"/>
        <v>-556.46988297120743</v>
      </c>
    </row>
    <row r="1062" spans="1:128" s="20" customFormat="1" ht="13.8">
      <c r="A1062" s="20" t="s">
        <v>618</v>
      </c>
      <c r="B1062" s="49"/>
      <c r="BH1062" s="67">
        <v>0</v>
      </c>
      <c r="BI1062" s="67">
        <v>0</v>
      </c>
      <c r="BJ1062" s="49">
        <f t="shared" si="1585"/>
        <v>0</v>
      </c>
      <c r="BK1062" s="49"/>
      <c r="BL1062" s="67">
        <v>-88</v>
      </c>
      <c r="BM1062" s="67">
        <v>99</v>
      </c>
      <c r="BN1062" s="49">
        <f t="shared" si="1586"/>
        <v>11</v>
      </c>
      <c r="BO1062" s="49"/>
      <c r="BP1062" s="67">
        <v>-97</v>
      </c>
      <c r="BQ1062" s="67">
        <v>0</v>
      </c>
      <c r="BR1062" s="49">
        <f t="shared" si="1587"/>
        <v>-97</v>
      </c>
      <c r="BT1062" s="67">
        <v>0</v>
      </c>
      <c r="BU1062" s="67">
        <v>0</v>
      </c>
      <c r="BV1062" s="49">
        <f t="shared" si="1588"/>
        <v>0</v>
      </c>
      <c r="BX1062" s="67">
        <v>0</v>
      </c>
      <c r="BY1062" s="67">
        <v>0</v>
      </c>
      <c r="BZ1062" s="49">
        <f t="shared" si="1589"/>
        <v>0</v>
      </c>
      <c r="CB1062" s="67">
        <f>-1324-CB1061</f>
        <v>-1132</v>
      </c>
      <c r="CC1062" s="67">
        <f>-1880-CB1062</f>
        <v>-748</v>
      </c>
      <c r="CD1062" s="65">
        <f t="shared" si="1590"/>
        <v>-1880</v>
      </c>
      <c r="CE1062" s="28"/>
      <c r="CF1062" s="67">
        <v>-1120</v>
      </c>
      <c r="CG1062" s="67">
        <v>0</v>
      </c>
      <c r="CH1062" s="65">
        <f t="shared" si="1591"/>
        <v>-1120</v>
      </c>
      <c r="CJ1062" s="67">
        <v>0</v>
      </c>
      <c r="CK1062" s="67">
        <v>0</v>
      </c>
      <c r="CL1062" s="65">
        <f t="shared" si="1592"/>
        <v>0</v>
      </c>
      <c r="CN1062" s="67">
        <v>0</v>
      </c>
      <c r="CO1062" s="65">
        <f>CN1197</f>
        <v>-654</v>
      </c>
      <c r="CP1062" s="65">
        <f t="shared" si="1593"/>
        <v>-654</v>
      </c>
      <c r="CR1062" s="65">
        <f>CO1197</f>
        <v>-846</v>
      </c>
      <c r="CS1062" s="65">
        <f>CR1197</f>
        <v>0</v>
      </c>
      <c r="CT1062" s="65">
        <f t="shared" si="1594"/>
        <v>-846</v>
      </c>
      <c r="CV1062" s="65">
        <f>CS1197</f>
        <v>0</v>
      </c>
      <c r="CW1062" s="65">
        <f>CV1197</f>
        <v>0</v>
      </c>
      <c r="CX1062" s="65">
        <f t="shared" si="1595"/>
        <v>0</v>
      </c>
      <c r="CZ1062" s="65">
        <f>CW1197</f>
        <v>0</v>
      </c>
      <c r="DA1062" s="65">
        <f>CZ1197</f>
        <v>-883</v>
      </c>
      <c r="DB1062" s="65">
        <f t="shared" si="1596"/>
        <v>-883</v>
      </c>
      <c r="DD1062" s="65">
        <f>DA1197</f>
        <v>-285</v>
      </c>
      <c r="DE1062" s="65">
        <f>DD1197</f>
        <v>-6</v>
      </c>
      <c r="DF1062" s="65">
        <f t="shared" si="1597"/>
        <v>-291</v>
      </c>
      <c r="DH1062" s="65">
        <f>DE1197</f>
        <v>0</v>
      </c>
      <c r="DI1062" s="65">
        <f>DH1197</f>
        <v>0</v>
      </c>
      <c r="DJ1062" s="65">
        <f t="shared" si="1598"/>
        <v>0</v>
      </c>
      <c r="DL1062" s="65">
        <f>DI1197</f>
        <v>0</v>
      </c>
      <c r="DM1062" s="65">
        <f ca="1">DL1197</f>
        <v>-515.3718884228656</v>
      </c>
      <c r="DN1062" s="65">
        <f t="shared" ca="1" si="1599"/>
        <v>-515.3718884228656</v>
      </c>
      <c r="DP1062" s="65">
        <f ca="1">DM1197</f>
        <v>-479.60007679275441</v>
      </c>
      <c r="DQ1062" s="65">
        <f ca="1">DP1197</f>
        <v>-541.40693556868791</v>
      </c>
      <c r="DR1062" s="65">
        <f t="shared" ca="1" si="1600"/>
        <v>-1021.0070123614423</v>
      </c>
    </row>
    <row r="1063" spans="1:128" s="325" customFormat="1" ht="13.8">
      <c r="A1063" s="325" t="s">
        <v>619</v>
      </c>
      <c r="B1063" s="324"/>
      <c r="BH1063" s="357">
        <v>27</v>
      </c>
      <c r="BI1063" s="357">
        <v>-20</v>
      </c>
      <c r="BJ1063" s="324">
        <f t="shared" si="1585"/>
        <v>7</v>
      </c>
      <c r="BK1063" s="324"/>
      <c r="BL1063" s="357">
        <v>-2</v>
      </c>
      <c r="BM1063" s="357">
        <v>26</v>
      </c>
      <c r="BN1063" s="324">
        <f t="shared" si="1586"/>
        <v>24</v>
      </c>
      <c r="BO1063" s="324"/>
      <c r="BP1063" s="357">
        <v>0</v>
      </c>
      <c r="BQ1063" s="357">
        <v>0</v>
      </c>
      <c r="BR1063" s="324">
        <f t="shared" si="1587"/>
        <v>0</v>
      </c>
      <c r="BT1063" s="357">
        <f>-13+56</f>
        <v>43</v>
      </c>
      <c r="BU1063" s="357">
        <f>-153+138-BT1063</f>
        <v>-58</v>
      </c>
      <c r="BV1063" s="324">
        <f t="shared" si="1588"/>
        <v>-15</v>
      </c>
      <c r="BX1063" s="357">
        <f>71+1</f>
        <v>72</v>
      </c>
      <c r="BY1063" s="773">
        <f>69+56-BX1063</f>
        <v>53</v>
      </c>
      <c r="BZ1063" s="324">
        <f t="shared" si="1589"/>
        <v>125</v>
      </c>
      <c r="CB1063" s="327">
        <v>-23</v>
      </c>
      <c r="CC1063" s="773">
        <v>21</v>
      </c>
      <c r="CD1063" s="324">
        <f t="shared" si="1590"/>
        <v>-2</v>
      </c>
      <c r="CF1063" s="773">
        <f>0-37</f>
        <v>-37</v>
      </c>
      <c r="CG1063" s="773">
        <f>405-CF1063</f>
        <v>442</v>
      </c>
      <c r="CH1063" s="324">
        <f t="shared" si="1591"/>
        <v>405</v>
      </c>
      <c r="CJ1063" s="773">
        <v>0</v>
      </c>
      <c r="CK1063" s="773">
        <v>0</v>
      </c>
      <c r="CL1063" s="324">
        <f t="shared" si="1592"/>
        <v>0</v>
      </c>
      <c r="CN1063" s="773">
        <v>0</v>
      </c>
      <c r="CO1063" s="773">
        <v>0</v>
      </c>
      <c r="CP1063" s="324">
        <f t="shared" si="1593"/>
        <v>0</v>
      </c>
      <c r="CR1063" s="773">
        <v>0</v>
      </c>
      <c r="CS1063" s="773">
        <v>0</v>
      </c>
      <c r="CT1063" s="324">
        <f t="shared" si="1594"/>
        <v>0</v>
      </c>
      <c r="CV1063" s="773">
        <v>0</v>
      </c>
      <c r="CW1063" s="773">
        <v>0</v>
      </c>
      <c r="CX1063" s="324">
        <f t="shared" si="1595"/>
        <v>0</v>
      </c>
      <c r="CZ1063" s="773">
        <v>0</v>
      </c>
      <c r="DA1063" s="773">
        <v>0</v>
      </c>
      <c r="DB1063" s="324">
        <f t="shared" si="1596"/>
        <v>0</v>
      </c>
      <c r="DD1063" s="773">
        <v>0</v>
      </c>
      <c r="DE1063" s="773">
        <v>0</v>
      </c>
      <c r="DF1063" s="324">
        <f t="shared" si="1597"/>
        <v>0</v>
      </c>
      <c r="DH1063" s="327">
        <v>0</v>
      </c>
      <c r="DI1063" s="327">
        <v>0</v>
      </c>
      <c r="DJ1063" s="326">
        <f t="shared" si="1598"/>
        <v>0</v>
      </c>
      <c r="DL1063" s="327">
        <v>0</v>
      </c>
      <c r="DM1063" s="327">
        <v>0</v>
      </c>
      <c r="DN1063" s="326">
        <f t="shared" si="1599"/>
        <v>0</v>
      </c>
      <c r="DP1063" s="327">
        <v>0</v>
      </c>
      <c r="DQ1063" s="327">
        <v>0</v>
      </c>
      <c r="DR1063" s="326">
        <f t="shared" si="1600"/>
        <v>0</v>
      </c>
      <c r="DW1063" s="20"/>
      <c r="DX1063" s="20"/>
    </row>
    <row r="1064" spans="1:128" s="20" customFormat="1" ht="13.8">
      <c r="A1064" s="20" t="s">
        <v>420</v>
      </c>
      <c r="B1064" s="49"/>
      <c r="BH1064" s="65">
        <f>+BH1065-SUM(BH1058:BH1063)</f>
        <v>41</v>
      </c>
      <c r="BI1064" s="65">
        <f>+BI1065-SUM(BI1058:BI1063)</f>
        <v>105</v>
      </c>
      <c r="BJ1064" s="65">
        <f t="shared" si="1585"/>
        <v>146</v>
      </c>
      <c r="BK1064" s="49"/>
      <c r="BL1064" s="65">
        <f>+BL1065-SUM(BL1058:BL1063)</f>
        <v>2</v>
      </c>
      <c r="BM1064" s="65">
        <f>+BM1065-SUM(BM1058:BM1063)</f>
        <v>2</v>
      </c>
      <c r="BN1064" s="65">
        <f t="shared" si="1586"/>
        <v>4</v>
      </c>
      <c r="BO1064" s="49"/>
      <c r="BP1064" s="65">
        <f>+BP1065-SUM(BP1058:BP1063)</f>
        <v>-39</v>
      </c>
      <c r="BQ1064" s="65">
        <f>+BQ1065-SUM(BQ1058:BQ1063)</f>
        <v>144</v>
      </c>
      <c r="BR1064" s="65">
        <f t="shared" si="1587"/>
        <v>105</v>
      </c>
      <c r="BT1064" s="65">
        <f>+BT1065-SUM(BT1058:BT1063)</f>
        <v>0</v>
      </c>
      <c r="BU1064" s="65">
        <f>+BU1065-SUM(BU1058:BU1063)</f>
        <v>0</v>
      </c>
      <c r="BV1064" s="65">
        <f t="shared" si="1588"/>
        <v>0</v>
      </c>
      <c r="BX1064" s="65">
        <f>+BX1065-SUM(BX1058:BX1063)</f>
        <v>0</v>
      </c>
      <c r="BY1064" s="65">
        <f>+BY1065-SUM(BY1058:BY1063)</f>
        <v>-1</v>
      </c>
      <c r="BZ1064" s="65">
        <f t="shared" si="1589"/>
        <v>-1</v>
      </c>
      <c r="CB1064" s="65">
        <f>+CB1065-SUM(CB1058:CB1063)</f>
        <v>0</v>
      </c>
      <c r="CC1064" s="65">
        <f>+CC1065-SUM(CC1058:CC1063)</f>
        <v>-1</v>
      </c>
      <c r="CD1064" s="65">
        <f t="shared" si="1590"/>
        <v>-1</v>
      </c>
      <c r="CF1064" s="65">
        <f>+CF1065-SUM(CF1058:CF1063)</f>
        <v>0</v>
      </c>
      <c r="CG1064" s="65">
        <f>+CG1065-SUM(CG1058:CG1063)</f>
        <v>0</v>
      </c>
      <c r="CH1064" s="65">
        <f t="shared" si="1591"/>
        <v>0</v>
      </c>
      <c r="CJ1064" s="65">
        <f>+CJ1065-SUM(CJ1058:CJ1063)</f>
        <v>-50</v>
      </c>
      <c r="CK1064" s="65">
        <f>+CK1065-SUM(CK1058:CK1063)</f>
        <v>30</v>
      </c>
      <c r="CL1064" s="65">
        <f t="shared" si="1592"/>
        <v>-20</v>
      </c>
      <c r="CN1064" s="65">
        <f>+CN1065-SUM(CN1058:CN1063)</f>
        <v>84</v>
      </c>
      <c r="CO1064" s="65">
        <f>+CO1065-SUM(CO1058:CO1063)</f>
        <v>23</v>
      </c>
      <c r="CP1064" s="65">
        <f t="shared" si="1593"/>
        <v>107</v>
      </c>
      <c r="CR1064" s="65">
        <f>+CR1065-SUM(CR1058:CR1063)</f>
        <v>-47</v>
      </c>
      <c r="CS1064" s="65">
        <f>+CS1065-SUM(CS1058:CS1063)</f>
        <v>25.380843840001035</v>
      </c>
      <c r="CT1064" s="65">
        <f t="shared" si="1594"/>
        <v>-21.619156159998965</v>
      </c>
      <c r="CV1064" s="65">
        <f>+CV1065-SUM(CV1058:CV1063)</f>
        <v>50.944969219999621</v>
      </c>
      <c r="CW1064" s="65">
        <f>+CW1065-SUM(CW1058:CW1063)</f>
        <v>28</v>
      </c>
      <c r="CX1064" s="65">
        <f t="shared" si="1595"/>
        <v>78.944969219999621</v>
      </c>
      <c r="CZ1064" s="65">
        <f>+CZ1065-SUM(CZ1058:CZ1063)</f>
        <v>-49</v>
      </c>
      <c r="DA1064" s="65">
        <f>+DA1065-SUM(DA1058:DA1063)</f>
        <v>32</v>
      </c>
      <c r="DB1064" s="65">
        <f t="shared" si="1596"/>
        <v>-17</v>
      </c>
      <c r="DD1064" s="65">
        <f>+DD1065-SUM(DD1058:DD1063)</f>
        <v>-37</v>
      </c>
      <c r="DE1064" s="65">
        <f>+DE1065-SUM(DE1058:DE1063)</f>
        <v>145</v>
      </c>
      <c r="DF1064" s="65">
        <f t="shared" si="1597"/>
        <v>108</v>
      </c>
      <c r="DH1064" s="65">
        <f>DH1204</f>
        <v>28.190999999999999</v>
      </c>
      <c r="DI1064" s="65">
        <f>DI1204</f>
        <v>28.962087524819999</v>
      </c>
      <c r="DJ1064" s="65">
        <f t="shared" si="1598"/>
        <v>57.153087524819995</v>
      </c>
      <c r="DL1064" s="65">
        <f ca="1">DL1204</f>
        <v>28.991049612344817</v>
      </c>
      <c r="DM1064" s="65">
        <f ca="1">DM1204</f>
        <v>29.020040661957164</v>
      </c>
      <c r="DN1064" s="65">
        <f t="shared" ca="1" si="1599"/>
        <v>58.011090274301978</v>
      </c>
      <c r="DP1064" s="65">
        <f ca="1">DP1204</f>
        <v>28.533688814196257</v>
      </c>
      <c r="DQ1064" s="65">
        <f ca="1">DQ1204</f>
        <v>28.0826224262177</v>
      </c>
      <c r="DR1064" s="65">
        <f t="shared" ca="1" si="1600"/>
        <v>56.616311240413957</v>
      </c>
    </row>
    <row r="1065" spans="1:128" s="20" customFormat="1" ht="13.8">
      <c r="A1065" s="21" t="s">
        <v>502</v>
      </c>
      <c r="B1065" s="49"/>
      <c r="BH1065" s="72">
        <f>BH1040</f>
        <v>23589</v>
      </c>
      <c r="BI1065" s="72">
        <f>BI1040</f>
        <v>23641</v>
      </c>
      <c r="BJ1065" s="72">
        <f>SUM(BJ1058:BJ1064)</f>
        <v>23641</v>
      </c>
      <c r="BK1065" s="49"/>
      <c r="BL1065" s="72">
        <f>BL1040</f>
        <v>23529</v>
      </c>
      <c r="BM1065" s="72">
        <f>BM1040</f>
        <v>24031</v>
      </c>
      <c r="BN1065" s="72">
        <f>SUM(BN1058:BN1064)</f>
        <v>24031</v>
      </c>
      <c r="BO1065" s="49"/>
      <c r="BP1065" s="72">
        <f>BP1040</f>
        <v>24152</v>
      </c>
      <c r="BQ1065" s="72">
        <f>BQ1040</f>
        <v>28367</v>
      </c>
      <c r="BR1065" s="72">
        <f>SUM(BR1058:BR1064)</f>
        <v>28367</v>
      </c>
      <c r="BT1065" s="72">
        <f>BT1040</f>
        <v>28625</v>
      </c>
      <c r="BU1065" s="72">
        <f>BU1040</f>
        <v>28765</v>
      </c>
      <c r="BV1065" s="72">
        <f>SUM(BV1058:BV1064)</f>
        <v>28765</v>
      </c>
      <c r="BX1065" s="72">
        <f>BX1040</f>
        <v>29036</v>
      </c>
      <c r="BY1065" s="72">
        <f>BY1040</f>
        <v>29088</v>
      </c>
      <c r="BZ1065" s="72">
        <f>SUM(BZ1058:BZ1064)</f>
        <v>29088</v>
      </c>
      <c r="CB1065" s="72">
        <f>CB1040</f>
        <v>27933</v>
      </c>
      <c r="CC1065" s="72">
        <f>CC1040</f>
        <v>27205</v>
      </c>
      <c r="CD1065" s="72">
        <f>SUM(CD1058:CD1064)</f>
        <v>27205</v>
      </c>
      <c r="CF1065" s="72">
        <f>CF1040</f>
        <v>26048</v>
      </c>
      <c r="CG1065" s="72">
        <f>CG1040</f>
        <v>26490</v>
      </c>
      <c r="CH1065" s="72">
        <f>SUM(CH1058:CH1064)</f>
        <v>26490</v>
      </c>
      <c r="CJ1065" s="72">
        <f>CJ1040</f>
        <v>26440</v>
      </c>
      <c r="CK1065" s="72">
        <f>CK1040</f>
        <v>26531</v>
      </c>
      <c r="CL1065" s="72">
        <f>SUM(CL1058:CL1064)</f>
        <v>26531</v>
      </c>
      <c r="CN1065" s="72">
        <f>CN1040</f>
        <v>26615</v>
      </c>
      <c r="CO1065" s="72">
        <f>CO1040</f>
        <v>25984</v>
      </c>
      <c r="CP1065" s="72">
        <f>SUM(CP1058:CP1064)</f>
        <v>25984</v>
      </c>
      <c r="CR1065" s="72">
        <f>CR1040</f>
        <v>25091</v>
      </c>
      <c r="CS1065" s="72">
        <f>CS1040</f>
        <v>28797</v>
      </c>
      <c r="CT1065" s="72">
        <f>SUM(CT1058:CT1064)</f>
        <v>28797</v>
      </c>
      <c r="CV1065" s="72">
        <f>CV1040</f>
        <v>29054</v>
      </c>
      <c r="CW1065" s="72">
        <f>CW1040</f>
        <v>29082</v>
      </c>
      <c r="CX1065" s="72">
        <f>SUM(CX1058:CX1064)</f>
        <v>29082</v>
      </c>
      <c r="CZ1065" s="72">
        <f>CZ1040</f>
        <v>29033</v>
      </c>
      <c r="DA1065" s="72">
        <f>DA1040</f>
        <v>28182</v>
      </c>
      <c r="DB1065" s="72">
        <f>SUM(DB1058:DB1064)</f>
        <v>28182</v>
      </c>
      <c r="DD1065" s="72">
        <f>DD1040</f>
        <v>27860</v>
      </c>
      <c r="DE1065" s="72">
        <f>DE1040</f>
        <v>28191</v>
      </c>
      <c r="DF1065" s="72">
        <f>SUM(DF1058:DF1064)</f>
        <v>28191</v>
      </c>
      <c r="DH1065" s="72">
        <f>SUM(DH1058:DH1064)</f>
        <v>28962.087524819999</v>
      </c>
      <c r="DI1065" s="72">
        <f ca="1">SUM(DI1058:DI1064)</f>
        <v>28991.049612344817</v>
      </c>
      <c r="DJ1065" s="72">
        <f ca="1">SUM(DJ1058:DJ1064)</f>
        <v>28991.049612344821</v>
      </c>
      <c r="DL1065" s="72">
        <f ca="1">SUM(DL1058:DL1064)</f>
        <v>29020.040661957162</v>
      </c>
      <c r="DM1065" s="72">
        <f ca="1">SUM(DM1058:DM1064)</f>
        <v>28533.688814196255</v>
      </c>
      <c r="DN1065" s="72">
        <f ca="1">SUM(DN1058:DN1064)</f>
        <v>28533.688814196255</v>
      </c>
      <c r="DP1065" s="72">
        <f ca="1">SUM(DP1058:DP1064)</f>
        <v>28082.622426217698</v>
      </c>
      <c r="DQ1065" s="72">
        <f ca="1">SUM(DQ1058:DQ1064)</f>
        <v>27569.298113075227</v>
      </c>
      <c r="DR1065" s="72">
        <f ca="1">SUM(DR1058:DR1064)</f>
        <v>27569.298113075227</v>
      </c>
    </row>
    <row r="1066" spans="1:128" s="20" customFormat="1" ht="13.8">
      <c r="B1066" s="49"/>
      <c r="BH1066" s="49"/>
      <c r="BI1066" s="49"/>
      <c r="BJ1066" s="49"/>
      <c r="BK1066" s="49"/>
      <c r="BL1066" s="49"/>
      <c r="BM1066" s="49"/>
      <c r="BN1066" s="49"/>
      <c r="BO1066" s="49"/>
      <c r="BP1066" s="49"/>
      <c r="BQ1066" s="49"/>
      <c r="BR1066" s="49"/>
      <c r="BT1066" s="49"/>
      <c r="BX1066" s="49"/>
      <c r="CB1066" s="49"/>
      <c r="CF1066" s="49"/>
      <c r="CJ1066" s="49"/>
      <c r="CN1066" s="49"/>
      <c r="CR1066" s="49"/>
      <c r="CV1066" s="49"/>
      <c r="CZ1066" s="49"/>
      <c r="DD1066" s="49"/>
      <c r="DH1066" s="49"/>
      <c r="DL1066" s="49"/>
      <c r="DP1066" s="49"/>
    </row>
    <row r="1067" spans="1:128" s="20" customFormat="1" ht="13.8">
      <c r="A1067" s="21" t="s">
        <v>409</v>
      </c>
      <c r="B1067" s="49"/>
      <c r="BH1067" s="49"/>
      <c r="BI1067" s="49"/>
      <c r="BJ1067" s="49"/>
      <c r="BK1067" s="49"/>
      <c r="BL1067" s="49"/>
      <c r="BM1067" s="49"/>
      <c r="BN1067" s="49"/>
      <c r="BO1067" s="49"/>
      <c r="BP1067" s="49"/>
      <c r="BQ1067" s="49"/>
      <c r="BR1067" s="49"/>
      <c r="BT1067" s="49"/>
      <c r="BX1067" s="49"/>
      <c r="CB1067" s="49"/>
      <c r="CF1067" s="49"/>
      <c r="CJ1067" s="49"/>
      <c r="CN1067" s="49"/>
      <c r="CR1067" s="49"/>
      <c r="CV1067" s="49"/>
      <c r="CZ1067" s="49"/>
      <c r="DD1067" s="49"/>
      <c r="DH1067" s="49"/>
      <c r="DL1067" s="49"/>
      <c r="DP1067" s="49"/>
    </row>
    <row r="1068" spans="1:128" s="20" customFormat="1" ht="13.8">
      <c r="A1068" s="20" t="s">
        <v>310</v>
      </c>
      <c r="B1068" s="49"/>
      <c r="BH1068" s="67">
        <v>19728</v>
      </c>
      <c r="BI1068" s="65">
        <f>BH1078</f>
        <v>20518</v>
      </c>
      <c r="BJ1068" s="65">
        <f>BH1068</f>
        <v>19728</v>
      </c>
      <c r="BK1068" s="49"/>
      <c r="BL1068" s="65">
        <f>BI1078</f>
        <v>21936</v>
      </c>
      <c r="BM1068" s="65">
        <f>BL1078</f>
        <v>22905</v>
      </c>
      <c r="BN1068" s="65">
        <f>BL1068</f>
        <v>21936</v>
      </c>
      <c r="BO1068" s="49"/>
      <c r="BP1068" s="65">
        <f>BM1078</f>
        <v>24544</v>
      </c>
      <c r="BQ1068" s="65">
        <f>BP1078</f>
        <v>25616</v>
      </c>
      <c r="BR1068" s="65">
        <f>BP1068</f>
        <v>24544</v>
      </c>
      <c r="BT1068" s="65">
        <f>BQ1078</f>
        <v>27309</v>
      </c>
      <c r="BU1068" s="65">
        <f>BT1078</f>
        <v>27361</v>
      </c>
      <c r="BV1068" s="65">
        <f>BT1068</f>
        <v>27309</v>
      </c>
      <c r="BX1068" s="65">
        <f>BU1078</f>
        <v>27975</v>
      </c>
      <c r="BY1068" s="65">
        <f>BX1078</f>
        <v>28640</v>
      </c>
      <c r="BZ1068" s="65">
        <f>BX1068</f>
        <v>27975</v>
      </c>
      <c r="CB1068" s="65">
        <f>BY1078</f>
        <v>29834</v>
      </c>
      <c r="CC1068" s="65">
        <f>CB1078</f>
        <v>30900</v>
      </c>
      <c r="CD1068" s="65">
        <f>CB1068</f>
        <v>29834</v>
      </c>
      <c r="CF1068" s="65">
        <f>CC1078</f>
        <v>31715</v>
      </c>
      <c r="CG1068" s="65">
        <f>CF1078</f>
        <v>32064</v>
      </c>
      <c r="CH1068" s="65">
        <f>CF1068</f>
        <v>31715</v>
      </c>
      <c r="CJ1068" s="65">
        <f>CG1078</f>
        <v>32664</v>
      </c>
      <c r="CK1068" s="65">
        <f>CJ1078</f>
        <v>32073</v>
      </c>
      <c r="CL1068" s="65">
        <f>CJ1068</f>
        <v>32664</v>
      </c>
      <c r="CN1068" s="65">
        <f>CK1078</f>
        <v>33255</v>
      </c>
      <c r="CO1068" s="65">
        <f>CN1078</f>
        <v>35210</v>
      </c>
      <c r="CP1068" s="65">
        <f>CN1068</f>
        <v>33255</v>
      </c>
      <c r="CR1068" s="65">
        <f>CO1078</f>
        <v>36453</v>
      </c>
      <c r="CS1068" s="65">
        <f>CR1078</f>
        <v>38078</v>
      </c>
      <c r="CT1068" s="65">
        <f>CR1068</f>
        <v>36453</v>
      </c>
      <c r="CV1068" s="65">
        <f>CS1078</f>
        <v>39716</v>
      </c>
      <c r="CW1068" s="65">
        <f>CV1078</f>
        <v>41020</v>
      </c>
      <c r="CX1068" s="65">
        <f>CV1068</f>
        <v>39716</v>
      </c>
      <c r="CZ1068" s="65">
        <f>CW1078</f>
        <v>42148</v>
      </c>
      <c r="DA1068" s="65">
        <f>CZ1078</f>
        <v>42739</v>
      </c>
      <c r="DB1068" s="65">
        <f>CZ1068</f>
        <v>42148</v>
      </c>
      <c r="DD1068" s="65">
        <f>DA1078</f>
        <v>43449</v>
      </c>
      <c r="DE1068" s="65">
        <f>DD1078</f>
        <v>44697</v>
      </c>
      <c r="DF1068" s="65">
        <f>DD1068</f>
        <v>43449</v>
      </c>
      <c r="DH1068" s="65">
        <f>DE1078</f>
        <v>44492</v>
      </c>
      <c r="DI1068" s="65">
        <f ca="1">DH1078</f>
        <v>45697.231885630565</v>
      </c>
      <c r="DJ1068" s="65">
        <f>DH1068</f>
        <v>44492</v>
      </c>
      <c r="DL1068" s="65">
        <f ca="1">DI1078</f>
        <v>46949.450792508927</v>
      </c>
      <c r="DM1068" s="65">
        <f ca="1">DL1078</f>
        <v>48307.890690892047</v>
      </c>
      <c r="DN1068" s="65">
        <f ca="1">DL1068</f>
        <v>46949.450792508927</v>
      </c>
      <c r="DP1068" s="65">
        <f ca="1">DM1078</f>
        <v>49575.54440381586</v>
      </c>
      <c r="DQ1068" s="65">
        <f ca="1">DP1078</f>
        <v>50960.465220394341</v>
      </c>
      <c r="DR1068" s="65">
        <f ca="1">DP1068</f>
        <v>49575.54440381586</v>
      </c>
    </row>
    <row r="1069" spans="1:128" s="325" customFormat="1" ht="13.8">
      <c r="A1069" s="325" t="s">
        <v>620</v>
      </c>
      <c r="B1069" s="324"/>
      <c r="BH1069" s="327">
        <v>-17</v>
      </c>
      <c r="BI1069" s="327">
        <v>0</v>
      </c>
      <c r="BJ1069" s="326">
        <f>+BI1069+BH1069</f>
        <v>-17</v>
      </c>
      <c r="BK1069" s="324"/>
      <c r="BL1069" s="327">
        <v>0</v>
      </c>
      <c r="BM1069" s="327">
        <v>0</v>
      </c>
      <c r="BN1069" s="326">
        <f>+BM1069+BL1069</f>
        <v>0</v>
      </c>
      <c r="BO1069" s="324"/>
      <c r="BP1069" s="327">
        <v>0</v>
      </c>
      <c r="BQ1069" s="327">
        <v>0</v>
      </c>
      <c r="BR1069" s="326">
        <f>+BQ1069+BP1069</f>
        <v>0</v>
      </c>
      <c r="BT1069" s="327">
        <v>0</v>
      </c>
      <c r="BU1069" s="327">
        <v>0</v>
      </c>
      <c r="BV1069" s="326">
        <f>+BU1069+BT1069</f>
        <v>0</v>
      </c>
      <c r="BX1069" s="327">
        <v>0</v>
      </c>
      <c r="BY1069" s="327">
        <v>0</v>
      </c>
      <c r="BZ1069" s="326">
        <f>+BY1069+BX1069</f>
        <v>0</v>
      </c>
      <c r="CB1069" s="327">
        <v>0</v>
      </c>
      <c r="CC1069" s="327">
        <v>0</v>
      </c>
      <c r="CD1069" s="326">
        <f>+CC1069+CB1069</f>
        <v>0</v>
      </c>
      <c r="CF1069" s="327">
        <v>0</v>
      </c>
      <c r="CG1069" s="327">
        <v>0</v>
      </c>
      <c r="CH1069" s="326">
        <f>+CG1069+CF1069</f>
        <v>0</v>
      </c>
      <c r="CJ1069" s="327">
        <v>0</v>
      </c>
      <c r="CK1069" s="327">
        <v>0</v>
      </c>
      <c r="CL1069" s="326">
        <f>+CK1069+CJ1069</f>
        <v>0</v>
      </c>
      <c r="CN1069" s="327">
        <v>0</v>
      </c>
      <c r="CO1069" s="327">
        <v>0</v>
      </c>
      <c r="CP1069" s="326">
        <f>+CO1069+CN1069</f>
        <v>0</v>
      </c>
      <c r="CR1069" s="327">
        <v>0</v>
      </c>
      <c r="CS1069" s="327">
        <v>0</v>
      </c>
      <c r="CT1069" s="326">
        <f>+CS1069+CR1069</f>
        <v>0</v>
      </c>
      <c r="CV1069" s="327">
        <v>0</v>
      </c>
      <c r="CW1069" s="327">
        <v>0</v>
      </c>
      <c r="CX1069" s="326">
        <f>+CW1069+CV1069</f>
        <v>0</v>
      </c>
      <c r="CZ1069" s="327">
        <v>0</v>
      </c>
      <c r="DA1069" s="327">
        <v>0</v>
      </c>
      <c r="DB1069" s="326">
        <f>+DA1069+CZ1069</f>
        <v>0</v>
      </c>
      <c r="DD1069" s="327">
        <v>0</v>
      </c>
      <c r="DE1069" s="327">
        <v>0</v>
      </c>
      <c r="DF1069" s="326">
        <f>+DE1069+DD1069</f>
        <v>0</v>
      </c>
      <c r="DH1069" s="328">
        <v>0</v>
      </c>
      <c r="DI1069" s="328">
        <v>0</v>
      </c>
      <c r="DJ1069" s="326">
        <f>+DI1069+DH1069</f>
        <v>0</v>
      </c>
      <c r="DL1069" s="328">
        <v>0</v>
      </c>
      <c r="DM1069" s="328">
        <v>0</v>
      </c>
      <c r="DN1069" s="326">
        <f>+DM1069+DL1069</f>
        <v>0</v>
      </c>
      <c r="DP1069" s="328">
        <v>0</v>
      </c>
      <c r="DQ1069" s="328">
        <v>0</v>
      </c>
      <c r="DR1069" s="326">
        <f>+DQ1069+DP1069</f>
        <v>0</v>
      </c>
      <c r="DW1069" s="20"/>
      <c r="DX1069" s="20"/>
    </row>
    <row r="1070" spans="1:128" s="325" customFormat="1" ht="13.8">
      <c r="A1070" s="325" t="s">
        <v>621</v>
      </c>
      <c r="B1070" s="324" t="s">
        <v>1066</v>
      </c>
      <c r="BH1070" s="327">
        <v>-23</v>
      </c>
      <c r="BI1070" s="327">
        <v>48</v>
      </c>
      <c r="BJ1070" s="326">
        <f>+BI1070+BH1070</f>
        <v>25</v>
      </c>
      <c r="BK1070" s="324"/>
      <c r="BL1070" s="327">
        <v>26</v>
      </c>
      <c r="BM1070" s="327">
        <v>6</v>
      </c>
      <c r="BN1070" s="326">
        <f>+BM1070+BL1070</f>
        <v>32</v>
      </c>
      <c r="BO1070" s="324"/>
      <c r="BP1070" s="327">
        <v>0</v>
      </c>
      <c r="BQ1070" s="327">
        <v>0</v>
      </c>
      <c r="BR1070" s="326">
        <f>+BQ1070+BP1070</f>
        <v>0</v>
      </c>
      <c r="BT1070" s="327">
        <v>0</v>
      </c>
      <c r="BU1070" s="327">
        <v>0</v>
      </c>
      <c r="BV1070" s="326">
        <f>+BU1070+BT1070</f>
        <v>0</v>
      </c>
      <c r="BX1070" s="327">
        <v>0</v>
      </c>
      <c r="BY1070" s="327">
        <v>0</v>
      </c>
      <c r="BZ1070" s="326">
        <f>+BY1070+BX1070</f>
        <v>0</v>
      </c>
      <c r="CB1070" s="327">
        <v>0</v>
      </c>
      <c r="CC1070" s="327">
        <v>0</v>
      </c>
      <c r="CD1070" s="326">
        <f>+CC1070+CB1070</f>
        <v>0</v>
      </c>
      <c r="CF1070" s="327">
        <v>0</v>
      </c>
      <c r="CG1070" s="327">
        <v>0</v>
      </c>
      <c r="CH1070" s="326">
        <f>+CG1070+CF1070</f>
        <v>0</v>
      </c>
      <c r="CJ1070" s="327">
        <v>0</v>
      </c>
      <c r="CK1070" s="327">
        <v>0</v>
      </c>
      <c r="CL1070" s="326">
        <f>+CK1070+CJ1070</f>
        <v>0</v>
      </c>
      <c r="CN1070" s="327">
        <v>0</v>
      </c>
      <c r="CO1070" s="327">
        <v>0</v>
      </c>
      <c r="CP1070" s="326">
        <f>+CO1070+CN1070</f>
        <v>0</v>
      </c>
      <c r="CR1070" s="327">
        <v>0</v>
      </c>
      <c r="CS1070" s="327">
        <v>0</v>
      </c>
      <c r="CT1070" s="326">
        <f>+CS1070+CR1070</f>
        <v>0</v>
      </c>
      <c r="CV1070" s="327">
        <v>0</v>
      </c>
      <c r="CW1070" s="327">
        <v>0</v>
      </c>
      <c r="CX1070" s="326">
        <f>+CW1070+CV1070</f>
        <v>0</v>
      </c>
      <c r="CZ1070" s="327">
        <v>0</v>
      </c>
      <c r="DA1070" s="327">
        <v>0</v>
      </c>
      <c r="DB1070" s="326">
        <f>+DA1070+CZ1070</f>
        <v>0</v>
      </c>
      <c r="DD1070" s="327">
        <v>0</v>
      </c>
      <c r="DE1070" s="327">
        <v>0</v>
      </c>
      <c r="DF1070" s="326">
        <f>+DE1070+DD1070</f>
        <v>0</v>
      </c>
      <c r="DH1070" s="328">
        <v>0</v>
      </c>
      <c r="DI1070" s="328">
        <v>0</v>
      </c>
      <c r="DJ1070" s="326">
        <f>+DI1070+DH1070</f>
        <v>0</v>
      </c>
      <c r="DL1070" s="328">
        <v>0</v>
      </c>
      <c r="DM1070" s="328">
        <v>0</v>
      </c>
      <c r="DN1070" s="326">
        <f>+DM1070+DL1070</f>
        <v>0</v>
      </c>
      <c r="DP1070" s="328">
        <v>0</v>
      </c>
      <c r="DQ1070" s="328">
        <v>0</v>
      </c>
      <c r="DR1070" s="326">
        <f>+DQ1070+DP1070</f>
        <v>0</v>
      </c>
      <c r="DW1070" s="20"/>
      <c r="DX1070" s="20"/>
    </row>
    <row r="1071" spans="1:128" s="325" customFormat="1" ht="13.8">
      <c r="A1071" s="325" t="s">
        <v>622</v>
      </c>
      <c r="B1071" s="324"/>
      <c r="BH1071" s="327">
        <v>10</v>
      </c>
      <c r="BI1071" s="327">
        <v>10</v>
      </c>
      <c r="BJ1071" s="326">
        <f>+BI1071+BH1071</f>
        <v>20</v>
      </c>
      <c r="BK1071" s="324"/>
      <c r="BL1071" s="327">
        <v>12</v>
      </c>
      <c r="BM1071" s="327">
        <v>10</v>
      </c>
      <c r="BN1071" s="326">
        <f>+BM1071+BL1071</f>
        <v>22</v>
      </c>
      <c r="BO1071" s="324"/>
      <c r="BP1071" s="327">
        <v>12</v>
      </c>
      <c r="BQ1071" s="327">
        <f>22-BP1071</f>
        <v>10</v>
      </c>
      <c r="BR1071" s="326">
        <f>+BQ1071+BP1071</f>
        <v>22</v>
      </c>
      <c r="BT1071" s="327">
        <v>12</v>
      </c>
      <c r="BU1071" s="327">
        <f>24+8-BT1071</f>
        <v>20</v>
      </c>
      <c r="BV1071" s="326">
        <f>+BU1071+BT1071</f>
        <v>32</v>
      </c>
      <c r="BX1071" s="327">
        <v>14</v>
      </c>
      <c r="BY1071" s="599">
        <f>26+21-BX1071</f>
        <v>33</v>
      </c>
      <c r="BZ1071" s="326">
        <f>+BY1071+BX1071</f>
        <v>47</v>
      </c>
      <c r="CB1071" s="599">
        <v>12</v>
      </c>
      <c r="CC1071" s="599">
        <f>24-CB1071</f>
        <v>12</v>
      </c>
      <c r="CD1071" s="326">
        <f>+CC1071+CB1071</f>
        <v>24</v>
      </c>
      <c r="CF1071" s="599">
        <v>12</v>
      </c>
      <c r="CG1071" s="599">
        <v>46</v>
      </c>
      <c r="CH1071" s="326">
        <f>+CG1071+CF1071</f>
        <v>58</v>
      </c>
      <c r="CJ1071" s="599">
        <v>171</v>
      </c>
      <c r="CK1071" s="599">
        <f>13-CJ1071</f>
        <v>-158</v>
      </c>
      <c r="CL1071" s="326">
        <f>+CK1071+CJ1071</f>
        <v>13</v>
      </c>
      <c r="CN1071" s="599">
        <v>0</v>
      </c>
      <c r="CO1071" s="599">
        <v>0</v>
      </c>
      <c r="CP1071" s="326">
        <f>+CO1071+CN1071</f>
        <v>0</v>
      </c>
      <c r="CR1071" s="599">
        <v>0</v>
      </c>
      <c r="CS1071" s="599">
        <v>0</v>
      </c>
      <c r="CT1071" s="326">
        <f>+CS1071+CR1071</f>
        <v>0</v>
      </c>
      <c r="CV1071" s="599">
        <v>0</v>
      </c>
      <c r="CW1071" s="599">
        <v>0</v>
      </c>
      <c r="CX1071" s="326">
        <f>+CW1071+CV1071</f>
        <v>0</v>
      </c>
      <c r="CZ1071" s="599">
        <v>0</v>
      </c>
      <c r="DA1071" s="599">
        <v>0</v>
      </c>
      <c r="DB1071" s="326">
        <f>+DA1071+CZ1071</f>
        <v>0</v>
      </c>
      <c r="DD1071" s="599">
        <v>0</v>
      </c>
      <c r="DE1071" s="599">
        <v>0</v>
      </c>
      <c r="DF1071" s="326">
        <f>+DE1071+DD1071</f>
        <v>0</v>
      </c>
      <c r="DH1071" s="328">
        <v>0</v>
      </c>
      <c r="DI1071" s="328">
        <v>0</v>
      </c>
      <c r="DJ1071" s="326">
        <f>+DI1071+DH1071</f>
        <v>0</v>
      </c>
      <c r="DL1071" s="328">
        <v>0</v>
      </c>
      <c r="DM1071" s="328">
        <v>0</v>
      </c>
      <c r="DN1071" s="326">
        <f>+DM1071+DL1071</f>
        <v>0</v>
      </c>
      <c r="DP1071" s="328">
        <v>0</v>
      </c>
      <c r="DQ1071" s="328">
        <v>0</v>
      </c>
      <c r="DR1071" s="326">
        <f>+DQ1071+DP1071</f>
        <v>0</v>
      </c>
      <c r="DW1071" s="20"/>
      <c r="DX1071" s="20"/>
    </row>
    <row r="1072" spans="1:128" s="20" customFormat="1" ht="13.8">
      <c r="A1072" s="20" t="s">
        <v>233</v>
      </c>
      <c r="B1072" s="49"/>
      <c r="BH1072" s="65">
        <f>BH41</f>
        <v>2937</v>
      </c>
      <c r="BI1072" s="65">
        <f>BI41</f>
        <v>3373</v>
      </c>
      <c r="BJ1072" s="65">
        <f>+BI1072+BH1072</f>
        <v>6310</v>
      </c>
      <c r="BK1072" s="49"/>
      <c r="BL1072" s="65">
        <f>BL41</f>
        <v>3392</v>
      </c>
      <c r="BM1072" s="65">
        <f>BM41</f>
        <v>3879</v>
      </c>
      <c r="BN1072" s="65">
        <f>+BM1072+BL1072</f>
        <v>7271</v>
      </c>
      <c r="BO1072" s="49"/>
      <c r="BP1072" s="65">
        <f>BP41</f>
        <v>3506</v>
      </c>
      <c r="BQ1072" s="65">
        <f>BQ41</f>
        <v>3987</v>
      </c>
      <c r="BR1072" s="65">
        <f>+BQ1072+BP1072</f>
        <v>7493</v>
      </c>
      <c r="BT1072" s="65">
        <f>BT41</f>
        <v>2738</v>
      </c>
      <c r="BU1072" s="65">
        <f>BU41</f>
        <v>2971</v>
      </c>
      <c r="BV1072" s="65">
        <f>+BU1072+BT1072</f>
        <v>5709</v>
      </c>
      <c r="BX1072" s="65">
        <f>BX41</f>
        <v>2911</v>
      </c>
      <c r="BY1072" s="65">
        <f>BY41</f>
        <v>3495</v>
      </c>
      <c r="BZ1072" s="65">
        <f>+BY1072+BX1072</f>
        <v>6406</v>
      </c>
      <c r="CB1072" s="65">
        <f ca="1">CB41</f>
        <v>3323</v>
      </c>
      <c r="CC1072" s="65">
        <f>CC41</f>
        <v>3077</v>
      </c>
      <c r="CD1072" s="65">
        <f ca="1">+CC1072+CB1072</f>
        <v>6400</v>
      </c>
      <c r="CF1072" s="65">
        <f>CF41</f>
        <v>3173</v>
      </c>
      <c r="CG1072" s="65">
        <f>CG41</f>
        <v>2780</v>
      </c>
      <c r="CH1072" s="65">
        <f>+CG1072+CF1072</f>
        <v>5953</v>
      </c>
      <c r="CJ1072" s="65">
        <f>CJ41</f>
        <v>1545</v>
      </c>
      <c r="CK1072" s="65">
        <f>CK41</f>
        <v>2032</v>
      </c>
      <c r="CL1072" s="65">
        <f>+CK1072+CJ1072</f>
        <v>3577</v>
      </c>
      <c r="CN1072" s="65">
        <f>CN41</f>
        <v>2943</v>
      </c>
      <c r="CO1072" s="65">
        <f>CO41</f>
        <v>3219</v>
      </c>
      <c r="CP1072" s="65">
        <f>+CO1072+CN1072</f>
        <v>6162</v>
      </c>
      <c r="CR1072" s="65">
        <f>CR41</f>
        <v>3530</v>
      </c>
      <c r="CS1072" s="65">
        <f>CS41</f>
        <v>3589</v>
      </c>
      <c r="CT1072" s="65">
        <f>+CS1072+CR1072</f>
        <v>7119</v>
      </c>
      <c r="CV1072" s="65">
        <f>CV41</f>
        <v>3555</v>
      </c>
      <c r="CW1072" s="65">
        <f>CW41</f>
        <v>3551</v>
      </c>
      <c r="CX1072" s="65">
        <f>+CW1072+CV1072</f>
        <v>7106</v>
      </c>
      <c r="CZ1072" s="65">
        <f>CZ41</f>
        <v>3407</v>
      </c>
      <c r="DA1072" s="65">
        <f>DA41</f>
        <v>3128</v>
      </c>
      <c r="DB1072" s="65">
        <f>+DA1072+CZ1072</f>
        <v>6535</v>
      </c>
      <c r="DD1072" s="65">
        <f>DD41</f>
        <v>3642</v>
      </c>
      <c r="DE1072" s="65">
        <f>DE41</f>
        <v>2249</v>
      </c>
      <c r="DF1072" s="65">
        <f>+DE1072+DD1072</f>
        <v>5891</v>
      </c>
      <c r="DH1072" s="65">
        <f ca="1">DH41</f>
        <v>3701.5536350305647</v>
      </c>
      <c r="DI1072" s="65">
        <f ca="1">DI41</f>
        <v>3826.2909150494493</v>
      </c>
      <c r="DJ1072" s="65">
        <f ca="1">+DI1072+DH1072</f>
        <v>7527.8445500800135</v>
      </c>
      <c r="DL1072" s="65">
        <f ca="1">DL41</f>
        <v>3980.3177206167493</v>
      </c>
      <c r="DM1072" s="65">
        <f ca="1">DM41</f>
        <v>3994.2697629431987</v>
      </c>
      <c r="DN1072" s="65">
        <f ca="1">+DM1072+DL1072</f>
        <v>7974.5874835599479</v>
      </c>
      <c r="DP1072" s="65">
        <f ca="1">DP41</f>
        <v>4160.966953009286</v>
      </c>
      <c r="DQ1072" s="65">
        <f ca="1">DQ41</f>
        <v>4318.1038988617502</v>
      </c>
      <c r="DR1072" s="65">
        <f ca="1">+DQ1072+DP1072</f>
        <v>8479.0708518710362</v>
      </c>
    </row>
    <row r="1073" spans="1:128" s="20" customFormat="1" ht="13.8">
      <c r="A1073" s="21" t="s">
        <v>623</v>
      </c>
      <c r="B1073" s="49"/>
      <c r="BH1073" s="72">
        <f>SUM(BH1068:BH1072)</f>
        <v>22635</v>
      </c>
      <c r="BI1073" s="72">
        <f>SUM(BI1068:BI1072)</f>
        <v>23949</v>
      </c>
      <c r="BJ1073" s="72">
        <f>SUM(BJ1068:BJ1072)</f>
        <v>26066</v>
      </c>
      <c r="BK1073" s="49"/>
      <c r="BL1073" s="72">
        <f>SUM(BL1068:BL1072)</f>
        <v>25366</v>
      </c>
      <c r="BM1073" s="72">
        <f>SUM(BM1068:BM1072)</f>
        <v>26800</v>
      </c>
      <c r="BN1073" s="72">
        <f>SUM(BN1068:BN1072)</f>
        <v>29261</v>
      </c>
      <c r="BO1073" s="49"/>
      <c r="BP1073" s="72">
        <f>SUM(BP1068:BP1072)</f>
        <v>28062</v>
      </c>
      <c r="BQ1073" s="72">
        <f>SUM(BQ1068:BQ1072)</f>
        <v>29613</v>
      </c>
      <c r="BR1073" s="72">
        <f>SUM(BR1068:BR1072)</f>
        <v>32059</v>
      </c>
      <c r="BT1073" s="72">
        <f>SUM(BT1068:BT1072)</f>
        <v>30059</v>
      </c>
      <c r="BU1073" s="72">
        <f>SUM(BU1068:BU1072)</f>
        <v>30352</v>
      </c>
      <c r="BV1073" s="72">
        <f>SUM(BV1068:BV1072)</f>
        <v>33050</v>
      </c>
      <c r="BX1073" s="72">
        <f>SUM(BX1068:BX1072)</f>
        <v>30900</v>
      </c>
      <c r="BY1073" s="72">
        <f>SUM(BY1068:BY1072)</f>
        <v>32168</v>
      </c>
      <c r="BZ1073" s="72">
        <f>SUM(BZ1068:BZ1072)</f>
        <v>34428</v>
      </c>
      <c r="CB1073" s="72">
        <f ca="1">SUM(CB1068:CB1072)</f>
        <v>33169</v>
      </c>
      <c r="CC1073" s="72">
        <f>SUM(CC1068:CC1072)</f>
        <v>33989</v>
      </c>
      <c r="CD1073" s="72">
        <f ca="1">SUM(CD1068:CD1072)</f>
        <v>36258</v>
      </c>
      <c r="CF1073" s="72">
        <f>SUM(CF1068:CF1072)</f>
        <v>34900</v>
      </c>
      <c r="CG1073" s="72">
        <f>SUM(CG1068:CG1072)</f>
        <v>34890</v>
      </c>
      <c r="CH1073" s="72">
        <f>SUM(CH1068:CH1072)</f>
        <v>37726</v>
      </c>
      <c r="CJ1073" s="72">
        <f>SUM(CJ1068:CJ1072)</f>
        <v>34380</v>
      </c>
      <c r="CK1073" s="72">
        <f>SUM(CK1068:CK1072)</f>
        <v>33947</v>
      </c>
      <c r="CL1073" s="72">
        <f>SUM(CL1068:CL1072)</f>
        <v>36254</v>
      </c>
      <c r="CN1073" s="72">
        <f>SUM(CN1068:CN1072)</f>
        <v>36198</v>
      </c>
      <c r="CO1073" s="72">
        <f>SUM(CO1068:CO1072)</f>
        <v>38429</v>
      </c>
      <c r="CP1073" s="72">
        <f>SUM(CP1068:CP1072)</f>
        <v>39417</v>
      </c>
      <c r="CR1073" s="72">
        <f>SUM(CR1068:CR1072)</f>
        <v>39983</v>
      </c>
      <c r="CS1073" s="72">
        <f>SUM(CS1068:CS1072)</f>
        <v>41667</v>
      </c>
      <c r="CT1073" s="72">
        <f>SUM(CT1068:CT1072)</f>
        <v>43572</v>
      </c>
      <c r="CV1073" s="72">
        <f>SUM(CV1068:CV1072)</f>
        <v>43271</v>
      </c>
      <c r="CW1073" s="72">
        <f>SUM(CW1068:CW1072)</f>
        <v>44571</v>
      </c>
      <c r="CX1073" s="72">
        <f>SUM(CX1068:CX1072)</f>
        <v>46822</v>
      </c>
      <c r="CZ1073" s="72">
        <f>SUM(CZ1068:CZ1072)</f>
        <v>45555</v>
      </c>
      <c r="DA1073" s="72">
        <f>SUM(DA1068:DA1072)</f>
        <v>45867</v>
      </c>
      <c r="DB1073" s="72">
        <f>SUM(DB1068:DB1072)</f>
        <v>48683</v>
      </c>
      <c r="DD1073" s="72">
        <f>SUM(DD1068:DD1072)</f>
        <v>47091</v>
      </c>
      <c r="DE1073" s="72">
        <f>SUM(DE1068:DE1072)</f>
        <v>46946</v>
      </c>
      <c r="DF1073" s="72">
        <f>SUM(DF1068:DF1072)</f>
        <v>49340</v>
      </c>
      <c r="DH1073" s="72">
        <f ca="1">SUM(DH1068:DH1072)</f>
        <v>48193.553635030563</v>
      </c>
      <c r="DI1073" s="72">
        <f ca="1">SUM(DI1068:DI1072)</f>
        <v>49523.522800680017</v>
      </c>
      <c r="DJ1073" s="72">
        <f ca="1">SUM(DJ1068:DJ1072)</f>
        <v>52019.844550080015</v>
      </c>
      <c r="DL1073" s="72">
        <f ca="1">SUM(DL1068:DL1072)</f>
        <v>50929.768513125673</v>
      </c>
      <c r="DM1073" s="72">
        <f ca="1">SUM(DM1068:DM1072)</f>
        <v>52302.160453835248</v>
      </c>
      <c r="DN1073" s="72">
        <f ca="1">SUM(DN1068:DN1072)</f>
        <v>54924.038276068874</v>
      </c>
      <c r="DP1073" s="72">
        <f ca="1">SUM(DP1068:DP1072)</f>
        <v>53736.511356825147</v>
      </c>
      <c r="DQ1073" s="72">
        <f ca="1">SUM(DQ1068:DQ1072)</f>
        <v>55278.569119256092</v>
      </c>
      <c r="DR1073" s="72">
        <f ca="1">SUM(DR1068:DR1072)</f>
        <v>58054.615255686898</v>
      </c>
    </row>
    <row r="1074" spans="1:128" s="20" customFormat="1" ht="13.8">
      <c r="A1074" s="20" t="s">
        <v>624</v>
      </c>
      <c r="B1074" s="49"/>
      <c r="BH1074" s="65">
        <f>-BH1083</f>
        <v>29</v>
      </c>
      <c r="BI1074" s="65">
        <f>-BI1083</f>
        <v>-1629</v>
      </c>
      <c r="BJ1074" s="65">
        <f>SUM(BH1074:BI1074)</f>
        <v>-1600</v>
      </c>
      <c r="BK1074" s="49"/>
      <c r="BL1074" s="65">
        <f>-BL1083</f>
        <v>-576</v>
      </c>
      <c r="BM1074" s="65">
        <f>-BM1083</f>
        <v>-50</v>
      </c>
      <c r="BN1074" s="65">
        <f>SUM(BL1074:BM1074)</f>
        <v>-626</v>
      </c>
      <c r="BO1074" s="49"/>
      <c r="BP1074" s="65">
        <f>-BP1083</f>
        <v>-2174</v>
      </c>
      <c r="BQ1074" s="65">
        <f>-BQ1083</f>
        <v>0</v>
      </c>
      <c r="BR1074" s="65">
        <f>SUM(BP1074:BQ1074)</f>
        <v>-2174</v>
      </c>
      <c r="BT1074" s="65">
        <f>-BT1083</f>
        <v>1195</v>
      </c>
      <c r="BU1074" s="65">
        <f>-BU1083</f>
        <v>-691</v>
      </c>
      <c r="BV1074" s="65">
        <f>SUM(BT1074:BU1074)</f>
        <v>504</v>
      </c>
      <c r="BX1074" s="65">
        <f>-BX1083</f>
        <v>951</v>
      </c>
      <c r="BY1074" s="65">
        <f>-BY1083</f>
        <v>98</v>
      </c>
      <c r="BZ1074" s="65">
        <f>SUM(BX1074:BY1074)</f>
        <v>1049</v>
      </c>
      <c r="CB1074" s="65">
        <f>-CB1083</f>
        <v>-521</v>
      </c>
      <c r="CC1074" s="65">
        <f>-CC1083</f>
        <v>239</v>
      </c>
      <c r="CD1074" s="65">
        <f>SUM(CB1074:CC1074)</f>
        <v>-282</v>
      </c>
      <c r="CF1074" s="65">
        <f>-CF1083</f>
        <v>-1393</v>
      </c>
      <c r="CG1074" s="65">
        <f>-CG1083</f>
        <v>97</v>
      </c>
      <c r="CH1074" s="65">
        <f>SUM(CF1074:CG1074)</f>
        <v>-1296</v>
      </c>
      <c r="CJ1074" s="65">
        <f>-CJ1083</f>
        <v>-1249</v>
      </c>
      <c r="CK1074" s="65">
        <f>-CK1083</f>
        <v>1373</v>
      </c>
      <c r="CL1074" s="65">
        <f>SUM(CJ1074:CK1074)</f>
        <v>124</v>
      </c>
      <c r="CN1074" s="65">
        <v>0</v>
      </c>
      <c r="CO1074" s="65">
        <v>0</v>
      </c>
      <c r="CP1074" s="65">
        <f>SUM(CN1074:CO1074)</f>
        <v>0</v>
      </c>
      <c r="CQ1074" s="28"/>
      <c r="CR1074" s="65">
        <v>0</v>
      </c>
      <c r="CS1074" s="65">
        <v>0</v>
      </c>
      <c r="CT1074" s="65">
        <f>SUM(CR1074:CS1074)</f>
        <v>0</v>
      </c>
      <c r="CV1074" s="65">
        <v>0</v>
      </c>
      <c r="CW1074" s="65">
        <v>0</v>
      </c>
      <c r="CX1074" s="65">
        <f>SUM(CV1074:CW1074)</f>
        <v>0</v>
      </c>
      <c r="CZ1074" s="65">
        <v>0</v>
      </c>
      <c r="DA1074" s="65">
        <v>0</v>
      </c>
      <c r="DB1074" s="65">
        <f>SUM(CZ1074:DA1074)</f>
        <v>0</v>
      </c>
      <c r="DD1074" s="65">
        <v>0</v>
      </c>
      <c r="DE1074" s="65">
        <v>0</v>
      </c>
      <c r="DF1074" s="65">
        <f>SUM(DD1074:DE1074)</f>
        <v>0</v>
      </c>
      <c r="DH1074" s="65">
        <f>-DH1083</f>
        <v>0</v>
      </c>
      <c r="DI1074" s="65">
        <f>-DI1083</f>
        <v>0</v>
      </c>
      <c r="DJ1074" s="65">
        <f>SUM(DH1074:DI1074)</f>
        <v>0</v>
      </c>
      <c r="DL1074" s="65">
        <f>-DL1083</f>
        <v>0</v>
      </c>
      <c r="DM1074" s="65">
        <f>-DM1083</f>
        <v>0</v>
      </c>
      <c r="DN1074" s="65">
        <f>SUM(DL1074:DM1074)</f>
        <v>0</v>
      </c>
      <c r="DP1074" s="65">
        <f>-DP1083</f>
        <v>0</v>
      </c>
      <c r="DQ1074" s="65">
        <f>-DQ1083</f>
        <v>0</v>
      </c>
      <c r="DR1074" s="65">
        <f>SUM(DP1074:DQ1074)</f>
        <v>0</v>
      </c>
    </row>
    <row r="1075" spans="1:128" s="20" customFormat="1" ht="13.8">
      <c r="A1075" s="20" t="s">
        <v>625</v>
      </c>
      <c r="B1075" s="49"/>
      <c r="BH1075" s="67">
        <v>-2118</v>
      </c>
      <c r="BI1075" s="67">
        <v>0</v>
      </c>
      <c r="BJ1075" s="65">
        <f>+BI1075+BH1075</f>
        <v>-2118</v>
      </c>
      <c r="BK1075" s="49"/>
      <c r="BL1075" s="67">
        <v>-2455</v>
      </c>
      <c r="BM1075" s="67">
        <v>0</v>
      </c>
      <c r="BN1075" s="65">
        <f>+BM1075+BL1075</f>
        <v>-2455</v>
      </c>
      <c r="BO1075" s="49"/>
      <c r="BP1075" s="67">
        <v>-2579</v>
      </c>
      <c r="BQ1075" s="67">
        <v>0</v>
      </c>
      <c r="BR1075" s="65">
        <f>+BQ1075+BP1075</f>
        <v>-2579</v>
      </c>
      <c r="BT1075" s="67">
        <v>-2711</v>
      </c>
      <c r="BU1075" s="67">
        <v>0</v>
      </c>
      <c r="BV1075" s="65">
        <f>+BU1075+BT1075</f>
        <v>-2711</v>
      </c>
      <c r="BX1075" s="67">
        <v>-2300</v>
      </c>
      <c r="BY1075" s="67">
        <v>0</v>
      </c>
      <c r="BZ1075" s="65">
        <f>+BY1075+BX1075</f>
        <v>-2300</v>
      </c>
      <c r="CB1075" s="67">
        <v>-2308</v>
      </c>
      <c r="CC1075" s="67">
        <v>0</v>
      </c>
      <c r="CD1075" s="65">
        <f>+CC1075+CB1075</f>
        <v>-2308</v>
      </c>
      <c r="CF1075" s="67">
        <v>-2254</v>
      </c>
      <c r="CG1075" s="67">
        <v>0</v>
      </c>
      <c r="CH1075" s="65">
        <f>+CG1075+CF1075</f>
        <v>-2254</v>
      </c>
      <c r="CJ1075" s="67">
        <v>-2228</v>
      </c>
      <c r="CK1075" s="67">
        <v>0</v>
      </c>
      <c r="CL1075" s="65">
        <f>+CK1075+CJ1075</f>
        <v>-2228</v>
      </c>
      <c r="CN1075" s="67">
        <v>-973</v>
      </c>
      <c r="CO1075" s="67">
        <v>0</v>
      </c>
      <c r="CP1075" s="65">
        <f>+CO1075+CN1075</f>
        <v>-973</v>
      </c>
      <c r="CR1075" s="67">
        <v>-1994</v>
      </c>
      <c r="CS1075" s="67">
        <v>0</v>
      </c>
      <c r="CT1075" s="65">
        <f>+CS1075+CR1075</f>
        <v>-1994</v>
      </c>
      <c r="CV1075" s="67">
        <v>-1979</v>
      </c>
      <c r="CW1075" s="67">
        <v>0</v>
      </c>
      <c r="CX1075" s="65">
        <f>+CW1075+CV1075</f>
        <v>-1979</v>
      </c>
      <c r="CZ1075" s="65">
        <f>-CW1134</f>
        <v>-2825.4380165289253</v>
      </c>
      <c r="DA1075" s="67">
        <v>0</v>
      </c>
      <c r="DB1075" s="65">
        <f>+DA1075+CZ1075</f>
        <v>-2825.4380165289253</v>
      </c>
      <c r="DD1075" s="573">
        <v>-2426</v>
      </c>
      <c r="DE1075" s="67">
        <v>0</v>
      </c>
      <c r="DF1075" s="65">
        <f>+DE1075+DD1075</f>
        <v>-2426</v>
      </c>
      <c r="DH1075" s="65">
        <f>-DE1134</f>
        <v>-2476.3217494</v>
      </c>
      <c r="DI1075" s="67">
        <v>0</v>
      </c>
      <c r="DJ1075" s="65">
        <f>+DI1075+DH1075</f>
        <v>-2476.3217494</v>
      </c>
      <c r="DL1075" s="65">
        <f ca="1">-DI1134</f>
        <v>-2601.8778222336255</v>
      </c>
      <c r="DM1075" s="67">
        <v>0</v>
      </c>
      <c r="DN1075" s="65">
        <f ca="1">+DM1075+DL1075</f>
        <v>-2601.8778222336255</v>
      </c>
      <c r="DP1075" s="65">
        <f ca="1">-DM1134</f>
        <v>-2756.0461364308067</v>
      </c>
      <c r="DQ1075" s="67">
        <v>0</v>
      </c>
      <c r="DR1075" s="65">
        <f ca="1">+DQ1075+DP1075</f>
        <v>-2756.0461364308067</v>
      </c>
    </row>
    <row r="1076" spans="1:128" s="20" customFormat="1" ht="13.8">
      <c r="A1076" s="20" t="s">
        <v>626</v>
      </c>
      <c r="B1076" s="49"/>
      <c r="BH1076" s="67">
        <v>0</v>
      </c>
      <c r="BI1076" s="67">
        <v>-1970</v>
      </c>
      <c r="BJ1076" s="65">
        <f>+BI1076+BH1076</f>
        <v>-1970</v>
      </c>
      <c r="BK1076" s="49"/>
      <c r="BL1076" s="67">
        <v>0</v>
      </c>
      <c r="BM1076" s="67">
        <v>-2239</v>
      </c>
      <c r="BN1076" s="65">
        <f>+BM1076+BL1076</f>
        <v>-2239</v>
      </c>
      <c r="BO1076" s="49"/>
      <c r="BP1076" s="67">
        <v>0</v>
      </c>
      <c r="BQ1076" s="67">
        <f>-4907-BP1075</f>
        <v>-2328</v>
      </c>
      <c r="BR1076" s="65">
        <f>+BQ1076+BP1076</f>
        <v>-2328</v>
      </c>
      <c r="BT1076" s="67">
        <v>0</v>
      </c>
      <c r="BU1076" s="67">
        <f>-5001-BT1075</f>
        <v>-2290</v>
      </c>
      <c r="BV1076" s="65">
        <f>+BU1076+BT1076</f>
        <v>-2290</v>
      </c>
      <c r="BX1076" s="67">
        <v>0</v>
      </c>
      <c r="BY1076" s="67">
        <f>-4609-BX1075</f>
        <v>-2309</v>
      </c>
      <c r="BZ1076" s="65">
        <f>+BY1076+BX1076</f>
        <v>-2309</v>
      </c>
      <c r="CB1076" s="67">
        <v>0</v>
      </c>
      <c r="CC1076" s="67">
        <f>-4585-CB1075</f>
        <v>-2277</v>
      </c>
      <c r="CD1076" s="65">
        <f>+CC1076+CB1076</f>
        <v>-2277</v>
      </c>
      <c r="CF1076" s="67">
        <v>0</v>
      </c>
      <c r="CG1076" s="67">
        <f>-4481-CF1075</f>
        <v>-2227</v>
      </c>
      <c r="CH1076" s="65">
        <f>+CG1076+CF1076</f>
        <v>-2227</v>
      </c>
      <c r="CJ1076" s="67">
        <v>0</v>
      </c>
      <c r="CK1076" s="67">
        <f>-2922-CJ1075</f>
        <v>-694</v>
      </c>
      <c r="CL1076" s="65">
        <f>+CK1076+CJ1076</f>
        <v>-694</v>
      </c>
      <c r="CN1076" s="67">
        <v>0</v>
      </c>
      <c r="CO1076" s="573">
        <f>-2928-CN1075</f>
        <v>-1955</v>
      </c>
      <c r="CP1076" s="65">
        <f>+CO1076+CN1076</f>
        <v>-1955</v>
      </c>
      <c r="CR1076" s="67">
        <v>0</v>
      </c>
      <c r="CS1076" s="65">
        <f>-CR1134</f>
        <v>-2011.75500528</v>
      </c>
      <c r="CT1076" s="65">
        <f>+CS1076+CR1076</f>
        <v>-2011.75500528</v>
      </c>
      <c r="CV1076" s="67">
        <v>0</v>
      </c>
      <c r="CW1076" s="65">
        <f>-CV1134</f>
        <v>-2432.7270934200001</v>
      </c>
      <c r="CX1076" s="65">
        <f>+CW1076+CV1076</f>
        <v>-2432.7270934200001</v>
      </c>
      <c r="CZ1076" s="67">
        <v>0</v>
      </c>
      <c r="DA1076" s="573">
        <f>-5220-CZ1075</f>
        <v>-2394.5619834710747</v>
      </c>
      <c r="DB1076" s="65">
        <f>+DA1076+CZ1076</f>
        <v>-2394.5619834710747</v>
      </c>
      <c r="DD1076" s="67">
        <v>0</v>
      </c>
      <c r="DE1076" s="573">
        <f>-4847-DD1075</f>
        <v>-2421</v>
      </c>
      <c r="DF1076" s="65">
        <f>+DE1076+DD1076</f>
        <v>-2421</v>
      </c>
      <c r="DH1076" s="67">
        <v>0</v>
      </c>
      <c r="DI1076" s="65">
        <f ca="1">-DH1134</f>
        <v>-2554.0720081710892</v>
      </c>
      <c r="DJ1076" s="65">
        <f ca="1">+DI1076+DH1076</f>
        <v>-2554.0720081710892</v>
      </c>
      <c r="DL1076" s="67">
        <v>0</v>
      </c>
      <c r="DM1076" s="65">
        <f ca="1">-DL1134</f>
        <v>-2706.6160500193896</v>
      </c>
      <c r="DN1076" s="65">
        <f ca="1">+DM1076+DL1076</f>
        <v>-2706.6160500193896</v>
      </c>
      <c r="DP1076" s="67">
        <v>0</v>
      </c>
      <c r="DQ1076" s="65">
        <f ca="1">-DP1134</f>
        <v>-2808.6526932812681</v>
      </c>
      <c r="DR1076" s="65">
        <f ca="1">+DQ1076+DP1076</f>
        <v>-2808.6526932812681</v>
      </c>
    </row>
    <row r="1077" spans="1:128" s="325" customFormat="1" ht="13.8">
      <c r="A1077" s="325" t="s">
        <v>627</v>
      </c>
      <c r="B1077" s="324"/>
      <c r="BH1077" s="326">
        <f>BH1078-SUM(BH1073:BH1076)</f>
        <v>-28</v>
      </c>
      <c r="BI1077" s="326">
        <f>BI1078-SUM(BI1073:BI1076)</f>
        <v>1586</v>
      </c>
      <c r="BJ1077" s="326">
        <f>+BI1077+BH1077</f>
        <v>1558</v>
      </c>
      <c r="BK1077" s="324"/>
      <c r="BL1077" s="326">
        <f>BL1078-SUM(BL1073:BL1076)</f>
        <v>570</v>
      </c>
      <c r="BM1077" s="326">
        <f>BM1078-SUM(BM1073:BM1076)</f>
        <v>33</v>
      </c>
      <c r="BN1077" s="326">
        <f>+BM1077+BL1077</f>
        <v>603</v>
      </c>
      <c r="BO1077" s="324"/>
      <c r="BP1077" s="326">
        <f>BP1078-SUM(BP1073:BP1076)</f>
        <v>2307</v>
      </c>
      <c r="BQ1077" s="326">
        <f>BQ1078-SUM(BQ1073:BQ1076)</f>
        <v>24</v>
      </c>
      <c r="BR1077" s="326">
        <f>+BQ1077+BP1077</f>
        <v>2331</v>
      </c>
      <c r="BT1077" s="326">
        <f>BT1078-SUM(BT1073:BT1076)</f>
        <v>-1182</v>
      </c>
      <c r="BU1077" s="326">
        <f>BU1078-SUM(BU1073:BU1076)</f>
        <v>604</v>
      </c>
      <c r="BV1077" s="326">
        <f>+BU1077+BT1077</f>
        <v>-578</v>
      </c>
      <c r="BX1077" s="326">
        <f>BX1078-SUM(BX1073:BX1076)</f>
        <v>-911</v>
      </c>
      <c r="BY1077" s="326">
        <f>BY1078-SUM(BY1073:BY1076)</f>
        <v>-123</v>
      </c>
      <c r="BZ1077" s="326">
        <f>+BY1077+BX1077</f>
        <v>-1034</v>
      </c>
      <c r="CB1077" s="326">
        <f ca="1">CB1078-SUM(CB1073:CB1076)</f>
        <v>560</v>
      </c>
      <c r="CC1077" s="326">
        <f>CC1078-SUM(CC1073:CC1076)</f>
        <v>-236</v>
      </c>
      <c r="CD1077" s="326">
        <f ca="1">+CC1077+CB1077</f>
        <v>324</v>
      </c>
      <c r="CF1077" s="326">
        <f>CF1078-SUM(CF1073:CF1076)</f>
        <v>811</v>
      </c>
      <c r="CG1077" s="326">
        <f>CG1078-SUM(CG1073:CG1076)</f>
        <v>-96</v>
      </c>
      <c r="CH1077" s="326">
        <f>+CG1077+CF1077</f>
        <v>715</v>
      </c>
      <c r="CJ1077" s="326">
        <f>CJ1078-SUM(CJ1073:CJ1076)</f>
        <v>1170</v>
      </c>
      <c r="CK1077" s="326">
        <f>CK1078-SUM(CK1073:CK1076)</f>
        <v>-1371</v>
      </c>
      <c r="CL1077" s="326">
        <f>+CK1077+CJ1077</f>
        <v>-201</v>
      </c>
      <c r="CN1077" s="326">
        <f>CN1078-SUM(CN1073:CN1076)</f>
        <v>-15</v>
      </c>
      <c r="CO1077" s="326">
        <f>CO1078-SUM(CO1073:CO1076)</f>
        <v>-21</v>
      </c>
      <c r="CP1077" s="326">
        <f>+CO1077+CN1077</f>
        <v>-36</v>
      </c>
      <c r="CR1077" s="326">
        <f>CR1078-SUM(CR1073:CR1076)</f>
        <v>89</v>
      </c>
      <c r="CS1077" s="326">
        <f>CS1078-SUM(CS1073:CS1076)</f>
        <v>60.75500527999975</v>
      </c>
      <c r="CT1077" s="326">
        <f>+CS1077+CR1077</f>
        <v>149.75500527999975</v>
      </c>
      <c r="CV1077" s="326">
        <f>CV1078-SUM(CV1073:CV1076)</f>
        <v>-272</v>
      </c>
      <c r="CW1077" s="326">
        <f>CW1078-SUM(CW1073:CW1076)</f>
        <v>9.7270934199987096</v>
      </c>
      <c r="CX1077" s="326">
        <f>+CW1077+CV1077</f>
        <v>-262.27290658000129</v>
      </c>
      <c r="CZ1077" s="326">
        <f>CZ1078-SUM(CZ1073:CZ1076)</f>
        <v>9.4380165289258002</v>
      </c>
      <c r="DA1077" s="326">
        <f>DA1078-SUM(DA1073:DA1076)</f>
        <v>-23.4380165289258</v>
      </c>
      <c r="DB1077" s="326">
        <f>+DA1077+CZ1077</f>
        <v>-14</v>
      </c>
      <c r="DD1077" s="326">
        <f>DD1078-SUM(DD1073:DD1076)</f>
        <v>32</v>
      </c>
      <c r="DE1077" s="326">
        <f>DE1078-SUM(DE1073:DE1076)</f>
        <v>-33</v>
      </c>
      <c r="DF1077" s="326">
        <f>+DE1077+DD1077</f>
        <v>-1</v>
      </c>
      <c r="DH1077" s="326">
        <f>DH1027</f>
        <v>-20</v>
      </c>
      <c r="DI1077" s="326">
        <f>DI1027</f>
        <v>-20</v>
      </c>
      <c r="DJ1077" s="326">
        <f>+DI1077+DH1077</f>
        <v>-40</v>
      </c>
      <c r="DL1077" s="326">
        <f>DL1027</f>
        <v>-20</v>
      </c>
      <c r="DM1077" s="326">
        <f>DM1027</f>
        <v>-20</v>
      </c>
      <c r="DN1077" s="326">
        <f>+DM1077+DL1077</f>
        <v>-40</v>
      </c>
      <c r="DP1077" s="326">
        <f>DP1027</f>
        <v>-20</v>
      </c>
      <c r="DQ1077" s="326">
        <f>DQ1027</f>
        <v>-20</v>
      </c>
      <c r="DR1077" s="326">
        <f>+DQ1077+DP1077</f>
        <v>-40</v>
      </c>
      <c r="DW1077" s="20"/>
      <c r="DX1077" s="20"/>
    </row>
    <row r="1078" spans="1:128" s="20" customFormat="1" ht="13.8">
      <c r="A1078" s="21" t="s">
        <v>502</v>
      </c>
      <c r="B1078" s="49"/>
      <c r="BH1078" s="72">
        <f>BH1042</f>
        <v>20518</v>
      </c>
      <c r="BI1078" s="72">
        <f>BI1042</f>
        <v>21936</v>
      </c>
      <c r="BJ1078" s="72">
        <f>SUM(BJ1073:BJ1077)</f>
        <v>21936</v>
      </c>
      <c r="BK1078" s="49"/>
      <c r="BL1078" s="72">
        <f>BL1042</f>
        <v>22905</v>
      </c>
      <c r="BM1078" s="72">
        <f>BM1042</f>
        <v>24544</v>
      </c>
      <c r="BN1078" s="72">
        <f>SUM(BN1073:BN1077)</f>
        <v>24544</v>
      </c>
      <c r="BO1078" s="49"/>
      <c r="BP1078" s="72">
        <f>BP1042</f>
        <v>25616</v>
      </c>
      <c r="BQ1078" s="72">
        <f>BQ1042</f>
        <v>27309</v>
      </c>
      <c r="BR1078" s="72">
        <f>SUM(BR1073:BR1077)</f>
        <v>27309</v>
      </c>
      <c r="BT1078" s="72">
        <f>BT1042</f>
        <v>27361</v>
      </c>
      <c r="BU1078" s="72">
        <f>BU1042</f>
        <v>27975</v>
      </c>
      <c r="BV1078" s="72">
        <f>SUM(BV1073:BV1077)</f>
        <v>27975</v>
      </c>
      <c r="BX1078" s="72">
        <f>BX1042</f>
        <v>28640</v>
      </c>
      <c r="BY1078" s="72">
        <f>BY1042</f>
        <v>29834</v>
      </c>
      <c r="BZ1078" s="72">
        <f>SUM(BZ1073:BZ1077)</f>
        <v>29834</v>
      </c>
      <c r="CB1078" s="72">
        <f>CB1042</f>
        <v>30900</v>
      </c>
      <c r="CC1078" s="72">
        <f>CC1042</f>
        <v>31715</v>
      </c>
      <c r="CD1078" s="72">
        <f ca="1">SUM(CD1073:CD1077)</f>
        <v>31715</v>
      </c>
      <c r="CF1078" s="72">
        <f>CF1042</f>
        <v>32064</v>
      </c>
      <c r="CG1078" s="72">
        <f>CG1042</f>
        <v>32664</v>
      </c>
      <c r="CH1078" s="72">
        <f>SUM(CH1073:CH1077)</f>
        <v>32664</v>
      </c>
      <c r="CJ1078" s="72">
        <f>CJ1042</f>
        <v>32073</v>
      </c>
      <c r="CK1078" s="72">
        <f>CK1042</f>
        <v>33255</v>
      </c>
      <c r="CL1078" s="72">
        <f>SUM(CL1073:CL1077)</f>
        <v>33255</v>
      </c>
      <c r="CN1078" s="72">
        <f>CN1042</f>
        <v>35210</v>
      </c>
      <c r="CO1078" s="72">
        <f>CO1042</f>
        <v>36453</v>
      </c>
      <c r="CP1078" s="72">
        <f>SUM(CP1073:CP1077)</f>
        <v>36453</v>
      </c>
      <c r="CR1078" s="72">
        <f>CR1042</f>
        <v>38078</v>
      </c>
      <c r="CS1078" s="72">
        <f>CS1042</f>
        <v>39716</v>
      </c>
      <c r="CT1078" s="72">
        <f>SUM(CT1073:CT1077)</f>
        <v>39716</v>
      </c>
      <c r="CV1078" s="72">
        <f>CV1042</f>
        <v>41020</v>
      </c>
      <c r="CW1078" s="72">
        <f>CW1042</f>
        <v>42148</v>
      </c>
      <c r="CX1078" s="72">
        <f>SUM(CX1073:CX1077)</f>
        <v>42148</v>
      </c>
      <c r="CZ1078" s="72">
        <f>CZ1042</f>
        <v>42739</v>
      </c>
      <c r="DA1078" s="72">
        <f>DA1042</f>
        <v>43449</v>
      </c>
      <c r="DB1078" s="72">
        <f>SUM(DB1073:DB1077)</f>
        <v>43449</v>
      </c>
      <c r="DD1078" s="72">
        <f>DD1042</f>
        <v>44697</v>
      </c>
      <c r="DE1078" s="72">
        <f>DE1042</f>
        <v>44492</v>
      </c>
      <c r="DF1078" s="72">
        <f>SUM(DF1073:DF1077)</f>
        <v>44492</v>
      </c>
      <c r="DH1078" s="72">
        <f ca="1">SUM(DH1073:DH1077)</f>
        <v>45697.231885630565</v>
      </c>
      <c r="DI1078" s="72">
        <f ca="1">SUM(DI1073:DI1077)</f>
        <v>46949.450792508927</v>
      </c>
      <c r="DJ1078" s="72">
        <f ca="1">SUM(DJ1073:DJ1077)</f>
        <v>46949.450792508927</v>
      </c>
      <c r="DL1078" s="72">
        <f ca="1">SUM(DL1073:DL1077)</f>
        <v>48307.890690892047</v>
      </c>
      <c r="DM1078" s="72">
        <f ca="1">SUM(DM1073:DM1077)</f>
        <v>49575.54440381586</v>
      </c>
      <c r="DN1078" s="72">
        <f ca="1">SUM(DN1073:DN1077)</f>
        <v>49575.54440381586</v>
      </c>
      <c r="DP1078" s="72">
        <f ca="1">SUM(DP1073:DP1077)</f>
        <v>50960.465220394341</v>
      </c>
      <c r="DQ1078" s="72">
        <f ca="1">SUM(DQ1073:DQ1077)</f>
        <v>52449.916425974821</v>
      </c>
      <c r="DR1078" s="72">
        <f ca="1">SUM(DR1073:DR1077)</f>
        <v>52449.916425974821</v>
      </c>
    </row>
    <row r="1079" spans="1:128" s="20" customFormat="1" ht="13.8">
      <c r="B1079" s="49"/>
      <c r="BH1079" s="49"/>
      <c r="BI1079" s="49"/>
      <c r="BJ1079" s="49"/>
      <c r="BK1079" s="49"/>
      <c r="BL1079" s="49"/>
      <c r="BM1079" s="49"/>
      <c r="BN1079" s="49"/>
      <c r="BO1079" s="49"/>
      <c r="BP1079" s="49"/>
      <c r="BQ1079" s="49"/>
      <c r="BR1079" s="49"/>
      <c r="BT1079" s="49"/>
      <c r="BU1079" s="49"/>
      <c r="BV1079" s="49"/>
      <c r="BX1079" s="49"/>
      <c r="BY1079" s="49"/>
      <c r="BZ1079" s="49"/>
      <c r="CB1079" s="49"/>
      <c r="CC1079" s="49"/>
      <c r="CD1079" s="49"/>
      <c r="CF1079" s="49"/>
      <c r="CG1079" s="49"/>
      <c r="CH1079" s="49"/>
      <c r="CJ1079" s="49"/>
      <c r="CK1079" s="49"/>
      <c r="CL1079" s="49"/>
      <c r="CN1079" s="49"/>
      <c r="CO1079" s="49"/>
      <c r="CP1079" s="49"/>
      <c r="CR1079" s="49"/>
      <c r="CV1079" s="49"/>
      <c r="CZ1079" s="49"/>
      <c r="DD1079" s="49"/>
      <c r="DH1079" s="49"/>
      <c r="DL1079" s="49"/>
      <c r="DP1079" s="49"/>
    </row>
    <row r="1080" spans="1:128" s="20" customFormat="1" ht="13.8">
      <c r="A1080" s="21" t="s">
        <v>137</v>
      </c>
      <c r="B1080" s="49"/>
      <c r="BH1080" s="49"/>
      <c r="BI1080" s="49"/>
      <c r="BJ1080" s="49"/>
      <c r="BK1080" s="49"/>
      <c r="BL1080" s="49"/>
      <c r="BM1080" s="49"/>
      <c r="BN1080" s="49"/>
      <c r="BO1080" s="49"/>
      <c r="BP1080" s="49"/>
      <c r="BQ1080" s="49"/>
      <c r="BR1080" s="49"/>
      <c r="BT1080" s="49"/>
      <c r="BU1080" s="49"/>
      <c r="BV1080" s="49"/>
      <c r="BX1080" s="49"/>
      <c r="BY1080" s="49"/>
      <c r="BZ1080" s="49"/>
      <c r="CB1080" s="49"/>
      <c r="CC1080" s="49"/>
      <c r="CD1080" s="49"/>
      <c r="CF1080" s="49"/>
      <c r="CG1080" s="49"/>
      <c r="CH1080" s="49"/>
      <c r="CJ1080" s="49"/>
      <c r="CK1080" s="49"/>
      <c r="CL1080" s="49"/>
      <c r="CN1080" s="49"/>
      <c r="CO1080" s="49"/>
      <c r="CP1080" s="49"/>
      <c r="CR1080" s="49"/>
      <c r="CV1080" s="49"/>
      <c r="CZ1080" s="49"/>
      <c r="DD1080" s="49"/>
      <c r="DH1080" s="49"/>
      <c r="DL1080" s="49"/>
      <c r="DP1080" s="49"/>
    </row>
    <row r="1081" spans="1:128" s="20" customFormat="1" ht="13.8">
      <c r="A1081" s="20" t="s">
        <v>310</v>
      </c>
      <c r="B1081" s="49"/>
      <c r="BH1081" s="67">
        <v>-2498</v>
      </c>
      <c r="BI1081" s="65">
        <f>BH1085</f>
        <v>-2528</v>
      </c>
      <c r="BJ1081" s="65">
        <f>BH1081</f>
        <v>-2498</v>
      </c>
      <c r="BK1081" s="49"/>
      <c r="BL1081" s="65">
        <f>BI1085</f>
        <v>-907</v>
      </c>
      <c r="BM1081" s="65">
        <f>BL1085</f>
        <v>-334</v>
      </c>
      <c r="BN1081" s="65">
        <f>BL1081</f>
        <v>-907</v>
      </c>
      <c r="BO1081" s="49"/>
      <c r="BP1081" s="65">
        <f>BM1085</f>
        <v>-239</v>
      </c>
      <c r="BQ1081" s="65">
        <f>BP1085</f>
        <v>2188</v>
      </c>
      <c r="BR1081" s="65">
        <f>BP1081</f>
        <v>-239</v>
      </c>
      <c r="BT1081" s="65">
        <f>BQ1085</f>
        <v>1571</v>
      </c>
      <c r="BU1081" s="65">
        <f>BT1085</f>
        <v>377</v>
      </c>
      <c r="BV1081" s="65">
        <f>BT1081</f>
        <v>1571</v>
      </c>
      <c r="BX1081" s="65">
        <f>BU1085</f>
        <v>1078</v>
      </c>
      <c r="BY1081" s="65">
        <f>BX1085</f>
        <v>115</v>
      </c>
      <c r="BZ1081" s="65">
        <f>BX1081</f>
        <v>1078</v>
      </c>
      <c r="CB1081" s="65">
        <f>BY1085</f>
        <v>37</v>
      </c>
      <c r="CC1081" s="65">
        <f>CB1085</f>
        <v>541</v>
      </c>
      <c r="CD1081" s="65">
        <f>CB1081</f>
        <v>37</v>
      </c>
      <c r="CF1081" s="65">
        <f>CC1085</f>
        <v>323</v>
      </c>
      <c r="CG1081" s="65">
        <f>CF1085</f>
        <v>1709</v>
      </c>
      <c r="CH1081" s="65">
        <f>CF1081</f>
        <v>323</v>
      </c>
      <c r="CJ1081" s="65">
        <f>CG1085</f>
        <v>1629</v>
      </c>
      <c r="CK1081" s="65">
        <f>CJ1085</f>
        <v>2851</v>
      </c>
      <c r="CL1081" s="65">
        <f>CJ1081</f>
        <v>1629</v>
      </c>
      <c r="CN1081" s="65">
        <f>CK1085</f>
        <v>1501</v>
      </c>
      <c r="CO1081" s="65">
        <f>CN1085</f>
        <v>741</v>
      </c>
      <c r="CP1081" s="65">
        <f>CN1081</f>
        <v>1501</v>
      </c>
      <c r="CR1081" s="65">
        <f>CO1085</f>
        <v>1228</v>
      </c>
      <c r="CS1081" s="65">
        <f>CR1085</f>
        <v>-1422</v>
      </c>
      <c r="CT1081" s="65">
        <f>CR1081</f>
        <v>1228</v>
      </c>
      <c r="CV1081" s="65">
        <f>CS1085</f>
        <v>-2606</v>
      </c>
      <c r="CW1081" s="65">
        <f>CV1085</f>
        <v>-1019</v>
      </c>
      <c r="CX1081" s="65">
        <f>CV1081</f>
        <v>-2606</v>
      </c>
      <c r="CZ1081" s="65">
        <f>CW1085</f>
        <v>-1735</v>
      </c>
      <c r="DA1081" s="65">
        <f>CZ1085</f>
        <v>-1466</v>
      </c>
      <c r="DB1081" s="65">
        <f>CZ1081</f>
        <v>-1735</v>
      </c>
      <c r="DD1081" s="65">
        <f>DA1085</f>
        <v>-1774</v>
      </c>
      <c r="DE1081" s="65">
        <f>DD1085</f>
        <v>-990</v>
      </c>
      <c r="DF1081" s="65">
        <f>DD1081</f>
        <v>-1774</v>
      </c>
      <c r="DH1081" s="65">
        <f>DE1085</f>
        <v>-1555</v>
      </c>
      <c r="DI1081" s="65">
        <f>DH1085</f>
        <v>-1555</v>
      </c>
      <c r="DJ1081" s="65">
        <f>DH1081</f>
        <v>-1555</v>
      </c>
      <c r="DL1081" s="65">
        <f>DI1085</f>
        <v>-1555</v>
      </c>
      <c r="DM1081" s="65">
        <f>DL1085</f>
        <v>-1555</v>
      </c>
      <c r="DN1081" s="65">
        <f>DL1081</f>
        <v>-1555</v>
      </c>
      <c r="DP1081" s="65">
        <f>DM1085</f>
        <v>-1555</v>
      </c>
      <c r="DQ1081" s="65">
        <f>DP1085</f>
        <v>-1555</v>
      </c>
      <c r="DR1081" s="65">
        <f>DP1081</f>
        <v>-1555</v>
      </c>
    </row>
    <row r="1082" spans="1:128" s="325" customFormat="1" ht="13.8">
      <c r="A1082" s="325" t="s">
        <v>620</v>
      </c>
      <c r="B1082" s="324"/>
      <c r="BH1082" s="327">
        <v>0</v>
      </c>
      <c r="BI1082" s="327">
        <v>0</v>
      </c>
      <c r="BJ1082" s="326">
        <f>+BI1082+BH1082</f>
        <v>0</v>
      </c>
      <c r="BK1082" s="324"/>
      <c r="BL1082" s="327">
        <v>0</v>
      </c>
      <c r="BM1082" s="327">
        <v>0</v>
      </c>
      <c r="BN1082" s="326">
        <f>+BM1082+BL1082</f>
        <v>0</v>
      </c>
      <c r="BO1082" s="324"/>
      <c r="BP1082" s="327">
        <v>0</v>
      </c>
      <c r="BQ1082" s="327">
        <v>0</v>
      </c>
      <c r="BR1082" s="326">
        <f>+BQ1082+BP1082</f>
        <v>0</v>
      </c>
      <c r="BT1082" s="327">
        <v>0</v>
      </c>
      <c r="BU1082" s="327">
        <v>0</v>
      </c>
      <c r="BV1082" s="326">
        <f>+BU1082+BT1082</f>
        <v>0</v>
      </c>
      <c r="BX1082" s="327">
        <v>0</v>
      </c>
      <c r="BY1082" s="327">
        <v>0</v>
      </c>
      <c r="BZ1082" s="326">
        <f>+BY1082+BX1082</f>
        <v>0</v>
      </c>
      <c r="CB1082" s="327">
        <v>0</v>
      </c>
      <c r="CC1082" s="327">
        <v>0</v>
      </c>
      <c r="CD1082" s="326">
        <f>+CC1082+CB1082</f>
        <v>0</v>
      </c>
      <c r="CF1082" s="327">
        <v>0</v>
      </c>
      <c r="CG1082" s="327">
        <v>0</v>
      </c>
      <c r="CH1082" s="326">
        <f>+CG1082+CF1082</f>
        <v>0</v>
      </c>
      <c r="CJ1082" s="327">
        <v>0</v>
      </c>
      <c r="CK1082" s="327">
        <v>0</v>
      </c>
      <c r="CL1082" s="326">
        <f>+CK1082+CJ1082</f>
        <v>0</v>
      </c>
      <c r="CN1082" s="327">
        <v>0</v>
      </c>
      <c r="CO1082" s="327">
        <v>0</v>
      </c>
      <c r="CP1082" s="326">
        <f>+CO1082+CN1082</f>
        <v>0</v>
      </c>
      <c r="CR1082" s="327">
        <v>0</v>
      </c>
      <c r="CS1082" s="327">
        <v>0</v>
      </c>
      <c r="CT1082" s="326">
        <f>+CS1082+CR1082</f>
        <v>0</v>
      </c>
      <c r="CV1082" s="327">
        <v>0</v>
      </c>
      <c r="CW1082" s="327">
        <v>0</v>
      </c>
      <c r="CX1082" s="326">
        <f>+CW1082+CV1082</f>
        <v>0</v>
      </c>
      <c r="CZ1082" s="327">
        <v>0</v>
      </c>
      <c r="DA1082" s="327">
        <v>0</v>
      </c>
      <c r="DB1082" s="326">
        <f>+DA1082+CZ1082</f>
        <v>0</v>
      </c>
      <c r="DD1082" s="327">
        <v>0</v>
      </c>
      <c r="DE1082" s="327">
        <v>0</v>
      </c>
      <c r="DF1082" s="326">
        <f>+DE1082+DD1082</f>
        <v>0</v>
      </c>
      <c r="DH1082" s="328">
        <v>0</v>
      </c>
      <c r="DI1082" s="328">
        <v>0</v>
      </c>
      <c r="DJ1082" s="326">
        <f>+DI1082+DH1082</f>
        <v>0</v>
      </c>
      <c r="DL1082" s="328">
        <v>0</v>
      </c>
      <c r="DM1082" s="328">
        <v>0</v>
      </c>
      <c r="DN1082" s="326">
        <f>+DM1082+DL1082</f>
        <v>0</v>
      </c>
      <c r="DP1082" s="328">
        <v>0</v>
      </c>
      <c r="DQ1082" s="328">
        <v>0</v>
      </c>
      <c r="DR1082" s="326">
        <f>+DQ1082+DP1082</f>
        <v>0</v>
      </c>
      <c r="DW1082" s="20"/>
      <c r="DX1082" s="20"/>
    </row>
    <row r="1083" spans="1:128" s="325" customFormat="1" ht="13.8">
      <c r="A1083" s="325" t="s">
        <v>628</v>
      </c>
      <c r="B1083" s="324"/>
      <c r="BH1083" s="327">
        <v>-29</v>
      </c>
      <c r="BI1083" s="327">
        <v>1629</v>
      </c>
      <c r="BJ1083" s="326">
        <f>+BI1083+BH1083</f>
        <v>1600</v>
      </c>
      <c r="BK1083" s="324"/>
      <c r="BL1083" s="327">
        <v>576</v>
      </c>
      <c r="BM1083" s="327">
        <f>48+2-10+10</f>
        <v>50</v>
      </c>
      <c r="BN1083" s="326">
        <f>+BM1083+BL1083</f>
        <v>626</v>
      </c>
      <c r="BO1083" s="324"/>
      <c r="BP1083" s="327">
        <v>2174</v>
      </c>
      <c r="BQ1083" s="327">
        <v>0</v>
      </c>
      <c r="BR1083" s="326">
        <f>+BQ1083+BP1083</f>
        <v>2174</v>
      </c>
      <c r="BT1083" s="327">
        <v>-1195</v>
      </c>
      <c r="BU1083" s="327">
        <v>691</v>
      </c>
      <c r="BV1083" s="326">
        <f>+BU1083+BT1083</f>
        <v>-504</v>
      </c>
      <c r="BX1083" s="327">
        <v>-951</v>
      </c>
      <c r="BY1083" s="327">
        <f>-1049-BX1083</f>
        <v>-98</v>
      </c>
      <c r="BZ1083" s="326">
        <f>+BY1083+BX1083</f>
        <v>-1049</v>
      </c>
      <c r="CB1083" s="327">
        <v>521</v>
      </c>
      <c r="CC1083" s="327">
        <f>282-CB1083</f>
        <v>-239</v>
      </c>
      <c r="CD1083" s="326">
        <f>+CC1083+CB1083</f>
        <v>282</v>
      </c>
      <c r="CF1083" s="327">
        <v>1393</v>
      </c>
      <c r="CG1083" s="327">
        <f>1296-CF1083</f>
        <v>-97</v>
      </c>
      <c r="CH1083" s="326">
        <f>+CG1083+CF1083</f>
        <v>1296</v>
      </c>
      <c r="CJ1083" s="327">
        <v>1249</v>
      </c>
      <c r="CK1083" s="327">
        <f>-124-CJ1083</f>
        <v>-1373</v>
      </c>
      <c r="CL1083" s="326">
        <f>+CK1083+CJ1083</f>
        <v>-124</v>
      </c>
      <c r="CN1083" s="327">
        <v>-731</v>
      </c>
      <c r="CO1083" s="327">
        <f>-264-CN1083</f>
        <v>467</v>
      </c>
      <c r="CP1083" s="326">
        <f>+CO1083+CN1083</f>
        <v>-264</v>
      </c>
      <c r="CR1083" s="327">
        <v>-2628</v>
      </c>
      <c r="CS1083" s="327">
        <v>-1207</v>
      </c>
      <c r="CT1083" s="326">
        <f>+CS1083+CR1083</f>
        <v>-3835</v>
      </c>
      <c r="CV1083" s="327">
        <v>1607</v>
      </c>
      <c r="CW1083" s="327">
        <f>865-CV1083</f>
        <v>-742</v>
      </c>
      <c r="CX1083" s="326">
        <f>+CW1083+CV1083</f>
        <v>865</v>
      </c>
      <c r="CZ1083" s="327">
        <v>281</v>
      </c>
      <c r="DA1083" s="327">
        <f>-58-CZ1083</f>
        <v>-339</v>
      </c>
      <c r="DB1083" s="326">
        <f>+DA1083+CZ1083</f>
        <v>-58</v>
      </c>
      <c r="DD1083" s="327">
        <v>811</v>
      </c>
      <c r="DE1083" s="327">
        <f>237-DD1083</f>
        <v>-574</v>
      </c>
      <c r="DF1083" s="326">
        <f>+DE1083+DD1083</f>
        <v>237</v>
      </c>
      <c r="DH1083" s="328">
        <v>0</v>
      </c>
      <c r="DI1083" s="328">
        <v>0</v>
      </c>
      <c r="DJ1083" s="326">
        <f>+DI1083+DH1083</f>
        <v>0</v>
      </c>
      <c r="DL1083" s="328">
        <v>0</v>
      </c>
      <c r="DM1083" s="328">
        <v>0</v>
      </c>
      <c r="DN1083" s="326">
        <f>+DM1083+DL1083</f>
        <v>0</v>
      </c>
      <c r="DP1083" s="328">
        <v>0</v>
      </c>
      <c r="DQ1083" s="328">
        <v>0</v>
      </c>
      <c r="DR1083" s="326">
        <f>+DQ1083+DP1083</f>
        <v>0</v>
      </c>
      <c r="DW1083" s="20"/>
      <c r="DX1083" s="20"/>
    </row>
    <row r="1084" spans="1:128" s="325" customFormat="1" ht="13.8">
      <c r="A1084" s="325" t="s">
        <v>166</v>
      </c>
      <c r="B1084" s="324"/>
      <c r="BH1084" s="326">
        <f>BH1085-BH1081-BH1083-BH1082</f>
        <v>-1</v>
      </c>
      <c r="BI1084" s="326">
        <f>BI1085-BI1081-BI1083-BI1082</f>
        <v>-8</v>
      </c>
      <c r="BJ1084" s="326">
        <f>+BI1084+BH1084</f>
        <v>-9</v>
      </c>
      <c r="BK1084" s="324"/>
      <c r="BL1084" s="326">
        <f>BL1085-BL1081-BL1083-BL1082</f>
        <v>-3</v>
      </c>
      <c r="BM1084" s="326">
        <f>BM1085-BM1081-BM1083-BM1082</f>
        <v>45</v>
      </c>
      <c r="BN1084" s="326">
        <f>+BM1084+BL1084</f>
        <v>42</v>
      </c>
      <c r="BO1084" s="324"/>
      <c r="BP1084" s="326">
        <f>BP1085-BP1081-BP1083-BP1082</f>
        <v>253</v>
      </c>
      <c r="BQ1084" s="326">
        <f>BQ1085-BQ1081-BQ1083-BQ1082</f>
        <v>-617</v>
      </c>
      <c r="BR1084" s="326">
        <f>+BQ1084+BP1084</f>
        <v>-364</v>
      </c>
      <c r="BT1084" s="326">
        <f>BT1085-BT1081-BT1083-BT1082</f>
        <v>1</v>
      </c>
      <c r="BU1084" s="326">
        <f>BU1085-BU1081-BU1083-BU1082</f>
        <v>10</v>
      </c>
      <c r="BV1084" s="326">
        <f>+BU1084+BT1084</f>
        <v>11</v>
      </c>
      <c r="BX1084" s="326">
        <f>BX1085-BX1081-BX1083-BX1082</f>
        <v>-12</v>
      </c>
      <c r="BY1084" s="326">
        <f>BY1085-BY1081-BY1083-BY1082</f>
        <v>20</v>
      </c>
      <c r="BZ1084" s="326">
        <f>+BY1084+BX1084</f>
        <v>8</v>
      </c>
      <c r="CB1084" s="326">
        <f>CB1085-CB1081-CB1083-CB1082</f>
        <v>-17</v>
      </c>
      <c r="CC1084" s="326">
        <f>CC1085-CC1081-CC1083-CC1082</f>
        <v>21</v>
      </c>
      <c r="CD1084" s="326">
        <f>+CC1084+CB1084</f>
        <v>4</v>
      </c>
      <c r="CF1084" s="326">
        <f>CF1085-CF1081-CF1083-CF1082</f>
        <v>-7</v>
      </c>
      <c r="CG1084" s="326">
        <f>CG1085-CG1081-CG1083-CG1082</f>
        <v>17</v>
      </c>
      <c r="CH1084" s="326">
        <f>+CG1084+CF1084</f>
        <v>10</v>
      </c>
      <c r="CJ1084" s="326">
        <f>CJ1085-CJ1081-CJ1083-CJ1082</f>
        <v>-27</v>
      </c>
      <c r="CK1084" s="326">
        <f>CK1085-CK1081-CK1083-CK1082</f>
        <v>23</v>
      </c>
      <c r="CL1084" s="326">
        <f>+CK1084+CJ1084</f>
        <v>-4</v>
      </c>
      <c r="CN1084" s="326">
        <f>CN1085-CN1081-CN1083-CN1082</f>
        <v>-29</v>
      </c>
      <c r="CO1084" s="326">
        <f>CO1085-CO1081-CO1083-CO1082</f>
        <v>20</v>
      </c>
      <c r="CP1084" s="326">
        <f>+CO1084+CN1084</f>
        <v>-9</v>
      </c>
      <c r="CR1084" s="326">
        <f>CR1085-CR1081-CR1083-CR1082</f>
        <v>-22</v>
      </c>
      <c r="CS1084" s="326">
        <f>CS1085-CS1081-CS1083-CS1082</f>
        <v>23</v>
      </c>
      <c r="CT1084" s="326">
        <f>+CS1084+CR1084</f>
        <v>1</v>
      </c>
      <c r="CV1084" s="326">
        <f>CV1085-CV1081-CV1083-CV1082</f>
        <v>-20</v>
      </c>
      <c r="CW1084" s="326">
        <f>CW1085-CW1081-CW1083-CW1082</f>
        <v>26</v>
      </c>
      <c r="CX1084" s="326">
        <f>+CW1084+CV1084</f>
        <v>6</v>
      </c>
      <c r="CZ1084" s="326">
        <f>CZ1085-CZ1081-CZ1083-CZ1082</f>
        <v>-12</v>
      </c>
      <c r="DA1084" s="326">
        <f>DA1085-DA1081-DA1083-DA1082</f>
        <v>31</v>
      </c>
      <c r="DB1084" s="326">
        <f>+DA1084+CZ1084</f>
        <v>19</v>
      </c>
      <c r="DD1084" s="326">
        <f>DD1085-DD1081-DD1083-DD1082</f>
        <v>-27</v>
      </c>
      <c r="DE1084" s="326">
        <f>DE1085-DE1081-DE1083-DE1082</f>
        <v>9</v>
      </c>
      <c r="DF1084" s="326">
        <f>+DE1084+DD1084</f>
        <v>-18</v>
      </c>
      <c r="DH1084" s="328">
        <v>0</v>
      </c>
      <c r="DI1084" s="328">
        <v>0</v>
      </c>
      <c r="DJ1084" s="326">
        <f>+DI1084+DH1084</f>
        <v>0</v>
      </c>
      <c r="DL1084" s="328">
        <v>0</v>
      </c>
      <c r="DM1084" s="328">
        <v>0</v>
      </c>
      <c r="DN1084" s="326">
        <f>+DM1084+DL1084</f>
        <v>0</v>
      </c>
      <c r="DP1084" s="328">
        <v>0</v>
      </c>
      <c r="DQ1084" s="328">
        <v>0</v>
      </c>
      <c r="DR1084" s="326">
        <f>+DQ1084+DP1084</f>
        <v>0</v>
      </c>
      <c r="DW1084" s="20"/>
      <c r="DX1084" s="20"/>
    </row>
    <row r="1085" spans="1:128" s="21" customFormat="1" ht="13.8">
      <c r="A1085" s="21" t="s">
        <v>502</v>
      </c>
      <c r="B1085" s="27"/>
      <c r="BH1085" s="72">
        <f>BH1041</f>
        <v>-2528</v>
      </c>
      <c r="BI1085" s="72">
        <f>BI1041</f>
        <v>-907</v>
      </c>
      <c r="BJ1085" s="72">
        <f>BJ1041</f>
        <v>-907</v>
      </c>
      <c r="BK1085" s="27"/>
      <c r="BL1085" s="72">
        <f>BL1041</f>
        <v>-334</v>
      </c>
      <c r="BM1085" s="72">
        <f>BM1041</f>
        <v>-239</v>
      </c>
      <c r="BN1085" s="72">
        <f>BN1041</f>
        <v>-239</v>
      </c>
      <c r="BO1085" s="27"/>
      <c r="BP1085" s="72">
        <f>BP1041</f>
        <v>2188</v>
      </c>
      <c r="BQ1085" s="72">
        <f>BQ1041</f>
        <v>1571</v>
      </c>
      <c r="BR1085" s="72">
        <f>BR1041</f>
        <v>1571</v>
      </c>
      <c r="BT1085" s="72">
        <f>BT1041</f>
        <v>377</v>
      </c>
      <c r="BU1085" s="72">
        <f>BU1041</f>
        <v>1078</v>
      </c>
      <c r="BV1085" s="72">
        <f>BV1041</f>
        <v>1078</v>
      </c>
      <c r="BX1085" s="72">
        <f>BX1041</f>
        <v>115</v>
      </c>
      <c r="BY1085" s="72">
        <f>BY1041</f>
        <v>37</v>
      </c>
      <c r="BZ1085" s="72">
        <f>BZ1041</f>
        <v>37</v>
      </c>
      <c r="CB1085" s="72">
        <f>CB1041</f>
        <v>541</v>
      </c>
      <c r="CC1085" s="72">
        <f>CC1041</f>
        <v>323</v>
      </c>
      <c r="CD1085" s="72">
        <f>CD1041</f>
        <v>323</v>
      </c>
      <c r="CF1085" s="72">
        <f>CF1041</f>
        <v>1709</v>
      </c>
      <c r="CG1085" s="72">
        <f>CG1041</f>
        <v>1629</v>
      </c>
      <c r="CH1085" s="72">
        <f>CH1041</f>
        <v>1629</v>
      </c>
      <c r="CJ1085" s="72">
        <f>CJ1041</f>
        <v>2851</v>
      </c>
      <c r="CK1085" s="72">
        <f>CK1041</f>
        <v>1501</v>
      </c>
      <c r="CL1085" s="72">
        <f>CL1041</f>
        <v>1501</v>
      </c>
      <c r="CN1085" s="72">
        <f>CN1041</f>
        <v>741</v>
      </c>
      <c r="CO1085" s="72">
        <f>CO1041</f>
        <v>1228</v>
      </c>
      <c r="CP1085" s="72">
        <f>CP1041</f>
        <v>1228</v>
      </c>
      <c r="CR1085" s="72">
        <f>CR1041</f>
        <v>-1422</v>
      </c>
      <c r="CS1085" s="72">
        <f>CS1041</f>
        <v>-2606</v>
      </c>
      <c r="CT1085" s="72">
        <f>CT1041</f>
        <v>-2606</v>
      </c>
      <c r="CV1085" s="72">
        <f>CV1041</f>
        <v>-1019</v>
      </c>
      <c r="CW1085" s="72">
        <f>CW1041</f>
        <v>-1735</v>
      </c>
      <c r="CX1085" s="72">
        <f>CX1041</f>
        <v>-1735</v>
      </c>
      <c r="CZ1085" s="72">
        <f>CZ1041</f>
        <v>-1466</v>
      </c>
      <c r="DA1085" s="72">
        <f>DA1041</f>
        <v>-1774</v>
      </c>
      <c r="DB1085" s="72">
        <f>DB1041</f>
        <v>-1774</v>
      </c>
      <c r="DD1085" s="72">
        <f>DD1041</f>
        <v>-990</v>
      </c>
      <c r="DE1085" s="72">
        <f>DE1041</f>
        <v>-1555</v>
      </c>
      <c r="DF1085" s="72">
        <f>DF1041</f>
        <v>-1555</v>
      </c>
      <c r="DH1085" s="72">
        <f>SUM(DH1081:DH1084)</f>
        <v>-1555</v>
      </c>
      <c r="DI1085" s="72">
        <f>SUM(DI1081:DI1084)</f>
        <v>-1555</v>
      </c>
      <c r="DJ1085" s="72">
        <f>SUM(DJ1081:DJ1084)</f>
        <v>-1555</v>
      </c>
      <c r="DL1085" s="72">
        <f>SUM(DL1081:DL1084)</f>
        <v>-1555</v>
      </c>
      <c r="DM1085" s="72">
        <f>SUM(DM1081:DM1084)</f>
        <v>-1555</v>
      </c>
      <c r="DN1085" s="72">
        <f>SUM(DN1081:DN1084)</f>
        <v>-1555</v>
      </c>
      <c r="DP1085" s="72">
        <f>SUM(DP1081:DP1084)</f>
        <v>-1555</v>
      </c>
      <c r="DQ1085" s="72">
        <f>SUM(DQ1081:DQ1084)</f>
        <v>-1555</v>
      </c>
      <c r="DR1085" s="72">
        <f>SUM(DR1081:DR1084)</f>
        <v>-1555</v>
      </c>
      <c r="DW1085" s="20"/>
      <c r="DX1085" s="20"/>
    </row>
    <row r="1086" spans="1:128" s="21" customFormat="1" ht="13.8">
      <c r="B1086" s="27"/>
      <c r="BH1086" s="72"/>
      <c r="BI1086" s="72"/>
      <c r="BJ1086" s="72"/>
      <c r="BK1086" s="27"/>
      <c r="BL1086" s="72"/>
      <c r="BM1086" s="72"/>
      <c r="BN1086" s="72"/>
      <c r="BO1086" s="27"/>
      <c r="BP1086" s="72"/>
      <c r="BQ1086" s="72"/>
      <c r="BR1086" s="72"/>
      <c r="BT1086" s="72"/>
      <c r="BU1086" s="72"/>
      <c r="BV1086" s="72"/>
      <c r="BX1086" s="72"/>
      <c r="BY1086" s="72"/>
      <c r="BZ1086" s="72"/>
      <c r="CB1086" s="72"/>
      <c r="CC1086" s="72"/>
      <c r="CD1086" s="72"/>
      <c r="CF1086" s="72"/>
      <c r="CG1086" s="72"/>
      <c r="CH1086" s="72"/>
      <c r="CJ1086" s="27"/>
      <c r="CK1086" s="72"/>
      <c r="CL1086" s="72"/>
      <c r="CN1086" s="27"/>
      <c r="CO1086" s="72"/>
      <c r="CP1086" s="72"/>
      <c r="CR1086" s="27"/>
      <c r="CV1086" s="27"/>
      <c r="CZ1086" s="27"/>
      <c r="DD1086" s="27"/>
      <c r="DH1086" s="27"/>
      <c r="DL1086" s="27"/>
      <c r="DP1086" s="27"/>
      <c r="DW1086" s="20"/>
      <c r="DX1086" s="20"/>
    </row>
    <row r="1087" spans="1:128" s="20" customFormat="1" ht="13.8">
      <c r="A1087" s="21" t="s">
        <v>613</v>
      </c>
      <c r="B1087" s="49"/>
      <c r="BH1087" s="49"/>
      <c r="BI1087" s="49"/>
      <c r="BJ1087" s="49"/>
      <c r="BK1087" s="49"/>
      <c r="BL1087" s="49"/>
      <c r="BM1087" s="49"/>
      <c r="BN1087" s="49"/>
      <c r="BO1087" s="49"/>
      <c r="BP1087" s="49"/>
      <c r="BQ1087" s="49"/>
      <c r="BR1087" s="49"/>
      <c r="BT1087" s="49"/>
      <c r="BU1087" s="49"/>
      <c r="BV1087" s="49"/>
      <c r="BX1087" s="49"/>
      <c r="BY1087" s="49"/>
      <c r="BZ1087" s="49"/>
      <c r="CB1087" s="49"/>
      <c r="CC1087" s="49"/>
      <c r="CD1087" s="49"/>
      <c r="CF1087" s="49"/>
      <c r="CG1087" s="49"/>
      <c r="CH1087" s="49"/>
      <c r="CJ1087" s="49"/>
      <c r="CK1087" s="49"/>
      <c r="CL1087" s="49"/>
      <c r="CN1087" s="49"/>
      <c r="CO1087" s="49"/>
      <c r="CP1087" s="49"/>
      <c r="CR1087" s="49"/>
      <c r="CV1087" s="49"/>
      <c r="CZ1087" s="49"/>
      <c r="DD1087" s="49"/>
      <c r="DH1087" s="49"/>
      <c r="DL1087" s="49"/>
      <c r="DP1087" s="49"/>
    </row>
    <row r="1088" spans="1:128" s="20" customFormat="1" ht="13.8">
      <c r="A1088" s="20" t="s">
        <v>310</v>
      </c>
      <c r="B1088" s="49"/>
      <c r="BH1088" s="67">
        <v>871</v>
      </c>
      <c r="BI1088" s="65">
        <f>BH1090</f>
        <v>871</v>
      </c>
      <c r="BJ1088" s="65">
        <f>+BH1088</f>
        <v>871</v>
      </c>
      <c r="BK1088" s="49"/>
      <c r="BL1088" s="65">
        <f>BI1090</f>
        <v>871</v>
      </c>
      <c r="BM1088" s="65">
        <f>BL1090</f>
        <v>871</v>
      </c>
      <c r="BN1088" s="65">
        <f>+BL1088</f>
        <v>871</v>
      </c>
      <c r="BO1088" s="49"/>
      <c r="BP1088" s="65">
        <f>BM1090</f>
        <v>871</v>
      </c>
      <c r="BQ1088" s="65">
        <f>BP1090</f>
        <v>0</v>
      </c>
      <c r="BR1088" s="65">
        <f>+BP1088</f>
        <v>871</v>
      </c>
      <c r="BT1088" s="65">
        <f>BQ1090</f>
        <v>0</v>
      </c>
      <c r="BU1088" s="65">
        <f>BT1090</f>
        <v>0</v>
      </c>
      <c r="BV1088" s="65">
        <f>+BT1088</f>
        <v>0</v>
      </c>
      <c r="BX1088" s="65">
        <f>BU1090</f>
        <v>0</v>
      </c>
      <c r="BY1088" s="65">
        <f>BX1090</f>
        <v>0</v>
      </c>
      <c r="BZ1088" s="65">
        <f>+BX1088</f>
        <v>0</v>
      </c>
      <c r="CB1088" s="65">
        <f>BY1090</f>
        <v>0</v>
      </c>
      <c r="CC1088" s="65">
        <f>CB1090</f>
        <v>0</v>
      </c>
      <c r="CD1088" s="65">
        <f>+CB1088</f>
        <v>0</v>
      </c>
      <c r="CF1088" s="65">
        <f>CC1090</f>
        <v>0</v>
      </c>
      <c r="CG1088" s="65">
        <f>CF1090</f>
        <v>0</v>
      </c>
      <c r="CH1088" s="65">
        <f>+CF1088</f>
        <v>0</v>
      </c>
      <c r="CJ1088" s="65">
        <f>CG1090</f>
        <v>0</v>
      </c>
      <c r="CK1088" s="65">
        <f>CJ1090</f>
        <v>0</v>
      </c>
      <c r="CL1088" s="65">
        <f>+CJ1088</f>
        <v>0</v>
      </c>
      <c r="CN1088" s="65">
        <f>CK1090</f>
        <v>0</v>
      </c>
      <c r="CO1088" s="65">
        <f>CN1090</f>
        <v>0</v>
      </c>
      <c r="CP1088" s="65">
        <f>+CN1088</f>
        <v>0</v>
      </c>
      <c r="CR1088" s="65">
        <f>CO1090</f>
        <v>0</v>
      </c>
      <c r="CS1088" s="65">
        <f>CR1090</f>
        <v>0</v>
      </c>
      <c r="CT1088" s="65">
        <f>+CR1088</f>
        <v>0</v>
      </c>
      <c r="CV1088" s="65">
        <f>CS1090</f>
        <v>0</v>
      </c>
      <c r="CW1088" s="65">
        <f>CV1090</f>
        <v>0</v>
      </c>
      <c r="CX1088" s="65">
        <f>+CV1088</f>
        <v>0</v>
      </c>
      <c r="CZ1088" s="65">
        <f>CW1090</f>
        <v>0</v>
      </c>
      <c r="DA1088" s="65">
        <f>CZ1090</f>
        <v>0</v>
      </c>
      <c r="DB1088" s="65">
        <f>+CZ1088</f>
        <v>0</v>
      </c>
      <c r="DD1088" s="65">
        <f>DA1090</f>
        <v>0</v>
      </c>
      <c r="DE1088" s="65">
        <f>DD1090</f>
        <v>0</v>
      </c>
      <c r="DF1088" s="65">
        <f>+DD1088</f>
        <v>0</v>
      </c>
      <c r="DH1088" s="65">
        <f>DF1090</f>
        <v>0</v>
      </c>
      <c r="DI1088" s="65">
        <f>DH1090</f>
        <v>0</v>
      </c>
      <c r="DJ1088" s="65">
        <f>+DH1088</f>
        <v>0</v>
      </c>
      <c r="DL1088" s="65">
        <f>DJ1090</f>
        <v>0</v>
      </c>
      <c r="DM1088" s="65">
        <f>DL1090</f>
        <v>0</v>
      </c>
      <c r="DN1088" s="65">
        <f>+DL1088</f>
        <v>0</v>
      </c>
      <c r="DP1088" s="65">
        <f>DN1090</f>
        <v>0</v>
      </c>
      <c r="DQ1088" s="65">
        <f>DP1090</f>
        <v>0</v>
      </c>
      <c r="DR1088" s="65">
        <f>+DP1088</f>
        <v>0</v>
      </c>
    </row>
    <row r="1089" spans="1:128" s="325" customFormat="1" ht="13.8">
      <c r="A1089" s="325" t="s">
        <v>166</v>
      </c>
      <c r="B1089" s="324"/>
      <c r="BH1089" s="326">
        <f>+BH1090-BH1088</f>
        <v>0</v>
      </c>
      <c r="BI1089" s="326">
        <f>+BI1090-BI1088</f>
        <v>0</v>
      </c>
      <c r="BJ1089" s="326">
        <f>+BI1089+BH1089</f>
        <v>0</v>
      </c>
      <c r="BK1089" s="324"/>
      <c r="BL1089" s="326">
        <f>+BL1090-BL1088</f>
        <v>0</v>
      </c>
      <c r="BM1089" s="326">
        <f>+BM1090-BM1088</f>
        <v>0</v>
      </c>
      <c r="BN1089" s="326">
        <f>+BM1089+BL1089</f>
        <v>0</v>
      </c>
      <c r="BO1089" s="324"/>
      <c r="BP1089" s="326">
        <f>+BP1090-BP1088</f>
        <v>-871</v>
      </c>
      <c r="BQ1089" s="326">
        <f>+BQ1090-BQ1088</f>
        <v>0</v>
      </c>
      <c r="BR1089" s="326">
        <f>+BQ1089+BP1089</f>
        <v>-871</v>
      </c>
      <c r="BT1089" s="326">
        <f>+BT1090-BT1088</f>
        <v>0</v>
      </c>
      <c r="BU1089" s="326">
        <f>+BU1090-BU1088</f>
        <v>0</v>
      </c>
      <c r="BV1089" s="326">
        <f>+BU1089+BT1089</f>
        <v>0</v>
      </c>
      <c r="BX1089" s="326">
        <f>+BX1090-BX1088</f>
        <v>0</v>
      </c>
      <c r="BY1089" s="326">
        <f>+BY1090-BY1088</f>
        <v>0</v>
      </c>
      <c r="BZ1089" s="326">
        <f>+BY1089+BX1089</f>
        <v>0</v>
      </c>
      <c r="CB1089" s="326">
        <f>+CB1090-CB1088</f>
        <v>0</v>
      </c>
      <c r="CC1089" s="326">
        <f>+CC1090-CC1088</f>
        <v>0</v>
      </c>
      <c r="CD1089" s="326">
        <f>+CC1089+CB1089</f>
        <v>0</v>
      </c>
      <c r="CF1089" s="326">
        <f>+CF1090-CF1088</f>
        <v>0</v>
      </c>
      <c r="CG1089" s="326">
        <f>+CG1090-CG1088</f>
        <v>0</v>
      </c>
      <c r="CH1089" s="326">
        <f>+CG1089+CF1089</f>
        <v>0</v>
      </c>
      <c r="CJ1089" s="326">
        <f>+CJ1090-CJ1088</f>
        <v>0</v>
      </c>
      <c r="CK1089" s="326">
        <f>+CK1090-CK1088</f>
        <v>0</v>
      </c>
      <c r="CL1089" s="326">
        <f>+CK1089+CJ1089</f>
        <v>0</v>
      </c>
      <c r="CN1089" s="326">
        <f>+CN1090-CN1088</f>
        <v>0</v>
      </c>
      <c r="CO1089" s="326">
        <f>+CO1090-CO1088</f>
        <v>0</v>
      </c>
      <c r="CP1089" s="326">
        <f>+CO1089+CN1089</f>
        <v>0</v>
      </c>
      <c r="CR1089" s="326">
        <f>+CR1090-CR1088</f>
        <v>0</v>
      </c>
      <c r="CS1089" s="326">
        <f>+CS1090-CS1088</f>
        <v>0</v>
      </c>
      <c r="CT1089" s="326">
        <f>+CS1089+CR1089</f>
        <v>0</v>
      </c>
      <c r="CV1089" s="326">
        <f>+CV1090-CV1088</f>
        <v>0</v>
      </c>
      <c r="CW1089" s="326">
        <f>+CW1090-CW1088</f>
        <v>0</v>
      </c>
      <c r="CX1089" s="326">
        <f>+CW1089+CV1089</f>
        <v>0</v>
      </c>
      <c r="CZ1089" s="326">
        <f>+CZ1090-CZ1088</f>
        <v>0</v>
      </c>
      <c r="DA1089" s="326">
        <f>+DA1090-DA1088</f>
        <v>0</v>
      </c>
      <c r="DB1089" s="326">
        <f>+DA1089+CZ1089</f>
        <v>0</v>
      </c>
      <c r="DD1089" s="326">
        <f>+DD1090-DD1088</f>
        <v>0</v>
      </c>
      <c r="DE1089" s="326">
        <f>+DE1090-DE1088</f>
        <v>0</v>
      </c>
      <c r="DF1089" s="326">
        <f>+DE1089+DD1089</f>
        <v>0</v>
      </c>
      <c r="DH1089" s="328">
        <v>0</v>
      </c>
      <c r="DI1089" s="328">
        <v>0</v>
      </c>
      <c r="DJ1089" s="326">
        <f>+DI1089+DH1089</f>
        <v>0</v>
      </c>
      <c r="DL1089" s="328">
        <v>0</v>
      </c>
      <c r="DM1089" s="328">
        <v>0</v>
      </c>
      <c r="DN1089" s="326">
        <f>+DM1089+DL1089</f>
        <v>0</v>
      </c>
      <c r="DP1089" s="328">
        <v>0</v>
      </c>
      <c r="DQ1089" s="328">
        <v>0</v>
      </c>
      <c r="DR1089" s="326">
        <f>+DQ1089+DP1089</f>
        <v>0</v>
      </c>
      <c r="DW1089" s="20"/>
      <c r="DX1089" s="20"/>
    </row>
    <row r="1090" spans="1:128" s="20" customFormat="1" ht="13.8">
      <c r="A1090" s="21" t="s">
        <v>502</v>
      </c>
      <c r="B1090" s="27"/>
      <c r="C1090" s="21"/>
      <c r="D1090" s="21"/>
      <c r="E1090" s="21"/>
      <c r="F1090" s="21"/>
      <c r="G1090" s="21"/>
      <c r="H1090" s="21"/>
      <c r="I1090" s="21"/>
      <c r="J1090" s="21"/>
      <c r="K1090" s="21"/>
      <c r="L1090" s="21"/>
      <c r="M1090" s="21"/>
      <c r="N1090" s="21"/>
      <c r="O1090" s="21"/>
      <c r="P1090" s="21"/>
      <c r="Q1090" s="21"/>
      <c r="R1090" s="21"/>
      <c r="S1090" s="21"/>
      <c r="T1090" s="21"/>
      <c r="U1090" s="21"/>
      <c r="V1090" s="21"/>
      <c r="W1090" s="21"/>
      <c r="X1090" s="21"/>
      <c r="Y1090" s="21"/>
      <c r="Z1090" s="21"/>
      <c r="AA1090" s="21"/>
      <c r="AB1090" s="21"/>
      <c r="AC1090" s="21"/>
      <c r="AD1090" s="21"/>
      <c r="AE1090" s="21"/>
      <c r="AF1090" s="21"/>
      <c r="AG1090" s="21"/>
      <c r="AH1090" s="21"/>
      <c r="AI1090" s="21"/>
      <c r="AJ1090" s="21"/>
      <c r="AK1090" s="21"/>
      <c r="AL1090" s="21"/>
      <c r="AM1090" s="21"/>
      <c r="AN1090" s="21"/>
      <c r="AO1090" s="21"/>
      <c r="AP1090" s="21"/>
      <c r="AQ1090" s="21"/>
      <c r="AR1090" s="21"/>
      <c r="AS1090" s="21"/>
      <c r="AT1090" s="21"/>
      <c r="AU1090" s="21"/>
      <c r="AV1090" s="21"/>
      <c r="AW1090" s="21"/>
      <c r="AX1090" s="21"/>
      <c r="AY1090" s="21"/>
      <c r="AZ1090" s="21"/>
      <c r="BA1090" s="21"/>
      <c r="BB1090" s="21"/>
      <c r="BC1090" s="21"/>
      <c r="BD1090" s="21"/>
      <c r="BE1090" s="21"/>
      <c r="BF1090" s="21"/>
      <c r="BG1090" s="21"/>
      <c r="BH1090" s="72">
        <f>BH1044</f>
        <v>871</v>
      </c>
      <c r="BI1090" s="72">
        <f>BI1044</f>
        <v>871</v>
      </c>
      <c r="BJ1090" s="72">
        <f>BJ1044</f>
        <v>871</v>
      </c>
      <c r="BK1090" s="27"/>
      <c r="BL1090" s="72">
        <f>BL1044</f>
        <v>871</v>
      </c>
      <c r="BM1090" s="72">
        <f>BM1044</f>
        <v>871</v>
      </c>
      <c r="BN1090" s="72">
        <f>BN1044</f>
        <v>871</v>
      </c>
      <c r="BO1090" s="27"/>
      <c r="BP1090" s="72">
        <f>BP1044</f>
        <v>0</v>
      </c>
      <c r="BQ1090" s="72">
        <f>BQ1044</f>
        <v>0</v>
      </c>
      <c r="BR1090" s="72">
        <f>BR1044</f>
        <v>0</v>
      </c>
      <c r="BT1090" s="72">
        <f>BT1044</f>
        <v>0</v>
      </c>
      <c r="BU1090" s="72">
        <f>BU1044</f>
        <v>0</v>
      </c>
      <c r="BV1090" s="72">
        <f>BV1044</f>
        <v>0</v>
      </c>
      <c r="BX1090" s="72">
        <f>BX1044</f>
        <v>0</v>
      </c>
      <c r="BY1090" s="72">
        <f>BY1044</f>
        <v>0</v>
      </c>
      <c r="BZ1090" s="72">
        <f>BZ1044</f>
        <v>0</v>
      </c>
      <c r="CB1090" s="72">
        <f>CB1044</f>
        <v>0</v>
      </c>
      <c r="CC1090" s="72">
        <f>CC1044</f>
        <v>0</v>
      </c>
      <c r="CD1090" s="72">
        <f>CD1044</f>
        <v>0</v>
      </c>
      <c r="CF1090" s="72">
        <f>CF1044</f>
        <v>0</v>
      </c>
      <c r="CG1090" s="72">
        <f>CG1044</f>
        <v>0</v>
      </c>
      <c r="CH1090" s="72">
        <f>CH1044</f>
        <v>0</v>
      </c>
      <c r="CJ1090" s="72">
        <f>CJ1044</f>
        <v>0</v>
      </c>
      <c r="CK1090" s="72">
        <f>CK1044</f>
        <v>0</v>
      </c>
      <c r="CL1090" s="72">
        <f>CL1044</f>
        <v>0</v>
      </c>
      <c r="CN1090" s="72">
        <f>CN1044</f>
        <v>0</v>
      </c>
      <c r="CO1090" s="72">
        <f>CO1044</f>
        <v>0</v>
      </c>
      <c r="CP1090" s="72">
        <f>CP1044</f>
        <v>0</v>
      </c>
      <c r="CR1090" s="72">
        <f>CR1044</f>
        <v>0</v>
      </c>
      <c r="CS1090" s="72">
        <f>CS1044</f>
        <v>0</v>
      </c>
      <c r="CT1090" s="72">
        <f>CT1044</f>
        <v>0</v>
      </c>
      <c r="CV1090" s="72">
        <f>CV1044</f>
        <v>0</v>
      </c>
      <c r="CW1090" s="72">
        <f>CW1044</f>
        <v>0</v>
      </c>
      <c r="CX1090" s="72">
        <f>CX1044</f>
        <v>0</v>
      </c>
      <c r="CZ1090" s="72">
        <f>CZ1044</f>
        <v>0</v>
      </c>
      <c r="DA1090" s="72">
        <f>DA1044</f>
        <v>0</v>
      </c>
      <c r="DB1090" s="72">
        <f>DB1044</f>
        <v>0</v>
      </c>
      <c r="DD1090" s="72">
        <f>DD1044</f>
        <v>0</v>
      </c>
      <c r="DE1090" s="72">
        <f>DE1044</f>
        <v>0</v>
      </c>
      <c r="DF1090" s="72">
        <f>DF1044</f>
        <v>0</v>
      </c>
      <c r="DH1090" s="72">
        <f>SUM(DH1088:DH1089)</f>
        <v>0</v>
      </c>
      <c r="DI1090" s="72">
        <f>SUM(DI1088:DI1089)</f>
        <v>0</v>
      </c>
      <c r="DJ1090" s="72">
        <f>DJ1044</f>
        <v>0</v>
      </c>
      <c r="DL1090" s="72">
        <f>SUM(DL1088:DL1089)</f>
        <v>0</v>
      </c>
      <c r="DM1090" s="72">
        <f>SUM(DM1088:DM1089)</f>
        <v>0</v>
      </c>
      <c r="DN1090" s="72">
        <f>DN1044</f>
        <v>0</v>
      </c>
      <c r="DP1090" s="72">
        <f>SUM(DP1088:DP1089)</f>
        <v>0</v>
      </c>
      <c r="DQ1090" s="72">
        <f>SUM(DQ1088:DQ1089)</f>
        <v>0</v>
      </c>
      <c r="DR1090" s="72">
        <f>DR1044</f>
        <v>0</v>
      </c>
    </row>
    <row r="1091" spans="1:128" s="20" customFormat="1" ht="13.8">
      <c r="B1091" s="49"/>
      <c r="BH1091" s="49"/>
      <c r="BI1091" s="49"/>
      <c r="BJ1091" s="49"/>
      <c r="BK1091" s="49"/>
      <c r="BL1091" s="49"/>
      <c r="BM1091" s="49"/>
      <c r="BN1091" s="49"/>
      <c r="BO1091" s="49"/>
      <c r="BP1091" s="49"/>
      <c r="BQ1091" s="49"/>
      <c r="BR1091" s="49"/>
      <c r="BT1091" s="49"/>
      <c r="BU1091" s="49"/>
      <c r="BV1091" s="49"/>
      <c r="BX1091" s="49"/>
      <c r="BY1091" s="49"/>
      <c r="BZ1091" s="49"/>
      <c r="CB1091" s="49"/>
      <c r="CC1091" s="49"/>
      <c r="CD1091" s="49"/>
      <c r="CF1091" s="49"/>
      <c r="CG1091" s="49"/>
      <c r="CH1091" s="49"/>
      <c r="CJ1091" s="49"/>
      <c r="CK1091" s="49"/>
      <c r="CL1091" s="49"/>
      <c r="CN1091" s="49"/>
      <c r="CO1091" s="49"/>
      <c r="CP1091" s="49"/>
      <c r="CR1091" s="49"/>
      <c r="CS1091" s="49"/>
      <c r="CT1091" s="49"/>
      <c r="CV1091" s="49"/>
      <c r="CW1091" s="49"/>
      <c r="CX1091" s="49"/>
      <c r="CZ1091" s="49"/>
      <c r="DA1091" s="49"/>
      <c r="DB1091" s="49"/>
      <c r="DD1091" s="49"/>
      <c r="DE1091" s="49"/>
      <c r="DF1091" s="49"/>
      <c r="DH1091" s="49"/>
      <c r="DI1091" s="49"/>
      <c r="DJ1091" s="49"/>
      <c r="DL1091" s="49"/>
      <c r="DM1091" s="49"/>
      <c r="DN1091" s="49"/>
      <c r="DP1091" s="49"/>
      <c r="DQ1091" s="49"/>
      <c r="DR1091" s="49"/>
    </row>
    <row r="1092" spans="1:128" s="20" customFormat="1" ht="13.8">
      <c r="A1092" s="21" t="s">
        <v>614</v>
      </c>
      <c r="B1092" s="49"/>
      <c r="BH1092" s="49"/>
      <c r="BI1092" s="49"/>
      <c r="BJ1092" s="49"/>
      <c r="BK1092" s="49"/>
      <c r="BL1092" s="49"/>
      <c r="BM1092" s="49"/>
      <c r="BN1092" s="49"/>
      <c r="BO1092" s="49"/>
      <c r="BP1092" s="49"/>
      <c r="BQ1092" s="49"/>
      <c r="BR1092" s="49"/>
      <c r="BT1092" s="49"/>
      <c r="BU1092" s="49"/>
      <c r="BV1092" s="49"/>
      <c r="BX1092" s="49"/>
      <c r="BY1092" s="49"/>
      <c r="BZ1092" s="49"/>
      <c r="CB1092" s="49"/>
      <c r="CC1092" s="49"/>
      <c r="CD1092" s="49"/>
      <c r="CF1092" s="49"/>
      <c r="CG1092" s="49"/>
      <c r="CH1092" s="49"/>
      <c r="CJ1092" s="49"/>
      <c r="CK1092" s="49"/>
      <c r="CL1092" s="49"/>
      <c r="CN1092" s="49"/>
      <c r="CO1092" s="49"/>
      <c r="CP1092" s="49"/>
      <c r="CR1092" s="49"/>
      <c r="CS1092" s="49"/>
      <c r="CT1092" s="49"/>
      <c r="CV1092" s="49"/>
      <c r="CW1092" s="49"/>
      <c r="CX1092" s="49"/>
      <c r="CZ1092" s="49"/>
      <c r="DA1092" s="49"/>
      <c r="DB1092" s="49"/>
      <c r="DD1092" s="49"/>
      <c r="DE1092" s="49"/>
      <c r="DF1092" s="49"/>
      <c r="DH1092" s="49"/>
      <c r="DI1092" s="49"/>
      <c r="DJ1092" s="49"/>
      <c r="DL1092" s="49"/>
      <c r="DM1092" s="49"/>
      <c r="DN1092" s="49"/>
      <c r="DP1092" s="49"/>
      <c r="DQ1092" s="49"/>
      <c r="DR1092" s="49"/>
    </row>
    <row r="1093" spans="1:128" s="20" customFormat="1" ht="13.8">
      <c r="A1093" s="20" t="s">
        <v>310</v>
      </c>
      <c r="B1093" s="49"/>
      <c r="BH1093" s="67">
        <v>49</v>
      </c>
      <c r="BI1093" s="65">
        <f>BH1095</f>
        <v>53</v>
      </c>
      <c r="BJ1093" s="65">
        <f>+BH1093</f>
        <v>49</v>
      </c>
      <c r="BK1093" s="49"/>
      <c r="BL1093" s="65">
        <f>BI1095</f>
        <v>62</v>
      </c>
      <c r="BM1093" s="65">
        <f>BL1095</f>
        <v>67</v>
      </c>
      <c r="BN1093" s="65">
        <f>+BL1093</f>
        <v>62</v>
      </c>
      <c r="BO1093" s="49"/>
      <c r="BP1093" s="65">
        <f>BM1095</f>
        <v>77</v>
      </c>
      <c r="BQ1093" s="65">
        <f>BP1095</f>
        <v>95</v>
      </c>
      <c r="BR1093" s="65">
        <f>+BP1093</f>
        <v>77</v>
      </c>
      <c r="BT1093" s="65">
        <f>BQ1095</f>
        <v>106</v>
      </c>
      <c r="BU1093" s="65">
        <f>BT1095</f>
        <v>101</v>
      </c>
      <c r="BV1093" s="65">
        <f>+BT1093</f>
        <v>106</v>
      </c>
      <c r="BX1093" s="65">
        <f>BU1095</f>
        <v>109</v>
      </c>
      <c r="BY1093" s="65">
        <f>BX1095</f>
        <v>117</v>
      </c>
      <c r="BZ1093" s="65">
        <f>+BX1093</f>
        <v>109</v>
      </c>
      <c r="CB1093" s="65">
        <f>BY1095</f>
        <v>116</v>
      </c>
      <c r="CC1093" s="65">
        <f>CB1095</f>
        <v>126</v>
      </c>
      <c r="CD1093" s="65">
        <f>+CB1093</f>
        <v>116</v>
      </c>
      <c r="CF1093" s="65">
        <f>CC1095</f>
        <v>140</v>
      </c>
      <c r="CG1093" s="65">
        <f>CF1095</f>
        <v>150</v>
      </c>
      <c r="CH1093" s="65">
        <f>+CF1093</f>
        <v>140</v>
      </c>
      <c r="CJ1093" s="65">
        <f>CG1095</f>
        <v>11</v>
      </c>
      <c r="CK1093" s="65">
        <f>CJ1095</f>
        <v>11</v>
      </c>
      <c r="CL1093" s="65">
        <f>+CJ1093</f>
        <v>11</v>
      </c>
      <c r="CN1093" s="65">
        <f>CK1095</f>
        <v>10</v>
      </c>
      <c r="CO1093" s="65">
        <f>CN1095</f>
        <v>10</v>
      </c>
      <c r="CP1093" s="65">
        <f>+CN1093</f>
        <v>10</v>
      </c>
      <c r="CR1093" s="65">
        <f>CO1095</f>
        <v>11</v>
      </c>
      <c r="CS1093" s="65">
        <f>CR1095</f>
        <v>9</v>
      </c>
      <c r="CT1093" s="65">
        <f>+CR1093</f>
        <v>11</v>
      </c>
      <c r="CV1093" s="65">
        <f>CS1095</f>
        <v>494</v>
      </c>
      <c r="CW1093" s="65">
        <f>CV1095</f>
        <v>525</v>
      </c>
      <c r="CX1093" s="65">
        <f>+CV1093</f>
        <v>494</v>
      </c>
      <c r="CZ1093" s="65">
        <f>CW1095</f>
        <v>522</v>
      </c>
      <c r="DA1093" s="65">
        <f>CZ1095</f>
        <v>768</v>
      </c>
      <c r="DB1093" s="65">
        <f>+CZ1093</f>
        <v>522</v>
      </c>
      <c r="DD1093" s="65">
        <f>DA1095</f>
        <v>771</v>
      </c>
      <c r="DE1093" s="65">
        <f>DD1095</f>
        <v>764</v>
      </c>
      <c r="DF1093" s="65">
        <f>+DD1093</f>
        <v>771</v>
      </c>
      <c r="DH1093" s="65">
        <f>DF1095</f>
        <v>739</v>
      </c>
      <c r="DI1093" s="65">
        <f>DH1095</f>
        <v>744</v>
      </c>
      <c r="DJ1093" s="65">
        <f>+DH1093</f>
        <v>739</v>
      </c>
      <c r="DL1093" s="65">
        <f>DJ1095</f>
        <v>749</v>
      </c>
      <c r="DM1093" s="65">
        <f>DL1095</f>
        <v>754</v>
      </c>
      <c r="DN1093" s="65">
        <f>+DL1093</f>
        <v>749</v>
      </c>
      <c r="DP1093" s="65">
        <f>DN1095</f>
        <v>759</v>
      </c>
      <c r="DQ1093" s="65">
        <f>DP1095</f>
        <v>764</v>
      </c>
      <c r="DR1093" s="65">
        <f>+DP1093</f>
        <v>759</v>
      </c>
    </row>
    <row r="1094" spans="1:128" s="325" customFormat="1" ht="13.8">
      <c r="A1094" s="325" t="s">
        <v>166</v>
      </c>
      <c r="B1094" s="324"/>
      <c r="BH1094" s="326">
        <f>+BH1095-BH1093</f>
        <v>4</v>
      </c>
      <c r="BI1094" s="326">
        <f>+BI1095-BI1093</f>
        <v>9</v>
      </c>
      <c r="BJ1094" s="326">
        <f>+BI1094+BH1094</f>
        <v>13</v>
      </c>
      <c r="BK1094" s="324"/>
      <c r="BL1094" s="326">
        <f>+BL1095-BL1093</f>
        <v>5</v>
      </c>
      <c r="BM1094" s="326">
        <f>+BM1095-BM1093</f>
        <v>10</v>
      </c>
      <c r="BN1094" s="326">
        <f>+BM1094+BL1094</f>
        <v>15</v>
      </c>
      <c r="BO1094" s="324"/>
      <c r="BP1094" s="326">
        <f>+BP1095-BP1093</f>
        <v>18</v>
      </c>
      <c r="BQ1094" s="326">
        <f>+BQ1095-BQ1093</f>
        <v>11</v>
      </c>
      <c r="BR1094" s="326">
        <f>+BQ1094+BP1094</f>
        <v>29</v>
      </c>
      <c r="BT1094" s="326">
        <f>+BT1095-BT1093</f>
        <v>-5</v>
      </c>
      <c r="BU1094" s="326">
        <f>+BU1095-BU1093</f>
        <v>8</v>
      </c>
      <c r="BV1094" s="326">
        <f>+BU1094+BT1094</f>
        <v>3</v>
      </c>
      <c r="BX1094" s="326">
        <f>+BX1095-BX1093</f>
        <v>8</v>
      </c>
      <c r="BY1094" s="326">
        <f>+BY1095-BY1093</f>
        <v>-1</v>
      </c>
      <c r="BZ1094" s="326">
        <f>+BY1094+BX1094</f>
        <v>7</v>
      </c>
      <c r="CB1094" s="326">
        <f>+CB1095-CB1093</f>
        <v>10</v>
      </c>
      <c r="CC1094" s="326">
        <f>+CC1095-CC1093</f>
        <v>14</v>
      </c>
      <c r="CD1094" s="326">
        <f>+CC1094+CB1094</f>
        <v>24</v>
      </c>
      <c r="CF1094" s="326">
        <f>+CF1095-CF1093</f>
        <v>10</v>
      </c>
      <c r="CG1094" s="326">
        <f>+CG1095-CG1093</f>
        <v>-139</v>
      </c>
      <c r="CH1094" s="326">
        <f>+CG1094+CF1094</f>
        <v>-129</v>
      </c>
      <c r="CJ1094" s="326">
        <f>+CJ1095-CJ1093</f>
        <v>0</v>
      </c>
      <c r="CK1094" s="326">
        <f>+CK1095-CK1093</f>
        <v>-1</v>
      </c>
      <c r="CL1094" s="326">
        <f>+CK1094+CJ1094</f>
        <v>-1</v>
      </c>
      <c r="CN1094" s="326">
        <f>+CN1095-CN1093</f>
        <v>0</v>
      </c>
      <c r="CO1094" s="326">
        <f>+CO1095-CO1093</f>
        <v>1</v>
      </c>
      <c r="CP1094" s="326">
        <f>+CO1094+CN1094</f>
        <v>1</v>
      </c>
      <c r="CR1094" s="326">
        <f>+CR1095-CR1093</f>
        <v>-2</v>
      </c>
      <c r="CS1094" s="326">
        <f>+CS1095-CS1093</f>
        <v>485</v>
      </c>
      <c r="CT1094" s="326">
        <f>+CS1094+CR1094</f>
        <v>483</v>
      </c>
      <c r="CV1094" s="326">
        <f>+CV1095-CV1093</f>
        <v>31</v>
      </c>
      <c r="CW1094" s="326">
        <f>+CW1095-CW1093</f>
        <v>-3</v>
      </c>
      <c r="CX1094" s="326">
        <f>+CW1094+CV1094</f>
        <v>28</v>
      </c>
      <c r="CZ1094" s="326">
        <f>+CZ1095-CZ1093</f>
        <v>246</v>
      </c>
      <c r="DA1094" s="326">
        <f>+DA1095-DA1093</f>
        <v>3</v>
      </c>
      <c r="DB1094" s="326">
        <f>+DA1094+CZ1094</f>
        <v>249</v>
      </c>
      <c r="DD1094" s="326">
        <f>+DD1095-DD1093</f>
        <v>-7</v>
      </c>
      <c r="DE1094" s="326">
        <f>+DE1095-DE1093</f>
        <v>-25</v>
      </c>
      <c r="DF1094" s="326">
        <f>+DE1094+DD1094</f>
        <v>-32</v>
      </c>
      <c r="DH1094" s="327">
        <v>5</v>
      </c>
      <c r="DI1094" s="327">
        <v>5</v>
      </c>
      <c r="DJ1094" s="326">
        <f>+DI1094+DH1094</f>
        <v>10</v>
      </c>
      <c r="DL1094" s="327">
        <v>5</v>
      </c>
      <c r="DM1094" s="327">
        <v>5</v>
      </c>
      <c r="DN1094" s="326">
        <f>+DM1094+DL1094</f>
        <v>10</v>
      </c>
      <c r="DP1094" s="327">
        <v>5</v>
      </c>
      <c r="DQ1094" s="327">
        <v>5</v>
      </c>
      <c r="DR1094" s="326">
        <f>+DQ1094+DP1094</f>
        <v>10</v>
      </c>
      <c r="DW1094" s="20"/>
      <c r="DX1094" s="20"/>
    </row>
    <row r="1095" spans="1:128" s="20" customFormat="1" ht="13.8">
      <c r="A1095" s="21" t="s">
        <v>502</v>
      </c>
      <c r="B1095" s="27"/>
      <c r="C1095" s="21"/>
      <c r="D1095" s="21"/>
      <c r="E1095" s="21"/>
      <c r="F1095" s="21"/>
      <c r="G1095" s="21"/>
      <c r="H1095" s="21"/>
      <c r="I1095" s="21"/>
      <c r="J1095" s="21"/>
      <c r="K1095" s="21"/>
      <c r="L1095" s="21"/>
      <c r="M1095" s="21"/>
      <c r="N1095" s="21"/>
      <c r="O1095" s="21"/>
      <c r="P1095" s="21"/>
      <c r="Q1095" s="21"/>
      <c r="R1095" s="21"/>
      <c r="S1095" s="21"/>
      <c r="T1095" s="21"/>
      <c r="U1095" s="21"/>
      <c r="V1095" s="21"/>
      <c r="W1095" s="21"/>
      <c r="X1095" s="21"/>
      <c r="Y1095" s="21"/>
      <c r="Z1095" s="21"/>
      <c r="AA1095" s="21"/>
      <c r="AB1095" s="21"/>
      <c r="AC1095" s="21"/>
      <c r="AD1095" s="21"/>
      <c r="AE1095" s="21"/>
      <c r="AF1095" s="21"/>
      <c r="AG1095" s="21"/>
      <c r="AH1095" s="21"/>
      <c r="AI1095" s="21"/>
      <c r="AJ1095" s="21"/>
      <c r="AK1095" s="21"/>
      <c r="AL1095" s="21"/>
      <c r="AM1095" s="21"/>
      <c r="AN1095" s="21"/>
      <c r="AO1095" s="21"/>
      <c r="AP1095" s="21"/>
      <c r="AQ1095" s="21"/>
      <c r="AR1095" s="21"/>
      <c r="AS1095" s="21"/>
      <c r="AT1095" s="21"/>
      <c r="AU1095" s="21"/>
      <c r="AV1095" s="21"/>
      <c r="AW1095" s="21"/>
      <c r="AX1095" s="21"/>
      <c r="AY1095" s="21"/>
      <c r="AZ1095" s="21"/>
      <c r="BA1095" s="21"/>
      <c r="BB1095" s="21"/>
      <c r="BC1095" s="21"/>
      <c r="BD1095" s="21"/>
      <c r="BE1095" s="21"/>
      <c r="BF1095" s="21"/>
      <c r="BG1095" s="21"/>
      <c r="BH1095" s="72">
        <f>BH1045</f>
        <v>53</v>
      </c>
      <c r="BI1095" s="72">
        <f>BI1045</f>
        <v>62</v>
      </c>
      <c r="BJ1095" s="72">
        <f>BJ1045</f>
        <v>62</v>
      </c>
      <c r="BK1095" s="27"/>
      <c r="BL1095" s="72">
        <f>BL1045</f>
        <v>67</v>
      </c>
      <c r="BM1095" s="72">
        <f>BM1045</f>
        <v>77</v>
      </c>
      <c r="BN1095" s="72">
        <f>BN1045</f>
        <v>77</v>
      </c>
      <c r="BO1095" s="27"/>
      <c r="BP1095" s="72">
        <f>BP1045</f>
        <v>95</v>
      </c>
      <c r="BQ1095" s="72">
        <f>BQ1045</f>
        <v>106</v>
      </c>
      <c r="BR1095" s="72">
        <f>BR1045</f>
        <v>106</v>
      </c>
      <c r="BT1095" s="72">
        <f>BT1045</f>
        <v>101</v>
      </c>
      <c r="BU1095" s="72">
        <f>BU1045</f>
        <v>109</v>
      </c>
      <c r="BV1095" s="72">
        <f>BV1045</f>
        <v>109</v>
      </c>
      <c r="BX1095" s="72">
        <f>BX1045</f>
        <v>117</v>
      </c>
      <c r="BY1095" s="72">
        <f>BY1045</f>
        <v>116</v>
      </c>
      <c r="BZ1095" s="72">
        <f>BZ1045</f>
        <v>116</v>
      </c>
      <c r="CB1095" s="72">
        <f>CB1045</f>
        <v>126</v>
      </c>
      <c r="CC1095" s="72">
        <f>CC1045</f>
        <v>140</v>
      </c>
      <c r="CD1095" s="72">
        <f>CD1045</f>
        <v>140</v>
      </c>
      <c r="CF1095" s="72">
        <f>CF1045</f>
        <v>150</v>
      </c>
      <c r="CG1095" s="72">
        <f>CG1045</f>
        <v>11</v>
      </c>
      <c r="CH1095" s="72">
        <f>CH1045</f>
        <v>11</v>
      </c>
      <c r="CJ1095" s="72">
        <f>CJ1045</f>
        <v>11</v>
      </c>
      <c r="CK1095" s="72">
        <f>CK1045</f>
        <v>10</v>
      </c>
      <c r="CL1095" s="72">
        <f>CL1045</f>
        <v>10</v>
      </c>
      <c r="CN1095" s="72">
        <f>CN1045</f>
        <v>10</v>
      </c>
      <c r="CO1095" s="72">
        <f>CO1045</f>
        <v>11</v>
      </c>
      <c r="CP1095" s="72">
        <f>CP1045</f>
        <v>11</v>
      </c>
      <c r="CR1095" s="72">
        <f>CR1045</f>
        <v>9</v>
      </c>
      <c r="CS1095" s="72">
        <f>CS1045</f>
        <v>494</v>
      </c>
      <c r="CT1095" s="72">
        <f>CT1045</f>
        <v>494</v>
      </c>
      <c r="CV1095" s="72">
        <f>CV1045</f>
        <v>525</v>
      </c>
      <c r="CW1095" s="72">
        <f>CW1045</f>
        <v>522</v>
      </c>
      <c r="CX1095" s="72">
        <f>CX1045</f>
        <v>522</v>
      </c>
      <c r="CZ1095" s="72">
        <f>CZ1045</f>
        <v>768</v>
      </c>
      <c r="DA1095" s="72">
        <f>DA1045</f>
        <v>771</v>
      </c>
      <c r="DB1095" s="72">
        <f>DB1045</f>
        <v>771</v>
      </c>
      <c r="DD1095" s="72">
        <f>DD1045</f>
        <v>764</v>
      </c>
      <c r="DE1095" s="72">
        <f>DE1045</f>
        <v>739</v>
      </c>
      <c r="DF1095" s="72">
        <f>DF1045</f>
        <v>739</v>
      </c>
      <c r="DH1095" s="72">
        <f>SUM(DH1093:DH1094)</f>
        <v>744</v>
      </c>
      <c r="DI1095" s="72">
        <f>SUM(DI1093:DI1094)</f>
        <v>749</v>
      </c>
      <c r="DJ1095" s="72">
        <f>DJ1045</f>
        <v>749</v>
      </c>
      <c r="DL1095" s="72">
        <f>SUM(DL1093:DL1094)</f>
        <v>754</v>
      </c>
      <c r="DM1095" s="72">
        <f>SUM(DM1093:DM1094)</f>
        <v>759</v>
      </c>
      <c r="DN1095" s="72">
        <f>DN1045</f>
        <v>759</v>
      </c>
      <c r="DP1095" s="72">
        <f>SUM(DP1093:DP1094)</f>
        <v>764</v>
      </c>
      <c r="DQ1095" s="72">
        <f>SUM(DQ1093:DQ1094)</f>
        <v>769</v>
      </c>
      <c r="DR1095" s="72">
        <f>DR1045</f>
        <v>769</v>
      </c>
    </row>
    <row r="1096" spans="1:128" s="20" customFormat="1" ht="13.8">
      <c r="B1096" s="49"/>
      <c r="BH1096" s="49"/>
      <c r="BI1096" s="49"/>
      <c r="BJ1096" s="49"/>
      <c r="BK1096" s="49"/>
      <c r="BL1096" s="49"/>
      <c r="BM1096" s="49"/>
      <c r="BN1096" s="49"/>
      <c r="BO1096" s="49"/>
      <c r="BP1096" s="49"/>
      <c r="BT1096" s="49"/>
      <c r="BX1096" s="49"/>
      <c r="CB1096" s="49"/>
      <c r="CF1096" s="49"/>
      <c r="CJ1096" s="49"/>
      <c r="CN1096" s="49"/>
      <c r="CR1096" s="49"/>
      <c r="CV1096" s="49"/>
      <c r="CZ1096" s="49"/>
      <c r="DD1096" s="49"/>
      <c r="DH1096" s="49"/>
      <c r="DL1096" s="49"/>
      <c r="DP1096" s="49"/>
    </row>
    <row r="1097" spans="1:128" s="20" customFormat="1" ht="13.8">
      <c r="B1097" s="49"/>
      <c r="BH1097" s="49"/>
      <c r="BI1097" s="49"/>
      <c r="BJ1097" s="49"/>
      <c r="BK1097" s="49"/>
      <c r="BL1097" s="49"/>
      <c r="BM1097" s="49"/>
      <c r="BN1097" s="49"/>
      <c r="BO1097" s="49"/>
      <c r="BP1097" s="49"/>
      <c r="BT1097" s="49"/>
      <c r="BX1097" s="49"/>
      <c r="CB1097" s="49"/>
      <c r="CF1097" s="49"/>
      <c r="CJ1097" s="49"/>
      <c r="CN1097" s="49"/>
      <c r="CR1097" s="49"/>
      <c r="CV1097" s="49"/>
      <c r="CZ1097" s="49"/>
      <c r="DD1097" s="49"/>
      <c r="DH1097" s="49"/>
      <c r="DL1097" s="49"/>
      <c r="DP1097" s="49"/>
    </row>
    <row r="1098" spans="1:128" s="318" customFormat="1" ht="13.8">
      <c r="A1098" s="316" t="s">
        <v>359</v>
      </c>
      <c r="B1098" s="317"/>
      <c r="BH1098" s="317"/>
      <c r="BI1098" s="317"/>
      <c r="BJ1098" s="317"/>
      <c r="BK1098" s="317"/>
      <c r="BL1098" s="317"/>
      <c r="BM1098" s="317"/>
      <c r="BN1098" s="317"/>
      <c r="BO1098" s="317"/>
      <c r="BP1098" s="317"/>
      <c r="BT1098" s="317"/>
      <c r="BX1098" s="317"/>
      <c r="CB1098" s="317"/>
      <c r="CF1098" s="317"/>
      <c r="CJ1098" s="317"/>
      <c r="CN1098" s="317"/>
      <c r="CR1098" s="317"/>
      <c r="CV1098" s="317"/>
      <c r="CZ1098" s="317"/>
      <c r="DD1098" s="317"/>
      <c r="DH1098" s="317"/>
      <c r="DL1098" s="317"/>
      <c r="DP1098" s="317"/>
      <c r="DT1098" s="742"/>
      <c r="DU1098" s="742"/>
      <c r="DV1098" s="742"/>
      <c r="DW1098" s="20"/>
      <c r="DX1098" s="20"/>
    </row>
    <row r="1099" spans="1:128" s="20" customFormat="1" ht="13.8">
      <c r="B1099" s="49"/>
      <c r="BH1099" s="49"/>
      <c r="BI1099" s="49"/>
      <c r="BJ1099" s="49"/>
      <c r="BK1099" s="49"/>
      <c r="BL1099" s="49"/>
      <c r="BM1099" s="49"/>
      <c r="BN1099" s="49"/>
      <c r="BO1099" s="49"/>
      <c r="BP1099" s="49"/>
      <c r="BT1099" s="49"/>
      <c r="BX1099" s="49"/>
      <c r="CB1099" s="49"/>
      <c r="CF1099" s="49"/>
      <c r="CJ1099" s="49"/>
      <c r="CN1099" s="49"/>
      <c r="CR1099" s="49"/>
      <c r="CV1099" s="49"/>
      <c r="CZ1099" s="49"/>
      <c r="DD1099" s="49"/>
      <c r="DH1099" s="49"/>
      <c r="DL1099" s="49"/>
      <c r="DP1099" s="49"/>
    </row>
    <row r="1100" spans="1:128" s="20" customFormat="1" ht="13.8">
      <c r="A1100" s="21" t="s">
        <v>629</v>
      </c>
      <c r="B1100" s="49"/>
      <c r="BH1100" s="49"/>
      <c r="BI1100" s="49"/>
      <c r="BJ1100" s="49"/>
      <c r="BK1100" s="49"/>
      <c r="BL1100" s="49"/>
      <c r="BM1100" s="49"/>
      <c r="BN1100" s="49"/>
      <c r="BO1100" s="49"/>
      <c r="BP1100" s="49"/>
      <c r="BT1100" s="49"/>
      <c r="BX1100" s="49"/>
      <c r="CB1100" s="49"/>
      <c r="CF1100" s="49"/>
      <c r="CJ1100" s="49"/>
      <c r="CN1100" s="49"/>
      <c r="CR1100" s="49"/>
      <c r="CV1100" s="49"/>
      <c r="CZ1100" s="49"/>
      <c r="DD1100" s="49"/>
      <c r="DH1100" s="49"/>
      <c r="DL1100" s="49"/>
      <c r="DP1100" s="49"/>
    </row>
    <row r="1101" spans="1:128" s="20" customFormat="1" ht="13.8">
      <c r="A1101" s="20" t="s">
        <v>310</v>
      </c>
      <c r="B1101" s="49"/>
      <c r="BE1101" s="69"/>
      <c r="BH1101" s="69">
        <f>BE1107</f>
        <v>2717.356961</v>
      </c>
      <c r="BI1101" s="69">
        <f>BH1107</f>
        <v>2743.7286880000001</v>
      </c>
      <c r="BJ1101" s="69">
        <f>BH1101</f>
        <v>2717.356961</v>
      </c>
      <c r="BK1101" s="69"/>
      <c r="BL1101" s="69">
        <f>BI1107</f>
        <v>2743.6553100000001</v>
      </c>
      <c r="BM1101" s="69">
        <f>BL1107</f>
        <v>2744.1186699999998</v>
      </c>
      <c r="BN1101" s="69">
        <f>BL1101</f>
        <v>2743.6553100000001</v>
      </c>
      <c r="BO1101" s="69"/>
      <c r="BP1101" s="69">
        <f>BM1107</f>
        <v>2756.6277709999999</v>
      </c>
      <c r="BQ1101" s="69">
        <f>BP1107</f>
        <v>2765.9802220000001</v>
      </c>
      <c r="BR1101" s="69">
        <f>BP1101</f>
        <v>2756.6277709999999</v>
      </c>
      <c r="BT1101" s="69">
        <f>BQ1107</f>
        <v>2902.7143609999998</v>
      </c>
      <c r="BU1101" s="69">
        <f>BT1107</f>
        <v>2917.5600979999999</v>
      </c>
      <c r="BV1101" s="69">
        <f>BT1101</f>
        <v>2902.7143609999998</v>
      </c>
      <c r="BX1101" s="69">
        <f>BU1107</f>
        <v>2927.4766599999998</v>
      </c>
      <c r="BY1101" s="69">
        <f>BX1107</f>
        <v>2936.0370090000001</v>
      </c>
      <c r="BZ1101" s="69">
        <f>BX1101</f>
        <v>2927.4766599999998</v>
      </c>
      <c r="CB1101" s="69">
        <f>BY1107</f>
        <v>2937.4153270000002</v>
      </c>
      <c r="CC1101" s="69">
        <f>CB1107</f>
        <v>2898.7589779999998</v>
      </c>
      <c r="CD1101" s="69">
        <f>CB1101</f>
        <v>2937.4153270000002</v>
      </c>
      <c r="CF1101" s="69">
        <f>CC1107</f>
        <v>2873.6181179999999</v>
      </c>
      <c r="CG1101" s="69">
        <f>CF1107</f>
        <v>2833.1755790000002</v>
      </c>
      <c r="CH1101" s="69">
        <f>CF1101</f>
        <v>2873.6181179999999</v>
      </c>
      <c r="CJ1101" s="69">
        <f>CG1107</f>
        <v>2834.5849229999999</v>
      </c>
      <c r="CK1101" s="69">
        <f>CJ1107</f>
        <v>2836.1774220000002</v>
      </c>
      <c r="CL1101" s="69">
        <f>CJ1101</f>
        <v>2834.5849229999999</v>
      </c>
      <c r="CN1101" s="69">
        <f>CK1107</f>
        <v>2840.3702250000001</v>
      </c>
      <c r="CO1101" s="69">
        <f>CN1107</f>
        <v>2845.5418</v>
      </c>
      <c r="CP1101" s="69">
        <f>CN1101</f>
        <v>2840.3702250000001</v>
      </c>
      <c r="CR1101" s="69">
        <f>CO1107</f>
        <v>2823.5636519999998</v>
      </c>
      <c r="CS1101" s="69">
        <f>CR1107</f>
        <v>2794.1041740000001</v>
      </c>
      <c r="CT1101" s="69">
        <f>CR1101</f>
        <v>2823.5636519999998</v>
      </c>
      <c r="CV1101" s="69">
        <f>CS1107</f>
        <v>2989.9237509999998</v>
      </c>
      <c r="CW1101" s="69">
        <f>CV1107</f>
        <v>3003.3667820000001</v>
      </c>
      <c r="CX1101" s="69">
        <f>CV1101</f>
        <v>2989.9237509999998</v>
      </c>
      <c r="CZ1101" s="69">
        <f>CW1107</f>
        <v>3005.7851239669421</v>
      </c>
      <c r="DA1101" s="69">
        <f>CZ1107</f>
        <v>3007.5106780000001</v>
      </c>
      <c r="DB1101" s="69">
        <f>CZ1101</f>
        <v>3005.7851239669421</v>
      </c>
      <c r="DD1101" s="69">
        <f>DA1107</f>
        <v>2979.41626</v>
      </c>
      <c r="DE1101" s="69">
        <f>DD1107</f>
        <v>2971.3656219999998</v>
      </c>
      <c r="DF1101" s="69">
        <f>DD1101</f>
        <v>2979.41626</v>
      </c>
      <c r="DH1101" s="69">
        <f>DE1107</f>
        <v>2983.52018</v>
      </c>
      <c r="DI1101" s="69">
        <f>DH1107</f>
        <v>3004.0993669702411</v>
      </c>
      <c r="DJ1101" s="69">
        <f>DH1101</f>
        <v>2983.52018</v>
      </c>
      <c r="DL1101" s="69">
        <f ca="1">DI1107</f>
        <v>3004.8083014347289</v>
      </c>
      <c r="DM1101" s="69">
        <f ca="1">DL1107</f>
        <v>3005.4873860270282</v>
      </c>
      <c r="DN1101" s="69">
        <f ca="1">DL1101</f>
        <v>3004.8083014347289</v>
      </c>
      <c r="DP1101" s="69">
        <f ca="1">DM1107</f>
        <v>2994.065837646991</v>
      </c>
      <c r="DQ1101" s="69">
        <f ca="1">DP1107</f>
        <v>2983.9275282420072</v>
      </c>
      <c r="DR1101" s="69">
        <f ca="1">DP1101</f>
        <v>2994.065837646991</v>
      </c>
    </row>
    <row r="1102" spans="1:128" s="20" customFormat="1" ht="13.8">
      <c r="A1102" s="20" t="s">
        <v>615</v>
      </c>
      <c r="B1102" s="49"/>
      <c r="BE1102" s="373"/>
      <c r="BH1102" s="373">
        <v>0</v>
      </c>
      <c r="BI1102" s="373">
        <v>0</v>
      </c>
      <c r="BJ1102" s="69">
        <f>SUM(BH1102:BI1102)</f>
        <v>0</v>
      </c>
      <c r="BK1102" s="69"/>
      <c r="BL1102" s="373">
        <v>0</v>
      </c>
      <c r="BM1102" s="373">
        <v>0</v>
      </c>
      <c r="BN1102" s="69">
        <f>SUM(BL1102:BM1102)</f>
        <v>0</v>
      </c>
      <c r="BO1102" s="69"/>
      <c r="BP1102" s="373">
        <v>0</v>
      </c>
      <c r="BQ1102" s="373">
        <f>80.8+27.3</f>
        <v>108.1</v>
      </c>
      <c r="BR1102" s="69">
        <f>SUM(BP1102:BQ1102)</f>
        <v>108.1</v>
      </c>
      <c r="BT1102" s="373">
        <v>0</v>
      </c>
      <c r="BU1102" s="373">
        <v>0</v>
      </c>
      <c r="BV1102" s="69">
        <f>SUM(BT1102:BU1102)</f>
        <v>0</v>
      </c>
      <c r="BX1102" s="373">
        <v>0</v>
      </c>
      <c r="BY1102" s="373">
        <v>0</v>
      </c>
      <c r="BZ1102" s="69">
        <f>SUM(BX1102:BY1102)</f>
        <v>0</v>
      </c>
      <c r="CB1102" s="373">
        <v>0</v>
      </c>
      <c r="CC1102" s="373">
        <v>0</v>
      </c>
      <c r="CD1102" s="69">
        <f>SUM(CB1102:CC1102)</f>
        <v>0</v>
      </c>
      <c r="CF1102" s="373">
        <v>0</v>
      </c>
      <c r="CG1102" s="373">
        <v>0</v>
      </c>
      <c r="CH1102" s="69">
        <f>SUM(CF1102:CG1102)</f>
        <v>0</v>
      </c>
      <c r="CJ1102" s="373">
        <v>0</v>
      </c>
      <c r="CK1102" s="373">
        <v>0</v>
      </c>
      <c r="CL1102" s="69">
        <f>SUM(CJ1102:CK1102)</f>
        <v>0</v>
      </c>
      <c r="CN1102" s="373">
        <v>0</v>
      </c>
      <c r="CO1102" s="373">
        <v>0</v>
      </c>
      <c r="CP1102" s="69">
        <f>SUM(CN1102:CO1102)</f>
        <v>0</v>
      </c>
      <c r="CR1102" s="373">
        <v>0</v>
      </c>
      <c r="CS1102" s="1210">
        <f>CR1188</f>
        <v>187.10595000000001</v>
      </c>
      <c r="CT1102" s="69">
        <f>SUM(CR1102:CS1102)</f>
        <v>187.10595000000001</v>
      </c>
      <c r="CV1102" s="373">
        <v>0</v>
      </c>
      <c r="CW1102" s="373">
        <v>0</v>
      </c>
      <c r="CX1102" s="69">
        <f>SUM(CV1102:CW1102)</f>
        <v>0</v>
      </c>
      <c r="CZ1102" s="373">
        <v>0</v>
      </c>
      <c r="DA1102" s="373">
        <v>0</v>
      </c>
      <c r="DB1102" s="69">
        <f>SUM(CZ1102:DA1102)</f>
        <v>0</v>
      </c>
      <c r="DD1102" s="373">
        <v>0</v>
      </c>
      <c r="DE1102" s="373">
        <v>0</v>
      </c>
      <c r="DF1102" s="69">
        <f>SUM(DD1102:DE1102)</f>
        <v>0</v>
      </c>
      <c r="DH1102" s="69">
        <f>DE1188</f>
        <v>0</v>
      </c>
      <c r="DI1102" s="69">
        <f ca="1">DH1188</f>
        <v>0</v>
      </c>
      <c r="DJ1102" s="69">
        <f ca="1">SUM(DH1102:DI1102)</f>
        <v>0</v>
      </c>
      <c r="DL1102" s="69">
        <f ca="1">DI1188</f>
        <v>0</v>
      </c>
      <c r="DM1102" s="69">
        <f ca="1">DL1188</f>
        <v>0</v>
      </c>
      <c r="DN1102" s="69">
        <f ca="1">SUM(DL1102:DM1102)</f>
        <v>0</v>
      </c>
      <c r="DP1102" s="69">
        <f ca="1">DM1188</f>
        <v>0</v>
      </c>
      <c r="DQ1102" s="69">
        <f ca="1">DP1188</f>
        <v>0</v>
      </c>
      <c r="DR1102" s="69">
        <f ca="1">SUM(DP1102:DQ1102)</f>
        <v>0</v>
      </c>
    </row>
    <row r="1103" spans="1:128" s="20" customFormat="1" ht="13.8">
      <c r="A1103" s="20" t="s">
        <v>616</v>
      </c>
      <c r="B1103" s="49"/>
      <c r="BE1103" s="373"/>
      <c r="BH1103" s="373">
        <v>19.090655000000002</v>
      </c>
      <c r="BI1103" s="373">
        <v>14.8</v>
      </c>
      <c r="BJ1103" s="69">
        <f>SUM(BH1103:BI1103)</f>
        <v>33.890655000000002</v>
      </c>
      <c r="BK1103" s="69"/>
      <c r="BL1103" s="373">
        <v>16.352516000000001</v>
      </c>
      <c r="BM1103" s="373">
        <v>12.4</v>
      </c>
      <c r="BN1103" s="69">
        <f>SUM(BL1103:BM1103)</f>
        <v>28.752516</v>
      </c>
      <c r="BO1103" s="69"/>
      <c r="BP1103" s="373">
        <v>9.3000000000000007</v>
      </c>
      <c r="BQ1103" s="373">
        <v>28.6</v>
      </c>
      <c r="BR1103" s="69">
        <f>SUM(BP1103:BQ1103)</f>
        <v>37.900000000000006</v>
      </c>
      <c r="BT1103" s="373">
        <v>14.845737</v>
      </c>
      <c r="BU1103" s="373">
        <v>9.9165620000000008</v>
      </c>
      <c r="BV1103" s="69">
        <f>SUM(BT1103:BU1103)</f>
        <v>24.762298999999999</v>
      </c>
      <c r="BX1103" s="373">
        <v>8.5603490000000004</v>
      </c>
      <c r="BY1103" s="373">
        <v>7.5</v>
      </c>
      <c r="BZ1103" s="69">
        <f>SUM(BX1103:BY1103)</f>
        <v>16.060349000000002</v>
      </c>
      <c r="CB1103" s="373">
        <v>8.1</v>
      </c>
      <c r="CC1103" s="373">
        <v>0</v>
      </c>
      <c r="CD1103" s="69">
        <f>SUM(CB1103:CC1103)</f>
        <v>8.1</v>
      </c>
      <c r="CF1103" s="373">
        <v>0</v>
      </c>
      <c r="CG1103" s="373">
        <v>0</v>
      </c>
      <c r="CH1103" s="69">
        <f>SUM(CF1103:CG1103)</f>
        <v>0</v>
      </c>
      <c r="CJ1103" s="373">
        <v>0</v>
      </c>
      <c r="CK1103" s="373">
        <v>3.3730000000000002</v>
      </c>
      <c r="CL1103" s="69">
        <f>SUM(CJ1103:CK1103)</f>
        <v>3.3730000000000002</v>
      </c>
      <c r="CN1103" s="373">
        <v>4.242</v>
      </c>
      <c r="CO1103" s="69">
        <f>CN1173</f>
        <v>7.1030239999999996</v>
      </c>
      <c r="CP1103" s="69">
        <f>SUM(CN1103:CO1103)</f>
        <v>11.345023999999999</v>
      </c>
      <c r="CR1103" s="69">
        <f>CO1173</f>
        <v>7.3641319999999997</v>
      </c>
      <c r="CS1103" s="69">
        <f>CR1173</f>
        <v>7.1951080000000003</v>
      </c>
      <c r="CT1103" s="69">
        <f>SUM(CR1103:CS1103)</f>
        <v>14.559239999999999</v>
      </c>
      <c r="CV1103" s="69">
        <f>CS1173</f>
        <v>8.4069780000000005</v>
      </c>
      <c r="CW1103" s="69">
        <f>CV1173</f>
        <v>13.842887473460721</v>
      </c>
      <c r="CX1103" s="69">
        <f>SUM(CV1103:CW1103)</f>
        <v>22.249865473460723</v>
      </c>
      <c r="CZ1103" s="69">
        <f>CW1173</f>
        <v>8.6688578471651603</v>
      </c>
      <c r="DA1103" s="69">
        <f>CZ1173</f>
        <v>11.420514628128304</v>
      </c>
      <c r="DB1103" s="69">
        <f>SUM(CZ1103:DA1103)</f>
        <v>20.089372475293466</v>
      </c>
      <c r="DD1103" s="69">
        <f>DA1173</f>
        <v>6.6331342345174473</v>
      </c>
      <c r="DE1103" s="69">
        <f>DD1173</f>
        <v>10.806066</v>
      </c>
      <c r="DF1103" s="69">
        <f>SUM(DD1103:DE1103)</f>
        <v>17.439200234517447</v>
      </c>
      <c r="DH1103" s="69">
        <f>DE1173</f>
        <v>19.858074509426547</v>
      </c>
      <c r="DI1103" s="69">
        <f ca="1">DH1173</f>
        <v>6.5331955266243158</v>
      </c>
      <c r="DJ1103" s="69">
        <f ca="1">SUM(DH1103:DI1103)</f>
        <v>26.391270036050862</v>
      </c>
      <c r="DL1103" s="69">
        <f ca="1">DI1173</f>
        <v>6.3688808998581123</v>
      </c>
      <c r="DM1103" s="69">
        <f ca="1">DL1173</f>
        <v>6.3399610618265685</v>
      </c>
      <c r="DN1103" s="69">
        <f ca="1">SUM(DL1103:DM1103)</f>
        <v>12.70884196168468</v>
      </c>
      <c r="DP1103" s="69">
        <f ca="1">DM1173</f>
        <v>6.1777471743618895</v>
      </c>
      <c r="DQ1103" s="69">
        <f ca="1">DP1173</f>
        <v>6.024560864201888</v>
      </c>
      <c r="DR1103" s="69">
        <f ca="1">SUM(DP1103:DQ1103)</f>
        <v>12.202308038563778</v>
      </c>
    </row>
    <row r="1104" spans="1:128" s="20" customFormat="1" ht="13.8">
      <c r="A1104" s="20" t="s">
        <v>617</v>
      </c>
      <c r="B1104" s="49"/>
      <c r="BE1104" s="373"/>
      <c r="BH1104" s="373">
        <v>0</v>
      </c>
      <c r="BI1104" s="373">
        <v>-15.3</v>
      </c>
      <c r="BJ1104" s="69">
        <f>SUM(BH1104:BI1104)</f>
        <v>-15.3</v>
      </c>
      <c r="BK1104" s="69"/>
      <c r="BL1104" s="373">
        <v>-15.889156</v>
      </c>
      <c r="BM1104" s="373">
        <v>0</v>
      </c>
      <c r="BN1104" s="69">
        <f>SUM(BL1104:BM1104)</f>
        <v>-15.889156</v>
      </c>
      <c r="BO1104" s="69"/>
      <c r="BP1104" s="373">
        <v>0</v>
      </c>
      <c r="BQ1104" s="373">
        <v>0</v>
      </c>
      <c r="BR1104" s="69">
        <f>SUM(BP1104:BQ1104)</f>
        <v>0</v>
      </c>
      <c r="BT1104" s="373">
        <v>0</v>
      </c>
      <c r="BU1104" s="373">
        <v>0</v>
      </c>
      <c r="BV1104" s="69">
        <f>SUM(BT1104:BU1104)</f>
        <v>0</v>
      </c>
      <c r="BX1104" s="373">
        <v>0</v>
      </c>
      <c r="BY1104" s="373">
        <v>-6.1</v>
      </c>
      <c r="BZ1104" s="69">
        <f>SUM(BX1104:BY1104)</f>
        <v>-6.1</v>
      </c>
      <c r="CB1104" s="373">
        <f>-6.6</f>
        <v>-6.6</v>
      </c>
      <c r="CC1104" s="373">
        <v>0</v>
      </c>
      <c r="CD1104" s="69">
        <f>SUM(CB1104:CC1104)</f>
        <v>-6.6</v>
      </c>
      <c r="CF1104" s="373">
        <v>0</v>
      </c>
      <c r="CG1104" s="373">
        <v>0</v>
      </c>
      <c r="CH1104" s="69">
        <f>SUM(CF1104:CG1104)</f>
        <v>0</v>
      </c>
      <c r="CJ1104" s="373">
        <v>0</v>
      </c>
      <c r="CK1104" s="373">
        <v>0</v>
      </c>
      <c r="CL1104" s="69">
        <f>SUM(CJ1104:CK1104)</f>
        <v>0</v>
      </c>
      <c r="CN1104" s="373">
        <v>0</v>
      </c>
      <c r="CO1104" s="373">
        <f>-CO1103</f>
        <v>-7.1030239999999996</v>
      </c>
      <c r="CP1104" s="69">
        <f>SUM(CN1104:CO1104)</f>
        <v>-7.1030239999999996</v>
      </c>
      <c r="CR1104" s="69">
        <f>CO1176</f>
        <v>-7.3641319999999997</v>
      </c>
      <c r="CS1104" s="69">
        <f>CR1176</f>
        <v>0</v>
      </c>
      <c r="CT1104" s="69">
        <f>SUM(CR1104:CS1104)</f>
        <v>-7.3641319999999997</v>
      </c>
      <c r="CV1104" s="69">
        <f>CS1176</f>
        <v>0</v>
      </c>
      <c r="CW1104" s="69">
        <f>CV1176</f>
        <v>-13.842887473460721</v>
      </c>
      <c r="CX1104" s="69">
        <f>SUM(CV1104:CW1104)</f>
        <v>-13.842887473460721</v>
      </c>
      <c r="CZ1104" s="69">
        <f>CW1176</f>
        <v>-8.6688578471651603</v>
      </c>
      <c r="DA1104" s="69">
        <f>CZ1176</f>
        <v>-11.420514628128304</v>
      </c>
      <c r="DB1104" s="69">
        <f>SUM(CZ1104:DA1104)</f>
        <v>-20.089372475293466</v>
      </c>
      <c r="DD1104" s="69">
        <f>DA1176</f>
        <v>-6.6331342345174473</v>
      </c>
      <c r="DE1104" s="69">
        <f>DD1176</f>
        <v>0</v>
      </c>
      <c r="DF1104" s="69">
        <f>SUM(DD1104:DE1104)</f>
        <v>-6.6331342345174473</v>
      </c>
      <c r="DH1104" s="69">
        <f>DE1176</f>
        <v>0</v>
      </c>
      <c r="DI1104" s="69">
        <f ca="1">DH1176</f>
        <v>-6.5331955266243158</v>
      </c>
      <c r="DJ1104" s="69">
        <f ca="1">SUM(DH1104:DI1104)</f>
        <v>-6.5331955266243158</v>
      </c>
      <c r="DL1104" s="69">
        <f ca="1">DI1176</f>
        <v>-6.3688808998581123</v>
      </c>
      <c r="DM1104" s="69">
        <f ca="1">DL1176</f>
        <v>-6.3399610618265685</v>
      </c>
      <c r="DN1104" s="69">
        <f ca="1">SUM(DL1104:DM1104)</f>
        <v>-12.70884196168468</v>
      </c>
      <c r="DP1104" s="69">
        <f ca="1">DM1176</f>
        <v>-6.1777471743618895</v>
      </c>
      <c r="DQ1104" s="69">
        <f ca="1">DP1176</f>
        <v>-6.024560864201888</v>
      </c>
      <c r="DR1104" s="69">
        <f ca="1">SUM(DP1104:DQ1104)</f>
        <v>-12.202308038563778</v>
      </c>
    </row>
    <row r="1105" spans="1:128" s="20" customFormat="1" ht="13.8">
      <c r="A1105" s="20" t="s">
        <v>618</v>
      </c>
      <c r="B1105" s="49"/>
      <c r="BE1105" s="373"/>
      <c r="BH1105" s="373">
        <v>0</v>
      </c>
      <c r="BI1105" s="373">
        <v>0</v>
      </c>
      <c r="BJ1105" s="69">
        <f>SUM(BH1105:BI1105)</f>
        <v>0</v>
      </c>
      <c r="BK1105" s="69"/>
      <c r="BL1105" s="373">
        <v>0</v>
      </c>
      <c r="BM1105" s="373">
        <v>0</v>
      </c>
      <c r="BN1105" s="69">
        <f>SUM(BL1105:BM1105)</f>
        <v>0</v>
      </c>
      <c r="BO1105" s="69"/>
      <c r="BP1105" s="373">
        <v>0</v>
      </c>
      <c r="BQ1105" s="373">
        <v>0</v>
      </c>
      <c r="BR1105" s="69">
        <f>SUM(BP1105:BQ1105)</f>
        <v>0</v>
      </c>
      <c r="BT1105" s="373">
        <v>0</v>
      </c>
      <c r="BU1105" s="373">
        <v>0</v>
      </c>
      <c r="BV1105" s="69">
        <f>SUM(BT1105:BU1105)</f>
        <v>0</v>
      </c>
      <c r="BX1105" s="373">
        <v>0</v>
      </c>
      <c r="BY1105" s="373">
        <v>0</v>
      </c>
      <c r="BZ1105" s="69">
        <f>SUM(BX1105:BY1105)</f>
        <v>0</v>
      </c>
      <c r="CB1105" s="373">
        <f>-40.1</f>
        <v>-40.1</v>
      </c>
      <c r="CC1105" s="373">
        <v>-26.6</v>
      </c>
      <c r="CD1105" s="69">
        <f>SUM(CB1105:CC1105)</f>
        <v>-66.7</v>
      </c>
      <c r="CF1105" s="373">
        <v>-42</v>
      </c>
      <c r="CG1105" s="373">
        <v>0</v>
      </c>
      <c r="CH1105" s="69">
        <f>SUM(CF1105:CG1105)</f>
        <v>-42</v>
      </c>
      <c r="CJ1105" s="373">
        <v>0</v>
      </c>
      <c r="CK1105" s="373">
        <v>0</v>
      </c>
      <c r="CL1105" s="69">
        <f>SUM(CJ1105:CK1105)</f>
        <v>0</v>
      </c>
      <c r="CN1105" s="373">
        <v>0</v>
      </c>
      <c r="CO1105" s="69">
        <f>CN1199</f>
        <v>-23.308447999999999</v>
      </c>
      <c r="CP1105" s="69">
        <f>SUM(CN1105:CO1105)</f>
        <v>-23.308447999999999</v>
      </c>
      <c r="CR1105" s="373">
        <v>-30.831226999999998</v>
      </c>
      <c r="CS1105" s="69">
        <f>CR1199</f>
        <v>0</v>
      </c>
      <c r="CT1105" s="69">
        <f>SUM(CR1105:CS1105)</f>
        <v>-30.831226999999998</v>
      </c>
      <c r="CV1105" s="69">
        <f>CS1199</f>
        <v>0</v>
      </c>
      <c r="CW1105" s="69">
        <f>CV1199</f>
        <v>0</v>
      </c>
      <c r="CX1105" s="69">
        <f>SUM(CV1105:CW1105)</f>
        <v>0</v>
      </c>
      <c r="CZ1105" s="69">
        <f>CW1199</f>
        <v>0</v>
      </c>
      <c r="DA1105" s="69">
        <f>CZ1199</f>
        <v>-29.749466000000002</v>
      </c>
      <c r="DB1105" s="69">
        <f>SUM(CZ1105:DA1105)</f>
        <v>-29.749466000000002</v>
      </c>
      <c r="DD1105" s="69">
        <f>DA1199</f>
        <v>-9.4842739999999992</v>
      </c>
      <c r="DE1105" s="69">
        <f>DD1199</f>
        <v>-0.23164399999999999</v>
      </c>
      <c r="DF1105" s="69">
        <f>SUM(DD1105:DE1105)</f>
        <v>-9.7159179999999985</v>
      </c>
      <c r="DH1105" s="69">
        <f>DE1199</f>
        <v>0</v>
      </c>
      <c r="DI1105" s="69">
        <f>DH1199</f>
        <v>0</v>
      </c>
      <c r="DJ1105" s="69">
        <f>SUM(DH1105:DI1105)</f>
        <v>0</v>
      </c>
      <c r="DL1105" s="69">
        <f>DI1199</f>
        <v>0</v>
      </c>
      <c r="DM1105" s="69">
        <f ca="1">DL1199</f>
        <v>-12.072039936870938</v>
      </c>
      <c r="DN1105" s="69">
        <f ca="1">SUM(DL1105:DM1105)</f>
        <v>-12.072039936870938</v>
      </c>
      <c r="DP1105" s="69">
        <f ca="1">DM1199</f>
        <v>-10.750357115092399</v>
      </c>
      <c r="DQ1105" s="69">
        <f ca="1">DP1199</f>
        <v>-11.61318038160138</v>
      </c>
      <c r="DR1105" s="69">
        <f ca="1">SUM(DP1105:DQ1105)</f>
        <v>-22.36353749669378</v>
      </c>
    </row>
    <row r="1106" spans="1:128" s="20" customFormat="1" ht="13.8">
      <c r="A1106" s="20" t="s">
        <v>420</v>
      </c>
      <c r="B1106" s="49"/>
      <c r="BE1106" s="69"/>
      <c r="BH1106" s="69">
        <f>+BH1107-SUM(BH1101:BH1105)</f>
        <v>7.281072000000222</v>
      </c>
      <c r="BI1106" s="69">
        <f>+BI1107-SUM(BI1101:BI1105)</f>
        <v>0.4266219999999521</v>
      </c>
      <c r="BJ1106" s="69">
        <f>SUM(BH1106:BI1106)</f>
        <v>7.7076940000001741</v>
      </c>
      <c r="BK1106" s="69"/>
      <c r="BL1106" s="69">
        <f>+BL1107-SUM(BL1101:BL1105)</f>
        <v>0</v>
      </c>
      <c r="BM1106" s="69">
        <f>+BM1107-SUM(BM1101:BM1105)</f>
        <v>0.10910100000000966</v>
      </c>
      <c r="BN1106" s="69">
        <f>SUM(BL1106:BM1106)</f>
        <v>0.10910100000000966</v>
      </c>
      <c r="BO1106" s="69"/>
      <c r="BP1106" s="69">
        <f>+BP1107-SUM(BP1101:BP1105)</f>
        <v>5.2451000000019121E-2</v>
      </c>
      <c r="BQ1106" s="69">
        <f>+BQ1107-SUM(BQ1101:BQ1105)</f>
        <v>3.4138999999868247E-2</v>
      </c>
      <c r="BR1106" s="69">
        <f>SUM(BP1106:BQ1106)</f>
        <v>8.6589999999887368E-2</v>
      </c>
      <c r="BT1106" s="69">
        <f>+BT1107-SUM(BT1101:BT1105)</f>
        <v>0</v>
      </c>
      <c r="BU1106" s="69">
        <f>+BU1107-SUM(BU1101:BU1105)</f>
        <v>0</v>
      </c>
      <c r="BV1106" s="69">
        <f>SUM(BT1106:BU1106)</f>
        <v>0</v>
      </c>
      <c r="BX1106" s="69">
        <f>+BX1107-SUM(BX1101:BX1105)</f>
        <v>0</v>
      </c>
      <c r="BY1106" s="402">
        <f>+BY1107-SUM(BY1101:BY1105)</f>
        <v>-2.1682000000055268E-2</v>
      </c>
      <c r="BZ1106" s="69">
        <f>SUM(BX1106:BY1106)</f>
        <v>-2.1682000000055268E-2</v>
      </c>
      <c r="CB1106" s="69">
        <f>+CB1107-SUM(CB1101:CB1105)</f>
        <v>-5.6349000000409433E-2</v>
      </c>
      <c r="CC1106" s="69">
        <f>+CC1107-SUM(CC1101:CC1105)</f>
        <v>1.4591399999999339</v>
      </c>
      <c r="CD1106" s="69">
        <f>SUM(CB1106:CC1106)</f>
        <v>1.4027909999995245</v>
      </c>
      <c r="CF1106" s="69">
        <f>+CF1107-SUM(CF1101:CF1105)</f>
        <v>1.5574610000003304</v>
      </c>
      <c r="CG1106" s="69">
        <f>+CG1107-SUM(CG1101:CG1105)</f>
        <v>1.4093439999996917</v>
      </c>
      <c r="CH1106" s="69">
        <f>SUM(CF1106:CG1106)</f>
        <v>2.9668050000000221</v>
      </c>
      <c r="CJ1106" s="69">
        <f>+CJ1107-SUM(CJ1101:CJ1105)</f>
        <v>1.5924990000003163</v>
      </c>
      <c r="CK1106" s="69">
        <f>+CK1107-SUM(CK1101:CK1105)</f>
        <v>0.81980299999986528</v>
      </c>
      <c r="CL1106" s="69">
        <f>SUM(CJ1106:CK1106)</f>
        <v>2.4123020000001816</v>
      </c>
      <c r="CN1106" s="69">
        <f>+CN1107-SUM(CN1101:CN1105)</f>
        <v>0.92957499999965876</v>
      </c>
      <c r="CO1106" s="69">
        <f>+CO1107-SUM(CO1101:CO1105)</f>
        <v>1.3302999999996246</v>
      </c>
      <c r="CP1106" s="69">
        <f>SUM(CN1106:CO1106)</f>
        <v>2.2598749999992833</v>
      </c>
      <c r="CR1106" s="69">
        <f>+CR1107-SUM(CR1101:CR1105)</f>
        <v>1.3717490000003636</v>
      </c>
      <c r="CS1106" s="69">
        <f>+CS1107-SUM(CS1101:CS1105)</f>
        <v>1.5185189999997419</v>
      </c>
      <c r="CT1106" s="69">
        <f>SUM(CR1106:CS1106)</f>
        <v>2.8902680000001055</v>
      </c>
      <c r="CV1106" s="69">
        <f>+CV1107-SUM(CV1101:CV1105)</f>
        <v>5.0360530000002655</v>
      </c>
      <c r="CW1106" s="69">
        <f>+CW1107-SUM(CW1101:CW1105)</f>
        <v>2.41834196694208</v>
      </c>
      <c r="CX1106" s="69">
        <f>SUM(CV1106:CW1106)</f>
        <v>7.4543949669423455</v>
      </c>
      <c r="CZ1106" s="69">
        <f>+CZ1107-SUM(CZ1101:CZ1105)</f>
        <v>1.7255540330579606</v>
      </c>
      <c r="DA1106" s="69">
        <f>+DA1107-SUM(DA1101:DA1105)</f>
        <v>1.6550480000000789</v>
      </c>
      <c r="DB1106" s="69">
        <f>SUM(CZ1106:DA1106)</f>
        <v>3.3806020330580395</v>
      </c>
      <c r="DD1106" s="69">
        <f>+DD1107-SUM(DD1101:DD1105)</f>
        <v>1.4336359999997512</v>
      </c>
      <c r="DE1106" s="69">
        <f>+DE1107-SUM(DE1101:DE1105)</f>
        <v>1.5801360000000386</v>
      </c>
      <c r="DF1106" s="69">
        <f>SUM(DD1106:DE1106)</f>
        <v>3.0137719999997898</v>
      </c>
      <c r="DH1106" s="69">
        <f>DH1202</f>
        <v>0.72111246081488167</v>
      </c>
      <c r="DI1106" s="69">
        <f>DI1202</f>
        <v>0.70893446448801967</v>
      </c>
      <c r="DJ1106" s="69">
        <f>SUM(DH1106:DI1106)</f>
        <v>1.4300469253029013</v>
      </c>
      <c r="DL1106" s="69">
        <f ca="1">DL1202</f>
        <v>0.67908459229905038</v>
      </c>
      <c r="DM1106" s="69">
        <f ca="1">DM1202</f>
        <v>0.65049155683382731</v>
      </c>
      <c r="DN1106" s="69">
        <f ca="1">SUM(DL1106:DM1106)</f>
        <v>1.3295761491328777</v>
      </c>
      <c r="DP1106" s="69">
        <f ca="1">DP1202</f>
        <v>0.61204771010862391</v>
      </c>
      <c r="DQ1106" s="69">
        <f ca="1">DQ1202</f>
        <v>0.57643285621252549</v>
      </c>
      <c r="DR1106" s="69">
        <f ca="1">SUM(DP1106:DQ1106)</f>
        <v>1.1884805663211493</v>
      </c>
      <c r="DV1106" s="69"/>
    </row>
    <row r="1107" spans="1:128" s="20" customFormat="1" ht="13.8">
      <c r="A1107" s="21" t="s">
        <v>630</v>
      </c>
      <c r="B1107" s="49" t="s">
        <v>846</v>
      </c>
      <c r="BD1107" s="388">
        <v>2679.5</v>
      </c>
      <c r="BE1107" s="388">
        <v>2717.356961</v>
      </c>
      <c r="BF1107" s="99">
        <f>BE1107</f>
        <v>2717.356961</v>
      </c>
      <c r="BH1107" s="388">
        <v>2743.7286880000001</v>
      </c>
      <c r="BI1107" s="388">
        <v>2743.6553100000001</v>
      </c>
      <c r="BJ1107" s="99">
        <f>SUM(BJ1101:BJ1106)</f>
        <v>2743.6553100000001</v>
      </c>
      <c r="BK1107" s="69"/>
      <c r="BL1107" s="388">
        <v>2744.1186699999998</v>
      </c>
      <c r="BM1107" s="388">
        <v>2756.6277709999999</v>
      </c>
      <c r="BN1107" s="99">
        <f>SUM(BN1101:BN1106)</f>
        <v>2756.6277709999999</v>
      </c>
      <c r="BO1107" s="69"/>
      <c r="BP1107" s="388">
        <v>2765.9802220000001</v>
      </c>
      <c r="BQ1107" s="388">
        <v>2902.7143609999998</v>
      </c>
      <c r="BR1107" s="99">
        <f>SUM(BR1101:BR1106)</f>
        <v>2902.7143609999998</v>
      </c>
      <c r="BS1107" s="571">
        <f>BT1107</f>
        <v>2917.5600979999999</v>
      </c>
      <c r="BT1107" s="388">
        <v>2917.5600979999999</v>
      </c>
      <c r="BU1107" s="388">
        <v>2927.4766599999998</v>
      </c>
      <c r="BV1107" s="99">
        <f>SUM(BV1101:BV1106)</f>
        <v>2927.4766599999998</v>
      </c>
      <c r="BX1107" s="388">
        <v>2936.0370090000001</v>
      </c>
      <c r="BY1107" s="388">
        <v>2937.4153270000002</v>
      </c>
      <c r="BZ1107" s="99">
        <f>SUM(BZ1101:BZ1106)</f>
        <v>2937.4153269999997</v>
      </c>
      <c r="CB1107" s="388">
        <v>2898.7589779999998</v>
      </c>
      <c r="CC1107" s="388">
        <v>2873.6181179999999</v>
      </c>
      <c r="CD1107" s="99">
        <f>SUM(CD1101:CD1106)</f>
        <v>2873.6181179999999</v>
      </c>
      <c r="CF1107" s="388">
        <v>2833.1755790000002</v>
      </c>
      <c r="CG1107" s="388">
        <v>2834.5849229999999</v>
      </c>
      <c r="CH1107" s="99">
        <f>SUM(CH1101:CH1106)</f>
        <v>2834.5849229999999</v>
      </c>
      <c r="CJ1107" s="388">
        <v>2836.1774220000002</v>
      </c>
      <c r="CK1107" s="388">
        <v>2840.3702250000001</v>
      </c>
      <c r="CL1107" s="99">
        <f>SUM(CL1101:CL1106)</f>
        <v>2840.3702250000001</v>
      </c>
      <c r="CN1107" s="388">
        <v>2845.5418</v>
      </c>
      <c r="CO1107" s="388">
        <v>2823.5636519999998</v>
      </c>
      <c r="CP1107" s="99">
        <f>SUM(CP1101:CP1106)</f>
        <v>2823.5636519999994</v>
      </c>
      <c r="CR1107" s="388">
        <v>2794.1041740000001</v>
      </c>
      <c r="CS1107" s="388">
        <v>2989.9237509999998</v>
      </c>
      <c r="CT1107" s="99">
        <f>SUM(CT1101:CT1106)</f>
        <v>2989.9237509999998</v>
      </c>
      <c r="CV1107" s="388">
        <v>3003.3667820000001</v>
      </c>
      <c r="CW1107" s="388">
        <f>65466/21.78</f>
        <v>3005.7851239669421</v>
      </c>
      <c r="CX1107" s="99">
        <f>SUM(CX1101:CX1106)</f>
        <v>3005.7851239669421</v>
      </c>
      <c r="CZ1107" s="388">
        <v>3007.5106780000001</v>
      </c>
      <c r="DA1107" s="388">
        <v>2979.41626</v>
      </c>
      <c r="DB1107" s="99">
        <f>SUM(DB1101:DB1106)</f>
        <v>2979.41626</v>
      </c>
      <c r="DD1107" s="388">
        <v>2971.3656219999998</v>
      </c>
      <c r="DE1107" s="388">
        <v>2983.52018</v>
      </c>
      <c r="DF1107" s="99">
        <f>SUM(DF1101:DF1106)</f>
        <v>2983.52018</v>
      </c>
      <c r="DH1107" s="99">
        <f>SUM(DH1101:DH1106)</f>
        <v>3004.0993669702411</v>
      </c>
      <c r="DI1107" s="99">
        <f ca="1">SUM(DI1101:DI1106)</f>
        <v>3004.8083014347289</v>
      </c>
      <c r="DJ1107" s="99">
        <f ca="1">SUM(DJ1101:DJ1106)</f>
        <v>3004.8083014347299</v>
      </c>
      <c r="DL1107" s="99">
        <f ca="1">SUM(DL1101:DL1106)</f>
        <v>3005.4873860270282</v>
      </c>
      <c r="DM1107" s="99">
        <f ca="1">SUM(DM1101:DM1106)</f>
        <v>2994.065837646991</v>
      </c>
      <c r="DN1107" s="99">
        <f ca="1">SUM(DN1101:DN1106)</f>
        <v>2994.0658376469905</v>
      </c>
      <c r="DP1107" s="99">
        <f ca="1">SUM(DP1101:DP1106)</f>
        <v>2983.9275282420072</v>
      </c>
      <c r="DQ1107" s="99">
        <f ca="1">SUM(DQ1101:DQ1106)</f>
        <v>2972.8907807166183</v>
      </c>
      <c r="DR1107" s="99">
        <f ca="1">SUM(DR1101:DR1106)</f>
        <v>2972.8907807166183</v>
      </c>
    </row>
    <row r="1108" spans="1:128" s="20" customFormat="1" ht="13.8">
      <c r="A1108" s="20" t="s">
        <v>631</v>
      </c>
      <c r="B1108" s="49" t="s">
        <v>361</v>
      </c>
      <c r="BD1108" s="373">
        <v>31.6</v>
      </c>
      <c r="BE1108" s="373">
        <v>28.8</v>
      </c>
      <c r="BF1108" s="69">
        <f>BE1108</f>
        <v>28.8</v>
      </c>
      <c r="BH1108" s="373">
        <v>28.7</v>
      </c>
      <c r="BI1108" s="373">
        <v>28.4</v>
      </c>
      <c r="BJ1108" s="69">
        <f>BI1108</f>
        <v>28.4</v>
      </c>
      <c r="BK1108" s="69"/>
      <c r="BL1108" s="373">
        <v>26.9</v>
      </c>
      <c r="BM1108" s="373">
        <v>25.6</v>
      </c>
      <c r="BN1108" s="69">
        <f>BM1108</f>
        <v>25.6</v>
      </c>
      <c r="BO1108" s="69"/>
      <c r="BP1108" s="373">
        <v>24.6</v>
      </c>
      <c r="BQ1108" s="373">
        <v>23</v>
      </c>
      <c r="BR1108" s="69">
        <f>BQ1108</f>
        <v>23</v>
      </c>
      <c r="BT1108" s="373">
        <v>23</v>
      </c>
      <c r="BU1108" s="373">
        <v>28.5</v>
      </c>
      <c r="BV1108" s="69">
        <f>BU1108</f>
        <v>28.5</v>
      </c>
      <c r="BX1108" s="373">
        <v>25.9</v>
      </c>
      <c r="BY1108" s="373">
        <v>22.7</v>
      </c>
      <c r="BZ1108" s="69">
        <f>BY1108</f>
        <v>22.7</v>
      </c>
      <c r="CB1108" s="373">
        <v>21.3</v>
      </c>
      <c r="CC1108" s="373">
        <v>20.6</v>
      </c>
      <c r="CD1108" s="69">
        <f>CC1108</f>
        <v>20.6</v>
      </c>
      <c r="CF1108" s="373">
        <f>4.641+15.527</f>
        <v>20.167999999999999</v>
      </c>
      <c r="CG1108" s="373">
        <f>4.475</f>
        <v>4.4749999999999996</v>
      </c>
      <c r="CH1108" s="69">
        <f>CG1108</f>
        <v>4.4749999999999996</v>
      </c>
      <c r="CJ1108" s="373">
        <v>5.0115369999999997</v>
      </c>
      <c r="CK1108" s="373">
        <v>4.9278779999999998</v>
      </c>
      <c r="CL1108" s="69">
        <f>CK1108</f>
        <v>4.9278779999999998</v>
      </c>
      <c r="CN1108" s="373">
        <v>4.484712</v>
      </c>
      <c r="CO1108" s="373">
        <v>4.4015930000000001</v>
      </c>
      <c r="CP1108" s="69">
        <f>CO1108</f>
        <v>4.4015930000000001</v>
      </c>
      <c r="CR1108" s="373">
        <v>4.391572</v>
      </c>
      <c r="CS1108" s="373">
        <v>4.2091500000000002</v>
      </c>
      <c r="CT1108" s="69">
        <f>CS1108</f>
        <v>4.2091500000000002</v>
      </c>
      <c r="CV1108" s="373">
        <v>4.0990149999999996</v>
      </c>
      <c r="CW1108" s="69">
        <f>CW1107-CW1109</f>
        <v>4.5431629669419635</v>
      </c>
      <c r="CX1108" s="69">
        <f>CW1108</f>
        <v>4.5431629669419635</v>
      </c>
      <c r="CZ1108" s="373">
        <v>5.5726940000000003</v>
      </c>
      <c r="DA1108" s="373">
        <v>5.3520120000000002</v>
      </c>
      <c r="DB1108" s="69">
        <f>DA1108</f>
        <v>5.3520120000000002</v>
      </c>
      <c r="DD1108" s="373">
        <v>3.9946009999999998</v>
      </c>
      <c r="DE1108" s="373">
        <v>4.1660599999999999</v>
      </c>
      <c r="DF1108" s="69">
        <f>DE1108</f>
        <v>4.1660599999999999</v>
      </c>
      <c r="DH1108" s="69">
        <f>-DH1111</f>
        <v>4.1947958966914189</v>
      </c>
      <c r="DI1108" s="69">
        <f ca="1">-DI1111</f>
        <v>4.1957858224626339</v>
      </c>
      <c r="DJ1108" s="69">
        <f ca="1">DI1108</f>
        <v>4.1957858224626339</v>
      </c>
      <c r="DL1108" s="69">
        <f ca="1">-DL1111</f>
        <v>4.1967340671487463</v>
      </c>
      <c r="DM1108" s="69">
        <f ca="1">-DM1111</f>
        <v>4.1807855053916958</v>
      </c>
      <c r="DN1108" s="69">
        <f ca="1">DM1108</f>
        <v>4.1807855053916958</v>
      </c>
      <c r="DP1108" s="69">
        <f ca="1">-DP1111</f>
        <v>4.1666288036663781</v>
      </c>
      <c r="DQ1108" s="69">
        <f ca="1">-DQ1111</f>
        <v>4.1512175613681537</v>
      </c>
      <c r="DR1108" s="69">
        <f ca="1">DQ1108</f>
        <v>4.1512175613681537</v>
      </c>
    </row>
    <row r="1109" spans="1:128" s="21" customFormat="1" ht="13.8">
      <c r="A1109" s="21" t="s">
        <v>632</v>
      </c>
      <c r="B1109" s="27"/>
      <c r="BD1109" s="389">
        <f>BD1107-BD1108</f>
        <v>2647.9</v>
      </c>
      <c r="BE1109" s="389">
        <f>BE1107-BE1108</f>
        <v>2688.5569609999998</v>
      </c>
      <c r="BF1109" s="389">
        <f>BF1107-BF1108</f>
        <v>2688.5569609999998</v>
      </c>
      <c r="BH1109" s="389">
        <f>BH1107-BH1108</f>
        <v>2715.0286880000003</v>
      </c>
      <c r="BI1109" s="389">
        <f>BI1107-BI1108</f>
        <v>2715.25531</v>
      </c>
      <c r="BJ1109" s="389">
        <f>BJ1107-BJ1108</f>
        <v>2715.25531</v>
      </c>
      <c r="BK1109" s="27"/>
      <c r="BL1109" s="389">
        <f>BL1107-BL1108</f>
        <v>2717.2186699999997</v>
      </c>
      <c r="BM1109" s="389">
        <f>BM1107-BM1108</f>
        <v>2731.027771</v>
      </c>
      <c r="BN1109" s="389">
        <f>BN1107-BN1108</f>
        <v>2731.027771</v>
      </c>
      <c r="BO1109" s="27"/>
      <c r="BP1109" s="389">
        <f>BP1107-BP1108</f>
        <v>2741.3802220000002</v>
      </c>
      <c r="BQ1109" s="389">
        <f>BQ1107-BQ1108</f>
        <v>2879.7143609999998</v>
      </c>
      <c r="BR1109" s="389">
        <f>BR1107-BR1108</f>
        <v>2879.7143609999998</v>
      </c>
      <c r="BT1109" s="389">
        <f>BT1107-BT1108</f>
        <v>2894.5600979999999</v>
      </c>
      <c r="BU1109" s="389">
        <f>BU1107-BU1108</f>
        <v>2898.9766599999998</v>
      </c>
      <c r="BV1109" s="389">
        <f>BV1107-BV1108</f>
        <v>2898.9766599999998</v>
      </c>
      <c r="BX1109" s="389">
        <f>BX1107-BX1108</f>
        <v>2910.137009</v>
      </c>
      <c r="BY1109" s="389">
        <f>BY1107-BY1108</f>
        <v>2914.7153270000003</v>
      </c>
      <c r="BZ1109" s="389">
        <f>BZ1107-BZ1108</f>
        <v>2914.7153269999999</v>
      </c>
      <c r="CB1109" s="389">
        <f>CB1107-CB1108</f>
        <v>2877.4589779999997</v>
      </c>
      <c r="CC1109" s="389">
        <f>CC1107-CC1108</f>
        <v>2853.018118</v>
      </c>
      <c r="CD1109" s="389">
        <f>CD1107-CD1108</f>
        <v>2853.018118</v>
      </c>
      <c r="CF1109" s="389">
        <f>CF1107-CF1108</f>
        <v>2813.0075790000001</v>
      </c>
      <c r="CG1109" s="389">
        <f>CG1107-CG1108</f>
        <v>2830.109923</v>
      </c>
      <c r="CH1109" s="389">
        <f>CH1107-CH1108</f>
        <v>2830.109923</v>
      </c>
      <c r="CJ1109" s="389">
        <f>CJ1107-CJ1108</f>
        <v>2831.1658850000003</v>
      </c>
      <c r="CK1109" s="389">
        <f>CK1107-CK1108</f>
        <v>2835.4423470000002</v>
      </c>
      <c r="CL1109" s="389">
        <f>CL1107-CL1108</f>
        <v>2835.4423470000002</v>
      </c>
      <c r="CN1109" s="389">
        <f>CN1107-CN1108</f>
        <v>2841.057088</v>
      </c>
      <c r="CO1109" s="389">
        <f>CO1107-CO1108</f>
        <v>2819.1620589999998</v>
      </c>
      <c r="CP1109" s="389">
        <f>CP1107-CP1108</f>
        <v>2819.1620589999993</v>
      </c>
      <c r="CR1109" s="389">
        <f>CR1107-CR1108</f>
        <v>2789.7126020000001</v>
      </c>
      <c r="CS1109" s="389">
        <f>CS1107-CS1108</f>
        <v>2985.7146009999997</v>
      </c>
      <c r="CT1109" s="389">
        <f>CT1107-CT1108</f>
        <v>2985.7146009999997</v>
      </c>
      <c r="CV1109" s="389">
        <f>CV1107-CV1108</f>
        <v>2999.2677670000003</v>
      </c>
      <c r="CW1109" s="388">
        <v>3001.2419610000002</v>
      </c>
      <c r="CX1109" s="389">
        <f>CX1107-CX1108</f>
        <v>3001.2419610000002</v>
      </c>
      <c r="CZ1109" s="389">
        <f>CZ1107-CZ1108</f>
        <v>3001.9379840000001</v>
      </c>
      <c r="DA1109" s="389">
        <f>DA1107-DA1108</f>
        <v>2974.0642480000001</v>
      </c>
      <c r="DB1109" s="389">
        <f>DB1107-DB1108</f>
        <v>2974.0642480000001</v>
      </c>
      <c r="DD1109" s="389">
        <f>DD1107-DD1108</f>
        <v>2967.3710209999999</v>
      </c>
      <c r="DE1109" s="389">
        <f>DE1107-DE1108</f>
        <v>2979.35412</v>
      </c>
      <c r="DF1109" s="389">
        <f>DF1107-DF1108</f>
        <v>2979.35412</v>
      </c>
      <c r="DH1109" s="389">
        <f>DH1107-DH1108</f>
        <v>2999.9045710735495</v>
      </c>
      <c r="DI1109" s="389">
        <f ca="1">DI1107-DI1108</f>
        <v>3000.6125156122662</v>
      </c>
      <c r="DJ1109" s="389">
        <f ca="1">DJ1107-DJ1108</f>
        <v>3000.6125156122671</v>
      </c>
      <c r="DL1109" s="389">
        <f ca="1">DL1107-DL1108</f>
        <v>3001.2906519598796</v>
      </c>
      <c r="DM1109" s="389">
        <f ca="1">DM1107-DM1108</f>
        <v>2989.8850521415993</v>
      </c>
      <c r="DN1109" s="389">
        <f ca="1">DN1107-DN1108</f>
        <v>2989.8850521415989</v>
      </c>
      <c r="DP1109" s="389">
        <f ca="1">DP1107-DP1108</f>
        <v>2979.7608994383409</v>
      </c>
      <c r="DQ1109" s="389">
        <f ca="1">DQ1107-DQ1108</f>
        <v>2968.7395631552504</v>
      </c>
      <c r="DR1109" s="389">
        <f ca="1">DR1107-DR1108</f>
        <v>2968.7395631552504</v>
      </c>
      <c r="DW1109" s="20"/>
      <c r="DX1109" s="20"/>
    </row>
    <row r="1110" spans="1:128" s="20" customFormat="1" ht="13.8">
      <c r="B1110" s="49"/>
      <c r="BE1110" s="49"/>
      <c r="BH1110" s="49"/>
      <c r="BI1110" s="49"/>
      <c r="BJ1110" s="49"/>
      <c r="BK1110" s="49"/>
      <c r="BL1110" s="49"/>
      <c r="BM1110" s="49"/>
      <c r="BN1110" s="49"/>
      <c r="BO1110" s="49"/>
      <c r="BP1110" s="49"/>
      <c r="BQ1110" s="49"/>
      <c r="BR1110" s="49"/>
      <c r="BT1110" s="49"/>
      <c r="BU1110" s="49"/>
      <c r="BV1110" s="49"/>
      <c r="BX1110" s="49"/>
      <c r="BY1110" s="49"/>
      <c r="BZ1110" s="49"/>
      <c r="CB1110" s="49"/>
      <c r="CC1110" s="49"/>
      <c r="CD1110" s="49"/>
      <c r="CF1110" s="49"/>
      <c r="CG1110" s="49"/>
      <c r="CH1110" s="49"/>
      <c r="CJ1110" s="49"/>
      <c r="CK1110" s="49"/>
      <c r="CL1110" s="91"/>
      <c r="CN1110" s="49"/>
      <c r="CO1110" s="49"/>
      <c r="CP1110" s="49"/>
      <c r="CR1110" s="49"/>
      <c r="CS1110" s="49"/>
      <c r="CV1110" s="49"/>
      <c r="CW1110" s="49"/>
      <c r="CZ1110" s="49"/>
      <c r="DA1110" s="49"/>
      <c r="DD1110" s="49"/>
      <c r="DE1110" s="49"/>
      <c r="DH1110" s="49"/>
      <c r="DI1110" s="49"/>
      <c r="DL1110" s="49"/>
      <c r="DM1110" s="49"/>
      <c r="DP1110" s="49"/>
      <c r="DQ1110" s="49"/>
    </row>
    <row r="1111" spans="1:128" s="20" customFormat="1" ht="13.8">
      <c r="A1111" s="20" t="s">
        <v>633</v>
      </c>
      <c r="B1111" s="49"/>
      <c r="BE1111" s="69"/>
      <c r="BH1111" s="69">
        <f>-BH1108</f>
        <v>-28.7</v>
      </c>
      <c r="BI1111" s="69">
        <f>-BI1108</f>
        <v>-28.4</v>
      </c>
      <c r="BJ1111" s="69"/>
      <c r="BK1111" s="69"/>
      <c r="BL1111" s="69">
        <f>-BL1108</f>
        <v>-26.9</v>
      </c>
      <c r="BM1111" s="69">
        <f>-BM1108</f>
        <v>-25.6</v>
      </c>
      <c r="BN1111" s="69"/>
      <c r="BO1111" s="69"/>
      <c r="BP1111" s="69">
        <f>-BP1108</f>
        <v>-24.6</v>
      </c>
      <c r="BQ1111" s="69">
        <f>-BQ1108</f>
        <v>-23</v>
      </c>
      <c r="BR1111" s="69"/>
      <c r="BT1111" s="69">
        <f>-BT1108</f>
        <v>-23</v>
      </c>
      <c r="BU1111" s="69">
        <f>-BU1108</f>
        <v>-28.5</v>
      </c>
      <c r="BV1111" s="69"/>
      <c r="BX1111" s="69">
        <f>-BX1108</f>
        <v>-25.9</v>
      </c>
      <c r="BY1111" s="69">
        <f>-BY1108</f>
        <v>-22.7</v>
      </c>
      <c r="BZ1111" s="69"/>
      <c r="CB1111" s="69">
        <f>-CB1108</f>
        <v>-21.3</v>
      </c>
      <c r="CC1111" s="69">
        <f>-CC1108</f>
        <v>-20.6</v>
      </c>
      <c r="CD1111" s="69"/>
      <c r="CF1111" s="69">
        <f>-CF1108</f>
        <v>-20.167999999999999</v>
      </c>
      <c r="CG1111" s="69">
        <f>-CG1108</f>
        <v>-4.4749999999999996</v>
      </c>
      <c r="CH1111" s="69"/>
      <c r="CJ1111" s="69">
        <f>-CJ1108</f>
        <v>-5.0115369999999997</v>
      </c>
      <c r="CK1111" s="69">
        <f>-CK1108</f>
        <v>-4.9278779999999998</v>
      </c>
      <c r="CL1111" s="69"/>
      <c r="CN1111" s="69">
        <f>-CN1108</f>
        <v>-4.484712</v>
      </c>
      <c r="CO1111" s="69">
        <f>-CO1108</f>
        <v>-4.4015930000000001</v>
      </c>
      <c r="CP1111" s="69"/>
      <c r="CR1111" s="69">
        <f>-CR1108</f>
        <v>-4.391572</v>
      </c>
      <c r="CS1111" s="69">
        <f>-CS1108</f>
        <v>-4.2091500000000002</v>
      </c>
      <c r="CV1111" s="69">
        <f>-CV1108</f>
        <v>-4.0990149999999996</v>
      </c>
      <c r="CW1111" s="69">
        <f>-CW1108</f>
        <v>-4.5431629669419635</v>
      </c>
      <c r="CZ1111" s="69">
        <f>-CZ1108</f>
        <v>-5.5726940000000003</v>
      </c>
      <c r="DA1111" s="69">
        <f>-DA1108</f>
        <v>-5.3520120000000002</v>
      </c>
      <c r="DD1111" s="69">
        <f>-DD1108</f>
        <v>-3.9946009999999998</v>
      </c>
      <c r="DE1111" s="69">
        <f>-DE1108</f>
        <v>-4.1660599999999999</v>
      </c>
      <c r="DH1111" s="69">
        <f>+DH1107*DH1112</f>
        <v>-4.1947958966914189</v>
      </c>
      <c r="DI1111" s="69">
        <f ca="1">+DI1107*DI1112</f>
        <v>-4.1957858224626339</v>
      </c>
      <c r="DL1111" s="69">
        <f ca="1">+DL1107*DL1112</f>
        <v>-4.1967340671487463</v>
      </c>
      <c r="DM1111" s="69">
        <f ca="1">+DM1107*DM1112</f>
        <v>-4.1807855053916958</v>
      </c>
      <c r="DP1111" s="69">
        <f ca="1">+DP1107*DP1112</f>
        <v>-4.1666288036663781</v>
      </c>
      <c r="DQ1111" s="69">
        <f ca="1">+DQ1107*DQ1112</f>
        <v>-4.1512175613681537</v>
      </c>
    </row>
    <row r="1112" spans="1:128" s="325" customFormat="1" ht="13.8">
      <c r="A1112" s="325" t="s">
        <v>634</v>
      </c>
      <c r="B1112" s="324"/>
      <c r="BE1112" s="348"/>
      <c r="BH1112" s="348">
        <f>BH1111/BH1107</f>
        <v>-1.046021792370456E-2</v>
      </c>
      <c r="BI1112" s="348">
        <f>BI1111/BI1107</f>
        <v>-1.0351154496881752E-2</v>
      </c>
      <c r="BJ1112" s="348"/>
      <c r="BK1112" s="366"/>
      <c r="BL1112" s="348">
        <f>BL1111/BL1107</f>
        <v>-9.8027830552969483E-3</v>
      </c>
      <c r="BM1112" s="348">
        <f>BM1111/BM1107</f>
        <v>-9.2867090251772706E-3</v>
      </c>
      <c r="BN1112" s="348"/>
      <c r="BO1112" s="366"/>
      <c r="BP1112" s="348">
        <f>BP1111/BP1107</f>
        <v>-8.8937729215621264E-3</v>
      </c>
      <c r="BQ1112" s="348">
        <f>BQ1111/BQ1107</f>
        <v>-7.9236180827921294E-3</v>
      </c>
      <c r="BR1112" s="348"/>
      <c r="BT1112" s="348">
        <f>BT1111/BT1107</f>
        <v>-7.883299478823623E-3</v>
      </c>
      <c r="BU1112" s="348">
        <f>BU1111/BU1107</f>
        <v>-9.7353466175884047E-3</v>
      </c>
      <c r="BV1112" s="348"/>
      <c r="BX1112" s="348">
        <f>BX1111/BX1107</f>
        <v>-8.8214146894631321E-3</v>
      </c>
      <c r="BY1112" s="348">
        <f>BY1111/BY1107</f>
        <v>-7.7278823295252718E-3</v>
      </c>
      <c r="BZ1112" s="348"/>
      <c r="CB1112" s="348">
        <f>CB1111/CB1107</f>
        <v>-7.3479720672382171E-3</v>
      </c>
      <c r="CC1112" s="348">
        <f>CC1111/CC1107</f>
        <v>-7.1686630422337846E-3</v>
      </c>
      <c r="CD1112" s="348"/>
      <c r="CF1112" s="348">
        <f>CF1111/CF1107</f>
        <v>-7.1185139916808519E-3</v>
      </c>
      <c r="CG1112" s="348">
        <f>CG1111/CG1107</f>
        <v>-1.578714387312784E-3</v>
      </c>
      <c r="CH1112" s="348"/>
      <c r="CJ1112" s="348">
        <f>CJ1111/CJ1107</f>
        <v>-1.7670040531053911E-3</v>
      </c>
      <c r="CK1112" s="348">
        <f>CK1111/CK1107</f>
        <v>-1.7349421412132988E-3</v>
      </c>
      <c r="CL1112" s="348"/>
      <c r="CN1112" s="348">
        <f>CN1111/CN1107</f>
        <v>-1.5760485402112174E-3</v>
      </c>
      <c r="CO1112" s="348">
        <f>CO1111/CO1107</f>
        <v>-1.5588786167020684E-3</v>
      </c>
      <c r="CP1112" s="348"/>
      <c r="CR1112" s="348">
        <f>CR1111/CR1107</f>
        <v>-1.5717280840367122E-3</v>
      </c>
      <c r="CS1112" s="348">
        <f>CS1111/CS1107</f>
        <v>-1.40777837514827E-3</v>
      </c>
      <c r="CV1112" s="348">
        <f>CV1111/CV1107</f>
        <v>-1.3648066644961646E-3</v>
      </c>
      <c r="CW1112" s="348">
        <f>CW1111/CW1107</f>
        <v>-1.5114729694802793E-3</v>
      </c>
      <c r="CZ1112" s="348">
        <f>CZ1111/CZ1107</f>
        <v>-1.8529257570935214E-3</v>
      </c>
      <c r="DA1112" s="348">
        <f>DA1111/DA1107</f>
        <v>-1.7963290567528823E-3</v>
      </c>
      <c r="DD1112" s="348">
        <f>DD1111/DD1107</f>
        <v>-1.3443653552507851E-3</v>
      </c>
      <c r="DE1112" s="348">
        <f>DE1111/DE1107</f>
        <v>-1.3963572386495472E-3</v>
      </c>
      <c r="DH1112" s="390">
        <f>DE1112</f>
        <v>-1.3963572386495472E-3</v>
      </c>
      <c r="DI1112" s="390">
        <f>DH1112</f>
        <v>-1.3963572386495472E-3</v>
      </c>
      <c r="DL1112" s="390">
        <f>DI1112</f>
        <v>-1.3963572386495472E-3</v>
      </c>
      <c r="DM1112" s="390">
        <f>DL1112</f>
        <v>-1.3963572386495472E-3</v>
      </c>
      <c r="DP1112" s="390">
        <f>DM1112</f>
        <v>-1.3963572386495472E-3</v>
      </c>
      <c r="DQ1112" s="390">
        <f>DP1112</f>
        <v>-1.3963572386495472E-3</v>
      </c>
      <c r="DW1112" s="20"/>
      <c r="DX1112" s="20"/>
    </row>
    <row r="1113" spans="1:128" s="20" customFormat="1" ht="13.8">
      <c r="B1113" s="49"/>
      <c r="BH1113" s="49"/>
      <c r="BI1113" s="49"/>
      <c r="BJ1113" s="49"/>
      <c r="BK1113" s="49"/>
      <c r="BL1113" s="49"/>
      <c r="BM1113" s="49"/>
      <c r="BN1113" s="49"/>
      <c r="BO1113" s="49"/>
      <c r="BP1113" s="49"/>
      <c r="BQ1113" s="49"/>
      <c r="BR1113" s="49"/>
      <c r="BT1113" s="49"/>
      <c r="BU1113" s="49"/>
      <c r="BV1113" s="49"/>
      <c r="BX1113" s="49"/>
      <c r="BY1113" s="49"/>
      <c r="BZ1113" s="49"/>
      <c r="CB1113" s="49"/>
      <c r="CC1113" s="106"/>
      <c r="CD1113" s="49"/>
      <c r="CF1113" s="49"/>
      <c r="CG1113" s="49"/>
      <c r="CH1113" s="49"/>
      <c r="CJ1113" s="49"/>
      <c r="CK1113" s="49"/>
      <c r="CL1113" s="49"/>
      <c r="CN1113" s="49"/>
      <c r="CO1113" s="49"/>
      <c r="CP1113" s="49"/>
      <c r="CR1113" s="49"/>
      <c r="CV1113" s="49"/>
      <c r="CZ1113" s="49"/>
      <c r="DD1113" s="49"/>
      <c r="DH1113" s="49"/>
      <c r="DL1113" s="49"/>
      <c r="DP1113" s="49"/>
    </row>
    <row r="1114" spans="1:128" s="20" customFormat="1" ht="13.8">
      <c r="A1114" s="20" t="s">
        <v>418</v>
      </c>
      <c r="B1114" s="49"/>
      <c r="BH1114" s="65">
        <f>BH1043</f>
        <v>41579</v>
      </c>
      <c r="BI1114" s="65">
        <f>BI1043</f>
        <v>44670</v>
      </c>
      <c r="BJ1114" s="65">
        <f>BJ1043</f>
        <v>44670</v>
      </c>
      <c r="BK1114" s="49"/>
      <c r="BL1114" s="65">
        <f>BL1043</f>
        <v>46100</v>
      </c>
      <c r="BM1114" s="65">
        <f>BM1043</f>
        <v>48336</v>
      </c>
      <c r="BN1114" s="65">
        <f>BN1043</f>
        <v>48336</v>
      </c>
      <c r="BO1114" s="49"/>
      <c r="BP1114" s="65">
        <f>BP1043</f>
        <v>51956</v>
      </c>
      <c r="BQ1114" s="65">
        <f>BQ1043</f>
        <v>57247</v>
      </c>
      <c r="BR1114" s="65">
        <f>BR1043</f>
        <v>57247</v>
      </c>
      <c r="BT1114" s="65">
        <f>BT1043</f>
        <v>56363</v>
      </c>
      <c r="BU1114" s="65">
        <f>BU1043</f>
        <v>57818</v>
      </c>
      <c r="BV1114" s="65">
        <f>BV1043</f>
        <v>57818</v>
      </c>
      <c r="BX1114" s="65">
        <f>BX1043</f>
        <v>57791</v>
      </c>
      <c r="BY1114" s="65">
        <f>BY1043</f>
        <v>58959</v>
      </c>
      <c r="BZ1114" s="65">
        <f>BZ1043</f>
        <v>58959</v>
      </c>
      <c r="CB1114" s="65">
        <f>CB1043</f>
        <v>59374</v>
      </c>
      <c r="CC1114" s="65">
        <f>CC1043</f>
        <v>59243</v>
      </c>
      <c r="CD1114" s="65">
        <f>CD1043</f>
        <v>59243</v>
      </c>
      <c r="CF1114" s="65">
        <f>CF1043</f>
        <v>59821</v>
      </c>
      <c r="CG1114" s="65">
        <f>CG1043</f>
        <v>60783</v>
      </c>
      <c r="CH1114" s="65">
        <f>CH1043</f>
        <v>60783</v>
      </c>
      <c r="CJ1114" s="65">
        <f>CJ1043</f>
        <v>61364</v>
      </c>
      <c r="CK1114" s="65">
        <f>CK1043</f>
        <v>61287</v>
      </c>
      <c r="CL1114" s="65">
        <f>CL1043</f>
        <v>61287</v>
      </c>
      <c r="CN1114" s="65">
        <f>CN1043</f>
        <v>62566</v>
      </c>
      <c r="CO1114" s="65">
        <f>CO1043</f>
        <v>63665</v>
      </c>
      <c r="CP1114" s="65">
        <f>CP1043</f>
        <v>63665</v>
      </c>
      <c r="CR1114" s="65">
        <f>CR1043</f>
        <v>61747</v>
      </c>
      <c r="CS1114" s="65">
        <f>CS1043</f>
        <v>65907</v>
      </c>
      <c r="CT1114" s="65">
        <f>CT1043</f>
        <v>65907</v>
      </c>
      <c r="CV1114" s="65">
        <f>CV1043</f>
        <v>69055</v>
      </c>
      <c r="CW1114" s="65">
        <f>CW1043</f>
        <v>69495</v>
      </c>
      <c r="CX1114" s="65">
        <f>CX1043</f>
        <v>69495</v>
      </c>
      <c r="CZ1114" s="65">
        <f>CZ1043</f>
        <v>70306</v>
      </c>
      <c r="DA1114" s="65">
        <f>DA1043</f>
        <v>69857</v>
      </c>
      <c r="DB1114" s="65">
        <f>DB1043</f>
        <v>69857</v>
      </c>
      <c r="DD1114" s="65">
        <f>DD1043</f>
        <v>71567</v>
      </c>
      <c r="DE1114" s="65">
        <f>DE1043</f>
        <v>71128</v>
      </c>
      <c r="DF1114" s="65">
        <f>DF1043</f>
        <v>71128</v>
      </c>
      <c r="DH1114" s="65">
        <f ca="1">DH1043</f>
        <v>73104.319410450567</v>
      </c>
      <c r="DI1114" s="65">
        <f ca="1">DI1043</f>
        <v>74385.500404853752</v>
      </c>
      <c r="DJ1114" s="65">
        <f ca="1">DJ1043</f>
        <v>74385.500404853752</v>
      </c>
      <c r="DL1114" s="65">
        <f ca="1">DL1043</f>
        <v>75772.931352849206</v>
      </c>
      <c r="DM1114" s="65">
        <f ca="1">DM1043</f>
        <v>76554.233218012116</v>
      </c>
      <c r="DN1114" s="65">
        <f ca="1">DN1043</f>
        <v>76554.233218012116</v>
      </c>
      <c r="DP1114" s="65">
        <f ca="1">DP1043</f>
        <v>77488.087646612039</v>
      </c>
      <c r="DQ1114" s="65">
        <f ca="1">DQ1043</f>
        <v>78464.214539050052</v>
      </c>
      <c r="DR1114" s="65">
        <f ca="1">DR1043</f>
        <v>78464.214539050052</v>
      </c>
    </row>
    <row r="1115" spans="1:128" s="20" customFormat="1" ht="13.8">
      <c r="A1115" s="20" t="s">
        <v>284</v>
      </c>
      <c r="B1115" s="49"/>
      <c r="BH1115" s="65">
        <f>BH368</f>
        <v>7142</v>
      </c>
      <c r="BI1115" s="65">
        <f>BI368</f>
        <v>7690</v>
      </c>
      <c r="BJ1115" s="65">
        <f>BJ368</f>
        <v>7690</v>
      </c>
      <c r="BK1115" s="49"/>
      <c r="BL1115" s="65">
        <f>BL368</f>
        <v>7969</v>
      </c>
      <c r="BM1115" s="65">
        <f>BM368</f>
        <v>7950</v>
      </c>
      <c r="BN1115" s="65">
        <f>BN368</f>
        <v>7950</v>
      </c>
      <c r="BO1115" s="49"/>
      <c r="BP1115" s="65">
        <f>BP368</f>
        <v>8384</v>
      </c>
      <c r="BQ1115" s="65">
        <f>BQ368</f>
        <v>8312</v>
      </c>
      <c r="BR1115" s="65">
        <f>BR368</f>
        <v>8312</v>
      </c>
      <c r="BT1115" s="65">
        <f>BT368</f>
        <v>7585</v>
      </c>
      <c r="BU1115" s="65">
        <f>BU368</f>
        <v>7672</v>
      </c>
      <c r="BV1115" s="65">
        <f>BV368</f>
        <v>7672</v>
      </c>
      <c r="BX1115" s="65">
        <f>BX368</f>
        <v>7053</v>
      </c>
      <c r="BY1115" s="65">
        <f>BY368</f>
        <v>6970</v>
      </c>
      <c r="BZ1115" s="65">
        <f>BZ368</f>
        <v>6970</v>
      </c>
      <c r="CB1115" s="65">
        <f>CB368</f>
        <v>5338</v>
      </c>
      <c r="CC1115" s="65">
        <f>CC368</f>
        <v>4930</v>
      </c>
      <c r="CD1115" s="65">
        <f>CD368</f>
        <v>4930</v>
      </c>
      <c r="CF1115" s="65">
        <f>CF368</f>
        <v>5017</v>
      </c>
      <c r="CG1115" s="65">
        <f>CG368</f>
        <v>4861</v>
      </c>
      <c r="CH1115" s="65">
        <f>CH368</f>
        <v>4861</v>
      </c>
      <c r="CJ1115" s="65">
        <f>CJ368</f>
        <v>4957</v>
      </c>
      <c r="CK1115" s="65">
        <f>CK368</f>
        <v>4379</v>
      </c>
      <c r="CL1115" s="65">
        <f>CL368</f>
        <v>4379</v>
      </c>
      <c r="CN1115" s="65">
        <f>CN368</f>
        <v>4024</v>
      </c>
      <c r="CO1115" s="65">
        <f>CO368</f>
        <v>4124</v>
      </c>
      <c r="CP1115" s="65">
        <f>CP368</f>
        <v>4124</v>
      </c>
      <c r="CR1115" s="65">
        <f>CR368</f>
        <v>4068</v>
      </c>
      <c r="CS1115" s="65">
        <f>CS368</f>
        <v>3877</v>
      </c>
      <c r="CT1115" s="65">
        <f>CT368</f>
        <v>3877</v>
      </c>
      <c r="CV1115" s="65">
        <f>CV368</f>
        <v>4037</v>
      </c>
      <c r="CW1115" s="65">
        <f>CW368</f>
        <v>4058</v>
      </c>
      <c r="CX1115" s="65">
        <f>CX368</f>
        <v>4058</v>
      </c>
      <c r="CZ1115" s="65">
        <f>CZ368</f>
        <v>3998</v>
      </c>
      <c r="DA1115" s="65">
        <f>DA368</f>
        <v>5511</v>
      </c>
      <c r="DB1115" s="65">
        <f>DB368</f>
        <v>5511</v>
      </c>
      <c r="DD1115" s="65">
        <f>DD368</f>
        <v>5865</v>
      </c>
      <c r="DE1115" s="65">
        <f>DE368</f>
        <v>5765</v>
      </c>
      <c r="DF1115" s="65">
        <f>DF368</f>
        <v>5765</v>
      </c>
      <c r="DH1115" s="65">
        <f>DH368</f>
        <v>5713.4903129657232</v>
      </c>
      <c r="DI1115" s="65">
        <f>DI368</f>
        <v>5692.1815591264176</v>
      </c>
      <c r="DJ1115" s="65">
        <f>DJ368</f>
        <v>5692.1815591264176</v>
      </c>
      <c r="DL1115" s="65">
        <f>DL368</f>
        <v>5655.1415076358226</v>
      </c>
      <c r="DM1115" s="65">
        <f>DM368</f>
        <v>5645.4908567595348</v>
      </c>
      <c r="DN1115" s="65">
        <f>DN368</f>
        <v>5645.4908567595348</v>
      </c>
      <c r="DP1115" s="65">
        <f>DP368</f>
        <v>5617.2485238371401</v>
      </c>
      <c r="DQ1115" s="65">
        <f>DQ368</f>
        <v>5615.6335971242042</v>
      </c>
      <c r="DR1115" s="65">
        <f>DR368</f>
        <v>5615.6335971242042</v>
      </c>
    </row>
    <row r="1116" spans="1:128" s="20" customFormat="1" ht="13.8">
      <c r="A1116" s="20" t="s">
        <v>421</v>
      </c>
      <c r="B1116" s="49"/>
      <c r="BH1116" s="65">
        <f>BH1114-BH1115</f>
        <v>34437</v>
      </c>
      <c r="BI1116" s="65">
        <f>BI1114-BI1115</f>
        <v>36980</v>
      </c>
      <c r="BJ1116" s="65">
        <f>BJ1114-BJ1115</f>
        <v>36980</v>
      </c>
      <c r="BK1116" s="49"/>
      <c r="BL1116" s="65">
        <f>BL1114-BL1115</f>
        <v>38131</v>
      </c>
      <c r="BM1116" s="65">
        <f>BM1114-BM1115</f>
        <v>40386</v>
      </c>
      <c r="BN1116" s="65">
        <f>BN1114-BN1115</f>
        <v>40386</v>
      </c>
      <c r="BO1116" s="49"/>
      <c r="BP1116" s="65">
        <f>BP1114-BP1115</f>
        <v>43572</v>
      </c>
      <c r="BQ1116" s="65">
        <f>BQ1114-BQ1115</f>
        <v>48935</v>
      </c>
      <c r="BR1116" s="65">
        <f>BR1114-BR1115</f>
        <v>48935</v>
      </c>
      <c r="BS1116" s="24"/>
      <c r="BT1116" s="65">
        <f>BT1114-BT1115</f>
        <v>48778</v>
      </c>
      <c r="BU1116" s="65">
        <f>BU1114-BU1115</f>
        <v>50146</v>
      </c>
      <c r="BV1116" s="65">
        <f>BV1114-BV1115</f>
        <v>50146</v>
      </c>
      <c r="BX1116" s="65">
        <f>BX1114-BX1115</f>
        <v>50738</v>
      </c>
      <c r="BY1116" s="65">
        <f>BY1114-BY1115</f>
        <v>51989</v>
      </c>
      <c r="BZ1116" s="65">
        <f>BZ1114-BZ1115</f>
        <v>51989</v>
      </c>
      <c r="CB1116" s="65">
        <f>CB1114-CB1115</f>
        <v>54036</v>
      </c>
      <c r="CC1116" s="65">
        <f>CC1114-CC1115</f>
        <v>54313</v>
      </c>
      <c r="CD1116" s="65">
        <f>CD1114-CD1115</f>
        <v>54313</v>
      </c>
      <c r="CF1116" s="65">
        <f>CF1114-CF1115</f>
        <v>54804</v>
      </c>
      <c r="CG1116" s="65">
        <f>CG1114-CG1115</f>
        <v>55922</v>
      </c>
      <c r="CH1116" s="65">
        <f>CH1114-CH1115</f>
        <v>55922</v>
      </c>
      <c r="CJ1116" s="65">
        <f>CJ1114-CJ1115</f>
        <v>56407</v>
      </c>
      <c r="CK1116" s="65">
        <f>CK1114-CK1115</f>
        <v>56908</v>
      </c>
      <c r="CL1116" s="65">
        <f>CL1114-CL1115</f>
        <v>56908</v>
      </c>
      <c r="CN1116" s="65">
        <f>CN1114-CN1115</f>
        <v>58542</v>
      </c>
      <c r="CO1116" s="65">
        <f>CO1114-CO1115</f>
        <v>59541</v>
      </c>
      <c r="CP1116" s="65">
        <f>CP1114-CP1115</f>
        <v>59541</v>
      </c>
      <c r="CR1116" s="65">
        <f>CR1114-CR1115</f>
        <v>57679</v>
      </c>
      <c r="CS1116" s="65">
        <f>CS1114-CS1115</f>
        <v>62030</v>
      </c>
      <c r="CT1116" s="65">
        <f>CT1114-CT1115</f>
        <v>62030</v>
      </c>
      <c r="CV1116" s="65">
        <f>CV1114-CV1115</f>
        <v>65018</v>
      </c>
      <c r="CW1116" s="65">
        <f>CW1114-CW1115</f>
        <v>65437</v>
      </c>
      <c r="CX1116" s="65">
        <f>CX1114-CX1115</f>
        <v>65437</v>
      </c>
      <c r="CZ1116" s="65">
        <f>CZ1114-CZ1115</f>
        <v>66308</v>
      </c>
      <c r="DA1116" s="65">
        <f>DA1114-DA1115</f>
        <v>64346</v>
      </c>
      <c r="DB1116" s="65">
        <f>DB1114-DB1115</f>
        <v>64346</v>
      </c>
      <c r="DD1116" s="65">
        <f>DD1114-DD1115</f>
        <v>65702</v>
      </c>
      <c r="DE1116" s="65">
        <f>DE1114-DE1115</f>
        <v>65363</v>
      </c>
      <c r="DF1116" s="65">
        <f>DF1114-DF1115</f>
        <v>65363</v>
      </c>
      <c r="DH1116" s="65">
        <f ca="1">DH1114-DH1115</f>
        <v>67390.82909748485</v>
      </c>
      <c r="DI1116" s="65">
        <f ca="1">DI1114-DI1115</f>
        <v>68693.318845727335</v>
      </c>
      <c r="DJ1116" s="65">
        <f ca="1">DJ1114-DJ1115</f>
        <v>68693.318845727335</v>
      </c>
      <c r="DL1116" s="65">
        <f ca="1">DL1114-DL1115</f>
        <v>70117.789845213381</v>
      </c>
      <c r="DM1116" s="65">
        <f ca="1">DM1114-DM1115</f>
        <v>70908.742361252574</v>
      </c>
      <c r="DN1116" s="65">
        <f ca="1">DN1114-DN1115</f>
        <v>70908.742361252574</v>
      </c>
      <c r="DP1116" s="65">
        <f ca="1">DP1114-DP1115</f>
        <v>71870.839122774894</v>
      </c>
      <c r="DQ1116" s="65">
        <f ca="1">DQ1114-DQ1115</f>
        <v>72848.580941925844</v>
      </c>
      <c r="DR1116" s="65">
        <f ca="1">DR1114-DR1115</f>
        <v>72848.580941925844</v>
      </c>
    </row>
    <row r="1117" spans="1:128" s="20" customFormat="1" ht="13.8">
      <c r="B1117" s="49"/>
      <c r="BH1117" s="49"/>
      <c r="BI1117" s="49"/>
      <c r="BJ1117" s="49"/>
      <c r="BK1117" s="49"/>
      <c r="BL1117" s="49"/>
      <c r="BM1117" s="49"/>
      <c r="BN1117" s="49"/>
      <c r="BO1117" s="49"/>
      <c r="BP1117" s="49"/>
      <c r="BQ1117" s="49"/>
      <c r="BR1117" s="49"/>
      <c r="BT1117" s="49"/>
      <c r="BU1117" s="49"/>
      <c r="BV1117" s="49"/>
      <c r="BX1117" s="49"/>
      <c r="BY1117" s="49"/>
      <c r="BZ1117" s="49"/>
      <c r="CB1117" s="49"/>
      <c r="CC1117" s="49"/>
      <c r="CD1117" s="49"/>
      <c r="CF1117" s="49"/>
      <c r="CG1117" s="49"/>
      <c r="CH1117" s="49"/>
      <c r="CJ1117" s="49"/>
      <c r="CK1117" s="49"/>
      <c r="CL1117" s="49"/>
      <c r="CN1117" s="49"/>
      <c r="CO1117" s="49"/>
      <c r="CP1117" s="49"/>
      <c r="CR1117" s="49"/>
      <c r="CS1117" s="49"/>
      <c r="CT1117" s="49"/>
      <c r="CV1117" s="49"/>
      <c r="CW1117" s="49"/>
      <c r="CX1117" s="49"/>
      <c r="CZ1117" s="49"/>
      <c r="DA1117" s="49"/>
      <c r="DB1117" s="49"/>
      <c r="DD1117" s="49"/>
      <c r="DE1117" s="49"/>
      <c r="DF1117" s="49"/>
      <c r="DH1117" s="49"/>
      <c r="DI1117" s="49"/>
      <c r="DJ1117" s="49"/>
      <c r="DL1117" s="49"/>
      <c r="DM1117" s="49"/>
      <c r="DN1117" s="49"/>
      <c r="DP1117" s="49"/>
      <c r="DQ1117" s="49"/>
      <c r="DR1117" s="49"/>
    </row>
    <row r="1118" spans="1:128" s="20" customFormat="1" ht="13.8">
      <c r="A1118" s="21" t="s">
        <v>250</v>
      </c>
      <c r="B1118" s="49"/>
      <c r="BH1118" s="391">
        <f>BH1114/BH1107</f>
        <v>15.154195158526548</v>
      </c>
      <c r="BI1118" s="391">
        <f>BI1114/BI1107</f>
        <v>16.281199696327743</v>
      </c>
      <c r="BJ1118" s="391">
        <f>BJ1114/BJ1107</f>
        <v>16.281199696327743</v>
      </c>
      <c r="BK1118" s="49"/>
      <c r="BL1118" s="391">
        <f>BL1114/BL1107</f>
        <v>16.799565012981017</v>
      </c>
      <c r="BM1118" s="391">
        <f>BM1114/BM1107</f>
        <v>17.534467478162831</v>
      </c>
      <c r="BN1118" s="391">
        <f>BN1114/BN1107</f>
        <v>17.534467478162831</v>
      </c>
      <c r="BO1118" s="49"/>
      <c r="BP1118" s="391">
        <f>BP1114/BP1107</f>
        <v>18.783937638726904</v>
      </c>
      <c r="BQ1118" s="391">
        <f>BQ1114/BQ1107</f>
        <v>19.72188540806961</v>
      </c>
      <c r="BR1118" s="391">
        <f>BR1114/BR1107</f>
        <v>19.72188540806961</v>
      </c>
      <c r="BT1118" s="391">
        <f>BT1114/BT1107</f>
        <v>19.318539501084171</v>
      </c>
      <c r="BU1118" s="391">
        <f>BU1114/BU1107</f>
        <v>19.750114762657066</v>
      </c>
      <c r="BV1118" s="391">
        <f>BV1114/BV1107</f>
        <v>19.750114762657066</v>
      </c>
      <c r="BX1118" s="391">
        <f>BX1114/BX1107</f>
        <v>19.683334993002468</v>
      </c>
      <c r="BY1118" s="391">
        <f>BY1114/BY1107</f>
        <v>20.071727500726013</v>
      </c>
      <c r="BZ1118" s="391">
        <f>BZ1114/BZ1107</f>
        <v>20.071727500726016</v>
      </c>
      <c r="CB1118" s="391">
        <f>CB1114/CB1107</f>
        <v>20.482558381230135</v>
      </c>
      <c r="CC1118" s="391">
        <f>CC1114/CC1107</f>
        <v>20.616170126750294</v>
      </c>
      <c r="CD1118" s="391">
        <f>CD1114/CD1107</f>
        <v>20.616170126750294</v>
      </c>
      <c r="CF1118" s="391">
        <f>CF1114/CF1107</f>
        <v>21.114469729092633</v>
      </c>
      <c r="CG1118" s="391">
        <f>CG1114/CG1107</f>
        <v>21.443351196431944</v>
      </c>
      <c r="CH1118" s="391">
        <f>CH1114/CH1107</f>
        <v>21.443351196431944</v>
      </c>
      <c r="CJ1118" s="391">
        <f>CJ1114/CJ1107</f>
        <v>21.636164058004407</v>
      </c>
      <c r="CK1118" s="391">
        <f>CK1114/CK1107</f>
        <v>21.577116764769634</v>
      </c>
      <c r="CL1118" s="391">
        <f>CL1114/CL1107</f>
        <v>21.577116764769634</v>
      </c>
      <c r="CN1118" s="391">
        <f>CN1114/CN1107</f>
        <v>21.987376885484515</v>
      </c>
      <c r="CO1118" s="391">
        <f>CO1114/CO1107</f>
        <v>22.547747402437523</v>
      </c>
      <c r="CP1118" s="391">
        <f>CP1114/CP1107</f>
        <v>22.547747402437526</v>
      </c>
      <c r="CR1118" s="391">
        <f>CR1114/CR1107</f>
        <v>22.099032875930273</v>
      </c>
      <c r="CS1118" s="391">
        <f>CS1114/CS1107</f>
        <v>22.043037043321579</v>
      </c>
      <c r="CT1118" s="391">
        <f>CT1114/CT1107</f>
        <v>22.043037043321579</v>
      </c>
      <c r="CV1118" s="391">
        <f>CV1114/CV1107</f>
        <v>22.992529721599617</v>
      </c>
      <c r="CW1118" s="391">
        <f>CW1114/CW1107</f>
        <v>23.120415177343965</v>
      </c>
      <c r="CX1118" s="391">
        <f>CX1114/CX1107</f>
        <v>23.120415177343965</v>
      </c>
      <c r="CZ1118" s="391">
        <f>CZ1114/CZ1107</f>
        <v>23.376808107212977</v>
      </c>
      <c r="DA1118" s="391">
        <f>DA1114/DA1107</f>
        <v>23.446539155290775</v>
      </c>
      <c r="DB1118" s="391">
        <f>DB1114/DB1107</f>
        <v>23.446539155290775</v>
      </c>
      <c r="DD1118" s="391">
        <f>DD1114/DD1107</f>
        <v>24.085558327160321</v>
      </c>
      <c r="DE1118" s="391">
        <f>DE1114/DE1107</f>
        <v>23.840294587851588</v>
      </c>
      <c r="DF1118" s="391">
        <f>DF1114/DF1107</f>
        <v>23.840294587851588</v>
      </c>
      <c r="DH1118" s="391">
        <f ca="1">DH1114/DH1107</f>
        <v>24.334853971285014</v>
      </c>
      <c r="DI1118" s="391">
        <f ca="1">DI1114/DI1107</f>
        <v>24.755489516364932</v>
      </c>
      <c r="DJ1118" s="391">
        <f ca="1">DJ1114/DJ1107</f>
        <v>24.755489516364925</v>
      </c>
      <c r="DL1118" s="391">
        <f ca="1">DL1114/DL1107</f>
        <v>25.211528654263926</v>
      </c>
      <c r="DM1118" s="391">
        <f ca="1">DM1114/DM1107</f>
        <v>25.568653920508105</v>
      </c>
      <c r="DN1118" s="391">
        <f ca="1">DN1114/DN1107</f>
        <v>25.568653920508108</v>
      </c>
      <c r="DP1118" s="391">
        <f ca="1">DP1114/DP1107</f>
        <v>25.968488481442595</v>
      </c>
      <c r="DQ1118" s="391">
        <f ca="1">DQ1114/DQ1107</f>
        <v>26.393238207067995</v>
      </c>
      <c r="DR1118" s="391">
        <f ca="1">DR1114/DR1107</f>
        <v>26.393238207067995</v>
      </c>
    </row>
    <row r="1119" spans="1:128" s="20" customFormat="1" ht="13.8">
      <c r="A1119" s="21" t="s">
        <v>635</v>
      </c>
      <c r="B1119" s="49"/>
      <c r="BH1119" s="392">
        <f>BH1116/BH1107</f>
        <v>12.551168105875051</v>
      </c>
      <c r="BI1119" s="392">
        <f>BI1116/BI1107</f>
        <v>13.478369482207297</v>
      </c>
      <c r="BJ1119" s="392">
        <f>BJ1116/BJ1107</f>
        <v>13.478369482207297</v>
      </c>
      <c r="BK1119" s="49"/>
      <c r="BL1119" s="392">
        <f>BL1116/BL1107</f>
        <v>13.895536084815166</v>
      </c>
      <c r="BM1119" s="392">
        <f>BM1116/BM1107</f>
        <v>14.650509011359736</v>
      </c>
      <c r="BN1119" s="392">
        <f>BN1116/BN1107</f>
        <v>14.650509011359736</v>
      </c>
      <c r="BO1119" s="49"/>
      <c r="BP1119" s="392">
        <f t="shared" ref="BP1119:BV1119" si="1601">BP1116/BP1107</f>
        <v>15.752824135703454</v>
      </c>
      <c r="BQ1119" s="392">
        <f t="shared" si="1601"/>
        <v>16.85835873397534</v>
      </c>
      <c r="BR1119" s="392">
        <f t="shared" si="1601"/>
        <v>16.85835873397534</v>
      </c>
      <c r="BS1119" s="392">
        <f t="shared" si="1601"/>
        <v>0</v>
      </c>
      <c r="BT1119" s="392">
        <f t="shared" si="1601"/>
        <v>16.718764433828639</v>
      </c>
      <c r="BU1119" s="392">
        <f t="shared" si="1601"/>
        <v>17.129427771424147</v>
      </c>
      <c r="BV1119" s="392">
        <f t="shared" si="1601"/>
        <v>17.129427771424147</v>
      </c>
      <c r="BX1119" s="392">
        <f>BX1116/BX1107</f>
        <v>17.281117317142101</v>
      </c>
      <c r="BY1119" s="392">
        <f>BY1116/BY1107</f>
        <v>17.698893146682352</v>
      </c>
      <c r="BZ1119" s="392">
        <f>BZ1116/BZ1107</f>
        <v>17.698893146682355</v>
      </c>
      <c r="CB1119" s="392">
        <f>CB1116/CB1107</f>
        <v>18.641080686633064</v>
      </c>
      <c r="CC1119" s="392">
        <f>CC1116/CC1107</f>
        <v>18.900562903536091</v>
      </c>
      <c r="CD1119" s="392">
        <f>CD1116/CD1107</f>
        <v>18.900562903536091</v>
      </c>
      <c r="CF1119" s="392">
        <f>CF1116/CF1107</f>
        <v>19.343665251888012</v>
      </c>
      <c r="CG1119" s="392">
        <f>CG1116/CG1107</f>
        <v>19.728461668671624</v>
      </c>
      <c r="CH1119" s="392">
        <f>CH1116/CH1107</f>
        <v>19.728461668671624</v>
      </c>
      <c r="CJ1119" s="392">
        <f>CJ1116/CJ1107</f>
        <v>19.888389055795816</v>
      </c>
      <c r="CK1119" s="392">
        <f>CK1116/CK1107</f>
        <v>20.035416333798526</v>
      </c>
      <c r="CL1119" s="392">
        <f>CL1116/CL1107</f>
        <v>20.035416333798526</v>
      </c>
      <c r="CN1119" s="392">
        <f>CN1116/CN1107</f>
        <v>20.5732349459776</v>
      </c>
      <c r="CO1119" s="392">
        <f>CO1116/CO1107</f>
        <v>21.087181781018337</v>
      </c>
      <c r="CP1119" s="392">
        <f>CP1116/CP1107</f>
        <v>21.087181781018341</v>
      </c>
      <c r="CR1119" s="392">
        <f>CR1116/CR1107</f>
        <v>20.643110066088752</v>
      </c>
      <c r="CS1119" s="392">
        <f>CS1116/CS1107</f>
        <v>20.746348457633296</v>
      </c>
      <c r="CT1119" s="392">
        <f>CT1116/CT1107</f>
        <v>20.746348457633296</v>
      </c>
      <c r="CV1119" s="392">
        <f>CV1116/CV1107</f>
        <v>21.648371550777842</v>
      </c>
      <c r="CW1119" s="392">
        <f>CW1116/CW1107</f>
        <v>21.770351938410776</v>
      </c>
      <c r="CX1119" s="392">
        <f>CX1116/CX1107</f>
        <v>21.770351938410776</v>
      </c>
      <c r="CZ1119" s="392">
        <f>CZ1116/CZ1107</f>
        <v>22.047469518577049</v>
      </c>
      <c r="DA1119" s="392">
        <f>DA1116/DA1107</f>
        <v>21.596847967796215</v>
      </c>
      <c r="DB1119" s="392">
        <f>DB1116/DB1107</f>
        <v>21.596847967796215</v>
      </c>
      <c r="DD1119" s="392">
        <f>DD1116/DD1107</f>
        <v>22.111718434628912</v>
      </c>
      <c r="DE1119" s="392">
        <f>DE1116/DE1107</f>
        <v>21.908013372311093</v>
      </c>
      <c r="DF1119" s="392">
        <f>DF1116/DF1107</f>
        <v>21.908013372311093</v>
      </c>
      <c r="DH1119" s="392">
        <f ca="1">DH1116/DH1107</f>
        <v>22.432956059456615</v>
      </c>
      <c r="DI1119" s="392">
        <f ca="1">DI1116/DI1107</f>
        <v>22.861131877507063</v>
      </c>
      <c r="DJ1119" s="392">
        <f ca="1">DJ1116/DJ1107</f>
        <v>22.861131877507056</v>
      </c>
      <c r="DL1119" s="392">
        <f ca="1">DL1116/DL1107</f>
        <v>23.329923183574731</v>
      </c>
      <c r="DM1119" s="392">
        <f ca="1">DM1116/DM1107</f>
        <v>23.683093895149316</v>
      </c>
      <c r="DN1119" s="392">
        <f ca="1">DN1116/DN1107</f>
        <v>23.68309389514932</v>
      </c>
      <c r="DP1119" s="392">
        <f ca="1">DP1116/DP1107</f>
        <v>24.085986821911149</v>
      </c>
      <c r="DQ1119" s="392">
        <f ca="1">DQ1116/DQ1107</f>
        <v>24.504291047101844</v>
      </c>
      <c r="DR1119" s="392">
        <f ca="1">DR1116/DR1107</f>
        <v>24.504291047101844</v>
      </c>
    </row>
    <row r="1120" spans="1:128" s="20" customFormat="1" ht="13.8">
      <c r="B1120" s="49" t="s">
        <v>1067</v>
      </c>
      <c r="BH1120" s="105">
        <v>12.56</v>
      </c>
      <c r="BI1120" s="105">
        <v>13.48</v>
      </c>
      <c r="BJ1120" s="49"/>
      <c r="BK1120" s="49"/>
      <c r="BL1120" s="427">
        <v>13.9</v>
      </c>
      <c r="BM1120" s="105">
        <v>14.65</v>
      </c>
      <c r="BN1120" s="49"/>
      <c r="BO1120" s="49"/>
      <c r="BP1120" s="427">
        <v>15.75</v>
      </c>
      <c r="BQ1120" s="105">
        <v>16.86</v>
      </c>
      <c r="BR1120" s="49"/>
      <c r="BS1120" s="427"/>
      <c r="BT1120" s="427">
        <v>16.72</v>
      </c>
      <c r="BU1120" s="105">
        <v>17.13</v>
      </c>
      <c r="BV1120" s="49"/>
      <c r="BW1120" s="105"/>
      <c r="BX1120" s="427">
        <v>17.239999999999998</v>
      </c>
      <c r="BY1120" s="105">
        <v>17.66</v>
      </c>
      <c r="BZ1120" s="49"/>
      <c r="CB1120" s="105">
        <v>18.27</v>
      </c>
      <c r="CC1120" s="105">
        <v>18.47</v>
      </c>
      <c r="CD1120" s="49"/>
      <c r="CF1120" s="105">
        <v>18.940000000000001</v>
      </c>
      <c r="CG1120" s="105">
        <v>19.59</v>
      </c>
      <c r="CH1120" s="49"/>
      <c r="CJ1120" s="105">
        <v>19.89</v>
      </c>
      <c r="CK1120" s="105">
        <v>20.04</v>
      </c>
      <c r="CL1120" s="49"/>
      <c r="CN1120" s="105">
        <v>20.57</v>
      </c>
      <c r="CO1120" s="105">
        <v>21.09</v>
      </c>
      <c r="CP1120" s="49"/>
      <c r="CR1120" s="105">
        <v>20.64</v>
      </c>
      <c r="CS1120" s="105">
        <v>20.75</v>
      </c>
      <c r="CT1120" s="49"/>
      <c r="CV1120" s="105">
        <v>21.65</v>
      </c>
      <c r="CW1120" s="105">
        <v>21.77</v>
      </c>
      <c r="CX1120" s="49"/>
      <c r="CZ1120" s="105">
        <v>22.05</v>
      </c>
      <c r="DA1120" s="427">
        <v>21.6</v>
      </c>
      <c r="DB1120" s="49"/>
      <c r="DD1120" s="105">
        <v>22.14</v>
      </c>
      <c r="DE1120" s="427">
        <v>21.91</v>
      </c>
      <c r="DF1120" s="49"/>
      <c r="DH1120" s="105"/>
      <c r="DI1120" s="105"/>
      <c r="DJ1120" s="105"/>
      <c r="DL1120" s="105"/>
      <c r="DM1120" s="105"/>
      <c r="DN1120" s="105"/>
      <c r="DP1120" s="105"/>
      <c r="DQ1120" s="105"/>
      <c r="DR1120" s="105"/>
    </row>
    <row r="1121" spans="1:128" s="20" customFormat="1" ht="13.8">
      <c r="B1121" s="49"/>
      <c r="BH1121" s="49"/>
      <c r="BI1121" s="49"/>
      <c r="BJ1121" s="49"/>
      <c r="BK1121" s="49"/>
      <c r="BL1121" s="49"/>
      <c r="BM1121" s="49"/>
      <c r="BN1121" s="49"/>
      <c r="BO1121" s="49"/>
      <c r="BP1121" s="49"/>
      <c r="BT1121" s="49"/>
      <c r="BX1121" s="49"/>
      <c r="CB1121" s="49"/>
      <c r="CF1121" s="49"/>
      <c r="CJ1121" s="49"/>
      <c r="CN1121" s="49"/>
      <c r="CR1121" s="49"/>
      <c r="CV1121" s="49"/>
      <c r="CZ1121" s="49"/>
      <c r="DD1121" s="49"/>
      <c r="DH1121" s="49"/>
      <c r="DL1121" s="49"/>
      <c r="DP1121" s="49"/>
    </row>
    <row r="1122" spans="1:128" s="318" customFormat="1" ht="13.8">
      <c r="A1122" s="316" t="s">
        <v>636</v>
      </c>
      <c r="B1122" s="317"/>
      <c r="BH1122" s="317"/>
      <c r="BI1122" s="317"/>
      <c r="BJ1122" s="317"/>
      <c r="BK1122" s="317"/>
      <c r="BL1122" s="317"/>
      <c r="BM1122" s="317"/>
      <c r="BN1122" s="317"/>
      <c r="BO1122" s="317"/>
      <c r="BP1122" s="317"/>
      <c r="BT1122" s="317"/>
      <c r="BX1122" s="317"/>
      <c r="CB1122" s="317"/>
      <c r="CF1122" s="317"/>
      <c r="CJ1122" s="317"/>
      <c r="CN1122" s="317"/>
      <c r="CR1122" s="317"/>
      <c r="CV1122" s="317"/>
      <c r="CZ1122" s="317"/>
      <c r="DD1122" s="317"/>
      <c r="DH1122" s="317"/>
      <c r="DL1122" s="317"/>
      <c r="DP1122" s="317"/>
      <c r="DT1122" s="742"/>
      <c r="DU1122" s="742"/>
      <c r="DV1122" s="742"/>
      <c r="DW1122" s="20"/>
      <c r="DX1122" s="20"/>
    </row>
    <row r="1123" spans="1:128" s="20" customFormat="1" ht="13.8">
      <c r="B1123" s="49"/>
      <c r="BH1123" s="49"/>
      <c r="BI1123" s="49"/>
      <c r="BJ1123" s="49"/>
      <c r="BK1123" s="49"/>
      <c r="BL1123" s="49"/>
      <c r="BM1123" s="49"/>
      <c r="BN1123" s="49"/>
      <c r="BO1123" s="49"/>
      <c r="BP1123" s="49"/>
      <c r="BT1123" s="49"/>
      <c r="BX1123" s="49"/>
      <c r="CB1123" s="49"/>
      <c r="CF1123" s="49"/>
      <c r="CJ1123" s="49"/>
      <c r="CN1123" s="49"/>
      <c r="CR1123" s="49"/>
      <c r="CV1123" s="49"/>
      <c r="CZ1123" s="49"/>
      <c r="DD1123" s="49"/>
      <c r="DH1123" s="49"/>
      <c r="DL1123" s="49"/>
      <c r="DP1123" s="49"/>
    </row>
    <row r="1124" spans="1:128" s="20" customFormat="1" ht="13.8">
      <c r="A1124" s="21" t="s">
        <v>497</v>
      </c>
      <c r="B1124" s="49"/>
      <c r="BH1124" s="49"/>
      <c r="BI1124" s="49"/>
      <c r="BJ1124" s="49"/>
      <c r="BK1124" s="49"/>
      <c r="BL1124" s="49"/>
      <c r="BM1124" s="49"/>
      <c r="BN1124" s="49"/>
      <c r="BO1124" s="49"/>
      <c r="BP1124" s="49"/>
      <c r="BT1124" s="49"/>
      <c r="BX1124" s="49"/>
      <c r="CB1124" s="49"/>
      <c r="CF1124" s="49"/>
      <c r="CJ1124" s="49"/>
      <c r="CN1124" s="49"/>
      <c r="CR1124" s="49"/>
      <c r="CV1124" s="49"/>
      <c r="CZ1124" s="49"/>
      <c r="DD1124" s="49"/>
      <c r="DH1124" s="49"/>
      <c r="DL1124" s="49"/>
      <c r="DP1124" s="49"/>
    </row>
    <row r="1125" spans="1:128" s="20" customFormat="1" ht="13.8">
      <c r="A1125" s="20" t="s">
        <v>637</v>
      </c>
      <c r="B1125" s="49"/>
      <c r="BD1125" s="106">
        <v>66</v>
      </c>
      <c r="BE1125" s="106">
        <v>79</v>
      </c>
      <c r="BF1125" s="65">
        <f>+BE1125+BD1125</f>
        <v>145</v>
      </c>
      <c r="BH1125" s="106">
        <v>73</v>
      </c>
      <c r="BI1125" s="106">
        <v>91</v>
      </c>
      <c r="BJ1125" s="65">
        <f>+BI1125+BH1125</f>
        <v>164</v>
      </c>
      <c r="BK1125" s="75">
        <f>+BJ1125/BF1125-1</f>
        <v>0.13103448275862073</v>
      </c>
      <c r="BL1125" s="106">
        <v>83</v>
      </c>
      <c r="BM1125" s="106">
        <v>95</v>
      </c>
      <c r="BN1125" s="65">
        <f>+BM1125+BL1125</f>
        <v>178</v>
      </c>
      <c r="BO1125" s="75">
        <f>+BN1125/BJ1125-1</f>
        <v>8.5365853658536661E-2</v>
      </c>
      <c r="BP1125" s="106">
        <v>86</v>
      </c>
      <c r="BQ1125" s="106">
        <v>95</v>
      </c>
      <c r="BR1125" s="65">
        <f>+BQ1125+BP1125</f>
        <v>181</v>
      </c>
      <c r="BS1125" s="75">
        <f>+BR1125/BN1125-1</f>
        <v>1.6853932584269593E-2</v>
      </c>
      <c r="BT1125" s="106">
        <v>80</v>
      </c>
      <c r="BU1125" s="106">
        <v>80</v>
      </c>
      <c r="BV1125" s="65">
        <f>+BU1125+BT1125</f>
        <v>160</v>
      </c>
      <c r="BW1125" s="75">
        <f>+BV1125/BR1125-1</f>
        <v>-0.11602209944751385</v>
      </c>
      <c r="BX1125" s="106">
        <v>80</v>
      </c>
      <c r="BY1125" s="106">
        <v>80</v>
      </c>
      <c r="BZ1125" s="65">
        <f>+BY1125+BX1125</f>
        <v>160</v>
      </c>
      <c r="CA1125" s="75">
        <f>+BZ1125/BV1125-1</f>
        <v>0</v>
      </c>
      <c r="CB1125" s="106">
        <v>80</v>
      </c>
      <c r="CC1125" s="106">
        <v>80</v>
      </c>
      <c r="CD1125" s="65">
        <f>+CC1125+CB1125</f>
        <v>160</v>
      </c>
      <c r="CE1125" s="75">
        <f>+CD1125/BZ1125-1</f>
        <v>0</v>
      </c>
      <c r="CF1125" s="106">
        <v>80</v>
      </c>
      <c r="CG1125" s="106">
        <v>80</v>
      </c>
      <c r="CH1125" s="65">
        <f>+CG1125+CF1125</f>
        <v>160</v>
      </c>
      <c r="CI1125" s="75">
        <f>+CH1125/CD1125-1</f>
        <v>0</v>
      </c>
      <c r="CJ1125" s="106">
        <v>25</v>
      </c>
      <c r="CK1125" s="106">
        <v>35</v>
      </c>
      <c r="CL1125" s="65">
        <f>+CK1125+CJ1125</f>
        <v>60</v>
      </c>
      <c r="CM1125" s="75">
        <f>+CL1125/CH1125-1</f>
        <v>-0.625</v>
      </c>
      <c r="CN1125" s="106">
        <v>70</v>
      </c>
      <c r="CO1125" s="106">
        <v>72</v>
      </c>
      <c r="CP1125" s="65">
        <f>+CO1125+CN1125</f>
        <v>142</v>
      </c>
      <c r="CQ1125" s="75">
        <f>+CP1125/CL1125-1</f>
        <v>1.3666666666666667</v>
      </c>
      <c r="CR1125" s="106">
        <v>72</v>
      </c>
      <c r="CS1125" s="106">
        <v>74</v>
      </c>
      <c r="CT1125" s="65">
        <f>+CS1125+CR1125</f>
        <v>146</v>
      </c>
      <c r="CU1125" s="75">
        <f>+CT1125/CP1125-1</f>
        <v>2.8169014084507005E-2</v>
      </c>
      <c r="CV1125" s="106">
        <v>81</v>
      </c>
      <c r="CW1125" s="106">
        <v>81</v>
      </c>
      <c r="CX1125" s="65">
        <f>+CW1125+CV1125</f>
        <v>162</v>
      </c>
      <c r="CY1125" s="75">
        <f>+CX1125/CT1125-1</f>
        <v>0.1095890410958904</v>
      </c>
      <c r="CZ1125" s="106">
        <v>83</v>
      </c>
      <c r="DA1125" s="106">
        <v>83</v>
      </c>
      <c r="DB1125" s="65">
        <f>+DA1125+CZ1125</f>
        <v>166</v>
      </c>
      <c r="DC1125" s="75">
        <f>+DB1125/CX1125-1</f>
        <v>2.4691358024691468E-2</v>
      </c>
      <c r="DD1125" s="106">
        <v>83</v>
      </c>
      <c r="DE1125" s="106">
        <v>83</v>
      </c>
      <c r="DF1125" s="65">
        <f>+DE1125+DD1125</f>
        <v>166</v>
      </c>
      <c r="DG1125" s="75">
        <f>+DF1125/DB1125-1</f>
        <v>0</v>
      </c>
      <c r="DH1125" s="65">
        <f ca="1">ROUND(DH1132*100/DH1131,0)</f>
        <v>85</v>
      </c>
      <c r="DI1125" s="65">
        <f ca="1">ROUND(DI1132*100/DI1131,0)</f>
        <v>87</v>
      </c>
      <c r="DJ1125" s="65">
        <f ca="1">+DI1125+DH1125</f>
        <v>172</v>
      </c>
      <c r="DK1125" s="75">
        <f ca="1">+DJ1125/DF1125-1</f>
        <v>3.6144578313253017E-2</v>
      </c>
      <c r="DL1125" s="65">
        <f ca="1">ROUND(DL1132*100/DL1131,0)</f>
        <v>90</v>
      </c>
      <c r="DM1125" s="65">
        <f ca="1">ROUND(DM1132*100/DM1131,0)</f>
        <v>92</v>
      </c>
      <c r="DN1125" s="65">
        <f ca="1">+DM1125+DL1125</f>
        <v>182</v>
      </c>
      <c r="DO1125" s="75">
        <f ca="1">+DN1125/DJ1125-1</f>
        <v>5.8139534883721034E-2</v>
      </c>
      <c r="DP1125" s="65">
        <f ca="1">ROUND(DP1132*100/DP1131,0)</f>
        <v>94</v>
      </c>
      <c r="DQ1125" s="65">
        <f ca="1">ROUND(DQ1132*100/DQ1131,0)</f>
        <v>96</v>
      </c>
      <c r="DR1125" s="65">
        <f ca="1">+DQ1125+DP1125</f>
        <v>190</v>
      </c>
      <c r="DS1125" s="75">
        <f ca="1">+DR1125/DN1125-1</f>
        <v>4.3956043956044022E-2</v>
      </c>
      <c r="DT1125" s="75"/>
      <c r="DU1125" s="75"/>
      <c r="DV1125" s="75"/>
    </row>
    <row r="1126" spans="1:128" s="20" customFormat="1" ht="13.8">
      <c r="A1126" s="20" t="s">
        <v>638</v>
      </c>
      <c r="B1126" s="49"/>
      <c r="BD1126" s="106">
        <v>0</v>
      </c>
      <c r="BE1126" s="106">
        <v>0</v>
      </c>
      <c r="BF1126" s="65">
        <f>+BE1126+BD1126</f>
        <v>0</v>
      </c>
      <c r="BH1126" s="106">
        <v>0</v>
      </c>
      <c r="BI1126" s="106">
        <v>0</v>
      </c>
      <c r="BJ1126" s="65">
        <f>+BI1126+BH1126</f>
        <v>0</v>
      </c>
      <c r="BK1126" s="49"/>
      <c r="BL1126" s="106">
        <v>0</v>
      </c>
      <c r="BM1126" s="106">
        <v>0</v>
      </c>
      <c r="BN1126" s="65">
        <f>+BM1126+BL1126</f>
        <v>0</v>
      </c>
      <c r="BO1126" s="49"/>
      <c r="BP1126" s="106">
        <v>0</v>
      </c>
      <c r="BQ1126" s="106">
        <v>0</v>
      </c>
      <c r="BR1126" s="65">
        <f>+BQ1126+BP1126</f>
        <v>0</v>
      </c>
      <c r="BT1126" s="106">
        <v>0</v>
      </c>
      <c r="BU1126" s="106">
        <v>0</v>
      </c>
      <c r="BV1126" s="65">
        <f>+BU1126+BT1126</f>
        <v>0</v>
      </c>
      <c r="BX1126" s="106">
        <v>0</v>
      </c>
      <c r="BY1126" s="106">
        <v>0</v>
      </c>
      <c r="BZ1126" s="65">
        <f>+BY1126+BX1126</f>
        <v>0</v>
      </c>
      <c r="CB1126" s="106">
        <v>0</v>
      </c>
      <c r="CC1126" s="106">
        <v>0</v>
      </c>
      <c r="CD1126" s="65">
        <f>+CC1126+CB1126</f>
        <v>0</v>
      </c>
      <c r="CF1126" s="106">
        <v>0</v>
      </c>
      <c r="CG1126" s="106">
        <v>0</v>
      </c>
      <c r="CH1126" s="65">
        <f>+CG1126+CF1126</f>
        <v>0</v>
      </c>
      <c r="CJ1126" s="106">
        <v>0</v>
      </c>
      <c r="CK1126" s="106">
        <v>0</v>
      </c>
      <c r="CL1126" s="65">
        <f>+CK1126+CJ1126</f>
        <v>0</v>
      </c>
      <c r="CN1126" s="106">
        <v>0</v>
      </c>
      <c r="CO1126" s="106">
        <v>0</v>
      </c>
      <c r="CP1126" s="65">
        <f>+CO1126+CN1126</f>
        <v>0</v>
      </c>
      <c r="CR1126" s="106">
        <v>0</v>
      </c>
      <c r="CS1126" s="106">
        <v>0</v>
      </c>
      <c r="CT1126" s="65">
        <f>+CS1126+CR1126</f>
        <v>0</v>
      </c>
      <c r="CV1126" s="106">
        <v>0</v>
      </c>
      <c r="CW1126" s="106">
        <v>13</v>
      </c>
      <c r="CX1126" s="65">
        <f>+CW1126+CV1126</f>
        <v>13</v>
      </c>
      <c r="CZ1126" s="106">
        <v>0</v>
      </c>
      <c r="DA1126" s="106">
        <v>0</v>
      </c>
      <c r="DB1126" s="65">
        <f>+DA1126+CZ1126</f>
        <v>0</v>
      </c>
      <c r="DD1126" s="106">
        <v>0</v>
      </c>
      <c r="DE1126" s="106">
        <v>0</v>
      </c>
      <c r="DF1126" s="65">
        <f>+DE1126+DD1126</f>
        <v>0</v>
      </c>
      <c r="DH1126" s="65">
        <f ca="1">+DH1133*100/DH1132</f>
        <v>0</v>
      </c>
      <c r="DI1126" s="65">
        <f ca="1">+DI1133*100/DI1132</f>
        <v>0</v>
      </c>
      <c r="DJ1126" s="65">
        <f ca="1">+DI1126+DH1126</f>
        <v>0</v>
      </c>
      <c r="DL1126" s="65">
        <f ca="1">+DL1133*100/DL1132</f>
        <v>0</v>
      </c>
      <c r="DM1126" s="65">
        <f ca="1">+DM1133*100/DM1132</f>
        <v>0</v>
      </c>
      <c r="DN1126" s="65">
        <f ca="1">+DM1126+DL1126</f>
        <v>0</v>
      </c>
      <c r="DP1126" s="65">
        <f ca="1">+DP1133*100/DP1132</f>
        <v>0</v>
      </c>
      <c r="DQ1126" s="65">
        <f ca="1">+DQ1133*100/DQ1132</f>
        <v>0</v>
      </c>
      <c r="DR1126" s="65">
        <f ca="1">+DQ1126+DP1126</f>
        <v>0</v>
      </c>
    </row>
    <row r="1127" spans="1:128" s="21" customFormat="1" ht="13.8">
      <c r="A1127" s="21" t="s">
        <v>639</v>
      </c>
      <c r="B1127" s="27"/>
      <c r="BD1127" s="27">
        <f>SUM(BD1125:BD1126)</f>
        <v>66</v>
      </c>
      <c r="BE1127" s="27">
        <f>SUM(BE1125:BE1126)</f>
        <v>79</v>
      </c>
      <c r="BF1127" s="27">
        <f>SUM(BF1125:BF1126)</f>
        <v>145</v>
      </c>
      <c r="BH1127" s="27">
        <f>SUM(BH1125:BH1126)</f>
        <v>73</v>
      </c>
      <c r="BI1127" s="27">
        <f>SUM(BI1125:BI1126)</f>
        <v>91</v>
      </c>
      <c r="BJ1127" s="27">
        <f>SUM(BJ1125:BJ1126)</f>
        <v>164</v>
      </c>
      <c r="BK1127" s="27"/>
      <c r="BL1127" s="27">
        <f>SUM(BL1125:BL1126)</f>
        <v>83</v>
      </c>
      <c r="BM1127" s="27">
        <f>SUM(BM1125:BM1126)</f>
        <v>95</v>
      </c>
      <c r="BN1127" s="27">
        <f>SUM(BN1125:BN1126)</f>
        <v>178</v>
      </c>
      <c r="BO1127" s="27"/>
      <c r="BP1127" s="27">
        <f>SUM(BP1125:BP1126)</f>
        <v>86</v>
      </c>
      <c r="BQ1127" s="27">
        <f>SUM(BQ1125:BQ1126)</f>
        <v>95</v>
      </c>
      <c r="BR1127" s="27">
        <f>SUM(BR1125:BR1126)</f>
        <v>181</v>
      </c>
      <c r="BT1127" s="27">
        <f>SUM(BT1125:BT1126)</f>
        <v>80</v>
      </c>
      <c r="BU1127" s="27">
        <f>SUM(BU1125:BU1126)</f>
        <v>80</v>
      </c>
      <c r="BV1127" s="27">
        <f>SUM(BV1125:BV1126)</f>
        <v>160</v>
      </c>
      <c r="BX1127" s="27">
        <f>SUM(BX1125:BX1126)</f>
        <v>80</v>
      </c>
      <c r="BY1127" s="27">
        <f>SUM(BY1125:BY1126)</f>
        <v>80</v>
      </c>
      <c r="BZ1127" s="27">
        <f>SUM(BZ1125:BZ1126)</f>
        <v>160</v>
      </c>
      <c r="CB1127" s="27">
        <f>SUM(CB1125:CB1126)</f>
        <v>80</v>
      </c>
      <c r="CC1127" s="27">
        <f>SUM(CC1125:CC1126)</f>
        <v>80</v>
      </c>
      <c r="CD1127" s="27">
        <f>SUM(CD1125:CD1126)</f>
        <v>160</v>
      </c>
      <c r="CF1127" s="27">
        <f>SUM(CF1125:CF1126)</f>
        <v>80</v>
      </c>
      <c r="CG1127" s="27">
        <f>SUM(CG1125:CG1126)</f>
        <v>80</v>
      </c>
      <c r="CH1127" s="27">
        <f>SUM(CH1125:CH1126)</f>
        <v>160</v>
      </c>
      <c r="CJ1127" s="27">
        <f>SUM(CJ1125:CJ1126)</f>
        <v>25</v>
      </c>
      <c r="CK1127" s="27">
        <f>SUM(CK1125:CK1126)</f>
        <v>35</v>
      </c>
      <c r="CL1127" s="27">
        <f>SUM(CL1125:CL1126)</f>
        <v>60</v>
      </c>
      <c r="CN1127" s="27">
        <f>SUM(CN1125:CN1126)</f>
        <v>70</v>
      </c>
      <c r="CO1127" s="27">
        <f>SUM(CO1125:CO1126)</f>
        <v>72</v>
      </c>
      <c r="CP1127" s="27">
        <f>SUM(CP1125:CP1126)</f>
        <v>142</v>
      </c>
      <c r="CR1127" s="27">
        <f>SUM(CR1125:CR1126)</f>
        <v>72</v>
      </c>
      <c r="CS1127" s="27">
        <f>SUM(CS1125:CS1126)</f>
        <v>74</v>
      </c>
      <c r="CT1127" s="27">
        <f>SUM(CT1125:CT1126)</f>
        <v>146</v>
      </c>
      <c r="CV1127" s="27">
        <f>SUM(CV1125:CV1126)</f>
        <v>81</v>
      </c>
      <c r="CW1127" s="27">
        <f>SUM(CW1125:CW1126)</f>
        <v>94</v>
      </c>
      <c r="CX1127" s="27">
        <f>SUM(CX1125:CX1126)</f>
        <v>175</v>
      </c>
      <c r="CZ1127" s="27">
        <f>SUM(CZ1125:CZ1126)</f>
        <v>83</v>
      </c>
      <c r="DA1127" s="27">
        <f>SUM(DA1125:DA1126)</f>
        <v>83</v>
      </c>
      <c r="DB1127" s="27">
        <f>SUM(DB1125:DB1126)</f>
        <v>166</v>
      </c>
      <c r="DD1127" s="27">
        <f>SUM(DD1125:DD1126)</f>
        <v>83</v>
      </c>
      <c r="DE1127" s="27">
        <f>SUM(DE1125:DE1126)</f>
        <v>83</v>
      </c>
      <c r="DF1127" s="27">
        <f>SUM(DF1125:DF1126)</f>
        <v>166</v>
      </c>
      <c r="DG1127" s="567"/>
      <c r="DH1127" s="72">
        <f ca="1">SUM(DH1125:DH1126)</f>
        <v>85</v>
      </c>
      <c r="DI1127" s="72">
        <f ca="1">SUM(DI1125:DI1126)</f>
        <v>87</v>
      </c>
      <c r="DJ1127" s="72">
        <f ca="1">SUM(DJ1125:DJ1126)</f>
        <v>172</v>
      </c>
      <c r="DL1127" s="72">
        <f ca="1">SUM(DL1125:DL1126)</f>
        <v>90</v>
      </c>
      <c r="DM1127" s="72">
        <f ca="1">SUM(DM1125:DM1126)</f>
        <v>92</v>
      </c>
      <c r="DN1127" s="72">
        <f ca="1">SUM(DN1125:DN1126)</f>
        <v>182</v>
      </c>
      <c r="DP1127" s="72">
        <f ca="1">SUM(DP1125:DP1126)</f>
        <v>94</v>
      </c>
      <c r="DQ1127" s="72">
        <f ca="1">SUM(DQ1125:DQ1126)</f>
        <v>96</v>
      </c>
      <c r="DR1127" s="72">
        <f ca="1">SUM(DR1125:DR1126)</f>
        <v>190</v>
      </c>
      <c r="DW1127" s="20"/>
      <c r="DX1127" s="20"/>
    </row>
    <row r="1128" spans="1:128" s="78" customFormat="1" ht="13.8">
      <c r="A1128" s="78" t="s">
        <v>127</v>
      </c>
      <c r="B1128" s="95"/>
      <c r="BD1128" s="95"/>
      <c r="BE1128" s="95"/>
      <c r="BF1128" s="95"/>
      <c r="BH1128" s="75">
        <f>+BH1125/BD1125-1</f>
        <v>0.10606060606060597</v>
      </c>
      <c r="BI1128" s="75">
        <f>+BI1125/BE1125-1</f>
        <v>0.15189873417721511</v>
      </c>
      <c r="BJ1128" s="75">
        <f>+BJ1125/BF1125-1</f>
        <v>0.13103448275862073</v>
      </c>
      <c r="BK1128" s="95"/>
      <c r="BL1128" s="75">
        <f>+BL1125/BH1125-1</f>
        <v>0.13698630136986312</v>
      </c>
      <c r="BM1128" s="75">
        <f>+BM1125/BI1125-1</f>
        <v>4.3956043956044022E-2</v>
      </c>
      <c r="BN1128" s="75">
        <f>+BN1125/BJ1125-1</f>
        <v>8.5365853658536661E-2</v>
      </c>
      <c r="BO1128" s="95"/>
      <c r="BP1128" s="75">
        <f>+BP1125/BL1125-1</f>
        <v>3.6144578313253017E-2</v>
      </c>
      <c r="BQ1128" s="75">
        <f>+BQ1125/BM1125-1</f>
        <v>0</v>
      </c>
      <c r="BR1128" s="75">
        <f>+BR1125/BN1125-1</f>
        <v>1.6853932584269593E-2</v>
      </c>
      <c r="BT1128" s="75">
        <f>+BT1125/BP1125-1</f>
        <v>-6.9767441860465129E-2</v>
      </c>
      <c r="BU1128" s="75">
        <f>+BU1125/BQ1125-1</f>
        <v>-0.15789473684210531</v>
      </c>
      <c r="BV1128" s="75">
        <f>+BV1125/BR1125-1</f>
        <v>-0.11602209944751385</v>
      </c>
      <c r="BX1128" s="75">
        <f>+BX1125/BT1125-1</f>
        <v>0</v>
      </c>
      <c r="BY1128" s="75">
        <f>+BY1125/BU1125-1</f>
        <v>0</v>
      </c>
      <c r="BZ1128" s="75">
        <f>+BZ1125/BV1125-1</f>
        <v>0</v>
      </c>
      <c r="CB1128" s="75">
        <f>+CB1125/BX1125-1</f>
        <v>0</v>
      </c>
      <c r="CC1128" s="75">
        <f>+CC1125/BY1125-1</f>
        <v>0</v>
      </c>
      <c r="CD1128" s="75">
        <f>+CD1125/BZ1125-1</f>
        <v>0</v>
      </c>
      <c r="CF1128" s="75">
        <f>+CF1125/CB1125-1</f>
        <v>0</v>
      </c>
      <c r="CG1128" s="75">
        <f>+CG1125/CC1125-1</f>
        <v>0</v>
      </c>
      <c r="CH1128" s="75">
        <f>+CH1125/CD1125-1</f>
        <v>0</v>
      </c>
      <c r="CJ1128" s="75">
        <f>+CJ1125/CF1125-1</f>
        <v>-0.6875</v>
      </c>
      <c r="CK1128" s="75">
        <f>+CK1125/CG1125-1</f>
        <v>-0.5625</v>
      </c>
      <c r="CL1128" s="75">
        <f>+CL1125/CH1125-1</f>
        <v>-0.625</v>
      </c>
      <c r="CN1128" s="75">
        <f>+CN1125/CJ1125-1</f>
        <v>1.7999999999999998</v>
      </c>
      <c r="CO1128" s="75">
        <f>+CO1125/CK1125-1</f>
        <v>1.0571428571428569</v>
      </c>
      <c r="CP1128" s="75">
        <f>+CP1125/CL1125-1</f>
        <v>1.3666666666666667</v>
      </c>
      <c r="CR1128" s="75">
        <f>+CR1125/CN1125-1</f>
        <v>2.857142857142847E-2</v>
      </c>
      <c r="CS1128" s="75">
        <f>+CS1125/CO1125-1</f>
        <v>2.7777777777777679E-2</v>
      </c>
      <c r="CT1128" s="75">
        <f>+CT1125/CP1125-1</f>
        <v>2.8169014084507005E-2</v>
      </c>
      <c r="CV1128" s="75">
        <f>+CV1125/CR1125-1</f>
        <v>0.125</v>
      </c>
      <c r="CW1128" s="75">
        <f>+CW1125/CS1125-1</f>
        <v>9.4594594594594517E-2</v>
      </c>
      <c r="CX1128" s="75">
        <f>+CX1125/CT1125-1</f>
        <v>0.1095890410958904</v>
      </c>
      <c r="CZ1128" s="75">
        <f>+CZ1125/CV1125-1</f>
        <v>2.4691358024691468E-2</v>
      </c>
      <c r="DA1128" s="75">
        <f>+DA1125/CW1125-1</f>
        <v>2.4691358024691468E-2</v>
      </c>
      <c r="DB1128" s="75">
        <f>+DB1125/CX1125-1</f>
        <v>2.4691358024691468E-2</v>
      </c>
      <c r="DD1128" s="75">
        <f>+DD1125/CZ1125-1</f>
        <v>0</v>
      </c>
      <c r="DE1128" s="75">
        <f>+DE1125/DA1125-1</f>
        <v>0</v>
      </c>
      <c r="DF1128" s="75">
        <f>+DF1125/DB1125-1</f>
        <v>0</v>
      </c>
      <c r="DH1128" s="75">
        <f ca="1">+DH1125/DD1125-1</f>
        <v>2.4096385542168752E-2</v>
      </c>
      <c r="DI1128" s="75">
        <f ca="1">+DI1125/DE1125-1</f>
        <v>4.8192771084337283E-2</v>
      </c>
      <c r="DJ1128" s="75">
        <f ca="1">+DJ1125/DF1125-1</f>
        <v>3.6144578313253017E-2</v>
      </c>
      <c r="DL1128" s="75">
        <f ca="1">+DL1125/DH1125-1</f>
        <v>5.8823529411764719E-2</v>
      </c>
      <c r="DM1128" s="75">
        <f ca="1">+DM1125/DI1125-1</f>
        <v>5.7471264367816133E-2</v>
      </c>
      <c r="DN1128" s="75">
        <f ca="1">+DN1125/DJ1125-1</f>
        <v>5.8139534883721034E-2</v>
      </c>
      <c r="DP1128" s="75">
        <f ca="1">+DP1125/DL1125-1</f>
        <v>4.4444444444444509E-2</v>
      </c>
      <c r="DQ1128" s="75">
        <f ca="1">+DQ1125/DM1125-1</f>
        <v>4.3478260869565188E-2</v>
      </c>
      <c r="DR1128" s="75">
        <f ca="1">+DR1125/DN1125-1</f>
        <v>4.3956043956044022E-2</v>
      </c>
      <c r="DW1128" s="47"/>
      <c r="DX1128" s="47"/>
    </row>
    <row r="1129" spans="1:128" s="78" customFormat="1" ht="13.8">
      <c r="A1129" s="47" t="s">
        <v>830</v>
      </c>
      <c r="B1129" s="95"/>
      <c r="BD1129" s="436">
        <f>+BD1127/BF1127</f>
        <v>0.45517241379310347</v>
      </c>
      <c r="BE1129" s="436">
        <f>+BE1127/BF1127</f>
        <v>0.54482758620689653</v>
      </c>
      <c r="BF1129" s="95"/>
      <c r="BH1129" s="436">
        <f>+BH1127/BJ1127</f>
        <v>0.4451219512195122</v>
      </c>
      <c r="BI1129" s="436">
        <f>+BI1127/BJ1127</f>
        <v>0.55487804878048785</v>
      </c>
      <c r="BJ1129" s="75"/>
      <c r="BK1129" s="95"/>
      <c r="BL1129" s="436">
        <f>+BL1127/BN1127</f>
        <v>0.46629213483146065</v>
      </c>
      <c r="BM1129" s="436">
        <f>+BM1127/BN1127</f>
        <v>0.5337078651685393</v>
      </c>
      <c r="BN1129" s="75"/>
      <c r="BO1129" s="95"/>
      <c r="BP1129" s="436">
        <f>+BP1127/BR1127</f>
        <v>0.47513812154696133</v>
      </c>
      <c r="BQ1129" s="436">
        <f>+BQ1127/BR1127</f>
        <v>0.52486187845303867</v>
      </c>
      <c r="BR1129" s="75"/>
      <c r="BT1129" s="436">
        <f>+BT1127/BV1127</f>
        <v>0.5</v>
      </c>
      <c r="BU1129" s="436">
        <f>+BU1127/BV1127</f>
        <v>0.5</v>
      </c>
      <c r="BV1129" s="75"/>
      <c r="BX1129" s="436">
        <f>+BX1127/BZ1127</f>
        <v>0.5</v>
      </c>
      <c r="BY1129" s="436">
        <f>+BY1127/BZ1127</f>
        <v>0.5</v>
      </c>
      <c r="BZ1129" s="75"/>
      <c r="CB1129" s="436">
        <f>+CB1127/CD1127</f>
        <v>0.5</v>
      </c>
      <c r="CC1129" s="436">
        <f>+CC1127/CD1127</f>
        <v>0.5</v>
      </c>
      <c r="CD1129" s="75"/>
      <c r="CF1129" s="436">
        <f>+CF1127/CH1127</f>
        <v>0.5</v>
      </c>
      <c r="CG1129" s="436">
        <f>+CG1127/CH1127</f>
        <v>0.5</v>
      </c>
      <c r="CH1129" s="75"/>
      <c r="CJ1129" s="436">
        <f>+CJ1127/CL1127</f>
        <v>0.41666666666666669</v>
      </c>
      <c r="CK1129" s="436">
        <f>+CK1127/CL1127</f>
        <v>0.58333333333333337</v>
      </c>
      <c r="CL1129" s="75"/>
      <c r="CN1129" s="436">
        <f>+CN1127/CP1127</f>
        <v>0.49295774647887325</v>
      </c>
      <c r="CO1129" s="436">
        <f>+CO1127/CP1127</f>
        <v>0.50704225352112675</v>
      </c>
      <c r="CP1129" s="75"/>
      <c r="CR1129" s="436">
        <f>+CR1127/CT1127</f>
        <v>0.49315068493150682</v>
      </c>
      <c r="CS1129" s="436">
        <f>+CS1127/CT1127</f>
        <v>0.50684931506849318</v>
      </c>
      <c r="CT1129" s="75"/>
      <c r="CV1129" s="436">
        <f>+CV1127/CX1127</f>
        <v>0.46285714285714286</v>
      </c>
      <c r="CW1129" s="436">
        <f>+CW1127/CX1127</f>
        <v>0.53714285714285714</v>
      </c>
      <c r="CX1129" s="75"/>
      <c r="CZ1129" s="436">
        <f>+CZ1127/DB1127</f>
        <v>0.5</v>
      </c>
      <c r="DA1129" s="436">
        <f>+DA1127/DB1127</f>
        <v>0.5</v>
      </c>
      <c r="DB1129" s="75"/>
      <c r="DD1129" s="436">
        <f>+DD1127/DF1127</f>
        <v>0.5</v>
      </c>
      <c r="DE1129" s="436">
        <f>+DE1127/DF1127</f>
        <v>0.5</v>
      </c>
      <c r="DF1129" s="75"/>
      <c r="DH1129" s="436">
        <f ca="1">+DH1127/DJ1127</f>
        <v>0.4941860465116279</v>
      </c>
      <c r="DI1129" s="436">
        <f ca="1">+DI1127/DJ1127</f>
        <v>0.5058139534883721</v>
      </c>
      <c r="DJ1129" s="383"/>
      <c r="DL1129" s="436">
        <f ca="1">+DL1127/DN1127</f>
        <v>0.49450549450549453</v>
      </c>
      <c r="DM1129" s="436">
        <f ca="1">+DM1127/DN1127</f>
        <v>0.50549450549450547</v>
      </c>
      <c r="DN1129" s="383"/>
      <c r="DP1129" s="436">
        <f ca="1">+DP1127/DR1127</f>
        <v>0.49473684210526314</v>
      </c>
      <c r="DQ1129" s="436">
        <f ca="1">+DQ1127/DR1127</f>
        <v>0.50526315789473686</v>
      </c>
      <c r="DR1129" s="383"/>
      <c r="DW1129" s="47"/>
      <c r="DX1129" s="47"/>
    </row>
    <row r="1130" spans="1:128" s="21" customFormat="1" ht="13.8">
      <c r="A1130" s="20" t="s">
        <v>640</v>
      </c>
      <c r="B1130" s="27"/>
      <c r="BD1130" s="69">
        <f>BD1238</f>
        <v>0</v>
      </c>
      <c r="BE1130" s="69">
        <f>BE1238</f>
        <v>0</v>
      </c>
      <c r="BF1130" s="69">
        <f>BF1238</f>
        <v>0</v>
      </c>
      <c r="BH1130" s="69">
        <f>BH1238</f>
        <v>115.98724876684091</v>
      </c>
      <c r="BI1130" s="69">
        <f>BI1238</f>
        <v>120.39783684692942</v>
      </c>
      <c r="BJ1130" s="69">
        <f>BJ1238</f>
        <v>236.38957422578159</v>
      </c>
      <c r="BK1130" s="27"/>
      <c r="BL1130" s="69">
        <f>BL1238</f>
        <v>127.72196480938416</v>
      </c>
      <c r="BM1130" s="69">
        <f>BM1238</f>
        <v>130.46983227975301</v>
      </c>
      <c r="BN1130" s="69">
        <f>BN1238</f>
        <v>258.21034697313519</v>
      </c>
      <c r="BO1130" s="27"/>
      <c r="BP1130" s="69">
        <f>BP1238</f>
        <v>132.58063636363636</v>
      </c>
      <c r="BQ1130" s="69">
        <f>BQ1238</f>
        <v>125.7576538833387</v>
      </c>
      <c r="BR1130" s="69">
        <f>BR1238</f>
        <v>258.28106733059104</v>
      </c>
      <c r="BT1130" s="69">
        <f>BT1238</f>
        <v>95.127255807541175</v>
      </c>
      <c r="BU1130" s="69">
        <f>BU1238</f>
        <v>105.86806910289877</v>
      </c>
      <c r="BV1130" s="69">
        <f>BV1238</f>
        <v>201.03492189112933</v>
      </c>
      <c r="BX1130" s="69">
        <f>BX1238</f>
        <v>113.84531586688101</v>
      </c>
      <c r="BY1130" s="69">
        <f>BY1238</f>
        <v>116.98461696026219</v>
      </c>
      <c r="BZ1130" s="69">
        <f>BZ1238</f>
        <v>230.83682681793329</v>
      </c>
      <c r="CB1130" s="69">
        <f>CB1238</f>
        <v>118.49159885112495</v>
      </c>
      <c r="CC1130" s="69">
        <f>CC1238</f>
        <v>103.05833738116716</v>
      </c>
      <c r="CD1130" s="69">
        <f>CD1238</f>
        <v>221.67026142665242</v>
      </c>
      <c r="CF1130" s="69">
        <f>CF1238</f>
        <v>123.76507403129267</v>
      </c>
      <c r="CG1130" s="69">
        <f>CG1238</f>
        <v>101.89950164351605</v>
      </c>
      <c r="CH1130" s="69">
        <f>CH1238</f>
        <v>225.7707080299673</v>
      </c>
      <c r="CJ1130" s="69">
        <f>CJ1238</f>
        <v>49.524387055747901</v>
      </c>
      <c r="CK1130" s="69">
        <f>CK1238</f>
        <v>82.172735942356596</v>
      </c>
      <c r="CL1130" s="69">
        <f>CL1238</f>
        <v>131.70058285350947</v>
      </c>
      <c r="CN1130" s="69">
        <f>CN1238</f>
        <v>104.49779828794871</v>
      </c>
      <c r="CO1130" s="69">
        <f>CO1238</f>
        <v>112.12855129650508</v>
      </c>
      <c r="CP1130" s="69">
        <f>CP1238</f>
        <v>216.62213062777425</v>
      </c>
      <c r="CR1130" s="69">
        <f>CR1238</f>
        <v>109.95860362445259</v>
      </c>
      <c r="CS1130" s="69">
        <f>CS1238</f>
        <v>118.8471615720524</v>
      </c>
      <c r="CT1130" s="69">
        <f>CT1238</f>
        <v>228.79719051799822</v>
      </c>
      <c r="CV1130" s="69">
        <f>CV1238</f>
        <v>127.88484018569855</v>
      </c>
      <c r="CW1130" s="69">
        <f>CW1238</f>
        <v>119.45870275314981</v>
      </c>
      <c r="CX1130" s="69">
        <f>CX1238</f>
        <v>247.33084211931134</v>
      </c>
      <c r="CZ1130" s="69">
        <f>CZ1238</f>
        <v>118.34871555659214</v>
      </c>
      <c r="DA1130" s="69">
        <f>DA1238</f>
        <v>105.9255549991654</v>
      </c>
      <c r="DB1130" s="69">
        <f>DB1238</f>
        <v>224.28628601921025</v>
      </c>
      <c r="DD1130" s="69">
        <f>DD1238</f>
        <v>120.05787543322452</v>
      </c>
      <c r="DE1130" s="69">
        <f>DE1238</f>
        <v>74.630881512124574</v>
      </c>
      <c r="DF1130" s="69">
        <f>DF1238</f>
        <v>194.67805961111486</v>
      </c>
      <c r="DH1130" s="69">
        <f ca="1">DH1238</f>
        <v>123.81251788781024</v>
      </c>
      <c r="DI1130" s="69">
        <f ca="1">DI1238</f>
        <v>127.53141029010044</v>
      </c>
      <c r="DJ1130" s="69">
        <f ca="1">DJ1238</f>
        <v>251.350527440484</v>
      </c>
      <c r="DL1130" s="69">
        <f ca="1">DL1238</f>
        <v>132.63453164788251</v>
      </c>
      <c r="DM1130" s="69">
        <f ca="1">DM1238</f>
        <v>133.33777037700403</v>
      </c>
      <c r="DN1130" s="69">
        <f ca="1">DN1238</f>
        <v>265.97167299810718</v>
      </c>
      <c r="DP1130" s="69">
        <f ca="1">DP1238</f>
        <v>139.40345718289035</v>
      </c>
      <c r="DQ1130" s="69">
        <f ca="1">DQ1238</f>
        <v>145.1822225312423</v>
      </c>
      <c r="DR1130" s="69">
        <f ca="1">DR1238</f>
        <v>284.57542687658724</v>
      </c>
      <c r="DW1130" s="20"/>
      <c r="DX1130" s="20"/>
    </row>
    <row r="1131" spans="1:128" s="20" customFormat="1" ht="13.8">
      <c r="A1131" s="20" t="s">
        <v>300</v>
      </c>
      <c r="B1131" s="49"/>
      <c r="BD1131" s="69">
        <f>+BD1107</f>
        <v>2679.5</v>
      </c>
      <c r="BE1131" s="69">
        <f>+BE1107</f>
        <v>2717.356961</v>
      </c>
      <c r="BF1131" s="65">
        <f>BE1131</f>
        <v>2717.356961</v>
      </c>
      <c r="BH1131" s="69">
        <f>+BH1107</f>
        <v>2743.7286880000001</v>
      </c>
      <c r="BI1131" s="69">
        <f>+BI1107</f>
        <v>2743.6553100000001</v>
      </c>
      <c r="BJ1131" s="65">
        <f>BI1131</f>
        <v>2743.6553100000001</v>
      </c>
      <c r="BK1131" s="49"/>
      <c r="BL1131" s="69">
        <f>+BL1107</f>
        <v>2744.1186699999998</v>
      </c>
      <c r="BM1131" s="69">
        <f>+BM1107</f>
        <v>2756.6277709999999</v>
      </c>
      <c r="BN1131" s="65">
        <f>BM1131</f>
        <v>2756.6277709999999</v>
      </c>
      <c r="BO1131" s="49"/>
      <c r="BP1131" s="69">
        <f>+BP1107</f>
        <v>2765.9802220000001</v>
      </c>
      <c r="BQ1131" s="69">
        <f>+BQ1107</f>
        <v>2902.7143609999998</v>
      </c>
      <c r="BR1131" s="65">
        <f>BQ1131</f>
        <v>2902.7143609999998</v>
      </c>
      <c r="BT1131" s="69">
        <f>+BT1107</f>
        <v>2917.5600979999999</v>
      </c>
      <c r="BU1131" s="69">
        <f>+BU1107</f>
        <v>2927.4766599999998</v>
      </c>
      <c r="BV1131" s="65">
        <f>BU1131</f>
        <v>2927.4766599999998</v>
      </c>
      <c r="BX1131" s="69">
        <f>+BX1107</f>
        <v>2936.0370090000001</v>
      </c>
      <c r="BY1131" s="69">
        <f>+BY1107</f>
        <v>2937.4153270000002</v>
      </c>
      <c r="BZ1131" s="65">
        <f>BY1131</f>
        <v>2937.4153270000002</v>
      </c>
      <c r="CB1131" s="69">
        <f>+CB1107</f>
        <v>2898.7589779999998</v>
      </c>
      <c r="CC1131" s="69">
        <f>+CC1107</f>
        <v>2873.6181179999999</v>
      </c>
      <c r="CD1131" s="65">
        <f>CC1131</f>
        <v>2873.6181179999999</v>
      </c>
      <c r="CF1131" s="69">
        <f>+CF1107</f>
        <v>2833.1755790000002</v>
      </c>
      <c r="CG1131" s="69">
        <f>+CG1107</f>
        <v>2834.5849229999999</v>
      </c>
      <c r="CH1131" s="65">
        <f>CG1131</f>
        <v>2834.5849229999999</v>
      </c>
      <c r="CJ1131" s="69">
        <f>+CJ1107</f>
        <v>2836.1774220000002</v>
      </c>
      <c r="CK1131" s="69">
        <f>+CK1107</f>
        <v>2840.3702250000001</v>
      </c>
      <c r="CL1131" s="65">
        <f>CK1131</f>
        <v>2840.3702250000001</v>
      </c>
      <c r="CN1131" s="69">
        <f>+CN1107</f>
        <v>2845.5418</v>
      </c>
      <c r="CO1131" s="69">
        <f>+CO1107</f>
        <v>2823.5636519999998</v>
      </c>
      <c r="CP1131" s="65">
        <f>CO1131</f>
        <v>2823.5636519999998</v>
      </c>
      <c r="CR1131" s="69">
        <f>+CR1107</f>
        <v>2794.1041740000001</v>
      </c>
      <c r="CS1131" s="69">
        <f>+CS1107</f>
        <v>2989.9237509999998</v>
      </c>
      <c r="CT1131" s="65">
        <f>CS1131</f>
        <v>2989.9237509999998</v>
      </c>
      <c r="CV1131" s="69">
        <f>+CV1107</f>
        <v>3003.3667820000001</v>
      </c>
      <c r="CW1131" s="69">
        <f>+CW1107</f>
        <v>3005.7851239669421</v>
      </c>
      <c r="CX1131" s="65">
        <f>CW1131</f>
        <v>3005.7851239669421</v>
      </c>
      <c r="CZ1131" s="69">
        <f>+CZ1107</f>
        <v>3007.5106780000001</v>
      </c>
      <c r="DA1131" s="69">
        <f>+DA1107</f>
        <v>2979.41626</v>
      </c>
      <c r="DB1131" s="65">
        <f>DA1131</f>
        <v>2979.41626</v>
      </c>
      <c r="DD1131" s="69">
        <f>+DD1107</f>
        <v>2971.3656219999998</v>
      </c>
      <c r="DE1131" s="69">
        <f>+DE1107</f>
        <v>2983.52018</v>
      </c>
      <c r="DF1131" s="65">
        <f>DE1131</f>
        <v>2983.52018</v>
      </c>
      <c r="DH1131" s="69">
        <f>+DH1107</f>
        <v>3004.0993669702411</v>
      </c>
      <c r="DI1131" s="69">
        <f ca="1">+DI1107</f>
        <v>3004.8083014347289</v>
      </c>
      <c r="DJ1131" s="65">
        <f ca="1">DI1131</f>
        <v>3004.8083014347289</v>
      </c>
      <c r="DL1131" s="69">
        <f ca="1">+DL1107</f>
        <v>3005.4873860270282</v>
      </c>
      <c r="DM1131" s="69">
        <f ca="1">+DM1107</f>
        <v>2994.065837646991</v>
      </c>
      <c r="DN1131" s="65">
        <f ca="1">DM1131</f>
        <v>2994.065837646991</v>
      </c>
      <c r="DP1131" s="69">
        <f ca="1">+DP1107</f>
        <v>2983.9275282420072</v>
      </c>
      <c r="DQ1131" s="69">
        <f ca="1">+DQ1107</f>
        <v>2972.8907807166183</v>
      </c>
      <c r="DR1131" s="65">
        <f ca="1">DQ1131</f>
        <v>2972.8907807166183</v>
      </c>
    </row>
    <row r="1132" spans="1:128" s="20" customFormat="1" ht="13.8">
      <c r="A1132" s="20" t="s">
        <v>641</v>
      </c>
      <c r="B1132" s="49"/>
      <c r="BD1132" s="65">
        <f>+BD1125*BD1131/100</f>
        <v>1768.47</v>
      </c>
      <c r="BE1132" s="65">
        <f>+BE1125*BE1131/100</f>
        <v>2146.7119991899999</v>
      </c>
      <c r="BF1132" s="65">
        <f>+BE1132+BD1132</f>
        <v>3915.1819991900002</v>
      </c>
      <c r="BH1132" s="65">
        <f>+BH1125*BH1131/100</f>
        <v>2002.9219422400001</v>
      </c>
      <c r="BI1132" s="65">
        <f>+BI1125*BI1131/100</f>
        <v>2496.7263321</v>
      </c>
      <c r="BJ1132" s="65">
        <f>+BI1132+BH1132</f>
        <v>4499.6482743400002</v>
      </c>
      <c r="BK1132" s="49"/>
      <c r="BL1132" s="65">
        <f>+BL1125*BL1131/100</f>
        <v>2277.6184960999999</v>
      </c>
      <c r="BM1132" s="65">
        <f>+BM1125*BM1131/100</f>
        <v>2618.7963824499998</v>
      </c>
      <c r="BN1132" s="65">
        <f>+BM1132+BL1132</f>
        <v>4896.4148785500001</v>
      </c>
      <c r="BO1132" s="49"/>
      <c r="BP1132" s="65">
        <f>+BP1125*BP1131/100</f>
        <v>2378.74299092</v>
      </c>
      <c r="BQ1132" s="65">
        <f>+BQ1125*BQ1131/100</f>
        <v>2757.5786429499999</v>
      </c>
      <c r="BR1132" s="65">
        <f>+BQ1132+BP1132</f>
        <v>5136.3216338700004</v>
      </c>
      <c r="BT1132" s="65">
        <f>+BT1125*BT1131/100</f>
        <v>2334.0480784000001</v>
      </c>
      <c r="BU1132" s="65">
        <f>+BU1125*BU1131/100</f>
        <v>2341.9813279999998</v>
      </c>
      <c r="BV1132" s="65">
        <f>+BU1132+BT1132</f>
        <v>4676.0294064</v>
      </c>
      <c r="BX1132" s="65">
        <f>+BX1125*BX1131/100</f>
        <v>2348.8296071999998</v>
      </c>
      <c r="BY1132" s="65">
        <f>+BY1125*BY1131/100</f>
        <v>2349.9322616000004</v>
      </c>
      <c r="BZ1132" s="65">
        <f>+BY1132+BX1132</f>
        <v>4698.7618688000002</v>
      </c>
      <c r="CB1132" s="65">
        <f>+CB1125*CB1131/100</f>
        <v>2319.0071823999997</v>
      </c>
      <c r="CC1132" s="65">
        <f>+CC1125*CC1131/100</f>
        <v>2298.8944944</v>
      </c>
      <c r="CD1132" s="65">
        <f>+CC1132+CB1132</f>
        <v>4617.9016768000001</v>
      </c>
      <c r="CF1132" s="65">
        <f>+CF1125*CF1131/100</f>
        <v>2266.5404632000004</v>
      </c>
      <c r="CG1132" s="65">
        <f>+CG1125*CG1131/100</f>
        <v>2267.6679383999999</v>
      </c>
      <c r="CH1132" s="65">
        <f>+CG1132+CF1132</f>
        <v>4534.2084016000008</v>
      </c>
      <c r="CJ1132" s="65">
        <f>+CJ1125*CJ1131/100</f>
        <v>709.04435550000005</v>
      </c>
      <c r="CK1132" s="65">
        <f>+CK1125*CK1131/100</f>
        <v>994.12957875000006</v>
      </c>
      <c r="CL1132" s="65">
        <f>+CK1132+CJ1132</f>
        <v>1703.17393425</v>
      </c>
      <c r="CN1132" s="65">
        <f>+CN1125*CN1131/100</f>
        <v>1991.8792600000002</v>
      </c>
      <c r="CO1132" s="65">
        <f>+CO1125*CO1131/100</f>
        <v>2032.9658294399999</v>
      </c>
      <c r="CP1132" s="65">
        <f>+CO1132+CN1132</f>
        <v>4024.8450894400003</v>
      </c>
      <c r="CR1132" s="65">
        <f>+CR1125*CR1131/100</f>
        <v>2011.75500528</v>
      </c>
      <c r="CS1132" s="65">
        <f>+CS1125*CS1131/100</f>
        <v>2212.5435757400001</v>
      </c>
      <c r="CT1132" s="65">
        <f>+CS1132+CR1132</f>
        <v>4224.2985810199998</v>
      </c>
      <c r="CV1132" s="65">
        <f>+CV1125*CV1131/100</f>
        <v>2432.7270934200001</v>
      </c>
      <c r="CW1132" s="65">
        <f>+CW1125*CW1131/100</f>
        <v>2434.6859504132231</v>
      </c>
      <c r="CX1132" s="65">
        <f>+CW1132+CV1132</f>
        <v>4867.4130438332231</v>
      </c>
      <c r="CZ1132" s="65">
        <f>+CZ1125*CZ1131/100</f>
        <v>2496.2338627400004</v>
      </c>
      <c r="DA1132" s="65">
        <f>+DA1125*DA1131/100</f>
        <v>2472.9154957999999</v>
      </c>
      <c r="DB1132" s="65">
        <f>+DA1132+CZ1132</f>
        <v>4969.1493585400003</v>
      </c>
      <c r="DD1132" s="65">
        <f>+DD1125*DD1131/100</f>
        <v>2466.2334662599997</v>
      </c>
      <c r="DE1132" s="65">
        <f>+DE1125*DE1131/100</f>
        <v>2476.3217494</v>
      </c>
      <c r="DF1132" s="65">
        <f>+DE1132+DD1132</f>
        <v>4942.5552156599997</v>
      </c>
      <c r="DH1132" s="65">
        <f ca="1">+DH1136*DH1135</f>
        <v>2554.0720081710892</v>
      </c>
      <c r="DI1132" s="65">
        <f ca="1">+DI1136*DI1135</f>
        <v>2601.8778222336255</v>
      </c>
      <c r="DJ1132" s="65">
        <f ca="1">+DI1132+DH1132</f>
        <v>5155.9498304047147</v>
      </c>
      <c r="DL1132" s="65">
        <f ca="1">+DL1136*DL1135</f>
        <v>2706.6160500193896</v>
      </c>
      <c r="DM1132" s="65">
        <f ca="1">+DM1136*DM1135</f>
        <v>2756.0461364308067</v>
      </c>
      <c r="DN1132" s="65">
        <f ca="1">+DM1132+DL1132</f>
        <v>5462.6621864501958</v>
      </c>
      <c r="DP1132" s="65">
        <f ca="1">+DP1136*DP1135</f>
        <v>2808.6526932812681</v>
      </c>
      <c r="DQ1132" s="65">
        <f ca="1">+DQ1136*DQ1135</f>
        <v>2849.9485732487551</v>
      </c>
      <c r="DR1132" s="65">
        <f ca="1">+DQ1132+DP1132</f>
        <v>5658.6012665300232</v>
      </c>
    </row>
    <row r="1133" spans="1:128" s="20" customFormat="1" ht="13.8">
      <c r="A1133" s="20" t="s">
        <v>642</v>
      </c>
      <c r="B1133" s="49"/>
      <c r="BD1133" s="65">
        <f>+BD1126*BD1131/100</f>
        <v>0</v>
      </c>
      <c r="BE1133" s="65">
        <f>+BE1126*BE1131/100</f>
        <v>0</v>
      </c>
      <c r="BF1133" s="65">
        <f>+BE1133+BD1133</f>
        <v>0</v>
      </c>
      <c r="BH1133" s="65">
        <f>+BH1126*BH1131/100</f>
        <v>0</v>
      </c>
      <c r="BI1133" s="65">
        <f>+BI1126*BI1131/100</f>
        <v>0</v>
      </c>
      <c r="BJ1133" s="65">
        <f>+BI1133+BH1133</f>
        <v>0</v>
      </c>
      <c r="BK1133" s="49"/>
      <c r="BL1133" s="65">
        <f>+BL1126*BL1131/100</f>
        <v>0</v>
      </c>
      <c r="BM1133" s="65">
        <f>+BM1126*BM1131/100</f>
        <v>0</v>
      </c>
      <c r="BN1133" s="65">
        <f>+BM1133+BL1133</f>
        <v>0</v>
      </c>
      <c r="BO1133" s="49"/>
      <c r="BP1133" s="65">
        <f>+BP1126*BP1131/100</f>
        <v>0</v>
      </c>
      <c r="BQ1133" s="65">
        <f>+BQ1126*BQ1131/100</f>
        <v>0</v>
      </c>
      <c r="BR1133" s="65">
        <f>+BQ1133+BP1133</f>
        <v>0</v>
      </c>
      <c r="BT1133" s="65">
        <f>+BT1126*BT1131/100</f>
        <v>0</v>
      </c>
      <c r="BU1133" s="65">
        <f>+BU1126*BU1131/100</f>
        <v>0</v>
      </c>
      <c r="BV1133" s="65">
        <f>+BU1133+BT1133</f>
        <v>0</v>
      </c>
      <c r="BX1133" s="65">
        <f>+BX1126*BX1131/100</f>
        <v>0</v>
      </c>
      <c r="BY1133" s="65">
        <f>+BY1126*BY1131/100</f>
        <v>0</v>
      </c>
      <c r="BZ1133" s="65">
        <f>+BY1133+BX1133</f>
        <v>0</v>
      </c>
      <c r="CB1133" s="65">
        <f>+CB1126*CB1131/100</f>
        <v>0</v>
      </c>
      <c r="CC1133" s="65">
        <f>+CC1126*CC1131/100</f>
        <v>0</v>
      </c>
      <c r="CD1133" s="65">
        <f>+CC1133+CB1133</f>
        <v>0</v>
      </c>
      <c r="CF1133" s="65">
        <f>+CF1126*CF1131/100</f>
        <v>0</v>
      </c>
      <c r="CG1133" s="65">
        <f>+CG1126*CG1131/100</f>
        <v>0</v>
      </c>
      <c r="CH1133" s="65">
        <f>+CG1133+CF1133</f>
        <v>0</v>
      </c>
      <c r="CJ1133" s="65">
        <f>+CJ1126*CJ1131/100</f>
        <v>0</v>
      </c>
      <c r="CK1133" s="65">
        <f>+CK1126*CK1131/100</f>
        <v>0</v>
      </c>
      <c r="CL1133" s="65">
        <f>+CK1133+CJ1133</f>
        <v>0</v>
      </c>
      <c r="CN1133" s="65">
        <f>+CN1126*CN1131/100</f>
        <v>0</v>
      </c>
      <c r="CO1133" s="65">
        <f>+CO1126*CO1131/100</f>
        <v>0</v>
      </c>
      <c r="CP1133" s="65">
        <f>+CO1133+CN1133</f>
        <v>0</v>
      </c>
      <c r="CR1133" s="65">
        <f>+CR1126*CR1131/100</f>
        <v>0</v>
      </c>
      <c r="CS1133" s="65">
        <f>+CS1126*CS1131/100</f>
        <v>0</v>
      </c>
      <c r="CT1133" s="65">
        <f>+CS1133+CR1133</f>
        <v>0</v>
      </c>
      <c r="CV1133" s="65">
        <f>+CV1126*CV1131/100</f>
        <v>0</v>
      </c>
      <c r="CW1133" s="65">
        <f>+CW1126*CW1131/100</f>
        <v>390.75206611570246</v>
      </c>
      <c r="CX1133" s="65">
        <f>+CW1133+CV1133</f>
        <v>390.75206611570246</v>
      </c>
      <c r="CZ1133" s="65">
        <f>+CZ1126*CZ1131/100</f>
        <v>0</v>
      </c>
      <c r="DA1133" s="65">
        <f>+DA1126*DA1131/100</f>
        <v>0</v>
      </c>
      <c r="DB1133" s="65">
        <f>+DA1133+CZ1133</f>
        <v>0</v>
      </c>
      <c r="DD1133" s="65">
        <f>+DD1126*DD1131/100</f>
        <v>0</v>
      </c>
      <c r="DE1133" s="65">
        <f>+DE1126*DE1131/100</f>
        <v>0</v>
      </c>
      <c r="DF1133" s="65">
        <f>+DE1133+DD1133</f>
        <v>0</v>
      </c>
      <c r="DH1133" s="65">
        <f ca="1">+DH1135*DH1137</f>
        <v>0</v>
      </c>
      <c r="DI1133" s="65">
        <f ca="1">+DI1135*DI1137</f>
        <v>0</v>
      </c>
      <c r="DJ1133" s="65">
        <f ca="1">+DI1133+DH1133</f>
        <v>0</v>
      </c>
      <c r="DL1133" s="65">
        <f ca="1">+DL1135*DL1137</f>
        <v>0</v>
      </c>
      <c r="DM1133" s="65">
        <f ca="1">+DM1135*DM1137</f>
        <v>0</v>
      </c>
      <c r="DN1133" s="65">
        <f ca="1">+DM1133+DL1133</f>
        <v>0</v>
      </c>
      <c r="DP1133" s="65">
        <f ca="1">+DP1135*DP1137</f>
        <v>0</v>
      </c>
      <c r="DQ1133" s="65">
        <f ca="1">+DQ1135*DQ1137</f>
        <v>0</v>
      </c>
      <c r="DR1133" s="65">
        <f ca="1">+DQ1133+DP1133</f>
        <v>0</v>
      </c>
    </row>
    <row r="1134" spans="1:128" s="21" customFormat="1" ht="13.8">
      <c r="A1134" s="21" t="s">
        <v>180</v>
      </c>
      <c r="B1134" s="27"/>
      <c r="BD1134" s="72">
        <f>SUM(BD1132:BD1133)</f>
        <v>1768.47</v>
      </c>
      <c r="BE1134" s="72">
        <f>SUM(BE1132:BE1133)</f>
        <v>2146.7119991899999</v>
      </c>
      <c r="BF1134" s="72">
        <f>SUM(BF1132:BF1133)</f>
        <v>3915.1819991900002</v>
      </c>
      <c r="BH1134" s="72">
        <f>SUM(BH1132:BH1133)</f>
        <v>2002.9219422400001</v>
      </c>
      <c r="BI1134" s="72">
        <f>SUM(BI1132:BI1133)</f>
        <v>2496.7263321</v>
      </c>
      <c r="BJ1134" s="72">
        <f>SUM(BJ1132:BJ1133)</f>
        <v>4499.6482743400002</v>
      </c>
      <c r="BK1134" s="27"/>
      <c r="BL1134" s="72">
        <f>SUM(BL1132:BL1133)</f>
        <v>2277.6184960999999</v>
      </c>
      <c r="BM1134" s="72">
        <f>SUM(BM1132:BM1133)</f>
        <v>2618.7963824499998</v>
      </c>
      <c r="BN1134" s="72">
        <f>SUM(BN1132:BN1133)</f>
        <v>4896.4148785500001</v>
      </c>
      <c r="BO1134" s="27"/>
      <c r="BP1134" s="72">
        <f>SUM(BP1132:BP1133)</f>
        <v>2378.74299092</v>
      </c>
      <c r="BQ1134" s="72">
        <f>SUM(BQ1132:BQ1133)</f>
        <v>2757.5786429499999</v>
      </c>
      <c r="BR1134" s="72">
        <f>SUM(BR1132:BR1133)</f>
        <v>5136.3216338700004</v>
      </c>
      <c r="BT1134" s="72">
        <f>SUM(BT1132:BT1133)</f>
        <v>2334.0480784000001</v>
      </c>
      <c r="BU1134" s="72">
        <f>SUM(BU1132:BU1133)</f>
        <v>2341.9813279999998</v>
      </c>
      <c r="BV1134" s="72">
        <f>SUM(BV1132:BV1133)</f>
        <v>4676.0294064</v>
      </c>
      <c r="BX1134" s="72">
        <f>SUM(BX1132:BX1133)</f>
        <v>2348.8296071999998</v>
      </c>
      <c r="BY1134" s="72">
        <f>SUM(BY1132:BY1133)</f>
        <v>2349.9322616000004</v>
      </c>
      <c r="BZ1134" s="72">
        <f>SUM(BZ1132:BZ1133)</f>
        <v>4698.7618688000002</v>
      </c>
      <c r="CB1134" s="72">
        <f>SUM(CB1132:CB1133)</f>
        <v>2319.0071823999997</v>
      </c>
      <c r="CC1134" s="72">
        <f>SUM(CC1132:CC1133)</f>
        <v>2298.8944944</v>
      </c>
      <c r="CD1134" s="72">
        <f>SUM(CD1132:CD1133)</f>
        <v>4617.9016768000001</v>
      </c>
      <c r="CF1134" s="72">
        <f>SUM(CF1132:CF1133)</f>
        <v>2266.5404632000004</v>
      </c>
      <c r="CG1134" s="72">
        <f>SUM(CG1132:CG1133)</f>
        <v>2267.6679383999999</v>
      </c>
      <c r="CH1134" s="72">
        <f>SUM(CH1132:CH1133)</f>
        <v>4534.2084016000008</v>
      </c>
      <c r="CJ1134" s="72">
        <f>SUM(CJ1132:CJ1133)</f>
        <v>709.04435550000005</v>
      </c>
      <c r="CK1134" s="72">
        <f>SUM(CK1132:CK1133)</f>
        <v>994.12957875000006</v>
      </c>
      <c r="CL1134" s="72">
        <f>SUM(CL1132:CL1133)</f>
        <v>1703.17393425</v>
      </c>
      <c r="CN1134" s="72">
        <f>SUM(CN1132:CN1133)</f>
        <v>1991.8792600000002</v>
      </c>
      <c r="CO1134" s="72">
        <f>SUM(CO1132:CO1133)</f>
        <v>2032.9658294399999</v>
      </c>
      <c r="CP1134" s="72">
        <f>SUM(CP1132:CP1133)</f>
        <v>4024.8450894400003</v>
      </c>
      <c r="CR1134" s="72">
        <f>SUM(CR1132:CR1133)</f>
        <v>2011.75500528</v>
      </c>
      <c r="CS1134" s="72">
        <f>SUM(CS1132:CS1133)</f>
        <v>2212.5435757400001</v>
      </c>
      <c r="CT1134" s="72">
        <f>SUM(CT1132:CT1133)</f>
        <v>4224.2985810199998</v>
      </c>
      <c r="CV1134" s="72">
        <f>SUM(CV1132:CV1133)</f>
        <v>2432.7270934200001</v>
      </c>
      <c r="CW1134" s="72">
        <f>SUM(CW1132:CW1133)</f>
        <v>2825.4380165289253</v>
      </c>
      <c r="CX1134" s="72">
        <f>SUM(CX1132:CX1133)</f>
        <v>5258.1651099489254</v>
      </c>
      <c r="CZ1134" s="72">
        <f>SUM(CZ1132:CZ1133)</f>
        <v>2496.2338627400004</v>
      </c>
      <c r="DA1134" s="72">
        <f>SUM(DA1132:DA1133)</f>
        <v>2472.9154957999999</v>
      </c>
      <c r="DB1134" s="72">
        <f>SUM(DB1132:DB1133)</f>
        <v>4969.1493585400003</v>
      </c>
      <c r="DD1134" s="72">
        <f>SUM(DD1132:DD1133)</f>
        <v>2466.2334662599997</v>
      </c>
      <c r="DE1134" s="72">
        <f>SUM(DE1132:DE1133)</f>
        <v>2476.3217494</v>
      </c>
      <c r="DF1134" s="72">
        <f>SUM(DF1132:DF1133)</f>
        <v>4942.5552156599997</v>
      </c>
      <c r="DH1134" s="72">
        <f ca="1">SUM(DH1132:DH1133)</f>
        <v>2554.0720081710892</v>
      </c>
      <c r="DI1134" s="72">
        <f ca="1">SUM(DI1132:DI1133)</f>
        <v>2601.8778222336255</v>
      </c>
      <c r="DJ1134" s="72">
        <f ca="1">SUM(DJ1132:DJ1133)</f>
        <v>5155.9498304047147</v>
      </c>
      <c r="DL1134" s="72">
        <f ca="1">SUM(DL1132:DL1133)</f>
        <v>2706.6160500193896</v>
      </c>
      <c r="DM1134" s="72">
        <f ca="1">SUM(DM1132:DM1133)</f>
        <v>2756.0461364308067</v>
      </c>
      <c r="DN1134" s="72">
        <f ca="1">SUM(DN1132:DN1133)</f>
        <v>5462.6621864501958</v>
      </c>
      <c r="DP1134" s="72">
        <f ca="1">SUM(DP1132:DP1133)</f>
        <v>2808.6526932812681</v>
      </c>
      <c r="DQ1134" s="72">
        <f ca="1">SUM(DQ1132:DQ1133)</f>
        <v>2849.9485732487551</v>
      </c>
      <c r="DR1134" s="72">
        <f ca="1">SUM(DR1132:DR1133)</f>
        <v>5658.6012665300232</v>
      </c>
      <c r="DW1134" s="20"/>
      <c r="DX1134" s="20"/>
    </row>
    <row r="1135" spans="1:128" s="21" customFormat="1" ht="13.8">
      <c r="A1135" s="21" t="s">
        <v>643</v>
      </c>
      <c r="B1135" s="27"/>
      <c r="BD1135" s="72">
        <f>BD39</f>
        <v>2896</v>
      </c>
      <c r="BE1135" s="72">
        <f>BE39</f>
        <v>2934</v>
      </c>
      <c r="BF1135" s="72">
        <f>BF39</f>
        <v>5830</v>
      </c>
      <c r="BH1135" s="72">
        <f>BH39</f>
        <v>3179</v>
      </c>
      <c r="BI1135" s="72">
        <f>BI39</f>
        <v>3313</v>
      </c>
      <c r="BJ1135" s="72">
        <f>BJ39</f>
        <v>6492</v>
      </c>
      <c r="BK1135" s="75">
        <f>+BJ1135/BF1135-1</f>
        <v>0.11355060034305309</v>
      </c>
      <c r="BL1135" s="72">
        <f>BL39</f>
        <v>3515</v>
      </c>
      <c r="BM1135" s="72">
        <f>BM39</f>
        <v>3602</v>
      </c>
      <c r="BN1135" s="72">
        <f>BN39</f>
        <v>7117</v>
      </c>
      <c r="BO1135" s="75">
        <f>+BN1135/BJ1135-1</f>
        <v>9.6272335181762259E-2</v>
      </c>
      <c r="BP1135" s="72">
        <f>BP39</f>
        <v>3676</v>
      </c>
      <c r="BQ1135" s="72">
        <f>BQ39</f>
        <v>3540</v>
      </c>
      <c r="BR1135" s="72">
        <f>BR39</f>
        <v>7216</v>
      </c>
      <c r="BS1135" s="75">
        <f>+BR1135/BN1135-1</f>
        <v>1.391035548686248E-2</v>
      </c>
      <c r="BT1135" s="72">
        <f>BT39</f>
        <v>2782</v>
      </c>
      <c r="BU1135" s="72">
        <f>BU39</f>
        <v>3107</v>
      </c>
      <c r="BV1135" s="72">
        <f>BV39</f>
        <v>5889</v>
      </c>
      <c r="BW1135" s="75">
        <f>+BV1135/BR1135-1</f>
        <v>-0.18389689578713964</v>
      </c>
      <c r="BX1135" s="72">
        <f>BX39</f>
        <v>3411</v>
      </c>
      <c r="BY1135" s="72">
        <f>BY39</f>
        <v>3527</v>
      </c>
      <c r="BZ1135" s="72">
        <f>BZ39</f>
        <v>6938</v>
      </c>
      <c r="CA1135" s="75">
        <f>+BZ1135/BV1135-1</f>
        <v>0.17812871455255563</v>
      </c>
      <c r="CB1135" s="72">
        <f ca="1">CB39</f>
        <v>2876</v>
      </c>
      <c r="CC1135" s="72">
        <f>CC39</f>
        <v>2929</v>
      </c>
      <c r="CD1135" s="72">
        <f ca="1">CD39</f>
        <v>5805</v>
      </c>
      <c r="CE1135" s="75">
        <f ca="1">+CD1135/BZ1135-1</f>
        <v>-0.16330354569040073</v>
      </c>
      <c r="CF1135" s="72">
        <f>CF39</f>
        <v>3514</v>
      </c>
      <c r="CG1135" s="72">
        <f>CG39</f>
        <v>2647</v>
      </c>
      <c r="CH1135" s="72">
        <f>CH39</f>
        <v>6161</v>
      </c>
      <c r="CI1135" s="75">
        <f ca="1">+CH1135/CD1135-1</f>
        <v>6.1326442721791663E-2</v>
      </c>
      <c r="CJ1135" s="72">
        <f>CJ39</f>
        <v>1323</v>
      </c>
      <c r="CK1135" s="72">
        <f>CK39</f>
        <v>2337</v>
      </c>
      <c r="CL1135" s="72">
        <f>CL39</f>
        <v>3660</v>
      </c>
      <c r="CM1135" s="75">
        <f>+CL1135/CH1135-1</f>
        <v>-0.40594059405940597</v>
      </c>
      <c r="CN1135" s="72">
        <f>CN39</f>
        <v>2982</v>
      </c>
      <c r="CO1135" s="72">
        <f>CO39</f>
        <v>3199</v>
      </c>
      <c r="CP1135" s="72">
        <f>CP39</f>
        <v>6181</v>
      </c>
      <c r="CQ1135" s="75">
        <f>+CP1135/CL1135-1</f>
        <v>0.68879781420765029</v>
      </c>
      <c r="CR1135" s="72">
        <f>CR39</f>
        <v>3108</v>
      </c>
      <c r="CS1135" s="72">
        <f>CS39</f>
        <v>3388</v>
      </c>
      <c r="CT1135" s="72">
        <f>CT39</f>
        <v>6496</v>
      </c>
      <c r="CU1135" s="75">
        <f>+CT1135/CP1135-1</f>
        <v>5.0962627406568428E-2</v>
      </c>
      <c r="CV1135" s="72">
        <f>CV39</f>
        <v>3829</v>
      </c>
      <c r="CW1135" s="72">
        <f>CW39</f>
        <v>3584</v>
      </c>
      <c r="CX1135" s="72">
        <f>CX39</f>
        <v>7413</v>
      </c>
      <c r="CY1135" s="75">
        <f>+CX1135/CT1135-1</f>
        <v>0.14116379310344818</v>
      </c>
      <c r="CZ1135" s="72">
        <f>CZ39</f>
        <v>3552</v>
      </c>
      <c r="DA1135" s="72">
        <f>DA39</f>
        <v>3173</v>
      </c>
      <c r="DB1135" s="72">
        <f>DB39</f>
        <v>6725</v>
      </c>
      <c r="DC1135" s="75">
        <f>+DB1135/CX1135-1</f>
        <v>-9.2809928503979511E-2</v>
      </c>
      <c r="DD1135" s="72">
        <f>DD39</f>
        <v>3568</v>
      </c>
      <c r="DE1135" s="72">
        <f>DE39</f>
        <v>2219</v>
      </c>
      <c r="DF1135" s="72">
        <f>DF39</f>
        <v>5787</v>
      </c>
      <c r="DG1135" s="75">
        <f>+DF1135/DB1135-1</f>
        <v>-0.13947955390334577</v>
      </c>
      <c r="DH1135" s="72">
        <f ca="1">DH39</f>
        <v>3701.5536350305647</v>
      </c>
      <c r="DI1135" s="72">
        <f ca="1">DI39</f>
        <v>3826.2909150494493</v>
      </c>
      <c r="DJ1135" s="72">
        <f ca="1">DJ39</f>
        <v>7527.8445500800126</v>
      </c>
      <c r="DK1135" s="75">
        <f ca="1">+DJ1135/DF1135-1</f>
        <v>0.30081986350095269</v>
      </c>
      <c r="DL1135" s="72">
        <f ca="1">DL39</f>
        <v>3980.3177206167493</v>
      </c>
      <c r="DM1135" s="72">
        <f ca="1">DM39</f>
        <v>3994.2697629431987</v>
      </c>
      <c r="DN1135" s="72">
        <f ca="1">DN39</f>
        <v>7974.5874835599489</v>
      </c>
      <c r="DO1135" s="75">
        <f ca="1">+DN1135/DJ1135-1</f>
        <v>5.9345398341838385E-2</v>
      </c>
      <c r="DP1135" s="72">
        <f ca="1">DP39</f>
        <v>4160.966953009286</v>
      </c>
      <c r="DQ1135" s="72">
        <f ca="1">DQ39</f>
        <v>4318.1038988617502</v>
      </c>
      <c r="DR1135" s="72">
        <f ca="1">DR39</f>
        <v>8479.0708518710398</v>
      </c>
      <c r="DS1135" s="75">
        <f ca="1">+DR1135/DN1135-1</f>
        <v>6.3261374880031251E-2</v>
      </c>
      <c r="DT1135" s="75"/>
      <c r="DU1135" s="75"/>
      <c r="DV1135" s="75"/>
      <c r="DW1135" s="20"/>
      <c r="DX1135" s="20"/>
    </row>
    <row r="1136" spans="1:128" s="93" customFormat="1" ht="13.8">
      <c r="A1136" s="325" t="s">
        <v>644</v>
      </c>
      <c r="B1136" s="94"/>
      <c r="BD1136" s="355"/>
      <c r="BE1136" s="355"/>
      <c r="BF1136" s="355"/>
      <c r="BH1136" s="355">
        <f>+BH1134/BH1135</f>
        <v>0.63004779560868207</v>
      </c>
      <c r="BI1136" s="355">
        <f>+BI1134/BI1135</f>
        <v>0.75361495083006336</v>
      </c>
      <c r="BJ1136" s="355">
        <f>+BJ1134/BJ1135</f>
        <v>0.69310663498767722</v>
      </c>
      <c r="BK1136" s="94"/>
      <c r="BL1136" s="355">
        <f>+BL1134/BL1135</f>
        <v>0.6479711226458037</v>
      </c>
      <c r="BM1136" s="355">
        <f>+BM1134/BM1135</f>
        <v>0.72703952872015543</v>
      </c>
      <c r="BN1136" s="355">
        <f>+BN1134/BN1135</f>
        <v>0.68798860173528176</v>
      </c>
      <c r="BO1136" s="94"/>
      <c r="BP1136" s="355">
        <f>+BP1134/BP1135</f>
        <v>0.64710092244831341</v>
      </c>
      <c r="BQ1136" s="355">
        <f>+BQ1134/BQ1135</f>
        <v>0.77897701778248585</v>
      </c>
      <c r="BR1136" s="355">
        <f>+BR1134/BR1135</f>
        <v>0.71179623529240577</v>
      </c>
      <c r="BT1136" s="355">
        <f>+BT1134/BT1135</f>
        <v>0.83898205549964056</v>
      </c>
      <c r="BU1136" s="355">
        <f>+BU1134/BU1135</f>
        <v>0.75377577341486957</v>
      </c>
      <c r="BV1136" s="355">
        <f>+BV1134/BV1135</f>
        <v>0.79402774773306162</v>
      </c>
      <c r="BX1136" s="355">
        <f>+BX1134/BX1135</f>
        <v>0.68860439964819697</v>
      </c>
      <c r="BY1136" s="355">
        <f>+BY1134/BY1135</f>
        <v>0.66626942489367746</v>
      </c>
      <c r="BZ1136" s="355">
        <f>+BZ1134/BZ1135</f>
        <v>0.67725019729028546</v>
      </c>
      <c r="CB1136" s="355">
        <f ca="1">+CB1134/CB1135</f>
        <v>0.80633073101529895</v>
      </c>
      <c r="CC1136" s="355">
        <f>+CC1134/CC1135</f>
        <v>0.78487350440423354</v>
      </c>
      <c r="CD1136" s="355">
        <f ca="1">+CD1134/CD1135</f>
        <v>0.79550416482342812</v>
      </c>
      <c r="CF1136" s="355">
        <f>+CF1134/CF1135</f>
        <v>0.64500297757541281</v>
      </c>
      <c r="CG1136" s="355">
        <f>+CG1134/CG1135</f>
        <v>0.85669359214204754</v>
      </c>
      <c r="CH1136" s="355">
        <f>+CH1134/CH1135</f>
        <v>0.73595331952605114</v>
      </c>
      <c r="CJ1136" s="355">
        <f>+CJ1134/CJ1135</f>
        <v>0.53593677664399098</v>
      </c>
      <c r="CK1136" s="355">
        <f>+CK1134/CK1135</f>
        <v>0.42538706835686779</v>
      </c>
      <c r="CL1136" s="355">
        <f>+CL1134/CL1135</f>
        <v>0.46534806946721313</v>
      </c>
      <c r="CN1136" s="355">
        <f>+CN1134/CN1135</f>
        <v>0.66796755868544611</v>
      </c>
      <c r="CO1136" s="355">
        <f>+CO1134/CO1135</f>
        <v>0.63550041557986869</v>
      </c>
      <c r="CP1136" s="355">
        <f>+CP1134/CP1135</f>
        <v>0.65116406559456408</v>
      </c>
      <c r="CR1136" s="355">
        <f>+CR1134/CR1135</f>
        <v>0.64728282023166017</v>
      </c>
      <c r="CS1136" s="355">
        <f>+CS1134/CS1135</f>
        <v>0.65305300346517126</v>
      </c>
      <c r="CT1136" s="355">
        <f>+CT1134/CT1135</f>
        <v>0.65029226924568961</v>
      </c>
      <c r="CV1136" s="355">
        <f>+CV1134/CV1135</f>
        <v>0.63534267260903632</v>
      </c>
      <c r="CW1136" s="355">
        <f>+CW1134/CW1135</f>
        <v>0.78834766086186536</v>
      </c>
      <c r="CX1136" s="355">
        <f>+CX1134/CX1135</f>
        <v>0.70931675569255703</v>
      </c>
      <c r="CZ1136" s="355">
        <f>+CZ1134/CZ1135</f>
        <v>0.70276854243806319</v>
      </c>
      <c r="DA1136" s="355">
        <f>+DA1134/DA1135</f>
        <v>0.77936195896627791</v>
      </c>
      <c r="DB1136" s="355">
        <f>+DB1134/DB1135</f>
        <v>0.73890696781263943</v>
      </c>
      <c r="DD1136" s="355">
        <f>+DD1134/DD1135</f>
        <v>0.69120893112668147</v>
      </c>
      <c r="DE1136" s="355">
        <f>+DE1134/DE1135</f>
        <v>1.1159629334835512</v>
      </c>
      <c r="DF1136" s="355">
        <f>+DF1134/DF1135</f>
        <v>0.85407900737169518</v>
      </c>
      <c r="DH1136" s="393">
        <v>0.69</v>
      </c>
      <c r="DI1136" s="393">
        <v>0.68</v>
      </c>
      <c r="DJ1136" s="355">
        <f ca="1">+DJ1134/DJ1135</f>
        <v>0.68491714940499304</v>
      </c>
      <c r="DL1136" s="393">
        <v>0.68</v>
      </c>
      <c r="DM1136" s="393">
        <v>0.69</v>
      </c>
      <c r="DN1136" s="355">
        <f ca="1">+DN1134/DN1135</f>
        <v>0.6850087478144512</v>
      </c>
      <c r="DP1136" s="393">
        <v>0.67500000000000004</v>
      </c>
      <c r="DQ1136" s="393">
        <v>0.66</v>
      </c>
      <c r="DR1136" s="355">
        <f ca="1">+DR1134/DR1135</f>
        <v>0.66736100751904481</v>
      </c>
      <c r="DW1136" s="20"/>
      <c r="DX1136" s="20"/>
    </row>
    <row r="1137" spans="1:128" s="93" customFormat="1" ht="13.8">
      <c r="A1137" s="325" t="s">
        <v>645</v>
      </c>
      <c r="B1137" s="94"/>
      <c r="BD1137" s="355"/>
      <c r="BE1137" s="355"/>
      <c r="BF1137" s="355"/>
      <c r="BH1137" s="355">
        <f>+BH1126/BH1130</f>
        <v>0</v>
      </c>
      <c r="BI1137" s="355">
        <f>+BI1126/BI1130</f>
        <v>0</v>
      </c>
      <c r="BJ1137" s="355">
        <f>+BJ1126/BJ1130</f>
        <v>0</v>
      </c>
      <c r="BK1137" s="94"/>
      <c r="BL1137" s="355">
        <f>+BL1126/BL1130</f>
        <v>0</v>
      </c>
      <c r="BM1137" s="355">
        <f>+BM1126/BM1130</f>
        <v>0</v>
      </c>
      <c r="BN1137" s="355">
        <f>+BN1126/BN1130</f>
        <v>0</v>
      </c>
      <c r="BO1137" s="94"/>
      <c r="BP1137" s="355">
        <f>+BP1126/BP1130</f>
        <v>0</v>
      </c>
      <c r="BQ1137" s="355">
        <f>+BQ1126/BQ1130</f>
        <v>0</v>
      </c>
      <c r="BR1137" s="355">
        <f>+BR1126/BR1130</f>
        <v>0</v>
      </c>
      <c r="BT1137" s="355">
        <f>+BT1126/BT1130</f>
        <v>0</v>
      </c>
      <c r="BU1137" s="355">
        <f>+BU1126/BU1130</f>
        <v>0</v>
      </c>
      <c r="BV1137" s="355">
        <f>+BV1126/BV1130</f>
        <v>0</v>
      </c>
      <c r="BX1137" s="355">
        <f>+BX1126/BX1130</f>
        <v>0</v>
      </c>
      <c r="BY1137" s="355">
        <f>+BY1126/BY1130</f>
        <v>0</v>
      </c>
      <c r="BZ1137" s="355">
        <f>+BZ1126/BZ1130</f>
        <v>0</v>
      </c>
      <c r="CB1137" s="355">
        <f>+CB1126/CB1130</f>
        <v>0</v>
      </c>
      <c r="CC1137" s="355">
        <f>+CC1126/CC1130</f>
        <v>0</v>
      </c>
      <c r="CD1137" s="355">
        <f>+CD1126/CD1130</f>
        <v>0</v>
      </c>
      <c r="CF1137" s="355">
        <f>+CF1126/CF1130</f>
        <v>0</v>
      </c>
      <c r="CG1137" s="355">
        <f>+CG1126/CG1130</f>
        <v>0</v>
      </c>
      <c r="CH1137" s="355">
        <f>+CH1126/CH1130</f>
        <v>0</v>
      </c>
      <c r="CJ1137" s="355">
        <f>+CJ1126/CJ1130</f>
        <v>0</v>
      </c>
      <c r="CK1137" s="355">
        <f>+CK1126/CK1130</f>
        <v>0</v>
      </c>
      <c r="CL1137" s="355">
        <f>+CL1126/CL1130</f>
        <v>0</v>
      </c>
      <c r="CN1137" s="355">
        <f>+CN1126/CN1130</f>
        <v>0</v>
      </c>
      <c r="CO1137" s="355">
        <f>+CO1126/CO1130</f>
        <v>0</v>
      </c>
      <c r="CP1137" s="355">
        <f>+CP1126/CP1130</f>
        <v>0</v>
      </c>
      <c r="CR1137" s="355">
        <f>+CR1126/CR1130</f>
        <v>0</v>
      </c>
      <c r="CS1137" s="355">
        <f>+CS1126/CS1130</f>
        <v>0</v>
      </c>
      <c r="CT1137" s="355">
        <f>+CT1126/CT1130</f>
        <v>0</v>
      </c>
      <c r="CV1137" s="355">
        <f>+CV1126/CV1130</f>
        <v>0</v>
      </c>
      <c r="CW1137" s="355">
        <f>+CW1126/CW1130</f>
        <v>0.10882421874999998</v>
      </c>
      <c r="CX1137" s="355">
        <f>+CX1126/CX1130</f>
        <v>5.2561176311884533E-2</v>
      </c>
      <c r="CZ1137" s="355">
        <f>+CZ1126/CZ1130</f>
        <v>0</v>
      </c>
      <c r="DA1137" s="355">
        <f>+DA1126/DA1130</f>
        <v>0</v>
      </c>
      <c r="DB1137" s="355">
        <f>+DB1126/DB1130</f>
        <v>0</v>
      </c>
      <c r="DD1137" s="355">
        <f>+DD1126/DD1130</f>
        <v>0</v>
      </c>
      <c r="DE1137" s="355">
        <f>+DE1126/DE1130</f>
        <v>0</v>
      </c>
      <c r="DF1137" s="355">
        <f>+DF1126/DF1130</f>
        <v>0</v>
      </c>
      <c r="DH1137" s="393">
        <v>0</v>
      </c>
      <c r="DI1137" s="393">
        <v>0</v>
      </c>
      <c r="DJ1137" s="355"/>
      <c r="DL1137" s="393">
        <v>0</v>
      </c>
      <c r="DM1137" s="393">
        <v>0</v>
      </c>
      <c r="DN1137" s="355"/>
      <c r="DP1137" s="393">
        <v>0</v>
      </c>
      <c r="DQ1137" s="393">
        <v>0</v>
      </c>
      <c r="DR1137" s="355"/>
      <c r="DW1137" s="20"/>
      <c r="DX1137" s="20"/>
    </row>
    <row r="1138" spans="1:128" s="21" customFormat="1" ht="13.8">
      <c r="A1138" s="21" t="s">
        <v>646</v>
      </c>
      <c r="B1138" s="27"/>
      <c r="BD1138" s="70"/>
      <c r="BE1138" s="70"/>
      <c r="BF1138" s="70"/>
      <c r="BH1138" s="70">
        <f>+BH1134/BH1135</f>
        <v>0.63004779560868207</v>
      </c>
      <c r="BI1138" s="70">
        <f>+BI1134/BI1135</f>
        <v>0.75361495083006336</v>
      </c>
      <c r="BJ1138" s="70">
        <f>+BJ1134/BJ1135</f>
        <v>0.69310663498767722</v>
      </c>
      <c r="BK1138" s="27"/>
      <c r="BL1138" s="70">
        <f>+BL1134/BL1135</f>
        <v>0.6479711226458037</v>
      </c>
      <c r="BM1138" s="70">
        <f>+BM1134/BM1135</f>
        <v>0.72703952872015543</v>
      </c>
      <c r="BN1138" s="70">
        <f>+BN1134/BN1135</f>
        <v>0.68798860173528176</v>
      </c>
      <c r="BO1138" s="27"/>
      <c r="BP1138" s="70">
        <f>+BP1134/BP1135</f>
        <v>0.64710092244831341</v>
      </c>
      <c r="BQ1138" s="70">
        <f>+BQ1134/BQ1135</f>
        <v>0.77897701778248585</v>
      </c>
      <c r="BR1138" s="70">
        <f>+BR1134/BR1135</f>
        <v>0.71179623529240577</v>
      </c>
      <c r="BT1138" s="70">
        <f>+BT1134/BT1135</f>
        <v>0.83898205549964056</v>
      </c>
      <c r="BU1138" s="70">
        <f>+BU1134/BU1135</f>
        <v>0.75377577341486957</v>
      </c>
      <c r="BV1138" s="70">
        <f>+BV1134/BV1135</f>
        <v>0.79402774773306162</v>
      </c>
      <c r="BX1138" s="70">
        <f>+BX1134/BX1135</f>
        <v>0.68860439964819697</v>
      </c>
      <c r="BY1138" s="70">
        <f>+BY1134/BY1135</f>
        <v>0.66626942489367746</v>
      </c>
      <c r="BZ1138" s="70">
        <f>+BZ1134/BZ1135</f>
        <v>0.67725019729028546</v>
      </c>
      <c r="CB1138" s="70">
        <f ca="1">+CB1134/CB1135</f>
        <v>0.80633073101529895</v>
      </c>
      <c r="CC1138" s="70">
        <f>+CC1134/CC1135</f>
        <v>0.78487350440423354</v>
      </c>
      <c r="CD1138" s="70">
        <f ca="1">+CD1134/CD1135</f>
        <v>0.79550416482342812</v>
      </c>
      <c r="CF1138" s="70">
        <f>+CF1134/CF1135</f>
        <v>0.64500297757541281</v>
      </c>
      <c r="CG1138" s="70">
        <f>+CG1134/CG1135</f>
        <v>0.85669359214204754</v>
      </c>
      <c r="CH1138" s="70">
        <f>+CH1134/CH1135</f>
        <v>0.73595331952605114</v>
      </c>
      <c r="CJ1138" s="70">
        <f>+CJ1134/CJ1135</f>
        <v>0.53593677664399098</v>
      </c>
      <c r="CK1138" s="70">
        <f>+CK1134/CK1135</f>
        <v>0.42538706835686779</v>
      </c>
      <c r="CL1138" s="70">
        <f>+CL1134/CL1135</f>
        <v>0.46534806946721313</v>
      </c>
      <c r="CN1138" s="70">
        <f>+CN1134/CN1135</f>
        <v>0.66796755868544611</v>
      </c>
      <c r="CO1138" s="70">
        <f>+CO1134/CO1135</f>
        <v>0.63550041557986869</v>
      </c>
      <c r="CP1138" s="70">
        <f>+CP1134/CP1135</f>
        <v>0.65116406559456408</v>
      </c>
      <c r="CR1138" s="70">
        <f>+CR1134/CR1135</f>
        <v>0.64728282023166017</v>
      </c>
      <c r="CS1138" s="70">
        <f>+CS1134/CS1135</f>
        <v>0.65305300346517126</v>
      </c>
      <c r="CT1138" s="70">
        <f>+CT1134/CT1135</f>
        <v>0.65029226924568961</v>
      </c>
      <c r="CV1138" s="70">
        <f>+CV1134/CV1135</f>
        <v>0.63534267260903632</v>
      </c>
      <c r="CW1138" s="70">
        <f>+CW1134/CW1135</f>
        <v>0.78834766086186536</v>
      </c>
      <c r="CX1138" s="70">
        <f>+CX1134/CX1135</f>
        <v>0.70931675569255703</v>
      </c>
      <c r="CZ1138" s="70">
        <f>+CZ1134/CZ1135</f>
        <v>0.70276854243806319</v>
      </c>
      <c r="DA1138" s="70">
        <f>+DA1134/DA1135</f>
        <v>0.77936195896627791</v>
      </c>
      <c r="DB1138" s="70">
        <f>+DB1134/DB1135</f>
        <v>0.73890696781263943</v>
      </c>
      <c r="DD1138" s="70">
        <f>+DD1134/DD1135</f>
        <v>0.69120893112668147</v>
      </c>
      <c r="DE1138" s="70">
        <f>+DE1134/DE1135</f>
        <v>1.1159629334835512</v>
      </c>
      <c r="DF1138" s="70">
        <f>+DF1134/DF1135</f>
        <v>0.85407900737169518</v>
      </c>
      <c r="DH1138" s="70">
        <f ca="1">+DH1134/DH1135</f>
        <v>0.69</v>
      </c>
      <c r="DI1138" s="70">
        <f ca="1">+DI1134/DI1135</f>
        <v>0.67999999999999994</v>
      </c>
      <c r="DJ1138" s="70">
        <f ca="1">+DJ1134/DJ1135</f>
        <v>0.68491714940499304</v>
      </c>
      <c r="DL1138" s="70">
        <f ca="1">+DL1134/DL1135</f>
        <v>0.68</v>
      </c>
      <c r="DM1138" s="70">
        <f ca="1">+DM1134/DM1135</f>
        <v>0.69</v>
      </c>
      <c r="DN1138" s="70">
        <f ca="1">+DN1134/DN1135</f>
        <v>0.6850087478144512</v>
      </c>
      <c r="DP1138" s="70">
        <f ca="1">+DP1134/DP1135</f>
        <v>0.67500000000000004</v>
      </c>
      <c r="DQ1138" s="70">
        <f ca="1">+DQ1134/DQ1135</f>
        <v>0.66</v>
      </c>
      <c r="DR1138" s="70">
        <f ca="1">+DR1134/DR1135</f>
        <v>0.66736100751904481</v>
      </c>
      <c r="DW1138" s="20"/>
      <c r="DX1138" s="20"/>
    </row>
    <row r="1139" spans="1:128" s="21" customFormat="1" ht="13.8">
      <c r="A1139" s="21" t="s">
        <v>886</v>
      </c>
      <c r="B1139" s="27"/>
      <c r="BD1139" s="70"/>
      <c r="BE1139" s="70"/>
      <c r="BF1139" s="70"/>
      <c r="BH1139" s="70">
        <f>(BH1134-BH1060-BH1063-BH1061-BH1062)/BH1135</f>
        <v>0.47968604663101611</v>
      </c>
      <c r="BI1139" s="70">
        <f>(BI1134-BI1060-BI1063-BI1061-BI1062)/BI1135</f>
        <v>0.7696125361002113</v>
      </c>
      <c r="BJ1139" s="70">
        <f>(BJ1134-BJ1060-BJ1063-BJ1061-BJ1062)/BJ1135</f>
        <v>0.62764144706407887</v>
      </c>
      <c r="BK1139" s="27"/>
      <c r="BL1139" s="70">
        <f>(BL1134-BL1060-BL1063-BL1061-BL1062)/BL1135</f>
        <v>0.68040355507823613</v>
      </c>
      <c r="BM1139" s="70">
        <f>(BM1134-BM1060-BM1063-BM1061-BM1062)/BM1135</f>
        <v>0.58822775748195444</v>
      </c>
      <c r="BN1139" s="70">
        <f>(BN1134-BN1060-BN1063-BN1061-BN1062)/BN1135</f>
        <v>0.6337522662006464</v>
      </c>
      <c r="BO1139" s="27"/>
      <c r="BP1139" s="70">
        <f>(BP1134-BP1060-BP1063-BP1061-BP1062)/BP1135</f>
        <v>0.60357535117519046</v>
      </c>
      <c r="BQ1139" s="70">
        <f>(BQ1134-BQ1060-BQ1063-BQ1061-BQ1062)/BQ1135</f>
        <v>0.53462673529661009</v>
      </c>
      <c r="BR1139" s="70">
        <f>(BR1134-BR1060-BR1063-BR1061-BR1062)/BR1135</f>
        <v>0.56975078074695129</v>
      </c>
      <c r="BS1139" s="27"/>
      <c r="BT1139" s="70">
        <f>(BT1134-BT1060-BT1063-BT1061-BT1062)/BT1135</f>
        <v>0.74624301883537025</v>
      </c>
      <c r="BU1139" s="70">
        <f>(BU1134-BU1060-BU1063-BU1061-BU1062)/BU1135</f>
        <v>0.70871623044737686</v>
      </c>
      <c r="BV1139" s="70">
        <f>(BV1134-BV1060-BV1063-BV1061-BV1062)/BV1135</f>
        <v>0.72644411723552382</v>
      </c>
      <c r="BW1139" s="27"/>
      <c r="BX1139" s="70">
        <f>(BX1134-BX1060-BX1063-BX1061-BX1062)/BX1135</f>
        <v>0.60915555766637342</v>
      </c>
      <c r="BY1139" s="70">
        <f>(BY1134-BY1060-BY1063-BY1061-BY1062)/BY1135</f>
        <v>0.651242489821378</v>
      </c>
      <c r="BZ1139" s="70">
        <f>(BZ1134-BZ1060-BZ1063-BZ1061-BZ1062)/BZ1135</f>
        <v>0.63055086030556362</v>
      </c>
      <c r="CA1139" s="27"/>
      <c r="CB1139" s="70">
        <f ca="1">(CB1134-CB1060-CB1063-CB1061-CB1062)/CB1135</f>
        <v>1.2079301746870652</v>
      </c>
      <c r="CC1139" s="70">
        <f>(CC1134-CC1060-CC1063-CC1061-CC1062)/CC1135</f>
        <v>1.033081083782861</v>
      </c>
      <c r="CD1139" s="70">
        <f ca="1">(CD1134-CD1060-CD1063-CD1061-CD1062)/CD1135</f>
        <v>1.1197074378639105</v>
      </c>
      <c r="CE1139" s="27"/>
      <c r="CF1139" s="70">
        <f>(CF1134-CF1060-CF1063-CF1061-CF1062)/CF1135</f>
        <v>0.97425738850313048</v>
      </c>
      <c r="CG1139" s="70">
        <f>(CG1134-CG1060-CG1063-CG1061-CG1062)/CG1135</f>
        <v>0.68971210366452584</v>
      </c>
      <c r="CH1139" s="70">
        <f>(CH1134-CH1060-CH1063-CH1061-CH1062)/CH1135</f>
        <v>0.85200590839149504</v>
      </c>
      <c r="CI1139" s="27"/>
      <c r="CJ1139" s="70">
        <f>(CJ1134-CJ1060-CJ1063-CJ1061-CJ1062)/CJ1135</f>
        <v>0.53593677664399098</v>
      </c>
      <c r="CK1139" s="70">
        <f>(CK1134-CK1060-CK1063-CK1061-CK1062)/CK1135</f>
        <v>0.3992852283910997</v>
      </c>
      <c r="CL1139" s="70">
        <f>(CL1134-CL1060-CL1063-CL1061-CL1062)/CL1135</f>
        <v>0.44868140280054647</v>
      </c>
      <c r="CM1139" s="27"/>
      <c r="CN1139" s="70">
        <f>(CN1134-CN1060-CN1063-CN1061-CN1062)/CN1135</f>
        <v>0.66796755868544611</v>
      </c>
      <c r="CO1139" s="70">
        <f>(CO1134-CO1060-CO1063-CO1061-CO1062)/CO1135</f>
        <v>0.83993930273210371</v>
      </c>
      <c r="CP1139" s="70">
        <f>(CP1134-CP1060-CP1063-CP1061-CP1062)/CP1135</f>
        <v>0.7569721872577253</v>
      </c>
      <c r="CQ1139" s="27"/>
      <c r="CR1139" s="70">
        <f>(CR1134-CR1060-CR1063-CR1061-CR1062)/CR1135</f>
        <v>0.91948359243243238</v>
      </c>
      <c r="CS1139" s="70">
        <f>(CS1134-CS1060-CS1063-CS1061-CS1062)/CS1135</f>
        <v>0.59885608606257379</v>
      </c>
      <c r="CT1139" s="70">
        <f>(CT1134-CT1060-CT1063-CT1061-CT1062)/CT1135</f>
        <v>0.75225976367918723</v>
      </c>
      <c r="CV1139" s="70">
        <f>(CV1134-CV1060-CV1063-CV1061-CV1062)/CV1135</f>
        <v>0.58152835273961878</v>
      </c>
      <c r="CW1139" s="70">
        <f>(CW1134-CW1060-CW1063-CW1061-CW1062)/CW1135</f>
        <v>0.78834766086186536</v>
      </c>
      <c r="CX1139" s="70">
        <f>(CX1134-CX1060-CX1063-CX1061-CX1062)/CX1135</f>
        <v>0.68152031285160197</v>
      </c>
      <c r="CZ1139" s="70">
        <f>(CZ1134-CZ1060-CZ1063-CZ1061-CZ1062)/CZ1135</f>
        <v>0.70276854243806319</v>
      </c>
      <c r="DA1139" s="70">
        <f>(DA1134-DA1060-DA1063-DA1061-DA1062)/DA1135</f>
        <v>1.0576474931610462</v>
      </c>
      <c r="DB1139" s="70">
        <f>(DB1134-DB1060-DB1063-DB1061-DB1062)/DB1135</f>
        <v>0.87020808305427511</v>
      </c>
      <c r="DD1139" s="70">
        <f>(DD1134-DD1060-DD1063-DD1061-DD1062)/DD1135</f>
        <v>0.77108561274103127</v>
      </c>
      <c r="DE1139" s="70">
        <f>(DE1134-DE1060-DE1063-DE1061-DE1062)/DE1135</f>
        <v>1.0321413922487608</v>
      </c>
      <c r="DF1139" s="70">
        <f>(DF1134-DF1060-DF1063-DF1061-DF1062)/DF1135</f>
        <v>0.87118631685847581</v>
      </c>
      <c r="DH1139" s="70">
        <f ca="1">(DH1134-DH1060-DH1063-DH1061-DH1062)/DH1135</f>
        <v>0.48930142905686519</v>
      </c>
      <c r="DI1139" s="70">
        <f ca="1">(DI1134-DI1060-DI1063-DI1061-DI1062)/DI1135</f>
        <v>0.67999999999999994</v>
      </c>
      <c r="DJ1139" s="70">
        <f ca="1">(DJ1134-DJ1060-DJ1063-DJ1061-DJ1062)/DJ1135</f>
        <v>0.58623066353539521</v>
      </c>
      <c r="DL1139" s="70">
        <f ca="1">(DL1134-DL1060-DL1063-DL1061-DL1062)/DL1135</f>
        <v>0.68000000000000016</v>
      </c>
      <c r="DM1139" s="70">
        <f ca="1">(DM1134-DM1060-DM1063-DM1061-DM1062)/DM1135</f>
        <v>0.81902781209327002</v>
      </c>
      <c r="DN1139" s="70">
        <f ca="1">(DN1134-DN1060-DN1063-DN1061-DN1062)/DN1135</f>
        <v>0.7496355249970118</v>
      </c>
      <c r="DP1139" s="70">
        <f ca="1">(DP1134-DP1060-DP1063-DP1061-DP1062)/DP1135</f>
        <v>0.79026168849908773</v>
      </c>
      <c r="DQ1139" s="70">
        <f ca="1">(DQ1134-DQ1060-DQ1063-DQ1061-DQ1062)/DQ1135</f>
        <v>0.78538071066594817</v>
      </c>
      <c r="DR1139" s="70">
        <f ca="1">(DR1134-DR1060-DR1063-DR1061-DR1062)/DR1135</f>
        <v>0.78777597163461655</v>
      </c>
      <c r="DW1139" s="20"/>
      <c r="DX1139" s="20"/>
    </row>
    <row r="1140" spans="1:128" s="21" customFormat="1" ht="13.8">
      <c r="A1140" s="20" t="s">
        <v>784</v>
      </c>
      <c r="B1140" s="27"/>
      <c r="BD1140" s="70"/>
      <c r="BE1140" s="70"/>
      <c r="BF1140" s="70"/>
      <c r="BH1140" s="70"/>
      <c r="BI1140" s="70"/>
      <c r="BJ1140" s="70"/>
      <c r="BK1140" s="27"/>
      <c r="BL1140" s="70"/>
      <c r="BM1140" s="70"/>
      <c r="BN1140" s="70"/>
      <c r="BO1140" s="27"/>
      <c r="BP1140" s="70"/>
      <c r="BQ1140" s="70"/>
      <c r="BR1140" s="70"/>
      <c r="BT1140" s="65">
        <f>BT526</f>
        <v>0</v>
      </c>
      <c r="BU1140" s="65">
        <f>BU526</f>
        <v>0</v>
      </c>
      <c r="BV1140" s="65">
        <f>BV526</f>
        <v>0</v>
      </c>
      <c r="BX1140" s="65">
        <f>BX526</f>
        <v>0</v>
      </c>
      <c r="BY1140" s="65">
        <f>BY526</f>
        <v>0</v>
      </c>
      <c r="BZ1140" s="65">
        <f>BZ526</f>
        <v>0</v>
      </c>
      <c r="CB1140" s="65">
        <f>CB526</f>
        <v>173</v>
      </c>
      <c r="CC1140" s="65">
        <f>CC526</f>
        <v>-554</v>
      </c>
      <c r="CD1140" s="65">
        <f>CD526</f>
        <v>-381</v>
      </c>
      <c r="CF1140" s="65">
        <f>CF526</f>
        <v>97</v>
      </c>
      <c r="CG1140" s="65">
        <f>CG526</f>
        <v>-399</v>
      </c>
      <c r="CH1140" s="65">
        <f>CH526</f>
        <v>-302</v>
      </c>
      <c r="CJ1140" s="65">
        <f>CJ526</f>
        <v>-987</v>
      </c>
      <c r="CK1140" s="65">
        <f>CK526</f>
        <v>-514</v>
      </c>
      <c r="CL1140" s="65">
        <f>CL526</f>
        <v>-1501</v>
      </c>
      <c r="CN1140" s="65">
        <f>CN526</f>
        <v>-817</v>
      </c>
      <c r="CO1140" s="65">
        <f>CO526</f>
        <v>-129</v>
      </c>
      <c r="CP1140" s="65">
        <f>CP526</f>
        <v>-946</v>
      </c>
      <c r="CR1140" s="65">
        <f>CR526</f>
        <v>-41</v>
      </c>
      <c r="CS1140" s="65">
        <f>CS526</f>
        <v>-113</v>
      </c>
      <c r="CT1140" s="65">
        <f>CT526</f>
        <v>-154</v>
      </c>
      <c r="CV1140" s="65">
        <f>CV526</f>
        <v>-161</v>
      </c>
      <c r="CW1140" s="65">
        <f>CW526</f>
        <v>-146</v>
      </c>
      <c r="CX1140" s="65">
        <f>CX526</f>
        <v>-307</v>
      </c>
      <c r="CZ1140" s="65">
        <f>CZ526</f>
        <v>-162</v>
      </c>
      <c r="DA1140" s="65">
        <f>DA526</f>
        <v>0</v>
      </c>
      <c r="DB1140" s="65">
        <f>DB526</f>
        <v>-162</v>
      </c>
      <c r="DD1140" s="65">
        <f>DD526</f>
        <v>0</v>
      </c>
      <c r="DE1140" s="65">
        <f>DE526</f>
        <v>-1109</v>
      </c>
      <c r="DF1140" s="65">
        <f>DF526</f>
        <v>-1109</v>
      </c>
      <c r="DH1140" s="65">
        <f>DH526</f>
        <v>0</v>
      </c>
      <c r="DI1140" s="65">
        <f>DI526</f>
        <v>0</v>
      </c>
      <c r="DJ1140" s="65">
        <f>DJ526</f>
        <v>0</v>
      </c>
      <c r="DL1140" s="65">
        <f>DL526</f>
        <v>0</v>
      </c>
      <c r="DM1140" s="65">
        <f>DM526</f>
        <v>0</v>
      </c>
      <c r="DN1140" s="65">
        <f>DN526</f>
        <v>0</v>
      </c>
      <c r="DP1140" s="65">
        <f>DP526</f>
        <v>0</v>
      </c>
      <c r="DQ1140" s="65">
        <f>DQ526</f>
        <v>0</v>
      </c>
      <c r="DR1140" s="65">
        <f>DR526</f>
        <v>0</v>
      </c>
      <c r="DW1140" s="20"/>
      <c r="DX1140" s="20"/>
    </row>
    <row r="1141" spans="1:128" s="21" customFormat="1" ht="13.8">
      <c r="A1141" s="21" t="s">
        <v>218</v>
      </c>
      <c r="B1141" s="27"/>
      <c r="BD1141" s="70"/>
      <c r="BE1141" s="70"/>
      <c r="BF1141" s="70"/>
      <c r="BH1141" s="70"/>
      <c r="BI1141" s="70"/>
      <c r="BJ1141" s="70"/>
      <c r="BK1141" s="27"/>
      <c r="BL1141" s="70"/>
      <c r="BM1141" s="70"/>
      <c r="BN1141" s="70"/>
      <c r="BO1141" s="27"/>
      <c r="BP1141" s="70"/>
      <c r="BQ1141" s="70"/>
      <c r="BR1141" s="70"/>
      <c r="BT1141" s="72">
        <f>BT1135-BT1140</f>
        <v>2782</v>
      </c>
      <c r="BU1141" s="72">
        <f>BU1135-BU1140</f>
        <v>3107</v>
      </c>
      <c r="BV1141" s="72">
        <f>BV1135-BV1140</f>
        <v>5889</v>
      </c>
      <c r="BX1141" s="72">
        <f>BX1135-BX1140</f>
        <v>3411</v>
      </c>
      <c r="BY1141" s="72">
        <f>BY1135-BY1140</f>
        <v>3527</v>
      </c>
      <c r="BZ1141" s="72">
        <f>BZ1135-BZ1140</f>
        <v>6938</v>
      </c>
      <c r="CB1141" s="72">
        <f ca="1">CB1135-CB1140</f>
        <v>2703</v>
      </c>
      <c r="CC1141" s="72">
        <f>CC1135-CC1140</f>
        <v>3483</v>
      </c>
      <c r="CD1141" s="72">
        <f ca="1">CD1135-CD1140</f>
        <v>6186</v>
      </c>
      <c r="CF1141" s="72">
        <f>CF1135-CF1140</f>
        <v>3417</v>
      </c>
      <c r="CG1141" s="72">
        <f>CG1135-CG1140</f>
        <v>3046</v>
      </c>
      <c r="CH1141" s="72">
        <f>CH1135-CH1140</f>
        <v>6463</v>
      </c>
      <c r="CJ1141" s="72">
        <f>CJ1135-CJ1140</f>
        <v>2310</v>
      </c>
      <c r="CK1141" s="72">
        <f>CK1135-CK1140</f>
        <v>2851</v>
      </c>
      <c r="CL1141" s="72">
        <f>CL1135-CL1140</f>
        <v>5161</v>
      </c>
      <c r="CN1141" s="72">
        <f>CN1135-CN1140</f>
        <v>3799</v>
      </c>
      <c r="CO1141" s="72">
        <f>CO1135-CO1140</f>
        <v>3328</v>
      </c>
      <c r="CP1141" s="72">
        <f>CP1135-CP1140</f>
        <v>7127</v>
      </c>
      <c r="CR1141" s="72">
        <f>CR1135-CR1140</f>
        <v>3149</v>
      </c>
      <c r="CS1141" s="72">
        <f>CS1135-CS1140</f>
        <v>3501</v>
      </c>
      <c r="CT1141" s="72">
        <f>CT1135-CT1140</f>
        <v>6650</v>
      </c>
      <c r="CV1141" s="72">
        <f>CV1135-CV1140</f>
        <v>3990</v>
      </c>
      <c r="CW1141" s="72">
        <f>CW1135-CW1140</f>
        <v>3730</v>
      </c>
      <c r="CX1141" s="72">
        <f>CX1135-CX1140</f>
        <v>7720</v>
      </c>
      <c r="CZ1141" s="72">
        <f>CZ1135-CZ1140</f>
        <v>3714</v>
      </c>
      <c r="DA1141" s="72">
        <f>DA1135-DA1140</f>
        <v>3173</v>
      </c>
      <c r="DB1141" s="72">
        <f>DB1135-DB1140</f>
        <v>6887</v>
      </c>
      <c r="DD1141" s="72">
        <f>DD1135-DD1140</f>
        <v>3568</v>
      </c>
      <c r="DE1141" s="72">
        <f>DE1135-DE1140</f>
        <v>3328</v>
      </c>
      <c r="DF1141" s="72">
        <f>DF1135-DF1140</f>
        <v>6896</v>
      </c>
      <c r="DH1141" s="72">
        <f ca="1">DH1135-DH1140</f>
        <v>3701.5536350305647</v>
      </c>
      <c r="DI1141" s="72">
        <f ca="1">DI1135-DI1140</f>
        <v>3826.2909150494493</v>
      </c>
      <c r="DJ1141" s="72">
        <f ca="1">DJ1135-DJ1140</f>
        <v>7527.8445500800126</v>
      </c>
      <c r="DL1141" s="72">
        <f ca="1">DL1135-DL1140</f>
        <v>3980.3177206167493</v>
      </c>
      <c r="DM1141" s="72">
        <f ca="1">DM1135-DM1140</f>
        <v>3994.2697629431987</v>
      </c>
      <c r="DN1141" s="72">
        <f ca="1">DN1135-DN1140</f>
        <v>7974.5874835599489</v>
      </c>
      <c r="DP1141" s="72">
        <f ca="1">DP1135-DP1140</f>
        <v>4160.966953009286</v>
      </c>
      <c r="DQ1141" s="72">
        <f ca="1">DQ1135-DQ1140</f>
        <v>4318.1038988617502</v>
      </c>
      <c r="DR1141" s="72">
        <f ca="1">DR1135-DR1140</f>
        <v>8479.0708518710398</v>
      </c>
      <c r="DW1141" s="20"/>
      <c r="DX1141" s="20"/>
    </row>
    <row r="1142" spans="1:128" s="21" customFormat="1" ht="13.8">
      <c r="A1142" s="21" t="s">
        <v>785</v>
      </c>
      <c r="B1142" s="27"/>
      <c r="BD1142" s="70"/>
      <c r="BE1142" s="70"/>
      <c r="BF1142" s="70"/>
      <c r="BH1142" s="70"/>
      <c r="BI1142" s="70"/>
      <c r="BJ1142" s="70"/>
      <c r="BK1142" s="27"/>
      <c r="BL1142" s="70"/>
      <c r="BM1142" s="70"/>
      <c r="BN1142" s="70"/>
      <c r="BO1142" s="27"/>
      <c r="BP1142" s="70"/>
      <c r="BQ1142" s="70"/>
      <c r="BR1142" s="70"/>
      <c r="BT1142" s="70">
        <f>BT1134/BT1141</f>
        <v>0.83898205549964056</v>
      </c>
      <c r="BU1142" s="70">
        <f>BU1134/BU1141</f>
        <v>0.75377577341486957</v>
      </c>
      <c r="BV1142" s="70">
        <f>BV1134/BV1141</f>
        <v>0.79402774773306162</v>
      </c>
      <c r="BX1142" s="70">
        <f>BX1134/BX1141</f>
        <v>0.68860439964819697</v>
      </c>
      <c r="BY1142" s="70">
        <f>BY1134/BY1141</f>
        <v>0.66626942489367746</v>
      </c>
      <c r="BZ1142" s="70">
        <f>BZ1134/BZ1141</f>
        <v>0.67725019729028546</v>
      </c>
      <c r="CB1142" s="70">
        <f ca="1">CB1134/CB1141</f>
        <v>0.85793828427672947</v>
      </c>
      <c r="CC1142" s="70">
        <f>CC1134/CC1141</f>
        <v>0.66003287235142116</v>
      </c>
      <c r="CD1142" s="70">
        <f ca="1">CD1134/CD1141</f>
        <v>0.74650851548658259</v>
      </c>
      <c r="CF1142" s="70">
        <f>CF1134/CF1141</f>
        <v>0.6633129830845772</v>
      </c>
      <c r="CG1142" s="70">
        <f>CG1134/CG1141</f>
        <v>0.74447404412344054</v>
      </c>
      <c r="CH1142" s="70">
        <f>CH1134/CH1141</f>
        <v>0.70156404171437425</v>
      </c>
      <c r="CJ1142" s="70">
        <f>CJ1134/CJ1141</f>
        <v>0.30694560844155844</v>
      </c>
      <c r="CK1142" s="70">
        <f>CK1134/CK1141</f>
        <v>0.34869504691336378</v>
      </c>
      <c r="CL1142" s="70">
        <f>CL1134/CL1141</f>
        <v>0.3300085127397791</v>
      </c>
      <c r="CN1142" s="70">
        <f>CN1134/CN1141</f>
        <v>0.52431673071861018</v>
      </c>
      <c r="CO1142" s="70">
        <f>CO1134/CO1141</f>
        <v>0.61086713625</v>
      </c>
      <c r="CP1142" s="70">
        <f>CP1134/CP1141</f>
        <v>0.56473201760067349</v>
      </c>
      <c r="CR1142" s="70">
        <f>CR1134/CR1141</f>
        <v>0.6388551938012067</v>
      </c>
      <c r="CS1142" s="70">
        <f>CS1134/CS1141</f>
        <v>0.63197474314195945</v>
      </c>
      <c r="CT1142" s="70">
        <f>CT1134/CT1141</f>
        <v>0.63523286932631573</v>
      </c>
      <c r="CV1142" s="70">
        <f>CV1134/CV1141</f>
        <v>0.60970603845112781</v>
      </c>
      <c r="CW1142" s="70">
        <f>CW1134/CW1141</f>
        <v>0.75749008486030167</v>
      </c>
      <c r="CX1142" s="70">
        <f>CX1134/CX1141</f>
        <v>0.68110947020063806</v>
      </c>
      <c r="CZ1142" s="70">
        <f>CZ1134/CZ1141</f>
        <v>0.67211466417339805</v>
      </c>
      <c r="DA1142" s="70">
        <f>DA1134/DA1141</f>
        <v>0.77936195896627791</v>
      </c>
      <c r="DB1142" s="70">
        <f>DB1134/DB1141</f>
        <v>0.72152597045738354</v>
      </c>
      <c r="DD1142" s="70">
        <f>DD1134/DD1141</f>
        <v>0.69120893112668147</v>
      </c>
      <c r="DE1142" s="70">
        <f>DE1134/DE1141</f>
        <v>0.74408706412259618</v>
      </c>
      <c r="DF1142" s="70">
        <f>DF1134/DF1141</f>
        <v>0.71672784449825977</v>
      </c>
      <c r="DH1142" s="70">
        <f ca="1">DH1134/DH1141</f>
        <v>0.69</v>
      </c>
      <c r="DI1142" s="70">
        <f ca="1">DI1134/DI1141</f>
        <v>0.67999999999999994</v>
      </c>
      <c r="DJ1142" s="70">
        <f ca="1">DJ1134/DJ1141</f>
        <v>0.68491714940499304</v>
      </c>
      <c r="DL1142" s="70">
        <f ca="1">DL1134/DL1141</f>
        <v>0.68</v>
      </c>
      <c r="DM1142" s="70">
        <f ca="1">DM1134/DM1141</f>
        <v>0.69</v>
      </c>
      <c r="DN1142" s="70">
        <f ca="1">DN1134/DN1141</f>
        <v>0.6850087478144512</v>
      </c>
      <c r="DP1142" s="70">
        <f ca="1">DP1134/DP1141</f>
        <v>0.67500000000000004</v>
      </c>
      <c r="DQ1142" s="70">
        <f ca="1">DQ1134/DQ1141</f>
        <v>0.66</v>
      </c>
      <c r="DR1142" s="70">
        <f ca="1">DR1134/DR1141</f>
        <v>0.66736100751904481</v>
      </c>
      <c r="DW1142" s="20"/>
      <c r="DX1142" s="20"/>
    </row>
    <row r="1143" spans="1:128" s="20" customFormat="1" ht="13.8">
      <c r="A1143" s="941" t="s">
        <v>1005</v>
      </c>
      <c r="B1143" s="942"/>
      <c r="C1143" s="941"/>
      <c r="D1143" s="941"/>
      <c r="E1143" s="941"/>
      <c r="F1143" s="941"/>
      <c r="G1143" s="941"/>
      <c r="H1143" s="941"/>
      <c r="I1143" s="941"/>
      <c r="J1143" s="941"/>
      <c r="K1143" s="941"/>
      <c r="L1143" s="941"/>
      <c r="M1143" s="941"/>
      <c r="N1143" s="941"/>
      <c r="O1143" s="941"/>
      <c r="P1143" s="941"/>
      <c r="Q1143" s="941"/>
      <c r="R1143" s="941"/>
      <c r="S1143" s="941"/>
      <c r="T1143" s="941"/>
      <c r="U1143" s="941"/>
      <c r="V1143" s="941"/>
      <c r="W1143" s="941"/>
      <c r="X1143" s="941"/>
      <c r="Y1143" s="941"/>
      <c r="Z1143" s="941"/>
      <c r="AA1143" s="941"/>
      <c r="AB1143" s="941"/>
      <c r="AC1143" s="941"/>
      <c r="AD1143" s="941"/>
      <c r="AE1143" s="941"/>
      <c r="AF1143" s="941"/>
      <c r="AG1143" s="941"/>
      <c r="AH1143" s="941"/>
      <c r="AI1143" s="941"/>
      <c r="AJ1143" s="941"/>
      <c r="AK1143" s="941"/>
      <c r="AL1143" s="941"/>
      <c r="AM1143" s="941"/>
      <c r="AN1143" s="941"/>
      <c r="AO1143" s="941"/>
      <c r="AP1143" s="941"/>
      <c r="AQ1143" s="941"/>
      <c r="AR1143" s="941"/>
      <c r="AS1143" s="941"/>
      <c r="AT1143" s="941"/>
      <c r="AU1143" s="941"/>
      <c r="AV1143" s="941"/>
      <c r="AW1143" s="941"/>
      <c r="AX1143" s="941"/>
      <c r="AY1143" s="941"/>
      <c r="AZ1143" s="941"/>
      <c r="BA1143" s="941"/>
      <c r="BB1143" s="941"/>
      <c r="BC1143" s="941"/>
      <c r="BD1143" s="943"/>
      <c r="BE1143" s="943"/>
      <c r="BF1143" s="943"/>
      <c r="BG1143" s="941"/>
      <c r="BH1143" s="943"/>
      <c r="BI1143" s="943"/>
      <c r="BJ1143" s="943"/>
      <c r="BK1143" s="942"/>
      <c r="BL1143" s="943"/>
      <c r="BM1143" s="943"/>
      <c r="BN1143" s="943"/>
      <c r="BO1143" s="942"/>
      <c r="BP1143" s="943"/>
      <c r="BQ1143" s="943"/>
      <c r="BR1143" s="943"/>
      <c r="BS1143" s="941"/>
      <c r="BT1143" s="944">
        <f>+BT1134/BT41</f>
        <v>0.85246460131482837</v>
      </c>
      <c r="BU1143" s="944">
        <f>+BU1134/BU41</f>
        <v>0.78828048737798717</v>
      </c>
      <c r="BV1143" s="944">
        <f>+BV1134/BV41</f>
        <v>0.81906277919075143</v>
      </c>
      <c r="BW1143" s="941"/>
      <c r="BX1143" s="944">
        <f>+BX1134/BX41</f>
        <v>0.80688066204053588</v>
      </c>
      <c r="BY1143" s="944">
        <f>+BY1134/BY41</f>
        <v>0.67236974580829767</v>
      </c>
      <c r="BZ1143" s="944">
        <f>+BZ1134/BZ41</f>
        <v>0.7334938914767406</v>
      </c>
      <c r="CA1143" s="941"/>
      <c r="CB1143" s="944">
        <f ca="1">+CB1134/CB41</f>
        <v>0.69786553788745098</v>
      </c>
      <c r="CC1143" s="944">
        <f>+CC1134/CC41</f>
        <v>0.74712203262918431</v>
      </c>
      <c r="CD1143" s="944">
        <f ca="1">+CD1134/CD41</f>
        <v>0.72154713700000006</v>
      </c>
      <c r="CE1143" s="941"/>
      <c r="CF1143" s="944">
        <f>+CF1134/CF41</f>
        <v>0.71432097800189109</v>
      </c>
      <c r="CG1143" s="944">
        <f>+CG1134/CG41</f>
        <v>0.81570789151079137</v>
      </c>
      <c r="CH1143" s="944">
        <f>+CH1134/CH41</f>
        <v>0.76166779801780626</v>
      </c>
      <c r="CI1143" s="941"/>
      <c r="CJ1143" s="944">
        <f>+CJ1134/CJ41</f>
        <v>0.45892838543689324</v>
      </c>
      <c r="CK1143" s="944">
        <f>+CK1134/CK41</f>
        <v>0.48923699741633864</v>
      </c>
      <c r="CL1143" s="944">
        <f>+CL1134/CL41</f>
        <v>0.47614591396421585</v>
      </c>
      <c r="CM1143" s="941"/>
      <c r="CN1143" s="944">
        <f>+CN1134/CN41</f>
        <v>0.67681932042133885</v>
      </c>
      <c r="CO1143" s="944">
        <f>+CO1134/CO41</f>
        <v>0.63155198180801486</v>
      </c>
      <c r="CP1143" s="944">
        <f>+CP1134/CP41</f>
        <v>0.65317187430055179</v>
      </c>
      <c r="CQ1143" s="941"/>
      <c r="CR1143" s="944">
        <f>+CR1134/CR41</f>
        <v>0.56990226778470254</v>
      </c>
      <c r="CS1143" s="944">
        <f>+CS1134/CS41</f>
        <v>0.6164791239175258</v>
      </c>
      <c r="CT1143" s="944">
        <f>+CT1134/CT41</f>
        <v>0.59338370291052112</v>
      </c>
      <c r="CU1143" s="941"/>
      <c r="CV1143" s="944">
        <f>+CV1134/CV41</f>
        <v>0.68431141868354428</v>
      </c>
      <c r="CW1143" s="944">
        <f>+CW1134/CW41</f>
        <v>0.79567389933227972</v>
      </c>
      <c r="CX1143" s="944">
        <f>+CX1134/CX41</f>
        <v>0.73996131578228619</v>
      </c>
      <c r="CY1143" s="941"/>
      <c r="CZ1143" s="944">
        <f>+CZ1134/CZ41</f>
        <v>0.73267797556207814</v>
      </c>
      <c r="DA1143" s="944">
        <f>+DA1134/DA41</f>
        <v>0.79057400760869567</v>
      </c>
      <c r="DB1143" s="944">
        <f>+DB1134/DB41</f>
        <v>0.76039010842234134</v>
      </c>
      <c r="DC1143" s="941"/>
      <c r="DD1143" s="944">
        <f>+DD1134/DD41</f>
        <v>0.67716459809445351</v>
      </c>
      <c r="DE1143" s="944">
        <f>+DE1134/DE41</f>
        <v>1.1010768116496221</v>
      </c>
      <c r="DF1143" s="944">
        <f>+DF1134/DF41</f>
        <v>0.8390010551111865</v>
      </c>
      <c r="DG1143" s="941"/>
      <c r="DH1143" s="944">
        <f ca="1">+DH1134/DH41</f>
        <v>0.69</v>
      </c>
      <c r="DI1143" s="944">
        <f ca="1">+DI1134/DI41</f>
        <v>0.67999999999999994</v>
      </c>
      <c r="DJ1143" s="944">
        <f ca="1">+DJ1134/DJ41</f>
        <v>0.68491714940499304</v>
      </c>
      <c r="DK1143" s="941"/>
      <c r="DL1143" s="944">
        <f ca="1">+DL1134/DL41</f>
        <v>0.68</v>
      </c>
      <c r="DM1143" s="944">
        <f ca="1">+DM1134/DM41</f>
        <v>0.69</v>
      </c>
      <c r="DN1143" s="944">
        <f ca="1">+DN1134/DN41</f>
        <v>0.6850087478144512</v>
      </c>
      <c r="DO1143" s="941"/>
      <c r="DP1143" s="944">
        <f ca="1">+DP1134/DP41</f>
        <v>0.67500000000000004</v>
      </c>
      <c r="DQ1143" s="944">
        <f ca="1">+DQ1134/DQ41</f>
        <v>0.66</v>
      </c>
      <c r="DR1143" s="944">
        <f ca="1">+DR1134/DR41</f>
        <v>0.66736100751904481</v>
      </c>
      <c r="DS1143" s="941"/>
      <c r="DT1143" s="941"/>
      <c r="DU1143" s="941"/>
      <c r="DV1143" s="941"/>
    </row>
    <row r="1144" spans="1:128" s="1582" customFormat="1" ht="13.8">
      <c r="A1144" s="1581" t="s">
        <v>1257</v>
      </c>
      <c r="B1144" s="714"/>
      <c r="C1144" s="1581"/>
      <c r="D1144" s="1581"/>
      <c r="E1144" s="1581"/>
      <c r="F1144" s="1581"/>
      <c r="G1144" s="1581"/>
      <c r="H1144" s="1581"/>
      <c r="I1144" s="1581"/>
      <c r="J1144" s="1581"/>
      <c r="K1144" s="1581"/>
      <c r="L1144" s="1581"/>
      <c r="M1144" s="1581"/>
      <c r="N1144" s="1581"/>
      <c r="O1144" s="1581"/>
      <c r="P1144" s="1581"/>
      <c r="Q1144" s="1581"/>
      <c r="R1144" s="1581"/>
      <c r="S1144" s="1581"/>
      <c r="T1144" s="1581"/>
      <c r="U1144" s="1581"/>
      <c r="V1144" s="1581"/>
      <c r="W1144" s="1581"/>
      <c r="X1144" s="1581"/>
      <c r="Y1144" s="1581"/>
      <c r="Z1144" s="1581"/>
      <c r="AA1144" s="1581"/>
      <c r="AB1144" s="1581"/>
      <c r="AC1144" s="1581"/>
      <c r="AD1144" s="1581"/>
      <c r="AE1144" s="1581"/>
      <c r="AF1144" s="1581"/>
      <c r="AG1144" s="1581"/>
      <c r="AH1144" s="1581"/>
      <c r="AI1144" s="1581"/>
      <c r="AJ1144" s="1581"/>
      <c r="AK1144" s="1581"/>
      <c r="AL1144" s="1581"/>
      <c r="AM1144" s="1581"/>
      <c r="AN1144" s="1581"/>
      <c r="AO1144" s="1581"/>
      <c r="AP1144" s="1581"/>
      <c r="AQ1144" s="1581"/>
      <c r="AR1144" s="1581"/>
      <c r="AS1144" s="1581"/>
      <c r="AT1144" s="1581"/>
      <c r="AU1144" s="1581"/>
      <c r="AV1144" s="1581"/>
      <c r="AW1144" s="1581"/>
      <c r="AX1144" s="1581"/>
      <c r="AY1144" s="1581"/>
      <c r="AZ1144" s="1581"/>
      <c r="BA1144" s="1581"/>
      <c r="BB1144" s="1581"/>
      <c r="BC1144" s="1581"/>
      <c r="BD1144" s="714"/>
      <c r="BE1144" s="714"/>
      <c r="BF1144" s="714"/>
      <c r="BG1144" s="1581"/>
      <c r="BH1144" s="714">
        <f>(BH1134-BH1060-BH1061)/BH1135</f>
        <v>0.48817928349795536</v>
      </c>
      <c r="BI1144" s="714">
        <f t="shared" ref="BI1144:BJ1144" si="1602">(BI1134-BI1060-BI1061)/BI1135</f>
        <v>0.76357571146996683</v>
      </c>
      <c r="BJ1144" s="714">
        <f t="shared" si="1602"/>
        <v>0.6287196972181146</v>
      </c>
      <c r="BK1144" s="714"/>
      <c r="BL1144" s="714">
        <f>(BL1134-BL1060-BL1061)/BL1135</f>
        <v>0.65479900315789474</v>
      </c>
      <c r="BM1144" s="714">
        <f t="shared" ref="BM1144:BN1144" si="1603">(BM1134-BM1060-BM1061)/BM1135</f>
        <v>0.62293070029150466</v>
      </c>
      <c r="BN1144" s="714">
        <f t="shared" si="1603"/>
        <v>0.63867006864549669</v>
      </c>
      <c r="BO1144" s="714"/>
      <c r="BP1144" s="714">
        <f>(BP1134-BP1060-BP1061)/BP1135</f>
        <v>0.5771879735908596</v>
      </c>
      <c r="BQ1144" s="714">
        <f t="shared" ref="BQ1144:BR1144" si="1604">(BQ1134-BQ1060-BQ1061)/BQ1135</f>
        <v>0.53462673529661009</v>
      </c>
      <c r="BR1144" s="714">
        <f t="shared" si="1604"/>
        <v>0.55630843041435707</v>
      </c>
      <c r="BS1144" s="1581"/>
      <c r="BT1144" s="714">
        <f>(BT1134-BT1060-BT1061)/BT1135</f>
        <v>0.76169952494608195</v>
      </c>
      <c r="BU1144" s="714">
        <f t="shared" ref="BU1144:BV1144" si="1605">(BU1134-BU1060-BU1061)/BU1135</f>
        <v>0.69004870550370123</v>
      </c>
      <c r="BV1144" s="714">
        <f t="shared" si="1605"/>
        <v>0.72389699548310404</v>
      </c>
      <c r="BW1144" s="1581"/>
      <c r="BX1144" s="714">
        <f>(BX1134-BX1060-BX1061)/BX1135</f>
        <v>0.63026373708589856</v>
      </c>
      <c r="BY1144" s="714">
        <f t="shared" ref="BY1144:BZ1144" si="1606">(BY1134-BY1060-BY1061)/BY1135</f>
        <v>0.66626942489367746</v>
      </c>
      <c r="BZ1144" s="714">
        <f t="shared" si="1606"/>
        <v>0.64856757982127422</v>
      </c>
      <c r="CA1144" s="1581"/>
      <c r="CB1144" s="714">
        <f ca="1">(CB1134-CB1060-CB1061)/CB1135</f>
        <v>0.80633073101529895</v>
      </c>
      <c r="CC1144" s="714">
        <f t="shared" ref="CC1144:CD1144" si="1607">(CC1134-CC1060-CC1061)/CC1135</f>
        <v>0.78487350440423354</v>
      </c>
      <c r="CD1144" s="714">
        <f t="shared" ca="1" si="1607"/>
        <v>0.79550416482342812</v>
      </c>
      <c r="CE1144" s="1581"/>
      <c r="CF1144" s="714">
        <f>(CF1134-CF1060-CF1061)/CF1135</f>
        <v>0.64500297757541281</v>
      </c>
      <c r="CG1144" s="714">
        <f t="shared" ref="CG1144:CH1144" si="1608">(CG1134-CG1060-CG1061)/CG1135</f>
        <v>0.85669359214204754</v>
      </c>
      <c r="CH1144" s="714">
        <f t="shared" si="1608"/>
        <v>0.73595331952605114</v>
      </c>
      <c r="CI1144" s="1581"/>
      <c r="CJ1144" s="714">
        <f>(CJ1134-CJ1060-CJ1061)/CJ1135</f>
        <v>0.53593677664399098</v>
      </c>
      <c r="CK1144" s="714">
        <f t="shared" ref="CK1144:CL1144" si="1609">(CK1134-CK1060-CK1061)/CK1135</f>
        <v>0.3992852283910997</v>
      </c>
      <c r="CL1144" s="714">
        <f t="shared" si="1609"/>
        <v>0.44868140280054647</v>
      </c>
      <c r="CM1144" s="1581"/>
      <c r="CN1144" s="714">
        <f>(CN1134-CN1060-CN1061)/CN1135</f>
        <v>0.66796755868544611</v>
      </c>
      <c r="CO1144" s="714">
        <f t="shared" ref="CO1144:CP1144" si="1610">(CO1134-CO1060-CO1061)/CO1135</f>
        <v>0.63550041557986869</v>
      </c>
      <c r="CP1144" s="714">
        <f t="shared" si="1610"/>
        <v>0.65116406559456408</v>
      </c>
      <c r="CQ1144" s="1581"/>
      <c r="CR1144" s="714">
        <f>(CR1134-CR1060-CR1061)/CR1135</f>
        <v>0.64728282023166017</v>
      </c>
      <c r="CS1144" s="714">
        <f t="shared" ref="CS1144:CT1144" si="1611">(CS1134-CS1060-CS1061)/CS1135</f>
        <v>0.59885608606257379</v>
      </c>
      <c r="CT1144" s="714">
        <f t="shared" si="1611"/>
        <v>0.62202577353140398</v>
      </c>
      <c r="CU1144" s="1581"/>
      <c r="CV1144" s="714">
        <f>(CV1134-CV1060-CV1061)/CV1135</f>
        <v>0.58152835273961878</v>
      </c>
      <c r="CW1144" s="714">
        <f t="shared" ref="CW1144:CX1144" si="1612">(CW1134-CW1060-CW1061)/CW1135</f>
        <v>0.78834766086186536</v>
      </c>
      <c r="CX1144" s="714">
        <f t="shared" si="1612"/>
        <v>0.68152031285160197</v>
      </c>
      <c r="CY1144" s="1581"/>
      <c r="CZ1144" s="714">
        <f>(CZ1134-CZ1060-CZ1061)/CZ1135</f>
        <v>0.70276854243806319</v>
      </c>
      <c r="DA1144" s="714">
        <f t="shared" ref="DA1144:DB1144" si="1613">(DA1134-DA1060-DA1061)/DA1135</f>
        <v>0.77936195896627791</v>
      </c>
      <c r="DB1144" s="714">
        <f t="shared" si="1613"/>
        <v>0.73890696781263943</v>
      </c>
      <c r="DC1144" s="1581"/>
      <c r="DD1144" s="714">
        <f>(DD1134-DD1060-DD1061)/DD1135</f>
        <v>0.69120893112668147</v>
      </c>
      <c r="DE1144" s="714">
        <f t="shared" ref="DE1144:DF1144" si="1614">(DE1134-DE1060-DE1061)/DE1135</f>
        <v>1.0294374715637675</v>
      </c>
      <c r="DF1144" s="714">
        <f t="shared" si="1614"/>
        <v>0.82090119503369618</v>
      </c>
      <c r="DG1144" s="1581"/>
      <c r="DH1144" s="714">
        <f ca="1">(DH1134-DH1060-DH1061)/DH1135</f>
        <v>0.48930142905686519</v>
      </c>
      <c r="DI1144" s="714">
        <f t="shared" ref="DI1144:DJ1144" ca="1" si="1615">(DI1134-DI1060-DI1061)/DI1135</f>
        <v>0.67999999999999994</v>
      </c>
      <c r="DJ1144" s="714">
        <f t="shared" ca="1" si="1615"/>
        <v>0.58623066353539521</v>
      </c>
      <c r="DK1144" s="1581"/>
      <c r="DL1144" s="714">
        <f ca="1">(DL1134-DL1060-DL1061)/DL1135</f>
        <v>0.68000000000000016</v>
      </c>
      <c r="DM1144" s="714">
        <f t="shared" ref="DM1144:DN1144" ca="1" si="1616">(DM1134-DM1060-DM1061)/DM1135</f>
        <v>0.69</v>
      </c>
      <c r="DN1144" s="714">
        <f t="shared" ca="1" si="1616"/>
        <v>0.6850087478144512</v>
      </c>
      <c r="DO1144" s="1581"/>
      <c r="DP1144" s="714">
        <f ca="1">(DP1134-DP1060-DP1061)/DP1135</f>
        <v>0.67500000000000004</v>
      </c>
      <c r="DQ1144" s="714">
        <f t="shared" ref="DQ1144:DR1144" ca="1" si="1617">(DQ1134-DQ1060-DQ1061)/DQ1135</f>
        <v>0.66</v>
      </c>
      <c r="DR1144" s="714">
        <f t="shared" ca="1" si="1617"/>
        <v>0.6673610075190447</v>
      </c>
      <c r="DS1144" s="1581"/>
      <c r="DT1144" s="1581"/>
      <c r="DU1144" s="1581"/>
      <c r="DV1144" s="1581"/>
    </row>
    <row r="1146" spans="1:128" ht="13.8">
      <c r="A1146" s="1194" t="s">
        <v>878</v>
      </c>
      <c r="B1146" s="27"/>
      <c r="C1146" s="21"/>
      <c r="D1146" s="21"/>
      <c r="E1146" s="21"/>
      <c r="F1146" s="21"/>
      <c r="G1146" s="21"/>
      <c r="H1146" s="21"/>
      <c r="I1146" s="21"/>
      <c r="J1146" s="21"/>
      <c r="K1146" s="21"/>
      <c r="L1146" s="21"/>
      <c r="M1146" s="21"/>
      <c r="N1146" s="21"/>
      <c r="O1146" s="21"/>
      <c r="P1146" s="21"/>
      <c r="Q1146" s="21"/>
      <c r="R1146" s="21"/>
      <c r="S1146" s="21"/>
      <c r="T1146" s="21"/>
      <c r="U1146" s="21"/>
      <c r="V1146" s="21"/>
      <c r="W1146" s="21"/>
      <c r="X1146" s="21"/>
      <c r="Y1146" s="21"/>
      <c r="Z1146" s="21"/>
      <c r="AA1146" s="21"/>
      <c r="AB1146" s="21"/>
      <c r="AC1146" s="21"/>
      <c r="AD1146" s="21"/>
      <c r="AE1146" s="21"/>
      <c r="AF1146" s="21"/>
      <c r="AG1146" s="21"/>
      <c r="AH1146" s="21"/>
      <c r="AI1146" s="21"/>
      <c r="AJ1146" s="21"/>
      <c r="AK1146" s="21"/>
      <c r="AL1146" s="21"/>
      <c r="AM1146" s="21"/>
      <c r="AN1146" s="21"/>
      <c r="AO1146" s="21"/>
      <c r="AP1146" s="21"/>
      <c r="AQ1146" s="21"/>
      <c r="AR1146" s="21"/>
      <c r="AS1146" s="21"/>
      <c r="AT1146" s="21"/>
      <c r="AU1146" s="21"/>
      <c r="AV1146" s="21"/>
      <c r="AW1146" s="21"/>
      <c r="AX1146" s="21"/>
      <c r="AY1146" s="21"/>
      <c r="AZ1146" s="21"/>
      <c r="BA1146" s="21"/>
      <c r="BB1146" s="21"/>
      <c r="BC1146" s="21"/>
      <c r="BD1146" s="65"/>
      <c r="BE1146" s="65"/>
      <c r="BF1146" s="65"/>
      <c r="BG1146" s="21"/>
      <c r="BH1146" s="65"/>
      <c r="BI1146" s="65"/>
      <c r="BJ1146" s="65"/>
      <c r="BK1146" s="27"/>
      <c r="BL1146" s="65"/>
      <c r="BM1146" s="65"/>
      <c r="BN1146" s="65"/>
      <c r="BO1146" s="27"/>
      <c r="BP1146" s="65"/>
      <c r="BQ1146" s="65"/>
      <c r="BR1146" s="65"/>
      <c r="BS1146" s="21"/>
      <c r="BT1146" s="65"/>
      <c r="BU1146" s="65"/>
      <c r="BV1146" s="65"/>
      <c r="BW1146" s="21"/>
      <c r="BX1146" s="65"/>
      <c r="BY1146" s="65"/>
      <c r="BZ1146" s="65"/>
      <c r="CA1146" s="21"/>
      <c r="CB1146" s="65">
        <f>CB555</f>
        <v>9464</v>
      </c>
      <c r="CC1146" s="65">
        <f>CC555</f>
        <v>9516</v>
      </c>
      <c r="CD1146" s="65">
        <f>CD555</f>
        <v>18980</v>
      </c>
      <c r="CE1146" s="21"/>
      <c r="CF1146" s="65">
        <f>CF555</f>
        <v>9508</v>
      </c>
      <c r="CG1146" s="65">
        <f>CG555</f>
        <v>9378</v>
      </c>
      <c r="CH1146" s="65">
        <f>CH555</f>
        <v>18886</v>
      </c>
      <c r="CI1146" s="21"/>
      <c r="CJ1146" s="65">
        <f>CJ555</f>
        <v>9376</v>
      </c>
      <c r="CK1146" s="65">
        <f>CK555</f>
        <v>9335</v>
      </c>
      <c r="CL1146" s="65">
        <f>CL555</f>
        <v>18711</v>
      </c>
      <c r="CM1146" s="21"/>
      <c r="CN1146" s="65">
        <f>CN555</f>
        <v>9082</v>
      </c>
      <c r="CO1146" s="65">
        <f>CO555</f>
        <v>9092</v>
      </c>
      <c r="CP1146" s="65">
        <f>CP555</f>
        <v>18174</v>
      </c>
      <c r="CQ1146" s="21"/>
      <c r="CR1146" s="65">
        <f>CR555</f>
        <v>8679</v>
      </c>
      <c r="CS1146" s="65">
        <f>CS555</f>
        <v>9581</v>
      </c>
      <c r="CT1146" s="65">
        <f>CT555</f>
        <v>18260</v>
      </c>
      <c r="CU1146" s="21"/>
      <c r="CV1146" s="65">
        <f>CV555</f>
        <v>10600</v>
      </c>
      <c r="CW1146" s="65">
        <f>CW555</f>
        <v>10330</v>
      </c>
      <c r="CX1146" s="65">
        <f>CX555</f>
        <v>20930</v>
      </c>
      <c r="CY1146" s="21"/>
      <c r="CZ1146" s="65">
        <f>CZ555</f>
        <v>10368</v>
      </c>
      <c r="DA1146" s="65">
        <f>DA555</f>
        <v>10462</v>
      </c>
      <c r="DB1146" s="65">
        <f>DB555</f>
        <v>20830</v>
      </c>
      <c r="DC1146" s="21"/>
      <c r="DD1146" s="65">
        <f>DD555</f>
        <v>10995</v>
      </c>
      <c r="DE1146" s="65">
        <f>DE555</f>
        <v>11189</v>
      </c>
      <c r="DF1146" s="65">
        <f>DF555</f>
        <v>22184</v>
      </c>
      <c r="DH1146" s="65">
        <f ca="1">DH555</f>
        <v>11288.984147560002</v>
      </c>
      <c r="DI1146" s="65">
        <f ca="1">DI555</f>
        <v>11374.515751326247</v>
      </c>
      <c r="DJ1146" s="65">
        <f ca="1">DJ555</f>
        <v>22663.49989888625</v>
      </c>
      <c r="DL1146" s="65">
        <f ca="1">DL555</f>
        <v>11626.422084593729</v>
      </c>
      <c r="DM1146" s="65">
        <f ca="1">DM555</f>
        <v>11798.408556718041</v>
      </c>
      <c r="DN1146" s="65">
        <f ca="1">DN555</f>
        <v>23424.830641311772</v>
      </c>
      <c r="DP1146" s="65">
        <f ca="1">DP555</f>
        <v>12079.634094440931</v>
      </c>
      <c r="DQ1146" s="65">
        <f ca="1">DQ555</f>
        <v>12244.903307413953</v>
      </c>
      <c r="DR1146" s="65">
        <f ca="1">DR555</f>
        <v>24324.537401854886</v>
      </c>
    </row>
    <row r="1147" spans="1:128" s="20" customFormat="1" ht="13.8">
      <c r="A1147" s="1194" t="s">
        <v>789</v>
      </c>
      <c r="B1147" s="27"/>
      <c r="C1147" s="21"/>
      <c r="D1147" s="21"/>
      <c r="E1147" s="21"/>
      <c r="F1147" s="21"/>
      <c r="G1147" s="21"/>
      <c r="H1147" s="21"/>
      <c r="I1147" s="21"/>
      <c r="J1147" s="21"/>
      <c r="K1147" s="21"/>
      <c r="L1147" s="21"/>
      <c r="M1147" s="21"/>
      <c r="N1147" s="21"/>
      <c r="O1147" s="21"/>
      <c r="P1147" s="21"/>
      <c r="Q1147" s="21"/>
      <c r="R1147" s="21"/>
      <c r="S1147" s="21"/>
      <c r="T1147" s="21"/>
      <c r="U1147" s="21"/>
      <c r="V1147" s="21"/>
      <c r="W1147" s="21"/>
      <c r="X1147" s="21"/>
      <c r="Y1147" s="21"/>
      <c r="Z1147" s="21"/>
      <c r="AA1147" s="21"/>
      <c r="AB1147" s="21"/>
      <c r="AC1147" s="21"/>
      <c r="AD1147" s="21"/>
      <c r="AE1147" s="21"/>
      <c r="AF1147" s="21"/>
      <c r="AG1147" s="21"/>
      <c r="AH1147" s="21"/>
      <c r="AI1147" s="21"/>
      <c r="AJ1147" s="21"/>
      <c r="AK1147" s="21"/>
      <c r="AL1147" s="21"/>
      <c r="AM1147" s="21"/>
      <c r="AN1147" s="21"/>
      <c r="AO1147" s="21"/>
      <c r="AP1147" s="21"/>
      <c r="AQ1147" s="21"/>
      <c r="AR1147" s="21"/>
      <c r="AS1147" s="21"/>
      <c r="AT1147" s="21"/>
      <c r="AU1147" s="21"/>
      <c r="AV1147" s="21"/>
      <c r="AW1147" s="21"/>
      <c r="AX1147" s="21"/>
      <c r="AY1147" s="21"/>
      <c r="AZ1147" s="21"/>
      <c r="BA1147" s="21"/>
      <c r="BB1147" s="21"/>
      <c r="BC1147" s="21"/>
      <c r="BD1147" s="65"/>
      <c r="BE1147" s="65"/>
      <c r="BF1147" s="65"/>
      <c r="BG1147" s="21"/>
      <c r="BH1147" s="65"/>
      <c r="BI1147" s="65"/>
      <c r="BJ1147" s="65"/>
      <c r="BK1147" s="27"/>
      <c r="BL1147" s="65"/>
      <c r="BM1147" s="65"/>
      <c r="BN1147" s="65"/>
      <c r="BO1147" s="27"/>
      <c r="BP1147" s="65"/>
      <c r="BQ1147" s="65"/>
      <c r="BR1147" s="65"/>
      <c r="BS1147" s="21"/>
      <c r="BT1147" s="65"/>
      <c r="BU1147" s="65"/>
      <c r="BV1147" s="65"/>
      <c r="BW1147" s="21"/>
      <c r="BX1147" s="65"/>
      <c r="BY1147" s="65"/>
      <c r="BZ1147" s="65"/>
      <c r="CA1147" s="21"/>
      <c r="CB1147" s="65">
        <f>CB847</f>
        <v>-4284</v>
      </c>
      <c r="CC1147" s="65">
        <f>CC847</f>
        <v>-4279</v>
      </c>
      <c r="CD1147" s="65">
        <f>CD847</f>
        <v>-8563</v>
      </c>
      <c r="CE1147" s="21"/>
      <c r="CF1147" s="65">
        <f>CF847</f>
        <v>-4240</v>
      </c>
      <c r="CG1147" s="65">
        <f>CG847</f>
        <v>-4322</v>
      </c>
      <c r="CH1147" s="65">
        <f>CH847</f>
        <v>-8562</v>
      </c>
      <c r="CI1147" s="21"/>
      <c r="CJ1147" s="65">
        <f>CJ847</f>
        <v>-4361</v>
      </c>
      <c r="CK1147" s="65">
        <f>CK847</f>
        <v>-4288</v>
      </c>
      <c r="CL1147" s="65">
        <f>CL847</f>
        <v>-8649</v>
      </c>
      <c r="CM1147" s="21"/>
      <c r="CN1147" s="65">
        <f>CN847</f>
        <v>-4216</v>
      </c>
      <c r="CO1147" s="65">
        <f>CO847</f>
        <v>-4454</v>
      </c>
      <c r="CP1147" s="65">
        <f>CP847</f>
        <v>-8670</v>
      </c>
      <c r="CQ1147" s="21"/>
      <c r="CR1147" s="65">
        <f>CR847</f>
        <v>-4544</v>
      </c>
      <c r="CS1147" s="65">
        <f>CS847</f>
        <v>-4626</v>
      </c>
      <c r="CT1147" s="65">
        <f>CT847</f>
        <v>-9170</v>
      </c>
      <c r="CU1147" s="21"/>
      <c r="CV1147" s="65">
        <f>CV847</f>
        <v>-4844</v>
      </c>
      <c r="CW1147" s="65">
        <f>CW847</f>
        <v>-4874</v>
      </c>
      <c r="CX1147" s="65">
        <f>CX847</f>
        <v>-9718</v>
      </c>
      <c r="CY1147" s="21"/>
      <c r="CZ1147" s="65">
        <f>CZ847</f>
        <v>-5074</v>
      </c>
      <c r="DA1147" s="65">
        <f>DA847</f>
        <v>-5526</v>
      </c>
      <c r="DB1147" s="65">
        <f>DB847</f>
        <v>-10600</v>
      </c>
      <c r="DC1147" s="21"/>
      <c r="DD1147" s="65">
        <f>DD847</f>
        <v>-5742</v>
      </c>
      <c r="DE1147" s="65">
        <f>DE847</f>
        <v>-6107</v>
      </c>
      <c r="DF1147" s="65">
        <f>DF847</f>
        <v>-11849</v>
      </c>
      <c r="DG1147" s="21"/>
      <c r="DH1147" s="65">
        <f>DH847</f>
        <v>-5800.8062475343522</v>
      </c>
      <c r="DI1147" s="65">
        <f>DI847</f>
        <v>-5574.622973129075</v>
      </c>
      <c r="DJ1147" s="65">
        <f>DJ847</f>
        <v>-11375.429220663427</v>
      </c>
      <c r="DK1147" s="21"/>
      <c r="DL1147" s="65">
        <f>DL847</f>
        <v>-5558.5700572482638</v>
      </c>
      <c r="DM1147" s="65">
        <f>DM847</f>
        <v>-5699.0026403776892</v>
      </c>
      <c r="DN1147" s="65">
        <f>DN847</f>
        <v>-11257.572697625954</v>
      </c>
      <c r="DO1147" s="21"/>
      <c r="DP1147" s="65">
        <f>DP847</f>
        <v>-5690.9196519848028</v>
      </c>
      <c r="DQ1147" s="65">
        <f>DQ847</f>
        <v>-5623.3690907090013</v>
      </c>
      <c r="DR1147" s="65">
        <f>DR847</f>
        <v>-11314.288742693803</v>
      </c>
      <c r="DS1147" s="21"/>
      <c r="DT1147" s="21"/>
      <c r="DU1147" s="21"/>
      <c r="DV1147" s="21"/>
    </row>
    <row r="1148" spans="1:128" s="20" customFormat="1" ht="13.8">
      <c r="A1148" s="1197" t="s">
        <v>974</v>
      </c>
      <c r="B1148" s="27"/>
      <c r="C1148" s="21"/>
      <c r="D1148" s="21"/>
      <c r="E1148" s="21"/>
      <c r="F1148" s="21"/>
      <c r="G1148" s="21"/>
      <c r="H1148" s="21"/>
      <c r="I1148" s="21"/>
      <c r="J1148" s="21"/>
      <c r="K1148" s="21"/>
      <c r="L1148" s="21"/>
      <c r="M1148" s="21"/>
      <c r="N1148" s="21"/>
      <c r="O1148" s="21"/>
      <c r="P1148" s="21"/>
      <c r="Q1148" s="21"/>
      <c r="R1148" s="21"/>
      <c r="S1148" s="21"/>
      <c r="T1148" s="21"/>
      <c r="U1148" s="21"/>
      <c r="V1148" s="21"/>
      <c r="W1148" s="21"/>
      <c r="X1148" s="21"/>
      <c r="Y1148" s="21"/>
      <c r="Z1148" s="21"/>
      <c r="AA1148" s="21"/>
      <c r="AB1148" s="21"/>
      <c r="AC1148" s="21"/>
      <c r="AD1148" s="21"/>
      <c r="AE1148" s="21"/>
      <c r="AF1148" s="21"/>
      <c r="AG1148" s="21"/>
      <c r="AH1148" s="21"/>
      <c r="AI1148" s="21"/>
      <c r="AJ1148" s="21"/>
      <c r="AK1148" s="21"/>
      <c r="AL1148" s="21"/>
      <c r="AM1148" s="21"/>
      <c r="AN1148" s="21"/>
      <c r="AO1148" s="21"/>
      <c r="AP1148" s="21"/>
      <c r="AQ1148" s="21"/>
      <c r="AR1148" s="21"/>
      <c r="AS1148" s="21"/>
      <c r="AT1148" s="21"/>
      <c r="AU1148" s="21"/>
      <c r="AV1148" s="21"/>
      <c r="AW1148" s="21"/>
      <c r="AX1148" s="21"/>
      <c r="AY1148" s="21"/>
      <c r="AZ1148" s="21"/>
      <c r="BA1148" s="21"/>
      <c r="BB1148" s="21"/>
      <c r="BC1148" s="21"/>
      <c r="BD1148" s="72"/>
      <c r="BE1148" s="72"/>
      <c r="BF1148" s="72"/>
      <c r="BG1148" s="21"/>
      <c r="BH1148" s="72"/>
      <c r="BI1148" s="72"/>
      <c r="BJ1148" s="72"/>
      <c r="BK1148" s="27"/>
      <c r="BL1148" s="72"/>
      <c r="BM1148" s="72"/>
      <c r="BN1148" s="72"/>
      <c r="BO1148" s="27"/>
      <c r="BP1148" s="72"/>
      <c r="BQ1148" s="72"/>
      <c r="BR1148" s="72"/>
      <c r="BS1148" s="21"/>
      <c r="BT1148" s="72"/>
      <c r="BU1148" s="72"/>
      <c r="BV1148" s="72"/>
      <c r="BW1148" s="21"/>
      <c r="BX1148" s="72"/>
      <c r="BY1148" s="72"/>
      <c r="BZ1148" s="72"/>
      <c r="CA1148" s="21"/>
      <c r="CB1148" s="72">
        <f>CB1146+CB1147</f>
        <v>5180</v>
      </c>
      <c r="CC1148" s="72">
        <f>CC1146+CC1147</f>
        <v>5237</v>
      </c>
      <c r="CD1148" s="72">
        <f>CD1146+CD1147</f>
        <v>10417</v>
      </c>
      <c r="CE1148" s="21"/>
      <c r="CF1148" s="72">
        <f>CF1146+CF1147</f>
        <v>5268</v>
      </c>
      <c r="CG1148" s="72">
        <f>CG1146+CG1147</f>
        <v>5056</v>
      </c>
      <c r="CH1148" s="72">
        <f>CH1146+CH1147</f>
        <v>10324</v>
      </c>
      <c r="CI1148" s="21"/>
      <c r="CJ1148" s="72">
        <f>CJ1146+CJ1147</f>
        <v>5015</v>
      </c>
      <c r="CK1148" s="72">
        <f>CK1146+CK1147</f>
        <v>5047</v>
      </c>
      <c r="CL1148" s="72">
        <f>CL1146+CL1147</f>
        <v>10062</v>
      </c>
      <c r="CM1148" s="21"/>
      <c r="CN1148" s="72">
        <f>CN1146+CN1147</f>
        <v>4866</v>
      </c>
      <c r="CO1148" s="72">
        <f>CO1146+CO1147</f>
        <v>4638</v>
      </c>
      <c r="CP1148" s="72">
        <f>CP1146+CP1147</f>
        <v>9504</v>
      </c>
      <c r="CQ1148" s="21"/>
      <c r="CR1148" s="72">
        <f>CR1146+CR1147</f>
        <v>4135</v>
      </c>
      <c r="CS1148" s="72">
        <f>CS1146+CS1147</f>
        <v>4955</v>
      </c>
      <c r="CT1148" s="72">
        <f>CT1146+CT1147</f>
        <v>9090</v>
      </c>
      <c r="CU1148" s="21"/>
      <c r="CV1148" s="72">
        <f>CV1146+CV1147</f>
        <v>5756</v>
      </c>
      <c r="CW1148" s="72">
        <f>CW1146+CW1147</f>
        <v>5456</v>
      </c>
      <c r="CX1148" s="72">
        <f>CX1146+CX1147</f>
        <v>11212</v>
      </c>
      <c r="CY1148" s="21"/>
      <c r="CZ1148" s="72">
        <f>CZ1146+CZ1147</f>
        <v>5294</v>
      </c>
      <c r="DA1148" s="72">
        <f>DA1146+DA1147</f>
        <v>4936</v>
      </c>
      <c r="DB1148" s="72">
        <f>DB1146+DB1147</f>
        <v>10230</v>
      </c>
      <c r="DC1148" s="21"/>
      <c r="DD1148" s="72">
        <f>DD1146+DD1147</f>
        <v>5253</v>
      </c>
      <c r="DE1148" s="72">
        <f>DE1146+DE1147</f>
        <v>5082</v>
      </c>
      <c r="DF1148" s="72">
        <f>DF1146+DF1147</f>
        <v>10335</v>
      </c>
      <c r="DG1148" s="21"/>
      <c r="DH1148" s="72">
        <f ca="1">DH1146+DH1147</f>
        <v>5488.1779000256502</v>
      </c>
      <c r="DI1148" s="72">
        <f ca="1">DI1146+DI1147</f>
        <v>5799.8927781971724</v>
      </c>
      <c r="DJ1148" s="72">
        <f ca="1">DJ1146+DJ1147</f>
        <v>11288.070678222823</v>
      </c>
      <c r="DK1148" s="21"/>
      <c r="DL1148" s="72">
        <f ca="1">DL1146+DL1147</f>
        <v>6067.8520273454651</v>
      </c>
      <c r="DM1148" s="72">
        <f ca="1">DM1146+DM1147</f>
        <v>6099.4059163403517</v>
      </c>
      <c r="DN1148" s="72">
        <f ca="1">DN1146+DN1147</f>
        <v>12167.257943685818</v>
      </c>
      <c r="DO1148" s="21"/>
      <c r="DP1148" s="72">
        <f ca="1">DP1146+DP1147</f>
        <v>6388.7144424561284</v>
      </c>
      <c r="DQ1148" s="72">
        <f ca="1">DQ1146+DQ1147</f>
        <v>6621.5342167049521</v>
      </c>
      <c r="DR1148" s="72">
        <f ca="1">DR1146+DR1147</f>
        <v>13010.248659161083</v>
      </c>
      <c r="DS1148" s="21"/>
      <c r="DT1148" s="21"/>
      <c r="DU1148" s="21"/>
      <c r="DV1148" s="21"/>
    </row>
    <row r="1149" spans="1:128" s="20" customFormat="1" ht="13.8">
      <c r="A1149" s="1194" t="s">
        <v>1103</v>
      </c>
      <c r="B1149" s="27"/>
      <c r="C1149" s="21"/>
      <c r="D1149" s="21"/>
      <c r="E1149" s="21"/>
      <c r="F1149" s="21"/>
      <c r="G1149" s="21"/>
      <c r="H1149" s="21"/>
      <c r="I1149" s="21"/>
      <c r="J1149" s="21"/>
      <c r="K1149" s="21"/>
      <c r="L1149" s="21"/>
      <c r="M1149" s="21"/>
      <c r="N1149" s="21"/>
      <c r="O1149" s="21"/>
      <c r="P1149" s="21"/>
      <c r="Q1149" s="21"/>
      <c r="R1149" s="21"/>
      <c r="S1149" s="21"/>
      <c r="T1149" s="21"/>
      <c r="U1149" s="21"/>
      <c r="V1149" s="21"/>
      <c r="W1149" s="21"/>
      <c r="X1149" s="21"/>
      <c r="Y1149" s="21"/>
      <c r="Z1149" s="21"/>
      <c r="AA1149" s="21"/>
      <c r="AB1149" s="21"/>
      <c r="AC1149" s="21"/>
      <c r="AD1149" s="21"/>
      <c r="AE1149" s="21"/>
      <c r="AF1149" s="21"/>
      <c r="AG1149" s="21"/>
      <c r="AH1149" s="21"/>
      <c r="AI1149" s="21"/>
      <c r="AJ1149" s="21"/>
      <c r="AK1149" s="21"/>
      <c r="AL1149" s="21"/>
      <c r="AM1149" s="21"/>
      <c r="AN1149" s="21"/>
      <c r="AO1149" s="21"/>
      <c r="AP1149" s="21"/>
      <c r="AQ1149" s="21"/>
      <c r="AR1149" s="21"/>
      <c r="AS1149" s="21"/>
      <c r="AT1149" s="21"/>
      <c r="AU1149" s="21"/>
      <c r="AV1149" s="21"/>
      <c r="AW1149" s="21"/>
      <c r="AX1149" s="21"/>
      <c r="AY1149" s="21"/>
      <c r="AZ1149" s="21"/>
      <c r="BA1149" s="21"/>
      <c r="BB1149" s="21"/>
      <c r="BC1149" s="21"/>
      <c r="BD1149" s="100"/>
      <c r="BE1149" s="100"/>
      <c r="BF1149" s="100"/>
      <c r="BG1149" s="21"/>
      <c r="BH1149" s="100"/>
      <c r="BI1149" s="100"/>
      <c r="BJ1149" s="100"/>
      <c r="BK1149" s="27"/>
      <c r="BL1149" s="100"/>
      <c r="BM1149" s="100"/>
      <c r="BN1149" s="100"/>
      <c r="BO1149" s="27"/>
      <c r="BP1149" s="100"/>
      <c r="BQ1149" s="100"/>
      <c r="BR1149" s="100"/>
      <c r="BS1149" s="21"/>
      <c r="BT1149" s="100"/>
      <c r="BU1149" s="100"/>
      <c r="BV1149" s="100"/>
      <c r="BW1149" s="21"/>
      <c r="BX1149" s="100"/>
      <c r="BY1149" s="100"/>
      <c r="BZ1149" s="100"/>
      <c r="CA1149" s="21"/>
      <c r="CB1149" s="100">
        <f>CB976</f>
        <v>1.3729280168087987E-3</v>
      </c>
      <c r="CC1149" s="100">
        <f>CC976</f>
        <v>9.1731401480788964E-4</v>
      </c>
      <c r="CD1149" s="100">
        <f>CD976</f>
        <v>1.1300734219214534E-3</v>
      </c>
      <c r="CE1149" s="21"/>
      <c r="CF1149" s="100">
        <f>CF976</f>
        <v>1.2831957172384644E-3</v>
      </c>
      <c r="CG1149" s="100">
        <f>CG976</f>
        <v>1.2949751337503325E-3</v>
      </c>
      <c r="CH1149" s="100">
        <f>CH976</f>
        <v>1.2839873054839987E-3</v>
      </c>
      <c r="CI1149" s="21"/>
      <c r="CJ1149" s="100">
        <f>CJ976</f>
        <v>5.0578678700001056E-3</v>
      </c>
      <c r="CK1149" s="100">
        <f>CK976</f>
        <v>3.418287193952459E-3</v>
      </c>
      <c r="CL1149" s="100">
        <f>CL976</f>
        <v>4.3981533538730412E-3</v>
      </c>
      <c r="CM1149" s="21"/>
      <c r="CN1149" s="100">
        <f>CN976</f>
        <v>-1.5906698406868021E-3</v>
      </c>
      <c r="CO1149" s="100">
        <f>CO976</f>
        <v>-2.3901793990765014E-4</v>
      </c>
      <c r="CP1149" s="100">
        <f>CP976</f>
        <v>-8.9404255453344223E-4</v>
      </c>
      <c r="CQ1149" s="21"/>
      <c r="CR1149" s="100">
        <f>CR976</f>
        <v>-8.6895429825150402E-4</v>
      </c>
      <c r="CS1149" s="100">
        <f>CS976</f>
        <v>1.5331082604398111E-4</v>
      </c>
      <c r="CT1149" s="100">
        <f>CT976</f>
        <v>-3.4293806272514549E-4</v>
      </c>
      <c r="CU1149" s="21"/>
      <c r="CV1149" s="100">
        <f>CV976</f>
        <v>3.8418826255276288E-4</v>
      </c>
      <c r="CW1149" s="100">
        <f>CW976</f>
        <v>3.1414204392048498E-4</v>
      </c>
      <c r="CX1149" s="100">
        <f>CX976</f>
        <v>3.445342108408744E-4</v>
      </c>
      <c r="CY1149" s="21"/>
      <c r="CZ1149" s="100">
        <f>CZ976</f>
        <v>1.9467318543733332E-4</v>
      </c>
      <c r="DA1149" s="100">
        <f>DA976</f>
        <v>8.3212394684312977E-4</v>
      </c>
      <c r="DB1149" s="100">
        <f>DB976</f>
        <v>5.0274155121772426E-4</v>
      </c>
      <c r="DC1149" s="21"/>
      <c r="DD1149" s="100">
        <f>DD976</f>
        <v>3.5267450284423243E-4</v>
      </c>
      <c r="DE1149" s="100">
        <f>DE976</f>
        <v>7.0791731806166183E-4</v>
      </c>
      <c r="DF1149" s="100">
        <f>DF976</f>
        <v>5.287953657861005E-4</v>
      </c>
      <c r="DG1149" s="21"/>
      <c r="DH1149" s="100">
        <f>DH976</f>
        <v>5.0000000000000001E-4</v>
      </c>
      <c r="DI1149" s="100">
        <f>DI976</f>
        <v>8.0000000000000004E-4</v>
      </c>
      <c r="DJ1149" s="100">
        <f>DJ976</f>
        <v>6.451119957750712E-4</v>
      </c>
      <c r="DK1149" s="21"/>
      <c r="DL1149" s="100">
        <f>DL976</f>
        <v>8.9999999999999998E-4</v>
      </c>
      <c r="DM1149" s="100">
        <f>DM976</f>
        <v>8.9999999999999998E-4</v>
      </c>
      <c r="DN1149" s="100">
        <f>DN976</f>
        <v>8.8937223465101534E-4</v>
      </c>
      <c r="DO1149" s="21"/>
      <c r="DP1149" s="100">
        <f>DP976</f>
        <v>1E-3</v>
      </c>
      <c r="DQ1149" s="100">
        <f>DQ976</f>
        <v>1E-3</v>
      </c>
      <c r="DR1149" s="100">
        <f>DR976</f>
        <v>9.8939492960943565E-4</v>
      </c>
      <c r="DS1149" s="21"/>
      <c r="DT1149" s="21"/>
      <c r="DU1149" s="21"/>
      <c r="DV1149" s="21"/>
    </row>
    <row r="1150" spans="1:128" s="20" customFormat="1" ht="13.8">
      <c r="A1150" s="1194" t="s">
        <v>534</v>
      </c>
      <c r="B1150" s="27"/>
      <c r="C1150" s="21"/>
      <c r="D1150" s="21"/>
      <c r="E1150" s="21"/>
      <c r="F1150" s="21"/>
      <c r="G1150" s="21"/>
      <c r="H1150" s="21"/>
      <c r="I1150" s="21"/>
      <c r="J1150" s="21"/>
      <c r="K1150" s="21"/>
      <c r="L1150" s="21"/>
      <c r="M1150" s="21"/>
      <c r="N1150" s="21"/>
      <c r="O1150" s="21"/>
      <c r="P1150" s="21"/>
      <c r="Q1150" s="21"/>
      <c r="R1150" s="21"/>
      <c r="S1150" s="21"/>
      <c r="T1150" s="21"/>
      <c r="U1150" s="21"/>
      <c r="V1150" s="21"/>
      <c r="W1150" s="21"/>
      <c r="X1150" s="21"/>
      <c r="Y1150" s="21"/>
      <c r="Z1150" s="21"/>
      <c r="AA1150" s="21"/>
      <c r="AB1150" s="21"/>
      <c r="AC1150" s="21"/>
      <c r="AD1150" s="21"/>
      <c r="AE1150" s="21"/>
      <c r="AF1150" s="21"/>
      <c r="AG1150" s="21"/>
      <c r="AH1150" s="21"/>
      <c r="AI1150" s="21"/>
      <c r="AJ1150" s="21"/>
      <c r="AK1150" s="21"/>
      <c r="AL1150" s="21"/>
      <c r="AM1150" s="21"/>
      <c r="AN1150" s="21"/>
      <c r="AO1150" s="21"/>
      <c r="AP1150" s="21"/>
      <c r="AQ1150" s="21"/>
      <c r="AR1150" s="21"/>
      <c r="AS1150" s="21"/>
      <c r="AT1150" s="21"/>
      <c r="AU1150" s="21"/>
      <c r="AV1150" s="21"/>
      <c r="AW1150" s="21"/>
      <c r="AX1150" s="21"/>
      <c r="AY1150" s="21"/>
      <c r="AZ1150" s="21"/>
      <c r="BA1150" s="21"/>
      <c r="BB1150" s="21"/>
      <c r="BC1150" s="21"/>
      <c r="BD1150" s="65"/>
      <c r="BE1150" s="65"/>
      <c r="BF1150" s="65"/>
      <c r="BG1150" s="21"/>
      <c r="BH1150" s="65"/>
      <c r="BI1150" s="65"/>
      <c r="BJ1150" s="65"/>
      <c r="BK1150" s="27"/>
      <c r="BL1150" s="65"/>
      <c r="BM1150" s="65"/>
      <c r="BN1150" s="65"/>
      <c r="BO1150" s="27"/>
      <c r="BP1150" s="65"/>
      <c r="BQ1150" s="65"/>
      <c r="BR1150" s="65"/>
      <c r="BS1150" s="21"/>
      <c r="BT1150" s="65"/>
      <c r="BU1150" s="65"/>
      <c r="BV1150" s="65"/>
      <c r="BW1150" s="21"/>
      <c r="BX1150" s="65"/>
      <c r="BY1150" s="65"/>
      <c r="BZ1150" s="65"/>
      <c r="CA1150" s="21"/>
      <c r="CB1150" s="65">
        <f>CB364</f>
        <v>595983</v>
      </c>
      <c r="CC1150" s="65">
        <f>CC364</f>
        <v>608810</v>
      </c>
      <c r="CD1150" s="65">
        <f>CD364</f>
        <v>608810</v>
      </c>
      <c r="CE1150" s="21"/>
      <c r="CF1150" s="65">
        <f>CF364</f>
        <v>614216</v>
      </c>
      <c r="CG1150" s="65">
        <f>CG364</f>
        <v>619165</v>
      </c>
      <c r="CH1150" s="65">
        <f>CH364</f>
        <v>619165</v>
      </c>
      <c r="CI1150" s="21"/>
      <c r="CJ1150" s="65">
        <f>CJ364</f>
        <v>661939</v>
      </c>
      <c r="CK1150" s="65">
        <f>CK364</f>
        <v>622534</v>
      </c>
      <c r="CL1150" s="65">
        <f>CL364</f>
        <v>622534</v>
      </c>
      <c r="CM1150" s="21"/>
      <c r="CN1150" s="65">
        <f>CN364</f>
        <v>619046</v>
      </c>
      <c r="CO1150" s="65">
        <f>CO364</f>
        <v>634198</v>
      </c>
      <c r="CP1150" s="65">
        <f>CP364</f>
        <v>634198</v>
      </c>
      <c r="CQ1150" s="21"/>
      <c r="CR1150" s="65">
        <f>CR364</f>
        <v>655455</v>
      </c>
      <c r="CS1150" s="65">
        <f>CS364</f>
        <v>676507</v>
      </c>
      <c r="CT1150" s="65">
        <f>CT364</f>
        <v>676507</v>
      </c>
      <c r="CU1150" s="21"/>
      <c r="CV1150" s="65">
        <f>CV364</f>
        <v>694271</v>
      </c>
      <c r="CW1150" s="65">
        <f>CW364</f>
        <v>711105</v>
      </c>
      <c r="CX1150" s="65">
        <f>CX364</f>
        <v>711105</v>
      </c>
      <c r="CY1150" s="21"/>
      <c r="CZ1150" s="65">
        <f>CZ364</f>
        <v>719154</v>
      </c>
      <c r="DA1150" s="65">
        <f>DA364</f>
        <v>807572</v>
      </c>
      <c r="DB1150" s="65">
        <f>DB364</f>
        <v>807572</v>
      </c>
      <c r="DC1150" s="21"/>
      <c r="DD1150" s="65">
        <f>DD364</f>
        <v>824547</v>
      </c>
      <c r="DE1150" s="65">
        <f>DE364</f>
        <v>833971</v>
      </c>
      <c r="DF1150" s="65">
        <f>DF364</f>
        <v>833971</v>
      </c>
      <c r="DG1150" s="21"/>
      <c r="DH1150" s="65">
        <f>DH364</f>
        <v>839814.53258427838</v>
      </c>
      <c r="DI1150" s="65">
        <f>DI364</f>
        <v>858051.63310989505</v>
      </c>
      <c r="DJ1150" s="65">
        <f>DJ364</f>
        <v>858051.63310989505</v>
      </c>
      <c r="DK1150" s="21"/>
      <c r="DL1150" s="65">
        <f>DL364</f>
        <v>877164.28884523176</v>
      </c>
      <c r="DM1150" s="65">
        <f>DM364</f>
        <v>898441.30052072858</v>
      </c>
      <c r="DN1150" s="65">
        <f>DN364</f>
        <v>898441.30052072858</v>
      </c>
      <c r="DO1150" s="21"/>
      <c r="DP1150" s="65">
        <f>DP364</f>
        <v>916529.72743910458</v>
      </c>
      <c r="DQ1150" s="65">
        <f>DQ364</f>
        <v>936390.7061425281</v>
      </c>
      <c r="DR1150" s="65">
        <f>DR364</f>
        <v>936390.7061425281</v>
      </c>
      <c r="DS1150" s="21"/>
      <c r="DT1150" s="21"/>
      <c r="DU1150" s="21"/>
      <c r="DV1150" s="21"/>
    </row>
    <row r="1151" spans="1:128" s="20" customFormat="1" ht="13.8">
      <c r="A1151" s="325" t="s">
        <v>1113</v>
      </c>
      <c r="B1151" s="94"/>
      <c r="C1151" s="93"/>
      <c r="D1151" s="93"/>
      <c r="E1151" s="93"/>
      <c r="F1151" s="93"/>
      <c r="G1151" s="93"/>
      <c r="H1151" s="93"/>
      <c r="I1151" s="93"/>
      <c r="J1151" s="93"/>
      <c r="K1151" s="93"/>
      <c r="L1151" s="93"/>
      <c r="M1151" s="93"/>
      <c r="N1151" s="93"/>
      <c r="O1151" s="93"/>
      <c r="P1151" s="93"/>
      <c r="Q1151" s="93"/>
      <c r="R1151" s="93"/>
      <c r="S1151" s="93"/>
      <c r="T1151" s="93"/>
      <c r="U1151" s="93"/>
      <c r="V1151" s="93"/>
      <c r="W1151" s="93"/>
      <c r="X1151" s="93"/>
      <c r="Y1151" s="93"/>
      <c r="Z1151" s="93"/>
      <c r="AA1151" s="93"/>
      <c r="AB1151" s="93"/>
      <c r="AC1151" s="93"/>
      <c r="AD1151" s="93"/>
      <c r="AE1151" s="93"/>
      <c r="AF1151" s="93"/>
      <c r="AG1151" s="93"/>
      <c r="AH1151" s="93"/>
      <c r="AI1151" s="93"/>
      <c r="AJ1151" s="93"/>
      <c r="AK1151" s="93"/>
      <c r="AL1151" s="93"/>
      <c r="AM1151" s="93"/>
      <c r="AN1151" s="93"/>
      <c r="AO1151" s="93"/>
      <c r="AP1151" s="93"/>
      <c r="AQ1151" s="93"/>
      <c r="AR1151" s="93"/>
      <c r="AS1151" s="93"/>
      <c r="AT1151" s="93"/>
      <c r="AU1151" s="93"/>
      <c r="AV1151" s="93"/>
      <c r="AW1151" s="93"/>
      <c r="AX1151" s="93"/>
      <c r="AY1151" s="93"/>
      <c r="AZ1151" s="93"/>
      <c r="BA1151" s="93"/>
      <c r="BB1151" s="93"/>
      <c r="BC1151" s="93"/>
      <c r="BD1151" s="1195"/>
      <c r="BE1151" s="1195"/>
      <c r="BF1151" s="1195"/>
      <c r="BG1151" s="93"/>
      <c r="BH1151" s="1195"/>
      <c r="BI1151" s="1195"/>
      <c r="BJ1151" s="348"/>
      <c r="BK1151" s="94"/>
      <c r="BL1151" s="1195"/>
      <c r="BM1151" s="1195"/>
      <c r="BN1151" s="348"/>
      <c r="BO1151" s="94"/>
      <c r="BP1151" s="1195"/>
      <c r="BQ1151" s="1195"/>
      <c r="BR1151" s="348"/>
      <c r="BS1151" s="93"/>
      <c r="BT1151" s="1195"/>
      <c r="BU1151" s="1195"/>
      <c r="BV1151" s="348"/>
      <c r="BW1151" s="93"/>
      <c r="BX1151" s="1195"/>
      <c r="BY1151" s="1195"/>
      <c r="BZ1151" s="348"/>
      <c r="CA1151" s="93"/>
      <c r="CB1151" s="1195">
        <v>1.5E-3</v>
      </c>
      <c r="CC1151" s="1195">
        <v>1.5E-3</v>
      </c>
      <c r="CD1151" s="348">
        <f>-CD1152/CD1150*CD$3/CD$4</f>
        <v>1.4842415644442685E-3</v>
      </c>
      <c r="CE1151" s="93"/>
      <c r="CF1151" s="1195">
        <v>1.5E-3</v>
      </c>
      <c r="CG1151" s="1195">
        <v>1.5E-3</v>
      </c>
      <c r="CH1151" s="348">
        <f>-CH1152/CH1150*CH$3/CH$4</f>
        <v>1.4940216568735027E-3</v>
      </c>
      <c r="CI1151" s="93"/>
      <c r="CJ1151" s="1195">
        <v>1.5E-3</v>
      </c>
      <c r="CK1151" s="1195">
        <v>1.5E-3</v>
      </c>
      <c r="CL1151" s="348">
        <f>-CL1152/CL1150*CL$3/CL$4</f>
        <v>1.547473310694677E-3</v>
      </c>
      <c r="CM1151" s="93"/>
      <c r="CN1151" s="1195">
        <v>1.5E-3</v>
      </c>
      <c r="CO1151" s="1195">
        <v>1.5E-3</v>
      </c>
      <c r="CP1151" s="348">
        <f>-CP1152/CP1150*CP$3/CP$4</f>
        <v>1.4821303981510118E-3</v>
      </c>
      <c r="CQ1151" s="93"/>
      <c r="CR1151" s="1198">
        <v>1.5E-3</v>
      </c>
      <c r="CS1151" s="1195">
        <v>1.5E-3</v>
      </c>
      <c r="CT1151" s="348">
        <f>-CT1152/CT1150*CT$3/CT$4</f>
        <v>1.4767249378561441E-3</v>
      </c>
      <c r="CU1151" s="93"/>
      <c r="CV1151" s="1198">
        <v>1.5E-3</v>
      </c>
      <c r="CW1151" s="1195">
        <v>1.5E-3</v>
      </c>
      <c r="CX1151" s="348">
        <f>-CX1152/CX1150*CX$3/CX$4</f>
        <v>1.4822938812284528E-3</v>
      </c>
      <c r="CY1151" s="93"/>
      <c r="CZ1151" s="1198">
        <v>1.5E-3</v>
      </c>
      <c r="DA1151" s="1195">
        <v>1.5E-3</v>
      </c>
      <c r="DB1151" s="348">
        <f>-DB1152/DB1150*DB$3/DB$4</f>
        <v>1.4178853402544913E-3</v>
      </c>
      <c r="DC1151" s="93"/>
      <c r="DD1151" s="1198">
        <v>1.1000000000000001E-3</v>
      </c>
      <c r="DE1151" s="1195">
        <v>1.1000000000000001E-3</v>
      </c>
      <c r="DF1151" s="348">
        <f>-DF1152/DF1150*DF$3/DF$4</f>
        <v>1.0938019434104365E-3</v>
      </c>
      <c r="DG1151" s="93"/>
      <c r="DH1151" s="1195">
        <f>DE1151</f>
        <v>1.1000000000000001E-3</v>
      </c>
      <c r="DI1151" s="1195">
        <f>DH1151</f>
        <v>1.1000000000000001E-3</v>
      </c>
      <c r="DJ1151" s="348">
        <f>-DJ1152/DJ1150*DJ$3/DJ$4</f>
        <v>1.0883422811161156E-3</v>
      </c>
      <c r="DK1151" s="93"/>
      <c r="DL1151" s="1195">
        <f>DI1151</f>
        <v>1.1000000000000001E-3</v>
      </c>
      <c r="DM1151" s="1195">
        <f>DL1151</f>
        <v>1.1000000000000001E-3</v>
      </c>
      <c r="DN1151" s="348">
        <f>-DN1152/DN1150*DN$3/DN$4</f>
        <v>1.0870105090179077E-3</v>
      </c>
      <c r="DO1151" s="93"/>
      <c r="DP1151" s="1195">
        <f>DM1151</f>
        <v>1.1000000000000001E-3</v>
      </c>
      <c r="DQ1151" s="1195">
        <f>DP1151</f>
        <v>1.1000000000000001E-3</v>
      </c>
      <c r="DR1151" s="348">
        <f>-DR1152/DR1150*DR$3/DR$4</f>
        <v>1.0883344225703793E-3</v>
      </c>
      <c r="DS1151" s="93"/>
      <c r="DT1151" s="93"/>
      <c r="DU1151" s="93"/>
      <c r="DV1151" s="93"/>
    </row>
    <row r="1152" spans="1:128" s="20" customFormat="1" ht="13.8">
      <c r="A1152" s="1194" t="s">
        <v>1114</v>
      </c>
      <c r="B1152" s="27"/>
      <c r="C1152" s="21"/>
      <c r="D1152" s="21"/>
      <c r="E1152" s="21"/>
      <c r="F1152" s="21"/>
      <c r="G1152" s="21"/>
      <c r="H1152" s="21"/>
      <c r="I1152" s="21"/>
      <c r="J1152" s="21"/>
      <c r="K1152" s="21"/>
      <c r="L1152" s="21"/>
      <c r="M1152" s="21"/>
      <c r="N1152" s="21"/>
      <c r="O1152" s="21"/>
      <c r="P1152" s="21"/>
      <c r="Q1152" s="21"/>
      <c r="R1152" s="21"/>
      <c r="S1152" s="21"/>
      <c r="T1152" s="21"/>
      <c r="U1152" s="21"/>
      <c r="V1152" s="21"/>
      <c r="W1152" s="21"/>
      <c r="X1152" s="21"/>
      <c r="Y1152" s="21"/>
      <c r="Z1152" s="21"/>
      <c r="AA1152" s="21"/>
      <c r="AB1152" s="21"/>
      <c r="AC1152" s="21"/>
      <c r="AD1152" s="21"/>
      <c r="AE1152" s="21"/>
      <c r="AF1152" s="21"/>
      <c r="AG1152" s="21"/>
      <c r="AH1152" s="21"/>
      <c r="AI1152" s="21"/>
      <c r="AJ1152" s="21"/>
      <c r="AK1152" s="21"/>
      <c r="AL1152" s="21"/>
      <c r="AM1152" s="21"/>
      <c r="AN1152" s="21"/>
      <c r="AO1152" s="21"/>
      <c r="AP1152" s="21"/>
      <c r="AQ1152" s="21"/>
      <c r="AR1152" s="21"/>
      <c r="AS1152" s="21"/>
      <c r="AT1152" s="21"/>
      <c r="AU1152" s="21"/>
      <c r="AV1152" s="21"/>
      <c r="AW1152" s="21"/>
      <c r="AX1152" s="21"/>
      <c r="AY1152" s="21"/>
      <c r="AZ1152" s="21"/>
      <c r="BA1152" s="21"/>
      <c r="BB1152" s="21"/>
      <c r="BC1152" s="21"/>
      <c r="BD1152" s="65"/>
      <c r="BE1152" s="65"/>
      <c r="BF1152" s="65"/>
      <c r="BG1152" s="21"/>
      <c r="BH1152" s="65"/>
      <c r="BI1152" s="65"/>
      <c r="BJ1152" s="65"/>
      <c r="BK1152" s="27"/>
      <c r="BL1152" s="65"/>
      <c r="BM1152" s="65"/>
      <c r="BN1152" s="65"/>
      <c r="BO1152" s="27"/>
      <c r="BP1152" s="65"/>
      <c r="BQ1152" s="65"/>
      <c r="BR1152" s="65"/>
      <c r="BS1152" s="21"/>
      <c r="BT1152" s="65"/>
      <c r="BU1152" s="65"/>
      <c r="BV1152" s="65"/>
      <c r="BW1152" s="21"/>
      <c r="BX1152" s="65"/>
      <c r="BY1152" s="65"/>
      <c r="BZ1152" s="65"/>
      <c r="CA1152" s="21"/>
      <c r="CB1152" s="65">
        <f>CB1150*-CB1151*CB$3/CB$4</f>
        <v>-445.76262739726025</v>
      </c>
      <c r="CC1152" s="65">
        <f t="shared" ref="CC1152" si="1618">CC1150*-CC1151*CC$3/CC$4</f>
        <v>-457.85847945205478</v>
      </c>
      <c r="CD1152" s="65">
        <f>CB1152+CC1152</f>
        <v>-903.62110684931508</v>
      </c>
      <c r="CE1152" s="21"/>
      <c r="CF1152" s="65">
        <f>CF1150*-CF1151*CF$3/CF$4</f>
        <v>-459.39991232876719</v>
      </c>
      <c r="CG1152" s="65">
        <f t="shared" ref="CG1152" si="1619">CG1150*-CG1151*CG$3/CG$4</f>
        <v>-465.64600684931509</v>
      </c>
      <c r="CH1152" s="65">
        <f>CF1152+CG1152</f>
        <v>-925.04591917808227</v>
      </c>
      <c r="CI1152" s="21"/>
      <c r="CJ1152" s="65">
        <f>CJ1150*-CJ1151*CJ$3/CJ$4</f>
        <v>-496.45425</v>
      </c>
      <c r="CK1152" s="65">
        <f t="shared" ref="CK1152" si="1620">CK1150*-CK1151*CK$3/CK$4</f>
        <v>-466.90050000000002</v>
      </c>
      <c r="CL1152" s="65">
        <f>CJ1152+CK1152</f>
        <v>-963.35474999999997</v>
      </c>
      <c r="CM1152" s="21"/>
      <c r="CN1152" s="65">
        <f>CN1150*-CN1151*CN$3/CN$4</f>
        <v>-463.01248767123292</v>
      </c>
      <c r="CO1152" s="65">
        <f t="shared" ref="CO1152" si="1621">CO1150*-CO1151*CO$3/CO$4</f>
        <v>-476.95164657534247</v>
      </c>
      <c r="CP1152" s="65">
        <f>CN1152+CO1152</f>
        <v>-939.96413424657544</v>
      </c>
      <c r="CQ1152" s="21"/>
      <c r="CR1152" s="65">
        <f>CR1150*-CR1151*CR$3/CR$4</f>
        <v>-490.24442465753424</v>
      </c>
      <c r="CS1152" s="65">
        <f t="shared" ref="CS1152" si="1622">CS1150*-CS1151*CS$3/CS$4</f>
        <v>-508.7703328767123</v>
      </c>
      <c r="CT1152" s="65">
        <f>CR1152+CS1152</f>
        <v>-999.01475753424654</v>
      </c>
      <c r="CU1152" s="21"/>
      <c r="CV1152" s="65">
        <f>CV1150*-CV1151*CV$3/CV$4</f>
        <v>-519.27666575342471</v>
      </c>
      <c r="CW1152" s="65">
        <f t="shared" ref="CW1152" si="1623">CW1150*-CW1151*CW$3/CW$4</f>
        <v>-534.78992465753424</v>
      </c>
      <c r="CX1152" s="65">
        <f>CV1152+CW1152</f>
        <v>-1054.066590410959</v>
      </c>
      <c r="CY1152" s="21"/>
      <c r="CZ1152" s="65">
        <f>CZ1150*-CZ1151*CZ$3/CZ$4</f>
        <v>-539.3655</v>
      </c>
      <c r="DA1152" s="65">
        <f t="shared" ref="DA1152" si="1624">DA1150*-DA1151*DA$3/DA$4</f>
        <v>-605.67899999999997</v>
      </c>
      <c r="DB1152" s="65">
        <f>CZ1152+DA1152</f>
        <v>-1145.0445</v>
      </c>
      <c r="DC1152" s="21"/>
      <c r="DD1152" s="65">
        <f>DD1150*-DD1151*DD$3/DD$4</f>
        <v>-452.25838191780821</v>
      </c>
      <c r="DE1152" s="65">
        <f t="shared" ref="DE1152" si="1625">DE1150*-DE1151*DE$3/DE$4</f>
        <v>-459.94071863013698</v>
      </c>
      <c r="DF1152" s="65">
        <f>DD1152+DE1152</f>
        <v>-912.19910054794514</v>
      </c>
      <c r="DG1152" s="21"/>
      <c r="DH1152" s="65">
        <f>DH1150*-DH1151*DH$3/DH$4</f>
        <v>-460.63251896814398</v>
      </c>
      <c r="DI1152" s="65">
        <f t="shared" ref="DI1152" si="1626">DI1150*-DI1151*DI$3/DI$4</f>
        <v>-473.22135272608739</v>
      </c>
      <c r="DJ1152" s="65">
        <f>DH1152+DI1152</f>
        <v>-933.85387169423143</v>
      </c>
      <c r="DK1152" s="21"/>
      <c r="DL1152" s="65">
        <f>DL1150*-DL1151*DL$3/DL$4</f>
        <v>-481.11860445702848</v>
      </c>
      <c r="DM1152" s="65">
        <f t="shared" ref="DM1152" si="1627">DM1150*-DM1151*DM$3/DM$4</f>
        <v>-495.49653094471967</v>
      </c>
      <c r="DN1152" s="65">
        <f>DL1152+DM1152</f>
        <v>-976.61513540174815</v>
      </c>
      <c r="DO1152" s="21"/>
      <c r="DP1152" s="65">
        <f>DP1150*-DP1151*DP$3/DP$4</f>
        <v>-504.09135009150759</v>
      </c>
      <c r="DQ1152" s="65">
        <f t="shared" ref="DQ1152" si="1628">DQ1150*-DQ1151*DQ$3/DQ$4</f>
        <v>-515.01488837839054</v>
      </c>
      <c r="DR1152" s="65">
        <f>DP1152+DQ1152</f>
        <v>-1019.1062384698981</v>
      </c>
      <c r="DS1152" s="21"/>
      <c r="DT1152" s="21"/>
      <c r="DU1152" s="21"/>
      <c r="DV1152" s="21"/>
    </row>
    <row r="1153" spans="1:128" s="20" customFormat="1" ht="13.8">
      <c r="A1153" s="1194" t="s">
        <v>1115</v>
      </c>
      <c r="B1153" s="27"/>
      <c r="C1153" s="21"/>
      <c r="D1153" s="21"/>
      <c r="E1153" s="21"/>
      <c r="F1153" s="21"/>
      <c r="G1153" s="21"/>
      <c r="H1153" s="21"/>
      <c r="I1153" s="21"/>
      <c r="J1153" s="21"/>
      <c r="K1153" s="21"/>
      <c r="L1153" s="21"/>
      <c r="M1153" s="21"/>
      <c r="N1153" s="21"/>
      <c r="O1153" s="21"/>
      <c r="P1153" s="21"/>
      <c r="Q1153" s="21"/>
      <c r="R1153" s="21"/>
      <c r="S1153" s="21"/>
      <c r="T1153" s="21"/>
      <c r="U1153" s="21"/>
      <c r="V1153" s="21"/>
      <c r="W1153" s="21"/>
      <c r="X1153" s="21"/>
      <c r="Y1153" s="21"/>
      <c r="Z1153" s="21"/>
      <c r="AA1153" s="21"/>
      <c r="AB1153" s="21"/>
      <c r="AC1153" s="21"/>
      <c r="AD1153" s="21"/>
      <c r="AE1153" s="21"/>
      <c r="AF1153" s="21"/>
      <c r="AG1153" s="21"/>
      <c r="AH1153" s="21"/>
      <c r="AI1153" s="21"/>
      <c r="AJ1153" s="21"/>
      <c r="AK1153" s="21"/>
      <c r="AL1153" s="21"/>
      <c r="AM1153" s="21"/>
      <c r="AN1153" s="21"/>
      <c r="AO1153" s="21"/>
      <c r="AP1153" s="21"/>
      <c r="AQ1153" s="21"/>
      <c r="AR1153" s="21"/>
      <c r="AS1153" s="21"/>
      <c r="AT1153" s="21"/>
      <c r="AU1153" s="21"/>
      <c r="AV1153" s="21"/>
      <c r="AW1153" s="21"/>
      <c r="AX1153" s="21"/>
      <c r="AY1153" s="21"/>
      <c r="AZ1153" s="21"/>
      <c r="BA1153" s="21"/>
      <c r="BB1153" s="21"/>
      <c r="BC1153" s="21"/>
      <c r="BD1153" s="72"/>
      <c r="BE1153" s="72"/>
      <c r="BF1153" s="72"/>
      <c r="BG1153" s="21"/>
      <c r="BH1153" s="72"/>
      <c r="BI1153" s="72"/>
      <c r="BJ1153" s="72"/>
      <c r="BK1153" s="27"/>
      <c r="BL1153" s="72"/>
      <c r="BM1153" s="72"/>
      <c r="BN1153" s="72"/>
      <c r="BO1153" s="27"/>
      <c r="BP1153" s="72"/>
      <c r="BQ1153" s="72"/>
      <c r="BR1153" s="72"/>
      <c r="BS1153" s="21"/>
      <c r="BT1153" s="72"/>
      <c r="BU1153" s="72"/>
      <c r="BV1153" s="72"/>
      <c r="BW1153" s="21"/>
      <c r="BX1153" s="72"/>
      <c r="BY1153" s="72"/>
      <c r="BZ1153" s="72"/>
      <c r="CA1153" s="21"/>
      <c r="CB1153" s="72">
        <f>CB1148+CB1152</f>
        <v>4734.2373726027399</v>
      </c>
      <c r="CC1153" s="72">
        <f t="shared" ref="CC1153" si="1629">CC1148+CC1152</f>
        <v>4779.1415205479452</v>
      </c>
      <c r="CD1153" s="72">
        <f t="shared" ref="CD1153" si="1630">CD1148+CD1152</f>
        <v>9513.3788931506842</v>
      </c>
      <c r="CE1153" s="21"/>
      <c r="CF1153" s="72">
        <f>CF1148+CF1152</f>
        <v>4808.6000876712333</v>
      </c>
      <c r="CG1153" s="72">
        <f t="shared" ref="CG1153" si="1631">CG1148+CG1152</f>
        <v>4590.3539931506848</v>
      </c>
      <c r="CH1153" s="72">
        <f t="shared" ref="CH1153" si="1632">CH1148+CH1152</f>
        <v>9398.9540808219172</v>
      </c>
      <c r="CI1153" s="21"/>
      <c r="CJ1153" s="72">
        <f>CJ1148+CJ1152</f>
        <v>4518.5457500000002</v>
      </c>
      <c r="CK1153" s="72">
        <f t="shared" ref="CK1153" si="1633">CK1148+CK1152</f>
        <v>4580.0995000000003</v>
      </c>
      <c r="CL1153" s="72">
        <f t="shared" ref="CL1153" si="1634">CL1148+CL1152</f>
        <v>9098.6452499999996</v>
      </c>
      <c r="CM1153" s="21"/>
      <c r="CN1153" s="72">
        <f>CN1148+CN1152</f>
        <v>4402.9875123287675</v>
      </c>
      <c r="CO1153" s="72">
        <f t="shared" ref="CO1153" si="1635">CO1148+CO1152</f>
        <v>4161.0483534246578</v>
      </c>
      <c r="CP1153" s="72">
        <f t="shared" ref="CP1153" si="1636">CP1148+CP1152</f>
        <v>8564.0358657534252</v>
      </c>
      <c r="CQ1153" s="21"/>
      <c r="CR1153" s="72">
        <f>CR1148+CR1152</f>
        <v>3644.7555753424658</v>
      </c>
      <c r="CS1153" s="72">
        <f t="shared" ref="CS1153:CT1153" si="1637">CS1148+CS1152</f>
        <v>4446.229667123288</v>
      </c>
      <c r="CT1153" s="72">
        <f t="shared" si="1637"/>
        <v>8090.9852424657538</v>
      </c>
      <c r="CU1153" s="21"/>
      <c r="CV1153" s="72">
        <f>CV1148+CV1152</f>
        <v>5236.7233342465752</v>
      </c>
      <c r="CW1153" s="72">
        <f t="shared" ref="CW1153:CX1153" si="1638">CW1148+CW1152</f>
        <v>4921.2100753424656</v>
      </c>
      <c r="CX1153" s="72">
        <f t="shared" si="1638"/>
        <v>10157.933409589041</v>
      </c>
      <c r="CY1153" s="21"/>
      <c r="CZ1153" s="72">
        <f>CZ1148+CZ1152</f>
        <v>4754.6345000000001</v>
      </c>
      <c r="DA1153" s="72">
        <f t="shared" ref="DA1153:DB1153" si="1639">DA1148+DA1152</f>
        <v>4330.3209999999999</v>
      </c>
      <c r="DB1153" s="72">
        <f t="shared" si="1639"/>
        <v>9084.9555</v>
      </c>
      <c r="DC1153" s="21"/>
      <c r="DD1153" s="72">
        <f>DD1148+DD1152</f>
        <v>4800.741618082192</v>
      </c>
      <c r="DE1153" s="72">
        <f t="shared" ref="DE1153:DF1153" si="1640">DE1148+DE1152</f>
        <v>4622.0592813698631</v>
      </c>
      <c r="DF1153" s="72">
        <f t="shared" si="1640"/>
        <v>9422.8008994520551</v>
      </c>
      <c r="DG1153" s="21"/>
      <c r="DH1153" s="72">
        <f ca="1">DH1148+DH1152</f>
        <v>5027.5453810575063</v>
      </c>
      <c r="DI1153" s="72">
        <f t="shared" ref="DI1153:DJ1153" ca="1" si="1641">DI1148+DI1152</f>
        <v>5326.6714254710851</v>
      </c>
      <c r="DJ1153" s="72">
        <f t="shared" ca="1" si="1641"/>
        <v>10354.216806528591</v>
      </c>
      <c r="DK1153" s="21"/>
      <c r="DL1153" s="72">
        <f ca="1">DL1148+DL1152</f>
        <v>5586.7334228884365</v>
      </c>
      <c r="DM1153" s="72">
        <f t="shared" ref="DM1153:DN1153" ca="1" si="1642">DM1148+DM1152</f>
        <v>5603.9093853956319</v>
      </c>
      <c r="DN1153" s="72">
        <f t="shared" ca="1" si="1642"/>
        <v>11190.64280828407</v>
      </c>
      <c r="DO1153" s="21"/>
      <c r="DP1153" s="72">
        <f ca="1">DP1148+DP1152</f>
        <v>5884.6230923646208</v>
      </c>
      <c r="DQ1153" s="72">
        <f t="shared" ref="DQ1153:DR1153" ca="1" si="1643">DQ1148+DQ1152</f>
        <v>6106.5193283265617</v>
      </c>
      <c r="DR1153" s="72">
        <f t="shared" ca="1" si="1643"/>
        <v>11991.142420691185</v>
      </c>
      <c r="DS1153" s="21"/>
      <c r="DT1153" s="21"/>
      <c r="DU1153" s="21"/>
      <c r="DV1153" s="21"/>
    </row>
    <row r="1154" spans="1:128" s="20" customFormat="1" ht="13.8">
      <c r="A1154" s="1194" t="s">
        <v>545</v>
      </c>
      <c r="B1154" s="27"/>
      <c r="C1154" s="21"/>
      <c r="D1154" s="21"/>
      <c r="E1154" s="21"/>
      <c r="F1154" s="21"/>
      <c r="G1154" s="21"/>
      <c r="H1154" s="21"/>
      <c r="I1154" s="21"/>
      <c r="J1154" s="21"/>
      <c r="K1154" s="21"/>
      <c r="L1154" s="21"/>
      <c r="M1154" s="21"/>
      <c r="N1154" s="21"/>
      <c r="O1154" s="21"/>
      <c r="P1154" s="21"/>
      <c r="Q1154" s="21"/>
      <c r="R1154" s="21"/>
      <c r="S1154" s="21"/>
      <c r="T1154" s="21"/>
      <c r="U1154" s="21"/>
      <c r="V1154" s="21"/>
      <c r="W1154" s="21"/>
      <c r="X1154" s="21"/>
      <c r="Y1154" s="21"/>
      <c r="Z1154" s="21"/>
      <c r="AA1154" s="21"/>
      <c r="AB1154" s="21"/>
      <c r="AC1154" s="21"/>
      <c r="AD1154" s="21"/>
      <c r="AE1154" s="21"/>
      <c r="AF1154" s="21"/>
      <c r="AG1154" s="21"/>
      <c r="AH1154" s="21"/>
      <c r="AI1154" s="21"/>
      <c r="AJ1154" s="21"/>
      <c r="AK1154" s="21"/>
      <c r="AL1154" s="21"/>
      <c r="AM1154" s="21"/>
      <c r="AN1154" s="21"/>
      <c r="AO1154" s="21"/>
      <c r="AP1154" s="21"/>
      <c r="AQ1154" s="21"/>
      <c r="AR1154" s="21"/>
      <c r="AS1154" s="21"/>
      <c r="AT1154" s="21"/>
      <c r="AU1154" s="21"/>
      <c r="AV1154" s="21"/>
      <c r="AW1154" s="21"/>
      <c r="AX1154" s="21"/>
      <c r="AY1154" s="21"/>
      <c r="AZ1154" s="21"/>
      <c r="BA1154" s="21"/>
      <c r="BB1154" s="21"/>
      <c r="BC1154" s="21"/>
      <c r="BD1154" s="65"/>
      <c r="BE1154" s="65"/>
      <c r="BF1154" s="65"/>
      <c r="BG1154" s="21"/>
      <c r="BH1154" s="65"/>
      <c r="BI1154" s="65"/>
      <c r="BJ1154" s="65"/>
      <c r="BK1154" s="27"/>
      <c r="BL1154" s="65"/>
      <c r="BM1154" s="65"/>
      <c r="BN1154" s="65"/>
      <c r="BO1154" s="27"/>
      <c r="BP1154" s="65"/>
      <c r="BQ1154" s="65"/>
      <c r="BR1154" s="65"/>
      <c r="BS1154" s="21"/>
      <c r="BT1154" s="65"/>
      <c r="BU1154" s="65"/>
      <c r="BV1154" s="65"/>
      <c r="BW1154" s="21"/>
      <c r="BX1154" s="65"/>
      <c r="BY1154" s="65"/>
      <c r="BZ1154" s="65"/>
      <c r="CA1154" s="21"/>
      <c r="CB1154" s="65">
        <f>CB1153*-CB1001</f>
        <v>-1433.5651725504945</v>
      </c>
      <c r="CC1154" s="65">
        <f>CC1153*-CC1001</f>
        <v>-1369.0299079924705</v>
      </c>
      <c r="CD1154" s="65">
        <f>CD1153*-CD1001</f>
        <v>-2801.2644829375749</v>
      </c>
      <c r="CE1154" s="21"/>
      <c r="CF1154" s="65">
        <f>CF1153*-CF1001</f>
        <v>-1379.2414695454215</v>
      </c>
      <c r="CG1154" s="65">
        <f>CG1153*-CG1001</f>
        <v>-1326.0365379698605</v>
      </c>
      <c r="CH1154" s="65">
        <f>CH1153*-CH1001</f>
        <v>-2705.2813267255533</v>
      </c>
      <c r="CI1154" s="21"/>
      <c r="CJ1154" s="65">
        <f>CJ1153*-CJ1001</f>
        <v>-1290.628955667956</v>
      </c>
      <c r="CK1154" s="65">
        <f>CK1153*-CK1001</f>
        <v>-1294.9754481936779</v>
      </c>
      <c r="CL1154" s="65">
        <f>CL1153*-CL1001</f>
        <v>-2584.5750152102896</v>
      </c>
      <c r="CM1154" s="21"/>
      <c r="CN1154" s="65">
        <f>CN1153*-CN1001</f>
        <v>-1273.965025967816</v>
      </c>
      <c r="CO1154" s="65">
        <f>CO1153*-CO1001</f>
        <v>-1214.5953615427088</v>
      </c>
      <c r="CP1154" s="65">
        <f>CP1153*-CP1001</f>
        <v>-2488.1708810638988</v>
      </c>
      <c r="CQ1154" s="21"/>
      <c r="CR1154" s="65">
        <f>CR1153*-CR1001</f>
        <v>-1045.7144076666491</v>
      </c>
      <c r="CS1154" s="65">
        <f>CS1153*-CS1001</f>
        <v>-1258.6919800055321</v>
      </c>
      <c r="CT1154" s="65">
        <f>CT1153*-CT1001</f>
        <v>-2305.1413027269473</v>
      </c>
      <c r="CU1154" s="21"/>
      <c r="CV1154" s="65">
        <f>CV1153*-CV1001</f>
        <v>-1507.781447295964</v>
      </c>
      <c r="CW1154" s="65">
        <f>CW1153*-CW1001</f>
        <v>-1473.416190222295</v>
      </c>
      <c r="CX1154" s="65">
        <f>CX1153*-CX1001</f>
        <v>-2981.5252708550311</v>
      </c>
      <c r="CY1154" s="21"/>
      <c r="CZ1154" s="65">
        <f>CZ1153*-CZ1001</f>
        <v>-1361.5875214395098</v>
      </c>
      <c r="DA1154" s="65">
        <f>DA1153*-DA1001</f>
        <v>-1323.5720273913043</v>
      </c>
      <c r="DB1154" s="65">
        <f>DB1153*-DB1001</f>
        <v>-2683.6869768933225</v>
      </c>
      <c r="DC1154" s="21"/>
      <c r="DD1154" s="65">
        <f>DD1153*-DD1001</f>
        <v>-1427.6285273819203</v>
      </c>
      <c r="DE1154" s="65">
        <f>DE1153*-DE1001</f>
        <v>-1388.7424251169793</v>
      </c>
      <c r="DF1154" s="65">
        <f>DF1153*-DF1001</f>
        <v>-2816.1736668364388</v>
      </c>
      <c r="DG1154" s="21"/>
      <c r="DH1154" s="65">
        <f ca="1">DH1153*-DH1001</f>
        <v>-1483.1258874119642</v>
      </c>
      <c r="DI1154" s="65">
        <f ca="1">DI1153*-DI1001</f>
        <v>-1571.36807051397</v>
      </c>
      <c r="DJ1154" s="65">
        <f ca="1">DJ1153*-DJ1001</f>
        <v>-3054.4939579259344</v>
      </c>
      <c r="DK1154" s="21"/>
      <c r="DL1154" s="65">
        <f ca="1">DL1153*-DL1001</f>
        <v>-1648.0863597520886</v>
      </c>
      <c r="DM1154" s="65">
        <f ca="1">DM1153*-DM1001</f>
        <v>-1653.1532686917114</v>
      </c>
      <c r="DN1154" s="65">
        <f ca="1">DN1153*-DN1001</f>
        <v>-3301.2396284438</v>
      </c>
      <c r="DO1154" s="21"/>
      <c r="DP1154" s="65">
        <f ca="1">DP1153*-DP1001</f>
        <v>-1735.9638122475631</v>
      </c>
      <c r="DQ1154" s="65">
        <f ca="1">DQ1153*-DQ1001</f>
        <v>-1801.4232018563357</v>
      </c>
      <c r="DR1154" s="65">
        <f ca="1">DR1153*-DR1001</f>
        <v>-3537.3870141038992</v>
      </c>
      <c r="DS1154" s="21"/>
      <c r="DT1154" s="21"/>
      <c r="DU1154" s="21"/>
      <c r="DV1154" s="21"/>
    </row>
    <row r="1155" spans="1:128" s="20" customFormat="1" ht="13.8">
      <c r="A1155" s="1194" t="s">
        <v>1116</v>
      </c>
      <c r="B1155" s="27"/>
      <c r="C1155" s="21"/>
      <c r="D1155" s="21"/>
      <c r="E1155" s="21"/>
      <c r="F1155" s="21"/>
      <c r="G1155" s="21"/>
      <c r="H1155" s="21"/>
      <c r="I1155" s="21"/>
      <c r="J1155" s="21"/>
      <c r="K1155" s="21"/>
      <c r="L1155" s="21"/>
      <c r="M1155" s="21"/>
      <c r="N1155" s="21"/>
      <c r="O1155" s="21"/>
      <c r="P1155" s="21"/>
      <c r="Q1155" s="21"/>
      <c r="R1155" s="21"/>
      <c r="S1155" s="21"/>
      <c r="T1155" s="21"/>
      <c r="U1155" s="21"/>
      <c r="V1155" s="21"/>
      <c r="W1155" s="21"/>
      <c r="X1155" s="21"/>
      <c r="Y1155" s="21"/>
      <c r="Z1155" s="21"/>
      <c r="AA1155" s="21"/>
      <c r="AB1155" s="21"/>
      <c r="AC1155" s="21"/>
      <c r="AD1155" s="21"/>
      <c r="AE1155" s="21"/>
      <c r="AF1155" s="21"/>
      <c r="AG1155" s="21"/>
      <c r="AH1155" s="21"/>
      <c r="AI1155" s="21"/>
      <c r="AJ1155" s="21"/>
      <c r="AK1155" s="21"/>
      <c r="AL1155" s="21"/>
      <c r="AM1155" s="21"/>
      <c r="AN1155" s="21"/>
      <c r="AO1155" s="21"/>
      <c r="AP1155" s="21"/>
      <c r="AQ1155" s="21"/>
      <c r="AR1155" s="21"/>
      <c r="AS1155" s="21"/>
      <c r="AT1155" s="21"/>
      <c r="AU1155" s="21"/>
      <c r="AV1155" s="21"/>
      <c r="AW1155" s="21"/>
      <c r="AX1155" s="21"/>
      <c r="AY1155" s="21"/>
      <c r="AZ1155" s="21"/>
      <c r="BA1155" s="21"/>
      <c r="BB1155" s="21"/>
      <c r="BC1155" s="21"/>
      <c r="BD1155" s="72"/>
      <c r="BE1155" s="72"/>
      <c r="BF1155" s="72"/>
      <c r="BG1155" s="21"/>
      <c r="BH1155" s="72"/>
      <c r="BI1155" s="72"/>
      <c r="BJ1155" s="72"/>
      <c r="BK1155" s="27"/>
      <c r="BL1155" s="72"/>
      <c r="BM1155" s="72"/>
      <c r="BN1155" s="72"/>
      <c r="BO1155" s="27"/>
      <c r="BP1155" s="72"/>
      <c r="BQ1155" s="72"/>
      <c r="BR1155" s="72"/>
      <c r="BS1155" s="21"/>
      <c r="BT1155" s="72"/>
      <c r="BU1155" s="72"/>
      <c r="BV1155" s="72"/>
      <c r="BW1155" s="21"/>
      <c r="BX1155" s="72"/>
      <c r="BY1155" s="72"/>
      <c r="BZ1155" s="72"/>
      <c r="CA1155" s="21"/>
      <c r="CB1155" s="72">
        <f>CB1153+CB1154</f>
        <v>3300.6722000522454</v>
      </c>
      <c r="CC1155" s="72">
        <f t="shared" ref="CC1155" si="1644">CC1153+CC1154</f>
        <v>3410.1116125554745</v>
      </c>
      <c r="CD1155" s="72">
        <f t="shared" ref="CD1155" si="1645">CD1153+CD1154</f>
        <v>6712.1144102131093</v>
      </c>
      <c r="CE1155" s="21"/>
      <c r="CF1155" s="72">
        <f>CF1153+CF1154</f>
        <v>3429.3586181258115</v>
      </c>
      <c r="CG1155" s="72">
        <f t="shared" ref="CG1155" si="1646">CG1153+CG1154</f>
        <v>3264.3174551808243</v>
      </c>
      <c r="CH1155" s="72">
        <f t="shared" ref="CH1155" si="1647">CH1153+CH1154</f>
        <v>6693.6727540963639</v>
      </c>
      <c r="CI1155" s="21"/>
      <c r="CJ1155" s="72">
        <f>CJ1153+CJ1154</f>
        <v>3227.9167943320444</v>
      </c>
      <c r="CK1155" s="72">
        <f t="shared" ref="CK1155" si="1648">CK1153+CK1154</f>
        <v>3285.1240518063223</v>
      </c>
      <c r="CL1155" s="72">
        <f t="shared" ref="CL1155" si="1649">CL1153+CL1154</f>
        <v>6514.0702347897095</v>
      </c>
      <c r="CM1155" s="21"/>
      <c r="CN1155" s="72">
        <f>CN1153+CN1154</f>
        <v>3129.0224863609515</v>
      </c>
      <c r="CO1155" s="72">
        <f t="shared" ref="CO1155" si="1650">CO1153+CO1154</f>
        <v>2946.4529918819489</v>
      </c>
      <c r="CP1155" s="72">
        <f t="shared" ref="CP1155" si="1651">CP1153+CP1154</f>
        <v>6075.864984689526</v>
      </c>
      <c r="CQ1155" s="21"/>
      <c r="CR1155" s="72">
        <f>CR1153+CR1154</f>
        <v>2599.0411676758167</v>
      </c>
      <c r="CS1155" s="72">
        <f t="shared" ref="CS1155:CT1155" si="1652">CS1153+CS1154</f>
        <v>3187.5376871177559</v>
      </c>
      <c r="CT1155" s="72">
        <f t="shared" si="1652"/>
        <v>5785.8439397388065</v>
      </c>
      <c r="CU1155" s="21"/>
      <c r="CV1155" s="72">
        <f>CV1153+CV1154</f>
        <v>3728.9418869506112</v>
      </c>
      <c r="CW1155" s="72">
        <f t="shared" ref="CW1155:CX1155" si="1653">CW1153+CW1154</f>
        <v>3447.7938851201707</v>
      </c>
      <c r="CX1155" s="72">
        <f t="shared" si="1653"/>
        <v>7176.4081387340102</v>
      </c>
      <c r="CY1155" s="21"/>
      <c r="CZ1155" s="72">
        <f>CZ1153+CZ1154</f>
        <v>3393.0469785604901</v>
      </c>
      <c r="DA1155" s="72">
        <f t="shared" ref="DA1155:DB1155" si="1654">DA1153+DA1154</f>
        <v>3006.7489726086956</v>
      </c>
      <c r="DB1155" s="72">
        <f t="shared" si="1654"/>
        <v>6401.2685231066771</v>
      </c>
      <c r="DC1155" s="21"/>
      <c r="DD1155" s="72">
        <f>DD1153+DD1154</f>
        <v>3373.1130907002716</v>
      </c>
      <c r="DE1155" s="72">
        <f t="shared" ref="DE1155:DF1155" si="1655">DE1153+DE1154</f>
        <v>3233.3168562528836</v>
      </c>
      <c r="DF1155" s="72">
        <f t="shared" si="1655"/>
        <v>6606.6272326156159</v>
      </c>
      <c r="DG1155" s="21"/>
      <c r="DH1155" s="72">
        <f ca="1">DH1153+DH1154</f>
        <v>3544.4194936455424</v>
      </c>
      <c r="DI1155" s="72">
        <f t="shared" ref="DI1155:DJ1155" ca="1" si="1656">DI1153+DI1154</f>
        <v>3755.3033549571151</v>
      </c>
      <c r="DJ1155" s="72">
        <f t="shared" ca="1" si="1656"/>
        <v>7299.722848602657</v>
      </c>
      <c r="DK1155" s="21"/>
      <c r="DL1155" s="72">
        <f ca="1">DL1153+DL1154</f>
        <v>3938.6470631363482</v>
      </c>
      <c r="DM1155" s="72">
        <f t="shared" ref="DM1155:DN1155" ca="1" si="1657">DM1153+DM1154</f>
        <v>3950.7561167039203</v>
      </c>
      <c r="DN1155" s="72">
        <f t="shared" ca="1" si="1657"/>
        <v>7889.4031798402702</v>
      </c>
      <c r="DO1155" s="21"/>
      <c r="DP1155" s="72">
        <f ca="1">DP1153+DP1154</f>
        <v>4148.6592801170573</v>
      </c>
      <c r="DQ1155" s="72">
        <f t="shared" ref="DQ1155:DR1155" ca="1" si="1658">DQ1153+DQ1154</f>
        <v>4305.0961264702255</v>
      </c>
      <c r="DR1155" s="72">
        <f t="shared" ca="1" si="1658"/>
        <v>8453.7554065872864</v>
      </c>
      <c r="DS1155" s="21"/>
      <c r="DT1155" s="21"/>
      <c r="DU1155" s="21"/>
      <c r="DV1155" s="21"/>
    </row>
    <row r="1156" spans="1:128" s="20" customFormat="1" ht="13.8">
      <c r="A1156" s="1196" t="s">
        <v>1117</v>
      </c>
      <c r="B1156" s="942"/>
      <c r="C1156" s="941"/>
      <c r="D1156" s="941"/>
      <c r="E1156" s="941"/>
      <c r="F1156" s="941"/>
      <c r="G1156" s="941"/>
      <c r="H1156" s="941"/>
      <c r="I1156" s="941"/>
      <c r="J1156" s="941"/>
      <c r="K1156" s="941"/>
      <c r="L1156" s="941"/>
      <c r="M1156" s="941"/>
      <c r="N1156" s="941"/>
      <c r="O1156" s="941"/>
      <c r="P1156" s="941"/>
      <c r="Q1156" s="941"/>
      <c r="R1156" s="941"/>
      <c r="S1156" s="941"/>
      <c r="T1156" s="941"/>
      <c r="U1156" s="941"/>
      <c r="V1156" s="941"/>
      <c r="W1156" s="941"/>
      <c r="X1156" s="941"/>
      <c r="Y1156" s="941"/>
      <c r="Z1156" s="941"/>
      <c r="AA1156" s="941"/>
      <c r="AB1156" s="941"/>
      <c r="AC1156" s="941"/>
      <c r="AD1156" s="941"/>
      <c r="AE1156" s="941"/>
      <c r="AF1156" s="941"/>
      <c r="AG1156" s="941"/>
      <c r="AH1156" s="941"/>
      <c r="AI1156" s="941"/>
      <c r="AJ1156" s="941"/>
      <c r="AK1156" s="941"/>
      <c r="AL1156" s="941"/>
      <c r="AM1156" s="941"/>
      <c r="AN1156" s="941"/>
      <c r="AO1156" s="941"/>
      <c r="AP1156" s="941"/>
      <c r="AQ1156" s="941"/>
      <c r="AR1156" s="941"/>
      <c r="AS1156" s="941"/>
      <c r="AT1156" s="941"/>
      <c r="AU1156" s="941"/>
      <c r="AV1156" s="941"/>
      <c r="AW1156" s="941"/>
      <c r="AX1156" s="941"/>
      <c r="AY1156" s="941"/>
      <c r="AZ1156" s="941"/>
      <c r="BA1156" s="941"/>
      <c r="BB1156" s="941"/>
      <c r="BC1156" s="941"/>
      <c r="BD1156" s="944"/>
      <c r="BE1156" s="944"/>
      <c r="BF1156" s="944"/>
      <c r="BG1156" s="941"/>
      <c r="BH1156" s="944"/>
      <c r="BI1156" s="944"/>
      <c r="BJ1156" s="944"/>
      <c r="BK1156" s="942"/>
      <c r="BL1156" s="944"/>
      <c r="BM1156" s="944"/>
      <c r="BN1156" s="944"/>
      <c r="BO1156" s="942"/>
      <c r="BP1156" s="944"/>
      <c r="BQ1156" s="944"/>
      <c r="BR1156" s="944"/>
      <c r="BS1156" s="941"/>
      <c r="BT1156" s="944"/>
      <c r="BU1156" s="944"/>
      <c r="BV1156" s="944"/>
      <c r="BW1156" s="941"/>
      <c r="BX1156" s="944"/>
      <c r="BY1156" s="944"/>
      <c r="BZ1156" s="944"/>
      <c r="CA1156" s="941"/>
      <c r="CB1156" s="944">
        <f>CB1134/CB1155</f>
        <v>0.70258633449371088</v>
      </c>
      <c r="CC1156" s="944">
        <f>CC1134/CC1155</f>
        <v>0.67414054306487958</v>
      </c>
      <c r="CD1156" s="944">
        <f>CD1134/CD1155</f>
        <v>0.68799507794048198</v>
      </c>
      <c r="CE1156" s="941"/>
      <c r="CF1156" s="944">
        <f>CF1134/CF1155</f>
        <v>0.66092255596141003</v>
      </c>
      <c r="CG1156" s="944">
        <f>CG1134/CG1155</f>
        <v>0.69468364199718569</v>
      </c>
      <c r="CH1156" s="944">
        <f>CH1134/CH1155</f>
        <v>0.67738722345295055</v>
      </c>
      <c r="CI1156" s="941"/>
      <c r="CJ1156" s="944">
        <f>CJ1134/CJ1155</f>
        <v>0.2196600472307785</v>
      </c>
      <c r="CK1156" s="944">
        <f>CK1134/CK1155</f>
        <v>0.3026155369089879</v>
      </c>
      <c r="CL1156" s="944">
        <f>CL1134/CL1155</f>
        <v>0.2614607876276579</v>
      </c>
      <c r="CM1156" s="941"/>
      <c r="CN1156" s="944">
        <f>CN1134/CN1155</f>
        <v>0.63658195768243031</v>
      </c>
      <c r="CO1156" s="944">
        <f>CO1134/CO1155</f>
        <v>0.68997056292471526</v>
      </c>
      <c r="CP1156" s="944">
        <f>CP1134/CP1155</f>
        <v>0.6624316207786286</v>
      </c>
      <c r="CQ1156" s="941"/>
      <c r="CR1156" s="944">
        <f>CR1134/CR1155</f>
        <v>0.7740373758985144</v>
      </c>
      <c r="CS1156" s="944">
        <f>CS1134/CS1155</f>
        <v>0.69412311097743673</v>
      </c>
      <c r="CT1156" s="944">
        <f>CT1134/CT1155</f>
        <v>0.73010931940392076</v>
      </c>
      <c r="CU1156" s="941"/>
      <c r="CV1156" s="944">
        <f>CV1134/CV1155</f>
        <v>0.65239072293759803</v>
      </c>
      <c r="CW1156" s="944">
        <f>CW1134/CW1155</f>
        <v>0.81949156784656418</v>
      </c>
      <c r="CX1156" s="944">
        <f>CX1134/CX1155</f>
        <v>0.73270151422526508</v>
      </c>
      <c r="CY1156" s="941"/>
      <c r="CZ1156" s="944">
        <f>CZ1134/CZ1155</f>
        <v>0.73569092279383497</v>
      </c>
      <c r="DA1156" s="944">
        <f>DA1134/DA1155</f>
        <v>0.82245492335014103</v>
      </c>
      <c r="DB1156" s="944">
        <f>DB1134/DB1155</f>
        <v>0.77627572419479796</v>
      </c>
      <c r="DC1156" s="941"/>
      <c r="DD1156" s="944">
        <f>DD1134/DD1155</f>
        <v>0.73114461328303693</v>
      </c>
      <c r="DE1156" s="944">
        <f>DE1134/DE1155</f>
        <v>0.76587660891046383</v>
      </c>
      <c r="DF1156" s="944">
        <f>DF1134/DF1155</f>
        <v>0.74812079471649007</v>
      </c>
      <c r="DG1156" s="941"/>
      <c r="DH1156" s="944">
        <f ca="1">DH1134/DH1155</f>
        <v>0.72058965163408162</v>
      </c>
      <c r="DI1156" s="944">
        <f ca="1">DI1134/DI1155</f>
        <v>0.69285423208196151</v>
      </c>
      <c r="DJ1156" s="944">
        <f ca="1">DJ1134/DJ1155</f>
        <v>0.70632131347174198</v>
      </c>
      <c r="DK1156" s="941"/>
      <c r="DL1156" s="944">
        <f ca="1">DL1134/DL1155</f>
        <v>0.68719436055895522</v>
      </c>
      <c r="DM1156" s="944">
        <f ca="1">DM1134/DM1155</f>
        <v>0.69759966320830524</v>
      </c>
      <c r="DN1156" s="944">
        <f ca="1">DN1134/DN1155</f>
        <v>0.69240499717505799</v>
      </c>
      <c r="DO1156" s="941"/>
      <c r="DP1156" s="944">
        <f ca="1">DP1134/DP1155</f>
        <v>0.67700249734705131</v>
      </c>
      <c r="DQ1156" s="944">
        <f ca="1">DQ1134/DQ1155</f>
        <v>0.66199417841697428</v>
      </c>
      <c r="DR1156" s="944">
        <f ca="1">DR1134/DR1155</f>
        <v>0.66935947332007739</v>
      </c>
      <c r="DS1156" s="941"/>
      <c r="DT1156" s="941"/>
      <c r="DU1156" s="941"/>
      <c r="DV1156" s="941"/>
    </row>
    <row r="1157" spans="1:128" s="20" customFormat="1" ht="13.8">
      <c r="A1157" s="21"/>
      <c r="B1157" s="27"/>
      <c r="C1157" s="21"/>
      <c r="D1157" s="21"/>
      <c r="E1157" s="21"/>
      <c r="F1157" s="21"/>
      <c r="G1157" s="21"/>
      <c r="H1157" s="21"/>
      <c r="I1157" s="21"/>
      <c r="J1157" s="21"/>
      <c r="K1157" s="21"/>
      <c r="L1157" s="21"/>
      <c r="M1157" s="21"/>
      <c r="N1157" s="21"/>
      <c r="O1157" s="21"/>
      <c r="P1157" s="21"/>
      <c r="Q1157" s="21"/>
      <c r="R1157" s="21"/>
      <c r="S1157" s="21"/>
      <c r="T1157" s="21"/>
      <c r="U1157" s="21"/>
      <c r="V1157" s="21"/>
      <c r="W1157" s="21"/>
      <c r="X1157" s="21"/>
      <c r="Y1157" s="21"/>
      <c r="Z1157" s="21"/>
      <c r="AA1157" s="21"/>
      <c r="AB1157" s="21"/>
      <c r="AC1157" s="21"/>
      <c r="AD1157" s="21"/>
      <c r="AE1157" s="21"/>
      <c r="AF1157" s="21"/>
      <c r="AG1157" s="21"/>
      <c r="AH1157" s="21"/>
      <c r="AI1157" s="21"/>
      <c r="AJ1157" s="21"/>
      <c r="AK1157" s="21"/>
      <c r="AL1157" s="21"/>
      <c r="AM1157" s="21"/>
      <c r="AN1157" s="21"/>
      <c r="AO1157" s="21"/>
      <c r="AP1157" s="21"/>
      <c r="AQ1157" s="21"/>
      <c r="AR1157" s="21"/>
      <c r="AS1157" s="21"/>
      <c r="AT1157" s="21"/>
      <c r="AU1157" s="21"/>
      <c r="AV1157" s="21"/>
      <c r="AW1157" s="21"/>
      <c r="AX1157" s="21"/>
      <c r="AY1157" s="21"/>
      <c r="AZ1157" s="21"/>
      <c r="BA1157" s="21"/>
      <c r="BB1157" s="21"/>
      <c r="BC1157" s="21"/>
      <c r="BD1157" s="72"/>
      <c r="BE1157" s="72"/>
      <c r="BF1157" s="72"/>
      <c r="BG1157" s="21"/>
      <c r="BH1157" s="72"/>
      <c r="BI1157" s="72"/>
      <c r="BJ1157" s="72"/>
      <c r="BK1157" s="27"/>
      <c r="BL1157" s="72"/>
      <c r="BM1157" s="72"/>
      <c r="BN1157" s="72"/>
      <c r="BO1157" s="27"/>
      <c r="BP1157" s="72"/>
      <c r="BQ1157" s="72"/>
      <c r="BR1157" s="72"/>
      <c r="BS1157" s="21"/>
      <c r="BT1157" s="714"/>
      <c r="BU1157" s="714"/>
      <c r="BV1157" s="714"/>
      <c r="BW1157" s="21"/>
      <c r="BX1157" s="714"/>
      <c r="BY1157" s="714"/>
      <c r="BZ1157" s="714"/>
      <c r="CA1157" s="21"/>
      <c r="CB1157" s="714"/>
      <c r="CC1157" s="714"/>
      <c r="CD1157" s="714"/>
      <c r="CE1157" s="21"/>
      <c r="CF1157" s="714"/>
      <c r="CG1157" s="714"/>
      <c r="CH1157" s="714"/>
      <c r="CI1157" s="21"/>
      <c r="CJ1157" s="714"/>
      <c r="CK1157" s="714"/>
      <c r="CL1157" s="714"/>
      <c r="CM1157" s="21"/>
      <c r="CN1157" s="714"/>
      <c r="CO1157" s="714"/>
      <c r="CP1157" s="714"/>
      <c r="CQ1157" s="21"/>
      <c r="CR1157" s="714"/>
      <c r="CS1157" s="714"/>
      <c r="CT1157" s="714"/>
      <c r="CU1157" s="21"/>
      <c r="CV1157" s="714"/>
      <c r="CW1157" s="714"/>
      <c r="CX1157" s="714"/>
      <c r="CY1157" s="21"/>
      <c r="CZ1157" s="714"/>
      <c r="DA1157" s="714"/>
      <c r="DB1157" s="714"/>
      <c r="DC1157" s="21"/>
      <c r="DD1157" s="714"/>
      <c r="DE1157" s="714"/>
      <c r="DF1157" s="714"/>
      <c r="DG1157" s="21"/>
      <c r="DH1157" s="714"/>
      <c r="DI1157" s="714"/>
      <c r="DJ1157" s="714"/>
      <c r="DK1157" s="21"/>
      <c r="DL1157" s="714"/>
      <c r="DM1157" s="714"/>
      <c r="DN1157" s="714"/>
      <c r="DO1157" s="21"/>
      <c r="DP1157" s="714"/>
      <c r="DQ1157" s="714"/>
      <c r="DR1157" s="714"/>
      <c r="DS1157" s="21"/>
      <c r="DT1157" s="21"/>
      <c r="DU1157" s="21"/>
      <c r="DV1157" s="21"/>
    </row>
    <row r="1158" spans="1:128" s="20" customFormat="1" ht="13.8">
      <c r="A1158" s="20" t="s">
        <v>1006</v>
      </c>
      <c r="B1158" s="49"/>
      <c r="BD1158" s="100"/>
      <c r="BE1158" s="100"/>
      <c r="BF1158" s="65"/>
      <c r="BH1158" s="100">
        <f>BH1134/BH1407</f>
        <v>6.2090319430098398E-3</v>
      </c>
      <c r="BI1158" s="100">
        <f>BI1134/BI1407</f>
        <v>7.3592216470900326E-3</v>
      </c>
      <c r="BJ1158" s="65"/>
      <c r="BK1158" s="49"/>
      <c r="BL1158" s="100">
        <f>BL1134/BL1407</f>
        <v>6.3137398017963069E-3</v>
      </c>
      <c r="BM1158" s="100">
        <f>BM1134/BM1407</f>
        <v>7.2436689240697148E-3</v>
      </c>
      <c r="BN1158" s="65"/>
      <c r="BO1158" s="49"/>
      <c r="BP1158" s="100">
        <f>BP1134/BP1407</f>
        <v>6.1487994223278011E-3</v>
      </c>
      <c r="BQ1158" s="100">
        <f>BQ1134/BQ1407</f>
        <v>6.8607235535668521E-3</v>
      </c>
      <c r="BR1158" s="65"/>
      <c r="BT1158" s="100">
        <f>BT1134/BT1407</f>
        <v>6.0103984405217147E-3</v>
      </c>
      <c r="BU1158" s="100">
        <f>BU1134/BU1407</f>
        <v>5.7319738216563623E-3</v>
      </c>
      <c r="BV1158" s="71"/>
      <c r="BX1158" s="100">
        <f>BX1134/BX1407</f>
        <v>5.9158513177513597E-3</v>
      </c>
      <c r="BY1158" s="100">
        <f>BY1134/BY1407</f>
        <v>6.0083205150429685E-3</v>
      </c>
      <c r="BZ1158" s="71"/>
      <c r="CB1158" s="100">
        <f>CB1134/CB1407</f>
        <v>5.8593783428546875E-3</v>
      </c>
      <c r="CC1158" s="100">
        <f>CC1134/CC1407</f>
        <v>5.8822334947034437E-3</v>
      </c>
      <c r="CD1158" s="71"/>
      <c r="CF1158" s="100">
        <f>CF1134/CF1407</f>
        <v>5.7193841475077665E-3</v>
      </c>
      <c r="CG1158" s="100">
        <f>CG1134/CG1407</f>
        <v>5.4385612524912403E-3</v>
      </c>
      <c r="CH1158" s="71"/>
      <c r="CJ1158" s="100">
        <f>CJ1134/CJ1407</f>
        <v>1.5791211715945233E-3</v>
      </c>
      <c r="CK1158" s="100">
        <f>CK1134/CK1407</f>
        <v>2.3152459773768935E-3</v>
      </c>
      <c r="CL1158" s="71"/>
      <c r="CN1158" s="100">
        <f>CN1134/CN1407</f>
        <v>4.8800714905210141E-3</v>
      </c>
      <c r="CO1158" s="100">
        <f>CO1134/CO1407</f>
        <v>4.8859270185490494E-3</v>
      </c>
      <c r="CP1158" s="71"/>
      <c r="CR1158" s="100">
        <f>CR1134/CR1407</f>
        <v>4.5939919282044252E-3</v>
      </c>
      <c r="CS1158" s="100">
        <f>CS1134/CS1407</f>
        <v>4.8657488283727502E-3</v>
      </c>
      <c r="CT1158" s="71"/>
      <c r="CV1158" s="100">
        <f>CV1134/CV1407</f>
        <v>5.5858754340230498E-3</v>
      </c>
      <c r="CW1158" s="100">
        <f>CW1134/CW1407</f>
        <v>6.5203368738364458E-3</v>
      </c>
      <c r="CX1158" s="71"/>
      <c r="CZ1158" s="100">
        <f>CZ1134/CZ1407</f>
        <v>5.7679181816585384E-3</v>
      </c>
      <c r="DA1158" s="100">
        <f>DA1134/DA1407</f>
        <v>5.5374276074718638E-3</v>
      </c>
      <c r="DB1158" s="71"/>
      <c r="DD1158" s="100">
        <f>DD1134/DD1407</f>
        <v>5.2585047436348471E-3</v>
      </c>
      <c r="DE1158" s="100">
        <f>DE1134/DE1407</f>
        <v>5.4003662643087843E-3</v>
      </c>
      <c r="DF1158" s="71"/>
      <c r="DH1158" s="100">
        <f ca="1">DH1134/DH1407</f>
        <v>5.4624887207823701E-3</v>
      </c>
      <c r="DI1158" s="100">
        <f ca="1">DI1134/DI1407</f>
        <v>5.454007455828881E-3</v>
      </c>
      <c r="DJ1158" s="71"/>
      <c r="DL1158" s="100">
        <f ca="1">DL1134/DL1407</f>
        <v>5.5914322614097076E-3</v>
      </c>
      <c r="DM1158" s="100">
        <f ca="1">DM1134/DM1407</f>
        <v>5.5915949409939139E-3</v>
      </c>
      <c r="DN1158" s="71"/>
      <c r="DP1158" s="100">
        <f ca="1">DP1134/DP1407</f>
        <v>5.5688595840973501E-3</v>
      </c>
      <c r="DQ1158" s="100">
        <f ca="1">DQ1134/DQ1407</f>
        <v>5.557923639151187E-3</v>
      </c>
      <c r="DR1158" s="71"/>
    </row>
    <row r="1159" spans="1:128" s="20" customFormat="1" ht="13.8">
      <c r="A1159" s="20" t="s">
        <v>1007</v>
      </c>
      <c r="B1159" s="49"/>
      <c r="BD1159" s="100"/>
      <c r="BE1159" s="100"/>
      <c r="BF1159" s="65"/>
      <c r="BH1159" s="100">
        <f>(BH1134-BH1171)/BH1407</f>
        <v>4.9938370468284041E-3</v>
      </c>
      <c r="BI1159" s="100">
        <f>(BI1134-BI1171)/BI1407</f>
        <v>5.9561886198104723E-3</v>
      </c>
      <c r="BJ1159" s="65"/>
      <c r="BK1159" s="49"/>
      <c r="BL1159" s="100">
        <f ca="1">(BL1134-BL1171)/BL1407</f>
        <v>5.0509918414370454E-3</v>
      </c>
      <c r="BM1159" s="100">
        <f>(BM1134-BM1171)/BM1407</f>
        <v>6.5323040363290345E-3</v>
      </c>
      <c r="BN1159" s="65"/>
      <c r="BO1159" s="49"/>
      <c r="BP1159" s="100">
        <f>(BP1134-BP1171)/BP1407</f>
        <v>3.9142855081773136E-3</v>
      </c>
      <c r="BQ1159" s="100">
        <f>(BQ1134-BQ1171)/BQ1407</f>
        <v>6.325960371476127E-3</v>
      </c>
      <c r="BR1159" s="65"/>
      <c r="BT1159" s="100">
        <f>(BT1134-BT1171)/BT1407</f>
        <v>5.5003835678473483E-3</v>
      </c>
      <c r="BU1159" s="100">
        <f>(BU1134-BU1171)/BU1407</f>
        <v>5.2454819808997943E-3</v>
      </c>
      <c r="BV1159" s="71"/>
      <c r="BX1159" s="100">
        <f>(BX1134-BX1171)/BX1407</f>
        <v>5.2676900802186176E-3</v>
      </c>
      <c r="BY1159" s="100">
        <f>(BY1134-BY1171)/BY1407</f>
        <v>5.5186423930669659E-3</v>
      </c>
      <c r="BZ1159" s="71"/>
      <c r="CB1159" s="100">
        <f ca="1">(CB1134-CB1171)/CB1407</f>
        <v>5.2734405085692188E-3</v>
      </c>
      <c r="CC1159" s="100">
        <f>(CC1134-CC1171)/CC1407</f>
        <v>5.3734202974115956E-3</v>
      </c>
      <c r="CD1159" s="71"/>
      <c r="CF1159" s="100">
        <f>(CF1134-CF1171)/CF1407</f>
        <v>5.131431457143969E-3</v>
      </c>
      <c r="CG1159" s="100">
        <f>(CG1134-CG1171)/CG1407</f>
        <v>4.9953185104132034E-3</v>
      </c>
      <c r="CH1159" s="71"/>
      <c r="CJ1159" s="100">
        <f>(CJ1134-CJ1171)/CJ1407</f>
        <v>1.4104797495835303E-3</v>
      </c>
      <c r="CK1159" s="100">
        <f>(CK1134-CK1171)/CK1407</f>
        <v>2.0479857877797034E-3</v>
      </c>
      <c r="CL1159" s="71"/>
      <c r="CN1159" s="100">
        <f>(CN1134-CN1171)/CN1407</f>
        <v>4.3943735150894494E-3</v>
      </c>
      <c r="CO1159" s="100">
        <f>(CO1134-CO1171)/CO1407</f>
        <v>4.3960302814322035E-3</v>
      </c>
      <c r="CP1159" s="71"/>
      <c r="CR1159" s="100">
        <f>(CR1134-CR1171)/CR1407</f>
        <v>4.1746839513141969E-3</v>
      </c>
      <c r="CS1159" s="100">
        <f>(CS1134-CS1171)/CS1407</f>
        <v>4.4125997760370165E-3</v>
      </c>
      <c r="CT1159" s="71"/>
      <c r="CV1159" s="100">
        <f>(CV1134-CV1171)/CV1407</f>
        <v>4.8373346723334576E-3</v>
      </c>
      <c r="CW1159" s="100">
        <f>(CW1134-CW1171)/CW1407</f>
        <v>6.0334066802413084E-3</v>
      </c>
      <c r="CX1159" s="71"/>
      <c r="CZ1159" s="100">
        <f>(CZ1134-CZ1171)/CZ1407</f>
        <v>5.0192681778459683E-3</v>
      </c>
      <c r="DA1159" s="100">
        <f>(DA1134-DA1171)/DA1407</f>
        <v>5.0649499885799245E-3</v>
      </c>
      <c r="DB1159" s="71"/>
      <c r="DD1159" s="100">
        <f>(DD1134-DD1171)/DD1407</f>
        <v>4.8491222076379684E-3</v>
      </c>
      <c r="DE1159" s="100">
        <f>(DE1134-DE1171)/DE1407</f>
        <v>3.7802563850161488E-3</v>
      </c>
      <c r="DF1159" s="71"/>
      <c r="DH1159" s="100">
        <f ca="1">(DH1134-DH1171)/DH1407</f>
        <v>4.9162398487041332E-3</v>
      </c>
      <c r="DI1159" s="100">
        <f ca="1">(DI1134-DI1171)/DI1407</f>
        <v>4.9086067102459933E-3</v>
      </c>
      <c r="DJ1159" s="71"/>
      <c r="DL1159" s="100">
        <f ca="1">(DL1134-DL1171)/DL1407</f>
        <v>5.0322890352687373E-3</v>
      </c>
      <c r="DM1159" s="100">
        <f ca="1">(DM1134-DM1171)/DM1407</f>
        <v>5.0324354468945223E-3</v>
      </c>
      <c r="DN1159" s="71"/>
      <c r="DP1159" s="100">
        <f ca="1">(DP1134-DP1171)/DP1407</f>
        <v>5.0119736256876149E-3</v>
      </c>
      <c r="DQ1159" s="100">
        <f ca="1">(DQ1134-DQ1171)/DQ1407</f>
        <v>5.0021312752360683E-3</v>
      </c>
      <c r="DR1159" s="71"/>
    </row>
    <row r="1160" spans="1:128" s="20" customFormat="1" ht="13.8">
      <c r="A1160" s="20" t="s">
        <v>1009</v>
      </c>
      <c r="B1160" s="49"/>
      <c r="BD1160" s="100"/>
      <c r="BE1160" s="100"/>
      <c r="BF1160" s="65"/>
      <c r="BH1160" s="100"/>
      <c r="BI1160" s="100"/>
      <c r="BJ1160" s="65"/>
      <c r="BK1160" s="49"/>
      <c r="BL1160" s="100"/>
      <c r="BM1160" s="100"/>
      <c r="BN1160" s="65"/>
      <c r="BO1160" s="49"/>
      <c r="BP1160" s="100"/>
      <c r="BQ1160" s="100"/>
      <c r="BR1160" s="65"/>
      <c r="BT1160" s="100"/>
      <c r="BU1160" s="100"/>
      <c r="BV1160" s="71"/>
      <c r="BX1160" s="100"/>
      <c r="BY1160" s="100"/>
      <c r="BZ1160" s="71"/>
      <c r="CB1160" s="100">
        <f>+CB1252</f>
        <v>0.11043340062712083</v>
      </c>
      <c r="CC1160" s="100">
        <f>+CC1252</f>
        <v>0.11435187554372857</v>
      </c>
      <c r="CD1160" s="71"/>
      <c r="CF1160" s="100">
        <f>+CF1252</f>
        <v>0.11488527370038684</v>
      </c>
      <c r="CG1160" s="100">
        <f>+CG1252</f>
        <v>0.11357177289962371</v>
      </c>
      <c r="CH1160" s="71"/>
      <c r="CJ1160" s="100">
        <f>+CJ1252</f>
        <v>0.10763854863567121</v>
      </c>
      <c r="CK1160" s="100">
        <f>+CK1252</f>
        <v>0.11342295008663573</v>
      </c>
      <c r="CL1160" s="71"/>
      <c r="CN1160" s="100">
        <f>+CN1252</f>
        <v>0.12442486635339543</v>
      </c>
      <c r="CO1160" s="100">
        <f>+CO1252</f>
        <v>0.12343361708877491</v>
      </c>
      <c r="CP1160" s="71"/>
      <c r="CR1160" s="100">
        <f>+CR1252</f>
        <v>0.11534561896280057</v>
      </c>
      <c r="CS1160" s="100">
        <f>+CS1252</f>
        <v>0.12287175788070848</v>
      </c>
      <c r="CT1160" s="71"/>
      <c r="CV1160" s="100">
        <f>+CV1252</f>
        <v>0.13175235860659137</v>
      </c>
      <c r="CW1160" s="100">
        <f>+CW1252</f>
        <v>0.13337271852434765</v>
      </c>
      <c r="CX1160" s="71"/>
      <c r="CZ1160" s="100">
        <f>+CZ1252</f>
        <v>0.1349695803169747</v>
      </c>
      <c r="DA1160" s="100">
        <f>+DA1252</f>
        <v>0.12196864181718027</v>
      </c>
      <c r="DB1160" s="71"/>
      <c r="DD1160" s="100">
        <f>+DD1252</f>
        <v>0.11775931291964375</v>
      </c>
      <c r="DE1160" s="100">
        <f>+DE1252</f>
        <v>0.12034535173057506</v>
      </c>
      <c r="DF1160" s="71"/>
      <c r="DH1160" s="100">
        <f ca="1">+DH1252</f>
        <v>0.12423791116115317</v>
      </c>
      <c r="DI1160" s="100">
        <f ca="1">+DI1252</f>
        <v>0.12416047323567664</v>
      </c>
      <c r="DJ1160" s="71"/>
      <c r="DL1160" s="100">
        <f ca="1">+DL1252</f>
        <v>0.12491467520708401</v>
      </c>
      <c r="DM1160" s="100">
        <f ca="1">+DM1252</f>
        <v>0.12397303500389423</v>
      </c>
      <c r="DN1160" s="71"/>
      <c r="DP1160" s="100">
        <f ca="1">+DP1252</f>
        <v>0.12277347526778618</v>
      </c>
      <c r="DQ1160" s="100">
        <f ca="1">+DQ1252</f>
        <v>0.12236318860895939</v>
      </c>
      <c r="DR1160" s="71"/>
    </row>
    <row r="1161" spans="1:128" s="47" customFormat="1" ht="13.8">
      <c r="A1161" s="21" t="s">
        <v>1008</v>
      </c>
      <c r="B1161" s="95"/>
      <c r="C1161" s="78"/>
      <c r="D1161" s="78"/>
      <c r="E1161" s="78"/>
      <c r="F1161" s="78"/>
      <c r="G1161" s="78"/>
      <c r="H1161" s="78"/>
      <c r="I1161" s="78"/>
      <c r="J1161" s="78"/>
      <c r="K1161" s="78"/>
      <c r="L1161" s="78"/>
      <c r="M1161" s="78"/>
      <c r="N1161" s="78"/>
      <c r="O1161" s="78"/>
      <c r="P1161" s="78"/>
      <c r="Q1161" s="78"/>
      <c r="R1161" s="78"/>
      <c r="S1161" s="78"/>
      <c r="T1161" s="78"/>
      <c r="U1161" s="78"/>
      <c r="V1161" s="78"/>
      <c r="W1161" s="78"/>
      <c r="X1161" s="78"/>
      <c r="Y1161" s="78"/>
      <c r="Z1161" s="78"/>
      <c r="AA1161" s="78"/>
      <c r="AB1161" s="78"/>
      <c r="AC1161" s="78"/>
      <c r="AD1161" s="78"/>
      <c r="AE1161" s="78"/>
      <c r="AF1161" s="78"/>
      <c r="AG1161" s="78"/>
      <c r="AH1161" s="78"/>
      <c r="AI1161" s="78"/>
      <c r="AJ1161" s="78"/>
      <c r="AK1161" s="78"/>
      <c r="AL1161" s="78"/>
      <c r="AM1161" s="78"/>
      <c r="AN1161" s="78"/>
      <c r="AO1161" s="78"/>
      <c r="AP1161" s="78"/>
      <c r="AQ1161" s="78"/>
      <c r="AR1161" s="78"/>
      <c r="AS1161" s="78"/>
      <c r="AT1161" s="78"/>
      <c r="AU1161" s="78"/>
      <c r="AV1161" s="78"/>
      <c r="AW1161" s="78"/>
      <c r="AX1161" s="78"/>
      <c r="AY1161" s="78"/>
      <c r="AZ1161" s="78"/>
      <c r="BA1161" s="78"/>
      <c r="BB1161" s="78"/>
      <c r="BC1161" s="78"/>
      <c r="BD1161" s="835"/>
      <c r="BE1161" s="835"/>
      <c r="BF1161" s="383"/>
      <c r="BG1161" s="78"/>
      <c r="BH1161" s="835"/>
      <c r="BI1161" s="835"/>
      <c r="BJ1161" s="383"/>
      <c r="BK1161" s="95"/>
      <c r="BL1161" s="835"/>
      <c r="BM1161" s="835"/>
      <c r="BN1161" s="383"/>
      <c r="BO1161" s="95"/>
      <c r="BP1161" s="835"/>
      <c r="BQ1161" s="835"/>
      <c r="BR1161" s="383"/>
      <c r="BS1161" s="78"/>
      <c r="BT1161" s="835"/>
      <c r="BU1161" s="835"/>
      <c r="BV1161" s="97"/>
      <c r="BW1161" s="78"/>
      <c r="BX1161" s="835"/>
      <c r="BY1161" s="835"/>
      <c r="BZ1161" s="97"/>
      <c r="CA1161" s="78"/>
      <c r="CB1161" s="959">
        <f ca="1">+CB1160-CB1159</f>
        <v>0.10515996011855161</v>
      </c>
      <c r="CC1161" s="959">
        <f>+CC1160-CC1159</f>
        <v>0.10897845524631697</v>
      </c>
      <c r="CD1161" s="97"/>
      <c r="CE1161" s="78"/>
      <c r="CF1161" s="959">
        <f>+CF1160-CF1159</f>
        <v>0.10975384224324287</v>
      </c>
      <c r="CG1161" s="959">
        <f>+CG1160-CG1159</f>
        <v>0.10857645438921051</v>
      </c>
      <c r="CH1161" s="97"/>
      <c r="CI1161" s="78"/>
      <c r="CJ1161" s="959">
        <f>+CJ1160-CJ1159</f>
        <v>0.10622806888608768</v>
      </c>
      <c r="CK1161" s="959">
        <f>+CK1160-CK1159</f>
        <v>0.11137496429885603</v>
      </c>
      <c r="CL1161" s="97"/>
      <c r="CM1161" s="78"/>
      <c r="CN1161" s="959">
        <f>+CN1160-CN1159</f>
        <v>0.12003049283830598</v>
      </c>
      <c r="CO1161" s="959">
        <f>+CO1160-CO1159</f>
        <v>0.11903758680734271</v>
      </c>
      <c r="CP1161" s="97"/>
      <c r="CQ1161" s="78"/>
      <c r="CR1161" s="959">
        <f>+CR1160-CR1159</f>
        <v>0.11117093501148638</v>
      </c>
      <c r="CS1161" s="959">
        <f>+CS1160-CS1159</f>
        <v>0.11845915810467146</v>
      </c>
      <c r="CT1161" s="97"/>
      <c r="CU1161" s="78"/>
      <c r="CV1161" s="959">
        <f>+CV1160-CV1159</f>
        <v>0.12691502393425791</v>
      </c>
      <c r="CW1161" s="959">
        <f>+CW1160-CW1159</f>
        <v>0.12733931184410635</v>
      </c>
      <c r="CX1161" s="97"/>
      <c r="CY1161" s="78"/>
      <c r="CZ1161" s="959">
        <f>+CZ1160-CZ1159</f>
        <v>0.12995031213912872</v>
      </c>
      <c r="DA1161" s="959">
        <f>+DA1160-DA1159</f>
        <v>0.11690369182860035</v>
      </c>
      <c r="DB1161" s="97"/>
      <c r="DC1161" s="78"/>
      <c r="DD1161" s="959">
        <f>+DD1160-DD1159</f>
        <v>0.11291019071200578</v>
      </c>
      <c r="DE1161" s="959">
        <f>+DE1160-DE1159</f>
        <v>0.11656509534555891</v>
      </c>
      <c r="DF1161" s="97"/>
      <c r="DG1161" s="78"/>
      <c r="DH1161" s="959">
        <f ca="1">+DH1160-DH1159</f>
        <v>0.11932167131244903</v>
      </c>
      <c r="DI1161" s="959">
        <f ca="1">+DI1160-DI1159</f>
        <v>0.11925186652543064</v>
      </c>
      <c r="DJ1161" s="97"/>
      <c r="DK1161" s="78"/>
      <c r="DL1161" s="959">
        <f ca="1">+DL1160-DL1159</f>
        <v>0.11988238617181526</v>
      </c>
      <c r="DM1161" s="959">
        <f ca="1">+DM1160-DM1159</f>
        <v>0.1189405995569997</v>
      </c>
      <c r="DN1161" s="97"/>
      <c r="DO1161" s="78"/>
      <c r="DP1161" s="959">
        <f ca="1">+DP1160-DP1159</f>
        <v>0.11776150164209856</v>
      </c>
      <c r="DQ1161" s="959">
        <f ca="1">+DQ1160-DQ1159</f>
        <v>0.11736105733372333</v>
      </c>
      <c r="DR1161" s="97"/>
      <c r="DS1161" s="78"/>
      <c r="DT1161" s="78"/>
      <c r="DU1161" s="78"/>
      <c r="DV1161" s="78"/>
    </row>
    <row r="1162" spans="1:128" s="20" customFormat="1" ht="13.8">
      <c r="A1162" s="21"/>
      <c r="B1162" s="27"/>
      <c r="C1162" s="21"/>
      <c r="D1162" s="21"/>
      <c r="E1162" s="21"/>
      <c r="F1162" s="21"/>
      <c r="G1162" s="21"/>
      <c r="H1162" s="21"/>
      <c r="I1162" s="21"/>
      <c r="J1162" s="21"/>
      <c r="K1162" s="21"/>
      <c r="L1162" s="21"/>
      <c r="M1162" s="21"/>
      <c r="N1162" s="21"/>
      <c r="O1162" s="21"/>
      <c r="P1162" s="21"/>
      <c r="Q1162" s="21"/>
      <c r="R1162" s="21"/>
      <c r="S1162" s="21"/>
      <c r="T1162" s="21"/>
      <c r="U1162" s="21"/>
      <c r="V1162" s="21"/>
      <c r="W1162" s="21"/>
      <c r="X1162" s="21"/>
      <c r="Y1162" s="21"/>
      <c r="Z1162" s="21"/>
      <c r="AA1162" s="21"/>
      <c r="AB1162" s="21"/>
      <c r="AC1162" s="21"/>
      <c r="AD1162" s="21"/>
      <c r="AE1162" s="21"/>
      <c r="AF1162" s="21"/>
      <c r="AG1162" s="21"/>
      <c r="AH1162" s="21"/>
      <c r="AI1162" s="21"/>
      <c r="AJ1162" s="21"/>
      <c r="AK1162" s="21"/>
      <c r="AL1162" s="21"/>
      <c r="AM1162" s="21"/>
      <c r="AN1162" s="21"/>
      <c r="AO1162" s="21"/>
      <c r="AP1162" s="21"/>
      <c r="AQ1162" s="21"/>
      <c r="AR1162" s="21"/>
      <c r="AS1162" s="21"/>
      <c r="AT1162" s="21"/>
      <c r="AU1162" s="21"/>
      <c r="AV1162" s="21"/>
      <c r="AW1162" s="21"/>
      <c r="AX1162" s="21"/>
      <c r="AY1162" s="21"/>
      <c r="AZ1162" s="21"/>
      <c r="BA1162" s="21"/>
      <c r="BB1162" s="21"/>
      <c r="BC1162" s="21"/>
      <c r="BD1162" s="72"/>
      <c r="BE1162" s="72"/>
      <c r="BF1162" s="72"/>
      <c r="BG1162" s="21"/>
      <c r="BH1162" s="72"/>
      <c r="BI1162" s="72"/>
      <c r="BJ1162" s="72"/>
      <c r="BK1162" s="27"/>
      <c r="BL1162" s="72"/>
      <c r="BM1162" s="72"/>
      <c r="BN1162" s="72"/>
      <c r="BO1162" s="27"/>
      <c r="BP1162" s="72"/>
      <c r="BQ1162" s="72"/>
      <c r="BR1162" s="72"/>
      <c r="BS1162" s="21"/>
      <c r="BT1162" s="714"/>
      <c r="BU1162" s="714"/>
      <c r="BV1162" s="714"/>
      <c r="BW1162" s="21"/>
      <c r="BX1162" s="714"/>
      <c r="BY1162" s="714"/>
      <c r="BZ1162" s="714"/>
      <c r="CA1162" s="21"/>
      <c r="CB1162" s="714"/>
      <c r="CC1162" s="714"/>
      <c r="CD1162" s="714"/>
      <c r="CE1162" s="21"/>
      <c r="CF1162" s="714"/>
      <c r="CG1162" s="714"/>
      <c r="CH1162" s="714"/>
      <c r="CI1162" s="21"/>
      <c r="CJ1162" s="714"/>
      <c r="CK1162" s="714"/>
      <c r="CL1162" s="714"/>
      <c r="CM1162" s="21"/>
      <c r="CN1162" s="714"/>
      <c r="CO1162" s="714"/>
      <c r="CP1162" s="714"/>
      <c r="CQ1162" s="21"/>
      <c r="CR1162" s="714"/>
      <c r="CS1162" s="714"/>
      <c r="CT1162" s="714"/>
      <c r="CU1162" s="21"/>
      <c r="CV1162" s="714"/>
      <c r="CW1162" s="714"/>
      <c r="CX1162" s="714"/>
      <c r="CY1162" s="21"/>
      <c r="CZ1162" s="714"/>
      <c r="DA1162" s="714"/>
      <c r="DB1162" s="714"/>
      <c r="DC1162" s="21"/>
      <c r="DD1162" s="714"/>
      <c r="DE1162" s="714"/>
      <c r="DF1162" s="714"/>
      <c r="DG1162" s="21"/>
      <c r="DH1162" s="714"/>
      <c r="DI1162" s="714"/>
      <c r="DJ1162" s="714"/>
      <c r="DK1162" s="21"/>
      <c r="DL1162" s="714"/>
      <c r="DM1162" s="714"/>
      <c r="DN1162" s="714"/>
      <c r="DO1162" s="21"/>
      <c r="DP1162" s="714"/>
      <c r="DQ1162" s="714"/>
      <c r="DR1162" s="714"/>
      <c r="DS1162" s="21"/>
      <c r="DT1162" s="21"/>
      <c r="DU1162" s="21"/>
      <c r="DV1162" s="21"/>
    </row>
    <row r="1163" spans="1:128" s="21" customFormat="1" ht="13.8">
      <c r="A1163" s="20" t="s">
        <v>637</v>
      </c>
      <c r="B1163" s="27"/>
      <c r="BD1163" s="65">
        <f>BD1125</f>
        <v>66</v>
      </c>
      <c r="BE1163" s="65">
        <f>BE1125</f>
        <v>79</v>
      </c>
      <c r="BF1163" s="65">
        <f>BF1125</f>
        <v>145</v>
      </c>
      <c r="BH1163" s="65">
        <f>BH1125</f>
        <v>73</v>
      </c>
      <c r="BI1163" s="65">
        <f>BI1125</f>
        <v>91</v>
      </c>
      <c r="BJ1163" s="65">
        <f>BJ1125</f>
        <v>164</v>
      </c>
      <c r="BK1163" s="27"/>
      <c r="BL1163" s="65">
        <f>BL1125</f>
        <v>83</v>
      </c>
      <c r="BM1163" s="65">
        <f>BM1125</f>
        <v>95</v>
      </c>
      <c r="BN1163" s="65">
        <f>BN1125</f>
        <v>178</v>
      </c>
      <c r="BO1163" s="27"/>
      <c r="BP1163" s="65">
        <f>BP1125</f>
        <v>86</v>
      </c>
      <c r="BQ1163" s="65">
        <f>BQ1125</f>
        <v>95</v>
      </c>
      <c r="BR1163" s="65">
        <f>BR1125</f>
        <v>181</v>
      </c>
      <c r="BT1163" s="65">
        <f>BT1125</f>
        <v>80</v>
      </c>
      <c r="BU1163" s="65">
        <f>BU1125</f>
        <v>80</v>
      </c>
      <c r="BV1163" s="65">
        <f>BV1125</f>
        <v>160</v>
      </c>
      <c r="BX1163" s="65">
        <f>BX1125</f>
        <v>80</v>
      </c>
      <c r="BY1163" s="65">
        <f>BY1125</f>
        <v>80</v>
      </c>
      <c r="BZ1163" s="65">
        <f>BZ1125</f>
        <v>160</v>
      </c>
      <c r="CB1163" s="65">
        <f>CB1125</f>
        <v>80</v>
      </c>
      <c r="CC1163" s="65">
        <f>CC1125</f>
        <v>80</v>
      </c>
      <c r="CD1163" s="65">
        <f>CD1125</f>
        <v>160</v>
      </c>
      <c r="CF1163" s="65">
        <f>CF1125</f>
        <v>80</v>
      </c>
      <c r="CG1163" s="65">
        <f>CG1125</f>
        <v>80</v>
      </c>
      <c r="CH1163" s="65">
        <f>CH1125</f>
        <v>160</v>
      </c>
      <c r="CJ1163" s="65">
        <f>CJ1125</f>
        <v>25</v>
      </c>
      <c r="CK1163" s="65">
        <f>CK1125</f>
        <v>35</v>
      </c>
      <c r="CL1163" s="65">
        <f>CL1125</f>
        <v>60</v>
      </c>
      <c r="CN1163" s="65">
        <f>CN1125</f>
        <v>70</v>
      </c>
      <c r="CO1163" s="65">
        <f>CO1125</f>
        <v>72</v>
      </c>
      <c r="CP1163" s="65">
        <f>CP1125</f>
        <v>142</v>
      </c>
      <c r="CR1163" s="65">
        <f>CR1125</f>
        <v>72</v>
      </c>
      <c r="CS1163" s="65">
        <f>CS1125</f>
        <v>74</v>
      </c>
      <c r="CT1163" s="65">
        <f>CT1125</f>
        <v>146</v>
      </c>
      <c r="CV1163" s="65">
        <f>CV1125</f>
        <v>81</v>
      </c>
      <c r="CW1163" s="65">
        <f>CW1125</f>
        <v>81</v>
      </c>
      <c r="CX1163" s="65">
        <f>CX1125</f>
        <v>162</v>
      </c>
      <c r="CZ1163" s="65">
        <f>CZ1125</f>
        <v>83</v>
      </c>
      <c r="DA1163" s="65">
        <f>DA1125</f>
        <v>83</v>
      </c>
      <c r="DB1163" s="65">
        <f>DB1125</f>
        <v>166</v>
      </c>
      <c r="DD1163" s="65">
        <f>DD1125</f>
        <v>83</v>
      </c>
      <c r="DE1163" s="65">
        <f>DE1125</f>
        <v>83</v>
      </c>
      <c r="DF1163" s="65">
        <f>DF1125</f>
        <v>166</v>
      </c>
      <c r="DH1163" s="65">
        <f ca="1">DH1125</f>
        <v>85</v>
      </c>
      <c r="DI1163" s="65">
        <f ca="1">DI1125</f>
        <v>87</v>
      </c>
      <c r="DJ1163" s="65">
        <f ca="1">DJ1125</f>
        <v>172</v>
      </c>
      <c r="DL1163" s="65">
        <f ca="1">DL1125</f>
        <v>90</v>
      </c>
      <c r="DM1163" s="65">
        <f ca="1">DM1125</f>
        <v>92</v>
      </c>
      <c r="DN1163" s="65">
        <f ca="1">DN1125</f>
        <v>182</v>
      </c>
      <c r="DP1163" s="65">
        <f ca="1">DP1125</f>
        <v>94</v>
      </c>
      <c r="DQ1163" s="65">
        <f ca="1">DQ1125</f>
        <v>96</v>
      </c>
      <c r="DR1163" s="65">
        <f ca="1">DR1125</f>
        <v>190</v>
      </c>
      <c r="DW1163" s="20"/>
      <c r="DX1163" s="20"/>
    </row>
    <row r="1164" spans="1:128" s="93" customFormat="1" ht="13.8">
      <c r="A1164" s="325" t="s">
        <v>162</v>
      </c>
      <c r="B1164" s="94"/>
      <c r="BD1164" s="394">
        <v>1</v>
      </c>
      <c r="BE1164" s="394">
        <v>1</v>
      </c>
      <c r="BF1164" s="395">
        <f>+(BD1163/BF1163)*BD1164+(BE1163/BF1163)*BE1164</f>
        <v>1</v>
      </c>
      <c r="BH1164" s="394">
        <v>1</v>
      </c>
      <c r="BI1164" s="394">
        <v>1</v>
      </c>
      <c r="BJ1164" s="395">
        <f>+(BH1163/BJ1163)*BH1164+(BI1163/BJ1163)*BI1164</f>
        <v>1</v>
      </c>
      <c r="BK1164" s="94"/>
      <c r="BL1164" s="394">
        <v>1</v>
      </c>
      <c r="BM1164" s="394">
        <v>1</v>
      </c>
      <c r="BN1164" s="395">
        <f>+(BL1163/BN1163)*BL1164+(BM1163/BN1163)*BM1164</f>
        <v>1</v>
      </c>
      <c r="BO1164" s="94"/>
      <c r="BP1164" s="394">
        <v>1</v>
      </c>
      <c r="BQ1164" s="394">
        <v>1</v>
      </c>
      <c r="BR1164" s="395">
        <f>+(BP1163/BR1163)*BP1164+(BQ1163/BR1163)*BQ1164</f>
        <v>1</v>
      </c>
      <c r="BT1164" s="394">
        <v>1</v>
      </c>
      <c r="BU1164" s="394">
        <v>1</v>
      </c>
      <c r="BV1164" s="395">
        <f>+(BT1163/BV1163)*BT1164+(BU1163/BV1163)*BU1164</f>
        <v>1</v>
      </c>
      <c r="BX1164" s="711">
        <v>1</v>
      </c>
      <c r="BY1164" s="711">
        <v>1</v>
      </c>
      <c r="BZ1164" s="395">
        <f>+(BX1163/BZ1163)*BX1164+(BY1163/BZ1163)*BY1164</f>
        <v>1</v>
      </c>
      <c r="CB1164" s="711">
        <v>1</v>
      </c>
      <c r="CC1164" s="711">
        <v>1</v>
      </c>
      <c r="CD1164" s="395">
        <f>+(CB1163/CD1163)*CB1164+(CC1163/CD1163)*CC1164</f>
        <v>1</v>
      </c>
      <c r="CF1164" s="711">
        <v>1</v>
      </c>
      <c r="CG1164" s="711">
        <v>0.7</v>
      </c>
      <c r="CH1164" s="395">
        <f>+(CF1163/CH1163)*CF1164+(CG1163/CH1163)*CG1164</f>
        <v>0.85</v>
      </c>
      <c r="CJ1164" s="711">
        <v>1</v>
      </c>
      <c r="CK1164" s="711">
        <v>1</v>
      </c>
      <c r="CL1164" s="395">
        <f>+(CJ1163/CL1163)*CJ1164+(CK1163/CL1163)*CK1164</f>
        <v>1</v>
      </c>
      <c r="CN1164" s="711">
        <v>1</v>
      </c>
      <c r="CO1164" s="711">
        <v>1</v>
      </c>
      <c r="CP1164" s="395">
        <f>+(CN1163/CP1163)*CN1164+(CO1163/CP1163)*CO1164</f>
        <v>1</v>
      </c>
      <c r="CR1164" s="711">
        <v>1</v>
      </c>
      <c r="CS1164" s="711">
        <v>1</v>
      </c>
      <c r="CT1164" s="395">
        <f>+(CR1163/CT1163)*CR1164+(CS1163/CT1163)*CS1164</f>
        <v>1</v>
      </c>
      <c r="CV1164" s="711">
        <v>1</v>
      </c>
      <c r="CW1164" s="711">
        <v>0.65</v>
      </c>
      <c r="CX1164" s="395">
        <f>+(CV1163/CX1163)*CV1164+(CW1163/CX1163)*CW1164</f>
        <v>0.82499999999999996</v>
      </c>
      <c r="CZ1164" s="711">
        <v>0.65</v>
      </c>
      <c r="DA1164" s="711">
        <v>0.7</v>
      </c>
      <c r="DB1164" s="395">
        <f>+(CZ1163/DB1163)*CZ1164+(DA1163/DB1163)*DA1164</f>
        <v>0.67500000000000004</v>
      </c>
      <c r="DD1164" s="711">
        <v>0.7</v>
      </c>
      <c r="DE1164" s="711">
        <v>0.7</v>
      </c>
      <c r="DF1164" s="395">
        <f>+(DD1163/DF1163)*DD1164+(DE1163/DF1163)*DE1164</f>
        <v>0.7</v>
      </c>
      <c r="DH1164" s="1258">
        <f>DE1164</f>
        <v>0.7</v>
      </c>
      <c r="DI1164" s="1258">
        <f>DH1164</f>
        <v>0.7</v>
      </c>
      <c r="DJ1164" s="395">
        <f ca="1">+(DH1163/DJ1163)*DH1164+(DI1163/DJ1163)*DI1164</f>
        <v>0.7</v>
      </c>
      <c r="DL1164" s="1258">
        <f>DI1164</f>
        <v>0.7</v>
      </c>
      <c r="DM1164" s="1258">
        <f>DL1164</f>
        <v>0.7</v>
      </c>
      <c r="DN1164" s="395">
        <f ca="1">+(DL1163/DN1163)*DL1164+(DM1163/DN1163)*DM1164</f>
        <v>0.7</v>
      </c>
      <c r="DP1164" s="1258">
        <f>DM1164</f>
        <v>0.7</v>
      </c>
      <c r="DQ1164" s="1258">
        <f>DP1164</f>
        <v>0.7</v>
      </c>
      <c r="DR1164" s="395">
        <f ca="1">+(DP1163/DR1163)*DP1164+(DQ1163/DR1163)*DQ1164</f>
        <v>0.7</v>
      </c>
      <c r="DW1164" s="20"/>
      <c r="DX1164" s="20"/>
    </row>
    <row r="1165" spans="1:128" s="325" customFormat="1" ht="13.8">
      <c r="A1165" s="325" t="s">
        <v>236</v>
      </c>
      <c r="B1165" s="324"/>
      <c r="BD1165" s="394">
        <v>0.3</v>
      </c>
      <c r="BE1165" s="394">
        <v>0.3</v>
      </c>
      <c r="BF1165" s="394"/>
      <c r="BH1165" s="394">
        <v>0.3</v>
      </c>
      <c r="BI1165" s="394">
        <v>0.3</v>
      </c>
      <c r="BJ1165" s="394"/>
      <c r="BK1165" s="324"/>
      <c r="BL1165" s="394">
        <v>0.3</v>
      </c>
      <c r="BM1165" s="394">
        <v>0.3</v>
      </c>
      <c r="BN1165" s="394"/>
      <c r="BO1165" s="324"/>
      <c r="BP1165" s="394">
        <v>0.3</v>
      </c>
      <c r="BQ1165" s="394">
        <v>0.3</v>
      </c>
      <c r="BR1165" s="394"/>
      <c r="BT1165" s="394">
        <v>0.3</v>
      </c>
      <c r="BU1165" s="394">
        <v>0.3</v>
      </c>
      <c r="BV1165" s="394"/>
      <c r="BX1165" s="711">
        <v>0.3</v>
      </c>
      <c r="BY1165" s="711">
        <v>0.3</v>
      </c>
      <c r="BZ1165" s="394"/>
      <c r="CB1165" s="711">
        <v>0.3</v>
      </c>
      <c r="CC1165" s="711">
        <v>0.3</v>
      </c>
      <c r="CD1165" s="394"/>
      <c r="CF1165" s="711">
        <v>0.3</v>
      </c>
      <c r="CG1165" s="711">
        <v>0.3</v>
      </c>
      <c r="CH1165" s="394"/>
      <c r="CJ1165" s="711">
        <v>0.3</v>
      </c>
      <c r="CK1165" s="711">
        <v>0.3</v>
      </c>
      <c r="CL1165" s="394"/>
      <c r="CN1165" s="711">
        <v>0.3</v>
      </c>
      <c r="CO1165" s="711">
        <v>0.3</v>
      </c>
      <c r="CP1165" s="394"/>
      <c r="CR1165" s="711">
        <v>0.3</v>
      </c>
      <c r="CS1165" s="711">
        <v>0.3</v>
      </c>
      <c r="CT1165" s="394"/>
      <c r="CV1165" s="711">
        <v>0.3</v>
      </c>
      <c r="CW1165" s="711">
        <v>0.3</v>
      </c>
      <c r="CX1165" s="394"/>
      <c r="CZ1165" s="711">
        <v>0.3</v>
      </c>
      <c r="DA1165" s="711">
        <v>0.3</v>
      </c>
      <c r="DB1165" s="394"/>
      <c r="DD1165" s="711">
        <v>0.3</v>
      </c>
      <c r="DE1165" s="711">
        <v>0.3</v>
      </c>
      <c r="DF1165" s="394"/>
      <c r="DH1165" s="394">
        <v>0.3</v>
      </c>
      <c r="DI1165" s="394">
        <v>0.3</v>
      </c>
      <c r="DJ1165" s="394"/>
      <c r="DL1165" s="394">
        <v>0.3</v>
      </c>
      <c r="DM1165" s="394">
        <v>0.3</v>
      </c>
      <c r="DN1165" s="394"/>
      <c r="DP1165" s="394">
        <v>0.3</v>
      </c>
      <c r="DQ1165" s="394">
        <v>0.3</v>
      </c>
      <c r="DR1165" s="394"/>
      <c r="DW1165" s="20"/>
      <c r="DX1165" s="20"/>
    </row>
    <row r="1166" spans="1:128" s="20" customFormat="1" ht="13.8">
      <c r="A1166" s="20" t="s">
        <v>134</v>
      </c>
      <c r="B1166" s="49"/>
      <c r="BD1166" s="65">
        <f>(BD1163*BD1164)/(1-BD1165)+((1-BD1164)*BD1163)</f>
        <v>94.285714285714292</v>
      </c>
      <c r="BE1166" s="65">
        <f>(BE1163*BE1164)/(1-BE1165)+((1-BE1164)*BE1163)</f>
        <v>112.85714285714286</v>
      </c>
      <c r="BF1166" s="65">
        <f>SUM(BD1166:BE1166)</f>
        <v>207.14285714285717</v>
      </c>
      <c r="BG1166" s="21"/>
      <c r="BH1166" s="65">
        <f>(BH1163*BH1164)/(1-BH1165)+((1-BH1164)*BH1163)</f>
        <v>104.28571428571429</v>
      </c>
      <c r="BI1166" s="65">
        <f>(BI1163*BI1164)/(1-BI1165)+((1-BI1164)*BI1163)</f>
        <v>130</v>
      </c>
      <c r="BJ1166" s="65">
        <f>SUM(BH1166:BI1166)</f>
        <v>234.28571428571428</v>
      </c>
      <c r="BK1166" s="27"/>
      <c r="BL1166" s="65">
        <f>(BL1163*BL1164)/(1-BL1165)+((1-BL1164)*BL1163)</f>
        <v>118.57142857142858</v>
      </c>
      <c r="BM1166" s="65">
        <f>(BM1163*BM1164)/(1-BM1165)+((1-BM1164)*BM1163)</f>
        <v>135.71428571428572</v>
      </c>
      <c r="BN1166" s="65">
        <f>SUM(BL1166:BM1166)</f>
        <v>254.28571428571431</v>
      </c>
      <c r="BO1166" s="27"/>
      <c r="BP1166" s="65">
        <f>(BP1163*BP1164)/(1-BP1165)+((1-BP1164)*BP1163)</f>
        <v>122.85714285714286</v>
      </c>
      <c r="BQ1166" s="65">
        <f>(BQ1163*BQ1164)/(1-BQ1165)+((1-BQ1164)*BQ1163)</f>
        <v>135.71428571428572</v>
      </c>
      <c r="BR1166" s="65">
        <f>SUM(BP1166:BQ1166)</f>
        <v>258.57142857142856</v>
      </c>
      <c r="BT1166" s="65">
        <f>(BT1163*BT1164)/(1-BT1165)+((1-BT1164)*BT1163)</f>
        <v>114.28571428571429</v>
      </c>
      <c r="BU1166" s="65">
        <f>(BU1163*BU1164)/(1-BU1165)+((1-BU1164)*BU1163)</f>
        <v>114.28571428571429</v>
      </c>
      <c r="BV1166" s="65">
        <f>SUM(BT1166:BU1166)</f>
        <v>228.57142857142858</v>
      </c>
      <c r="BX1166" s="65">
        <f>(BX1163*BX1164)/(1-BX1165)+((1-BX1164)*BX1163)</f>
        <v>114.28571428571429</v>
      </c>
      <c r="BY1166" s="65">
        <f>(BY1163*BY1164)/(1-BY1165)+((1-BY1164)*BY1163)</f>
        <v>114.28571428571429</v>
      </c>
      <c r="BZ1166" s="65">
        <f>SUM(BX1166:BY1166)</f>
        <v>228.57142857142858</v>
      </c>
      <c r="CB1166" s="65">
        <f>(CB1163*CB1164)/(1-CB1165)+((1-CB1164)*CB1163)</f>
        <v>114.28571428571429</v>
      </c>
      <c r="CC1166" s="65">
        <f>(CC1163*CC1164)/(1-CC1165)+((1-CC1164)*CC1163)</f>
        <v>114.28571428571429</v>
      </c>
      <c r="CD1166" s="65">
        <f>SUM(CB1166:CC1166)</f>
        <v>228.57142857142858</v>
      </c>
      <c r="CF1166" s="65">
        <f>(CF1163*CF1164)/(1-CF1165)+((1-CF1164)*CF1163)</f>
        <v>114.28571428571429</v>
      </c>
      <c r="CG1166" s="65">
        <f>(CG1163*CG1164)/(1-CG1165)+((1-CG1164)*CG1163)</f>
        <v>104</v>
      </c>
      <c r="CH1166" s="65">
        <f>SUM(CF1166:CG1166)</f>
        <v>218.28571428571428</v>
      </c>
      <c r="CJ1166" s="65">
        <f>(CJ1163*CJ1164)/(1-CJ1165)+((1-CJ1164)*CJ1163)</f>
        <v>35.714285714285715</v>
      </c>
      <c r="CK1166" s="65">
        <f>(CK1163*CK1164)/(1-CK1165)+((1-CK1164)*CK1163)</f>
        <v>50</v>
      </c>
      <c r="CL1166" s="65">
        <f>SUM(CJ1166:CK1166)</f>
        <v>85.714285714285722</v>
      </c>
      <c r="CN1166" s="65">
        <f>(CN1163*CN1164)/(1-CN1165)+((1-CN1164)*CN1163)</f>
        <v>100</v>
      </c>
      <c r="CO1166" s="65">
        <f>(CO1163*CO1164)/(1-CO1165)+((1-CO1164)*CO1163)</f>
        <v>102.85714285714286</v>
      </c>
      <c r="CP1166" s="65">
        <f>SUM(CN1166:CO1166)</f>
        <v>202.85714285714286</v>
      </c>
      <c r="CR1166" s="65">
        <f>(CR1163*CR1164)/(1-CR1165)+((1-CR1164)*CR1163)</f>
        <v>102.85714285714286</v>
      </c>
      <c r="CS1166" s="65">
        <f>(CS1163*CS1164)/(1-CS1165)+((1-CS1164)*CS1163)</f>
        <v>105.71428571428572</v>
      </c>
      <c r="CT1166" s="65">
        <f>SUM(CR1166:CS1166)</f>
        <v>208.57142857142858</v>
      </c>
      <c r="CV1166" s="65">
        <f>(CV1163*CV1164)/(1-CV1165)+((1-CV1164)*CV1163)</f>
        <v>115.71428571428572</v>
      </c>
      <c r="CW1166" s="65">
        <f>(CW1163*CW1164)/(1-CW1165)+((1-CW1164)*CW1163)</f>
        <v>103.56428571428572</v>
      </c>
      <c r="CX1166" s="65">
        <f>SUM(CV1166:CW1166)</f>
        <v>219.27857142857144</v>
      </c>
      <c r="CZ1166" s="65">
        <f>(CZ1163*CZ1164)/(1-CZ1165)+((1-CZ1164)*CZ1163)</f>
        <v>106.12142857142858</v>
      </c>
      <c r="DA1166" s="65">
        <f>(DA1163*DA1164)/(1-DA1165)+((1-DA1164)*DA1163)</f>
        <v>107.9</v>
      </c>
      <c r="DB1166" s="65">
        <f>SUM(CZ1166:DA1166)</f>
        <v>214.0214285714286</v>
      </c>
      <c r="DD1166" s="65">
        <f>(DD1163*DD1164)/(1-DD1165)+((1-DD1164)*DD1163)</f>
        <v>107.9</v>
      </c>
      <c r="DE1166" s="65">
        <f>(DE1163*DE1164)/(1-DE1165)+((1-DE1164)*DE1163)</f>
        <v>107.9</v>
      </c>
      <c r="DF1166" s="65">
        <f>SUM(DD1166:DE1166)</f>
        <v>215.8</v>
      </c>
      <c r="DH1166" s="65">
        <f ca="1">(DH1163*DH1164)/(1-DH1165)+((1-DH1164)*DH1163)</f>
        <v>110.5</v>
      </c>
      <c r="DI1166" s="65">
        <f ca="1">(DI1163*DI1164)/(1-DI1165)+((1-DI1164)*DI1163)</f>
        <v>113.10000000000001</v>
      </c>
      <c r="DJ1166" s="65">
        <f ca="1">SUM(DH1166:DI1166)</f>
        <v>223.60000000000002</v>
      </c>
      <c r="DL1166" s="65">
        <f ca="1">(DL1163*DL1164)/(1-DL1165)+((1-DL1164)*DL1163)</f>
        <v>117</v>
      </c>
      <c r="DM1166" s="65">
        <f ca="1">(DM1163*DM1164)/(1-DM1165)+((1-DM1164)*DM1163)</f>
        <v>119.60000000000001</v>
      </c>
      <c r="DN1166" s="65">
        <f ca="1">SUM(DL1166:DM1166)</f>
        <v>236.60000000000002</v>
      </c>
      <c r="DP1166" s="65">
        <f ca="1">(DP1163*DP1164)/(1-DP1165)+((1-DP1164)*DP1163)</f>
        <v>122.2</v>
      </c>
      <c r="DQ1166" s="65">
        <f ca="1">(DQ1163*DQ1164)/(1-DQ1165)+((1-DQ1164)*DQ1163)</f>
        <v>124.79999999999998</v>
      </c>
      <c r="DR1166" s="65">
        <f ca="1">SUM(DP1166:DQ1166)</f>
        <v>247</v>
      </c>
    </row>
    <row r="1167" spans="1:128" s="20" customFormat="1" ht="13.8">
      <c r="B1167" s="49"/>
      <c r="BH1167" s="49"/>
      <c r="BI1167" s="49"/>
      <c r="BJ1167" s="49"/>
      <c r="BK1167" s="49"/>
      <c r="BL1167" s="49"/>
      <c r="BM1167" s="49"/>
      <c r="BN1167" s="49"/>
      <c r="BO1167" s="49"/>
      <c r="BP1167" s="49"/>
      <c r="BT1167" s="49"/>
      <c r="BX1167" s="49"/>
      <c r="CB1167" s="49"/>
      <c r="CF1167" s="49"/>
      <c r="CJ1167" s="49"/>
      <c r="CN1167" s="49"/>
      <c r="CR1167" s="49"/>
      <c r="CV1167" s="49"/>
      <c r="CZ1167" s="49"/>
      <c r="DD1167" s="49"/>
      <c r="DH1167" s="49"/>
      <c r="DL1167" s="49"/>
      <c r="DP1167" s="49"/>
    </row>
    <row r="1168" spans="1:128" s="20" customFormat="1" ht="13.8">
      <c r="A1168" s="21" t="s">
        <v>616</v>
      </c>
      <c r="B1168" s="49"/>
      <c r="BH1168" s="49"/>
      <c r="BI1168" s="49"/>
      <c r="BJ1168" s="49"/>
      <c r="BK1168" s="49"/>
      <c r="BL1168" s="23"/>
      <c r="BM1168" s="49"/>
      <c r="BN1168" s="49"/>
      <c r="BO1168" s="49"/>
      <c r="BP1168" s="66"/>
      <c r="BQ1168" s="65"/>
      <c r="BT1168" s="65"/>
      <c r="BU1168" s="65"/>
      <c r="BV1168" s="65"/>
      <c r="BX1168" s="65"/>
      <c r="BY1168" s="65"/>
      <c r="BZ1168" s="65"/>
      <c r="CB1168" s="65"/>
      <c r="CF1168" s="49"/>
      <c r="CJ1168" s="49"/>
      <c r="CN1168" s="49"/>
      <c r="CR1168" s="49"/>
      <c r="CV1168" s="49"/>
      <c r="CZ1168" s="49"/>
      <c r="DD1168" s="49"/>
      <c r="DH1168" s="49"/>
      <c r="DL1168" s="49"/>
      <c r="DP1168" s="49"/>
    </row>
    <row r="1169" spans="1:128" s="20" customFormat="1" ht="13.8">
      <c r="A1169" s="20" t="s">
        <v>647</v>
      </c>
      <c r="B1169" s="49"/>
      <c r="BD1169" s="65"/>
      <c r="BE1169" s="65"/>
      <c r="BH1169" s="65">
        <f>BH1134</f>
        <v>2002.9219422400001</v>
      </c>
      <c r="BI1169" s="65">
        <f>BI1134</f>
        <v>2496.7263321</v>
      </c>
      <c r="BJ1169" s="49"/>
      <c r="BK1169" s="65"/>
      <c r="BL1169" s="65">
        <f>BL1134</f>
        <v>2277.6184960999999</v>
      </c>
      <c r="BM1169" s="65">
        <f>BM1134</f>
        <v>2618.7963824499998</v>
      </c>
      <c r="BN1169" s="49"/>
      <c r="BO1169" s="65"/>
      <c r="BP1169" s="65">
        <f>BP1134</f>
        <v>2378.74299092</v>
      </c>
      <c r="BQ1169" s="65">
        <f>BQ1134</f>
        <v>2757.5786429499999</v>
      </c>
      <c r="BT1169" s="65">
        <f>BT1134</f>
        <v>2334.0480784000001</v>
      </c>
      <c r="BU1169" s="65">
        <f>BU1134</f>
        <v>2341.9813279999998</v>
      </c>
      <c r="BV1169" s="65">
        <f>BT1169+BU1169</f>
        <v>4676.0294064</v>
      </c>
      <c r="BX1169" s="65">
        <f>BX1134</f>
        <v>2348.8296071999998</v>
      </c>
      <c r="BY1169" s="65">
        <f>BY1134</f>
        <v>2349.9322616000004</v>
      </c>
      <c r="BZ1169" s="65">
        <f>BX1169+BY1169</f>
        <v>4698.7618688000002</v>
      </c>
      <c r="CB1169" s="65">
        <f>CB1134</f>
        <v>2319.0071823999997</v>
      </c>
      <c r="CC1169" s="65">
        <f>CC1134</f>
        <v>2298.8944944</v>
      </c>
      <c r="CD1169" s="65">
        <f>CB1169+CC1169</f>
        <v>4617.9016768000001</v>
      </c>
      <c r="CF1169" s="65">
        <f>CF1134</f>
        <v>2266.5404632000004</v>
      </c>
      <c r="CG1169" s="65">
        <f>CG1134</f>
        <v>2267.6679383999999</v>
      </c>
      <c r="CJ1169" s="65">
        <f>CJ1134</f>
        <v>709.04435550000005</v>
      </c>
      <c r="CK1169" s="65">
        <f>CK1134</f>
        <v>994.12957875000006</v>
      </c>
      <c r="CN1169" s="65">
        <f>CN1134</f>
        <v>1991.8792600000002</v>
      </c>
      <c r="CO1169" s="65">
        <f>CO1134</f>
        <v>2032.9658294399999</v>
      </c>
      <c r="CR1169" s="65">
        <f>CR1134</f>
        <v>2011.75500528</v>
      </c>
      <c r="CS1169" s="65">
        <f>CS1134</f>
        <v>2212.5435757400001</v>
      </c>
      <c r="CV1169" s="65">
        <f>CV1134</f>
        <v>2432.7270934200001</v>
      </c>
      <c r="CW1169" s="65">
        <f>CW1134</f>
        <v>2825.4380165289253</v>
      </c>
      <c r="CZ1169" s="65">
        <f>CZ1134</f>
        <v>2496.2338627400004</v>
      </c>
      <c r="DA1169" s="65">
        <f>DA1134</f>
        <v>2472.9154957999999</v>
      </c>
      <c r="DD1169" s="65">
        <f>DD1134</f>
        <v>2466.2334662599997</v>
      </c>
      <c r="DE1169" s="65">
        <f>DE1134</f>
        <v>2476.3217494</v>
      </c>
      <c r="DH1169" s="65">
        <f ca="1">DH1134</f>
        <v>2554.0720081710892</v>
      </c>
      <c r="DI1169" s="65">
        <f ca="1">DI1134</f>
        <v>2601.8778222336255</v>
      </c>
      <c r="DL1169" s="65">
        <f ca="1">DL1134</f>
        <v>2706.6160500193896</v>
      </c>
      <c r="DM1169" s="65">
        <f ca="1">DM1134</f>
        <v>2756.0461364308067</v>
      </c>
      <c r="DP1169" s="65">
        <f ca="1">DP1134</f>
        <v>2808.6526932812681</v>
      </c>
      <c r="DQ1169" s="65">
        <f ca="1">DQ1134</f>
        <v>2849.9485732487551</v>
      </c>
    </row>
    <row r="1170" spans="1:128" s="325" customFormat="1" ht="13.8">
      <c r="A1170" s="325" t="s">
        <v>521</v>
      </c>
      <c r="B1170" s="324"/>
      <c r="BD1170" s="355"/>
      <c r="BE1170" s="355"/>
      <c r="BH1170" s="371">
        <f>+BH1171/BH1169</f>
        <v>0.19571406739975122</v>
      </c>
      <c r="BI1170" s="371">
        <f>+BI1171/BI1169</f>
        <v>0.19064964945502685</v>
      </c>
      <c r="BJ1170" s="324"/>
      <c r="BK1170" s="396"/>
      <c r="BL1170" s="371">
        <f ca="1">+BL1171/BL1169</f>
        <v>0.2</v>
      </c>
      <c r="BM1170" s="371">
        <f>+BM1171/BM1169</f>
        <v>9.8205052604890819E-2</v>
      </c>
      <c r="BN1170" s="324"/>
      <c r="BO1170" s="396"/>
      <c r="BP1170" s="371">
        <f>+BP1171/BP1169</f>
        <v>0.36340653852464572</v>
      </c>
      <c r="BQ1170" s="371">
        <f>+BQ1171/BQ1169</f>
        <v>7.7945595375680923E-2</v>
      </c>
      <c r="BT1170" s="371">
        <f>+BT1171/BT1169</f>
        <v>8.4855418109368447E-2</v>
      </c>
      <c r="BU1170" s="371">
        <f>+BU1171/BU1169</f>
        <v>8.4873353559034026E-2</v>
      </c>
      <c r="BV1170" s="355">
        <f>+BV1171/BV1169</f>
        <v>8.4864401048647786E-2</v>
      </c>
      <c r="BX1170" s="371">
        <f>+BX1171/BX1169</f>
        <v>0.10956347661879901</v>
      </c>
      <c r="BY1170" s="397">
        <v>8.1500000000000003E-2</v>
      </c>
      <c r="BZ1170" s="355">
        <f>+BZ1171/BZ1169</f>
        <v>9.5528445493458097E-2</v>
      </c>
      <c r="CB1170" s="397">
        <v>0.1</v>
      </c>
      <c r="CC1170" s="953">
        <v>8.6499999999999994E-2</v>
      </c>
      <c r="CD1170" s="922">
        <f ca="1">+CD1171/CD1169</f>
        <v>9.3279398773187833E-2</v>
      </c>
      <c r="CE1170" s="533"/>
      <c r="CF1170" s="953">
        <v>0.1028</v>
      </c>
      <c r="CG1170" s="953">
        <v>8.1500000000000003E-2</v>
      </c>
      <c r="CJ1170" s="371">
        <f>CJ1171/CJ1169</f>
        <v>0.10679447850142286</v>
      </c>
      <c r="CK1170" s="371">
        <f>CK1171/CK1169</f>
        <v>0.1154349007443211</v>
      </c>
      <c r="CN1170" s="371">
        <f>+CN1171/CN1169</f>
        <v>9.9526815616324038E-2</v>
      </c>
      <c r="CO1170" s="371">
        <f>+CO1171/CO1169</f>
        <v>0.10026689618100933</v>
      </c>
      <c r="CR1170" s="371">
        <f>+CR1171/CR1169</f>
        <v>9.1273120075793496E-2</v>
      </c>
      <c r="CS1170" s="371">
        <f>+CS1171/CS1169</f>
        <v>9.3130383075543971E-2</v>
      </c>
      <c r="CV1170" s="371">
        <f>+CV1171/CV1169</f>
        <v>0.13400598895032631</v>
      </c>
      <c r="CW1170" s="371">
        <f>+CW1171/CW1169</f>
        <v>7.4678686549002865E-2</v>
      </c>
      <c r="CZ1170" s="371">
        <f>+CZ1171/CZ1169</f>
        <v>0.12979553111436451</v>
      </c>
      <c r="DA1170" s="371">
        <f>+DA1171/DA1169</f>
        <v>8.5324387492561896E-2</v>
      </c>
      <c r="DD1170" s="371">
        <f>+DD1171/DD1169</f>
        <v>7.7851510259150228E-2</v>
      </c>
      <c r="DE1170" s="953">
        <v>0.3</v>
      </c>
      <c r="DF1170" s="533"/>
      <c r="DG1170" s="533"/>
      <c r="DH1170" s="953">
        <v>0.1</v>
      </c>
      <c r="DI1170" s="953">
        <v>0.1</v>
      </c>
      <c r="DJ1170" s="533"/>
      <c r="DL1170" s="397">
        <v>0.1</v>
      </c>
      <c r="DM1170" s="397">
        <v>0.1</v>
      </c>
      <c r="DP1170" s="397">
        <v>0.1</v>
      </c>
      <c r="DQ1170" s="397">
        <v>0.1</v>
      </c>
      <c r="DW1170" s="28"/>
      <c r="DX1170" s="20"/>
    </row>
    <row r="1171" spans="1:128" s="21" customFormat="1" ht="14.4" thickBot="1">
      <c r="A1171" s="21" t="s">
        <v>648</v>
      </c>
      <c r="B1171" s="49"/>
      <c r="BD1171" s="72"/>
      <c r="BE1171" s="72"/>
      <c r="BH1171" s="65">
        <f>BI1060</f>
        <v>392</v>
      </c>
      <c r="BI1171" s="65">
        <f>BL1060</f>
        <v>476</v>
      </c>
      <c r="BJ1171" s="72"/>
      <c r="BK1171" s="72"/>
      <c r="BL1171" s="72">
        <f ca="1">BL1173*BL1172</f>
        <v>455.52369922000003</v>
      </c>
      <c r="BM1171" s="72">
        <f>BM1173*BM1172</f>
        <v>257.1790365</v>
      </c>
      <c r="BN1171" s="27"/>
      <c r="BO1171" s="72"/>
      <c r="BP1171" s="72">
        <f>BP1172*BP1173</f>
        <v>864.45075636999991</v>
      </c>
      <c r="BQ1171" s="72">
        <f>BQ1172*BQ1173</f>
        <v>214.94110911999999</v>
      </c>
      <c r="BT1171" s="72">
        <f>BT1172*BT1173</f>
        <v>198.05662558</v>
      </c>
      <c r="BU1171" s="72">
        <f>BU1172*BU1173</f>
        <v>198.77180928000001</v>
      </c>
      <c r="BV1171" s="72">
        <f>BT1171+BU1171</f>
        <v>396.82843486000002</v>
      </c>
      <c r="BX1171" s="72">
        <f>BX1172*BX1173</f>
        <v>257.34593775000002</v>
      </c>
      <c r="BY1171" s="72">
        <f>+BY1169*BY1170</f>
        <v>191.51947932040005</v>
      </c>
      <c r="BZ1171" s="72">
        <f>BX1171+BY1171</f>
        <v>448.8654170704001</v>
      </c>
      <c r="CB1171" s="72">
        <f ca="1">CB1172*CB1173</f>
        <v>231.90071823999997</v>
      </c>
      <c r="CC1171" s="72">
        <f>+CC1169*CC1170</f>
        <v>198.85437376559997</v>
      </c>
      <c r="CD1171" s="72">
        <f ca="1">CB1171+CC1171</f>
        <v>430.75509200559998</v>
      </c>
      <c r="CF1171" s="72">
        <f>+CF1169*CF1170</f>
        <v>233.00035961696005</v>
      </c>
      <c r="CG1171" s="72">
        <f>+CG1169*CG1170</f>
        <v>184.81493697959999</v>
      </c>
      <c r="CH1171" s="72">
        <f>CF1171+CG1171</f>
        <v>417.81529659656007</v>
      </c>
      <c r="CJ1171" s="72">
        <f>CJ1173*CJ1172</f>
        <v>75.722022179999982</v>
      </c>
      <c r="CK1171" s="72">
        <f>CK1173*CK1172</f>
        <v>114.75724925</v>
      </c>
      <c r="CL1171" s="72">
        <f>CJ1171+CK1171</f>
        <v>190.47927142999998</v>
      </c>
      <c r="CN1171" s="72">
        <f>+CN1172*CN1173</f>
        <v>198.24539983999998</v>
      </c>
      <c r="CO1171" s="72">
        <f>CO1173*CO1172</f>
        <v>203.83917375999999</v>
      </c>
      <c r="CP1171" s="72">
        <f>CN1171+CO1171</f>
        <v>402.0845736</v>
      </c>
      <c r="CR1171" s="72">
        <f>+CR1172*CR1173</f>
        <v>183.61915616000002</v>
      </c>
      <c r="CS1171" s="72">
        <f>CS1173*CS1172</f>
        <v>206.05503078000004</v>
      </c>
      <c r="CT1171" s="72">
        <f>CR1171+CS1171</f>
        <v>389.67418694000003</v>
      </c>
      <c r="CV1171" s="607">
        <v>326</v>
      </c>
      <c r="CW1171" s="607">
        <v>211</v>
      </c>
      <c r="CX1171" s="72">
        <f>CV1171+CW1171</f>
        <v>537</v>
      </c>
      <c r="CZ1171" s="607">
        <f>535-211</f>
        <v>324</v>
      </c>
      <c r="DA1171" s="607">
        <f>535-CZ1171</f>
        <v>211</v>
      </c>
      <c r="DB1171" s="72">
        <f>CZ1171+DA1171</f>
        <v>535</v>
      </c>
      <c r="DD1171" s="607">
        <v>192</v>
      </c>
      <c r="DE1171" s="72">
        <f>+DE1169*DE1170</f>
        <v>742.89652481999997</v>
      </c>
      <c r="DF1171" s="72">
        <f>DD1171+DE1171</f>
        <v>934.89652481999997</v>
      </c>
      <c r="DH1171" s="72">
        <f ca="1">+DH1169*DH1170</f>
        <v>255.40720081710893</v>
      </c>
      <c r="DI1171" s="72">
        <f ca="1">+DI1169*DI1170</f>
        <v>260.18778222336255</v>
      </c>
      <c r="DJ1171" s="72">
        <f ca="1">DH1171+DI1171</f>
        <v>515.59498304047145</v>
      </c>
      <c r="DL1171" s="72">
        <f ca="1">+DL1169*DL1170</f>
        <v>270.66160500193899</v>
      </c>
      <c r="DM1171" s="72">
        <f ca="1">+DM1169*DM1170</f>
        <v>275.60461364308065</v>
      </c>
      <c r="DN1171" s="72">
        <f ca="1">DL1171+DM1171</f>
        <v>546.26621864501965</v>
      </c>
      <c r="DP1171" s="72">
        <f ca="1">+DP1169*DP1170</f>
        <v>280.86526932812683</v>
      </c>
      <c r="DQ1171" s="72">
        <f ca="1">+DQ1169*DQ1170</f>
        <v>284.99485732487551</v>
      </c>
      <c r="DR1171" s="72">
        <f ca="1">DP1171+DQ1171</f>
        <v>565.86012665300234</v>
      </c>
      <c r="DW1171" s="28"/>
      <c r="DX1171" s="20"/>
    </row>
    <row r="1172" spans="1:128" s="325" customFormat="1" ht="14.4" thickBot="1">
      <c r="A1172" s="325" t="s">
        <v>649</v>
      </c>
      <c r="B1172" s="324"/>
      <c r="BG1172" s="357"/>
      <c r="BH1172" s="398">
        <f>BH1171/BH1173</f>
        <v>26.486486486486484</v>
      </c>
      <c r="BI1172" s="398">
        <f>BI1171/BI1173</f>
        <v>29.108670494497602</v>
      </c>
      <c r="BJ1172" s="324"/>
      <c r="BK1172" s="399"/>
      <c r="BL1172" s="399">
        <v>33.299999999999997</v>
      </c>
      <c r="BM1172" s="399">
        <v>32.020000000000003</v>
      </c>
      <c r="BN1172" s="399"/>
      <c r="BO1172" s="399"/>
      <c r="BP1172" s="399">
        <v>31.93</v>
      </c>
      <c r="BQ1172" s="399">
        <v>27.08</v>
      </c>
      <c r="BR1172" s="400"/>
      <c r="BS1172" s="400"/>
      <c r="BT1172" s="399">
        <v>24.82</v>
      </c>
      <c r="BU1172" s="399">
        <v>28.16</v>
      </c>
      <c r="BV1172" s="400"/>
      <c r="BW1172" s="400"/>
      <c r="BX1172" s="712">
        <v>32.25</v>
      </c>
      <c r="BY1172" s="712">
        <v>30</v>
      </c>
      <c r="BZ1172" s="400"/>
      <c r="CA1172" s="903"/>
      <c r="CB1172" s="712">
        <v>27.47</v>
      </c>
      <c r="CC1172" s="712">
        <v>26.03</v>
      </c>
      <c r="CD1172" s="903"/>
      <c r="CE1172" s="903"/>
      <c r="CF1172" s="904">
        <v>27.79</v>
      </c>
      <c r="CG1172" s="904">
        <v>25.03</v>
      </c>
      <c r="CH1172" s="903"/>
      <c r="CI1172" s="400"/>
      <c r="CJ1172" s="904">
        <v>18.059999999999999</v>
      </c>
      <c r="CK1172" s="904">
        <v>22.19</v>
      </c>
      <c r="CL1172" s="903"/>
      <c r="CM1172" s="400"/>
      <c r="CN1172" s="1021">
        <v>27.91</v>
      </c>
      <c r="CO1172" s="904">
        <v>27.68</v>
      </c>
      <c r="CP1172" s="903"/>
      <c r="CQ1172" s="400"/>
      <c r="CR1172" s="904">
        <v>25.52</v>
      </c>
      <c r="CS1172" s="904">
        <v>24.51</v>
      </c>
      <c r="CT1172" s="903"/>
      <c r="CU1172" s="400"/>
      <c r="CV1172" s="904">
        <v>23.55</v>
      </c>
      <c r="CW1172" s="904">
        <v>24.34</v>
      </c>
      <c r="CX1172" s="400"/>
      <c r="CY1172" s="400"/>
      <c r="CZ1172" s="904">
        <v>28.37</v>
      </c>
      <c r="DA1172" s="904">
        <v>31.81</v>
      </c>
      <c r="DB1172" s="400"/>
      <c r="DC1172" s="400"/>
      <c r="DD1172" s="904">
        <v>28.89</v>
      </c>
      <c r="DE1172" s="1709">
        <f>37.98*0.985</f>
        <v>37.410299999999999</v>
      </c>
      <c r="DF1172" s="400"/>
      <c r="DG1172" s="400"/>
      <c r="DH1172" s="400">
        <f>DE1172*(1+9%/2)</f>
        <v>39.093763499999994</v>
      </c>
      <c r="DI1172" s="400">
        <f>DH1172*(1+9%/2)</f>
        <v>40.852982857499988</v>
      </c>
      <c r="DJ1172" s="400"/>
      <c r="DK1172" s="400"/>
      <c r="DL1172" s="400">
        <f>DI1172*(1+9%/2)</f>
        <v>42.691367086087482</v>
      </c>
      <c r="DM1172" s="400">
        <f>DL1172*(1+9%/2)</f>
        <v>44.612478604961417</v>
      </c>
      <c r="DN1172" s="400"/>
      <c r="DO1172" s="400"/>
      <c r="DP1172" s="400">
        <f>DM1172*(1+9%/2)</f>
        <v>46.620040142184678</v>
      </c>
      <c r="DQ1172" s="400">
        <f>DP1172*(1+9%/2)</f>
        <v>48.717941948582983</v>
      </c>
      <c r="DR1172" s="400"/>
      <c r="DS1172" s="400"/>
      <c r="DT1172" s="400"/>
      <c r="DU1172" s="400"/>
      <c r="DV1172" s="400"/>
      <c r="DW1172" s="20"/>
      <c r="DX1172" s="20"/>
    </row>
    <row r="1173" spans="1:128" s="21" customFormat="1" ht="14.4" thickBot="1">
      <c r="A1173" s="21" t="s">
        <v>650</v>
      </c>
      <c r="B1173" s="27"/>
      <c r="BD1173" s="374"/>
      <c r="BE1173" s="374"/>
      <c r="BH1173" s="402">
        <f>BI1103</f>
        <v>14.8</v>
      </c>
      <c r="BI1173" s="402">
        <f>BL1103</f>
        <v>16.352516000000001</v>
      </c>
      <c r="BJ1173" s="27"/>
      <c r="BK1173" s="99"/>
      <c r="BL1173" s="99">
        <f ca="1">+BL1171/BL1172</f>
        <v>13.679390366966969</v>
      </c>
      <c r="BM1173" s="554">
        <v>8.0318249999999995</v>
      </c>
      <c r="BN1173" s="27"/>
      <c r="BO1173" s="99"/>
      <c r="BP1173" s="554">
        <v>27.073308999999998</v>
      </c>
      <c r="BQ1173" s="554">
        <v>7.9372639999999999</v>
      </c>
      <c r="BT1173" s="554">
        <v>7.9797190000000002</v>
      </c>
      <c r="BU1173" s="554">
        <v>7.0586580000000003</v>
      </c>
      <c r="BX1173" s="554">
        <v>7.9797190000000002</v>
      </c>
      <c r="BY1173" s="99">
        <f>+BY1171/BY1172</f>
        <v>6.3839826440133347</v>
      </c>
      <c r="CB1173" s="99">
        <f ca="1">+CB1171/CB1172</f>
        <v>8.4419628045140147</v>
      </c>
      <c r="CC1173" s="99">
        <f>+CC1171/CC1172</f>
        <v>7.6394304174260457</v>
      </c>
      <c r="CF1173" s="389">
        <f>+CF1171/CF1172</f>
        <v>8.3843238437193257</v>
      </c>
      <c r="CG1173" s="99">
        <f>+CG1171/CG1172</f>
        <v>7.3837369947902509</v>
      </c>
      <c r="CJ1173" s="554">
        <v>4.1928029999999996</v>
      </c>
      <c r="CK1173" s="554">
        <v>5.1715749999999998</v>
      </c>
      <c r="CN1173" s="554">
        <v>7.1030239999999996</v>
      </c>
      <c r="CO1173" s="99">
        <v>7.3641319999999997</v>
      </c>
      <c r="CR1173" s="554">
        <v>7.1951080000000003</v>
      </c>
      <c r="CS1173" s="554">
        <v>8.4069780000000005</v>
      </c>
      <c r="CV1173" s="99">
        <f>+CV1171/CV1172</f>
        <v>13.842887473460721</v>
      </c>
      <c r="CW1173" s="99">
        <f>+CW1171/CW1172</f>
        <v>8.6688578471651603</v>
      </c>
      <c r="CZ1173" s="99">
        <f>+CZ1171/CZ1172</f>
        <v>11.420514628128304</v>
      </c>
      <c r="DA1173" s="99">
        <f>+DA1171/DA1172</f>
        <v>6.6331342345174473</v>
      </c>
      <c r="DD1173" s="554">
        <v>10.806066</v>
      </c>
      <c r="DE1173" s="99">
        <f>+DE1171/DE1172</f>
        <v>19.858074509426547</v>
      </c>
      <c r="DH1173" s="99">
        <f ca="1">+DH1171/DH1172</f>
        <v>6.5331955266243158</v>
      </c>
      <c r="DI1173" s="99">
        <f ca="1">+DI1171/DI1172</f>
        <v>6.3688808998581123</v>
      </c>
      <c r="DL1173" s="99">
        <f ca="1">+DL1171/DL1172</f>
        <v>6.3399610618265685</v>
      </c>
      <c r="DM1173" s="99">
        <f ca="1">+DM1171/DM1172</f>
        <v>6.1777471743618895</v>
      </c>
      <c r="DP1173" s="99">
        <f ca="1">+DP1171/DP1172</f>
        <v>6.024560864201888</v>
      </c>
      <c r="DQ1173" s="99">
        <f ca="1">+DQ1171/DQ1172</f>
        <v>5.8498952526701489</v>
      </c>
      <c r="DW1173" s="20"/>
      <c r="DX1173" s="20"/>
    </row>
    <row r="1174" spans="1:128" s="325" customFormat="1" ht="14.4" thickBot="1">
      <c r="A1174" s="325" t="s">
        <v>651</v>
      </c>
      <c r="B1174" s="324"/>
      <c r="BD1174" s="394"/>
      <c r="BE1174" s="394"/>
      <c r="BH1174" s="395">
        <f>-BH1175/BH1171</f>
        <v>1.0841836734693877</v>
      </c>
      <c r="BI1174" s="395">
        <f>-BI1175/BI1171</f>
        <v>1.0504201680672269</v>
      </c>
      <c r="BJ1174" s="324"/>
      <c r="BK1174" s="401"/>
      <c r="BL1174" s="394">
        <v>0</v>
      </c>
      <c r="BM1174" s="394">
        <v>0</v>
      </c>
      <c r="BN1174" s="615">
        <f ca="1">(BL1174*BL1171+BM1174*BM1171) / (BL1171+BM1171)</f>
        <v>0</v>
      </c>
      <c r="BO1174" s="401"/>
      <c r="BP1174" s="394">
        <v>0</v>
      </c>
      <c r="BQ1174" s="394">
        <v>0</v>
      </c>
      <c r="BR1174" s="615">
        <f>(BP1174*BP1171+BQ1174*BQ1171) / (BP1171+BQ1171)</f>
        <v>0</v>
      </c>
      <c r="BT1174" s="394">
        <v>0</v>
      </c>
      <c r="BU1174" s="394">
        <v>0</v>
      </c>
      <c r="BV1174" s="615">
        <f>(BT1174*BT1171+BU1174*BU1171) / (BT1171+BU1171)</f>
        <v>0</v>
      </c>
      <c r="BX1174" s="711">
        <v>1</v>
      </c>
      <c r="BY1174" s="711">
        <v>1</v>
      </c>
      <c r="BZ1174" s="615">
        <f>(BX1174*BX1171+BY1174*BY1171) / (BX1171+BY1171)</f>
        <v>1</v>
      </c>
      <c r="CB1174" s="711">
        <v>1</v>
      </c>
      <c r="CC1174" s="711">
        <v>1</v>
      </c>
      <c r="CD1174" s="615">
        <f ca="1">(CB1174*CB1171+CC1174*CC1171) / (CB1171+CC1171)</f>
        <v>1</v>
      </c>
      <c r="CF1174" s="711">
        <v>1</v>
      </c>
      <c r="CG1174" s="711">
        <v>1</v>
      </c>
      <c r="CH1174" s="615">
        <f>(CF1174*CF1171+CG1174*CG1171) / (CF1171+CG1171)</f>
        <v>1</v>
      </c>
      <c r="CJ1174" s="711">
        <v>0</v>
      </c>
      <c r="CK1174" s="711">
        <v>0</v>
      </c>
      <c r="CL1174" s="615">
        <f>(CJ1174*CJ1171+CK1174*CK1171) / (CJ1171+CK1171)</f>
        <v>0</v>
      </c>
      <c r="CN1174" s="711">
        <v>1</v>
      </c>
      <c r="CO1174" s="711">
        <v>1</v>
      </c>
      <c r="CP1174" s="615">
        <f>(CN1174*CN1171+CO1174*CO1171) / (CN1171+CO1171)</f>
        <v>1</v>
      </c>
      <c r="CR1174" s="711">
        <v>0</v>
      </c>
      <c r="CS1174" s="711">
        <v>0</v>
      </c>
      <c r="CT1174" s="615">
        <f>(CR1174*CR1171+CS1174*CS1171) / (CR1171+CS1171)</f>
        <v>0</v>
      </c>
      <c r="CV1174" s="711">
        <v>1</v>
      </c>
      <c r="CW1174" s="711">
        <v>1</v>
      </c>
      <c r="CX1174" s="615">
        <f>(CV1174*CV1171+CW1174*CW1171) / (CV1171+CW1171)</f>
        <v>1</v>
      </c>
      <c r="CZ1174" s="711">
        <v>1</v>
      </c>
      <c r="DA1174" s="711">
        <v>1</v>
      </c>
      <c r="DB1174" s="615">
        <f>(CZ1174*CZ1171+DA1174*DA1171) / (CZ1171+DA1171)</f>
        <v>1</v>
      </c>
      <c r="DD1174" s="711">
        <v>0</v>
      </c>
      <c r="DE1174" s="1575">
        <v>0</v>
      </c>
      <c r="DF1174" s="615">
        <f>(DD1174*DD1171+DE1174*DE1171) / (DD1171+DE1171)</f>
        <v>0</v>
      </c>
      <c r="DH1174" s="1710">
        <v>1</v>
      </c>
      <c r="DI1174" s="1256">
        <v>1</v>
      </c>
      <c r="DJ1174" s="615">
        <f ca="1">(DH1174*DH1171+DI1174*DI1171) / (DH1171+DI1171)</f>
        <v>1</v>
      </c>
      <c r="DL1174" s="1256">
        <v>1</v>
      </c>
      <c r="DM1174" s="1256">
        <v>1</v>
      </c>
      <c r="DN1174" s="615">
        <f ca="1">(DL1174*DL1171+DM1174*DM1171) / (DL1171+DM1171)</f>
        <v>1</v>
      </c>
      <c r="DP1174" s="1256">
        <v>1</v>
      </c>
      <c r="DQ1174" s="1256">
        <v>1</v>
      </c>
      <c r="DR1174" s="615">
        <f ca="1">(DP1174*DP1171+DQ1174*DQ1171) / (DP1171+DQ1171)</f>
        <v>1</v>
      </c>
      <c r="DW1174" s="20"/>
      <c r="DX1174" s="20"/>
    </row>
    <row r="1175" spans="1:128" s="20" customFormat="1" ht="13.8">
      <c r="A1175" s="20" t="s">
        <v>652</v>
      </c>
      <c r="B1175" s="49"/>
      <c r="BD1175" s="65"/>
      <c r="BE1175" s="65"/>
      <c r="BH1175" s="65">
        <f>BI1061</f>
        <v>-425</v>
      </c>
      <c r="BI1175" s="65">
        <f>BL1061</f>
        <v>-500</v>
      </c>
      <c r="BJ1175" s="49"/>
      <c r="BK1175" s="65"/>
      <c r="BL1175" s="65">
        <f ca="1">-BL1174*BL1171</f>
        <v>0</v>
      </c>
      <c r="BM1175" s="65">
        <f>-BM1174*BM1171</f>
        <v>0</v>
      </c>
      <c r="BN1175" s="49"/>
      <c r="BO1175" s="65"/>
      <c r="BP1175" s="65">
        <f>-BP1174*BP1171</f>
        <v>0</v>
      </c>
      <c r="BQ1175" s="65">
        <f>-BQ1174*BQ1171</f>
        <v>0</v>
      </c>
      <c r="BT1175" s="65">
        <f>-BT1174*BT1171</f>
        <v>0</v>
      </c>
      <c r="BU1175" s="65">
        <f>-BU1174*BU1171</f>
        <v>0</v>
      </c>
      <c r="BX1175" s="65">
        <f>-BX1174*BX1171</f>
        <v>-257.34593775000002</v>
      </c>
      <c r="BY1175" s="65">
        <f>-BY1174*BY1171</f>
        <v>-191.51947932040005</v>
      </c>
      <c r="CB1175" s="65">
        <f ca="1">-CB1174*CB1171</f>
        <v>-231.90071823999997</v>
      </c>
      <c r="CC1175" s="65">
        <f>-CC1174*CC1171</f>
        <v>-198.85437376559997</v>
      </c>
      <c r="CF1175" s="65">
        <f>-CF1174*CF1171</f>
        <v>-233.00035961696005</v>
      </c>
      <c r="CG1175" s="65">
        <f>-CG1174*CG1171</f>
        <v>-184.81493697959999</v>
      </c>
      <c r="CJ1175" s="65">
        <f>-CJ1174*CJ1171</f>
        <v>0</v>
      </c>
      <c r="CK1175" s="65">
        <f>-CK1174*CK1171</f>
        <v>0</v>
      </c>
      <c r="CN1175" s="65">
        <f>-CN1174*CN1171</f>
        <v>-198.24539983999998</v>
      </c>
      <c r="CO1175" s="65">
        <f>-CO1174*CO1171</f>
        <v>-203.83917375999999</v>
      </c>
      <c r="CR1175" s="65">
        <f>-CR1174*CR1171</f>
        <v>0</v>
      </c>
      <c r="CS1175" s="65">
        <f>-CS1174*CS1171</f>
        <v>0</v>
      </c>
      <c r="CV1175" s="65">
        <f>-CV1174*CV1171</f>
        <v>-326</v>
      </c>
      <c r="CW1175" s="65">
        <f>-CW1174*CW1171</f>
        <v>-211</v>
      </c>
      <c r="CZ1175" s="65">
        <f>-CZ1174*CZ1171</f>
        <v>-324</v>
      </c>
      <c r="DA1175" s="65">
        <f>-DA1174*DA1171</f>
        <v>-211</v>
      </c>
      <c r="DD1175" s="65">
        <f>-DD1174*DD1171</f>
        <v>0</v>
      </c>
      <c r="DE1175" s="65">
        <f>-DE1174*DE1171</f>
        <v>0</v>
      </c>
      <c r="DH1175" s="65">
        <f ca="1">-DH1174*DH1171</f>
        <v>-255.40720081710893</v>
      </c>
      <c r="DI1175" s="65">
        <f ca="1">-DI1174*DI1171</f>
        <v>-260.18778222336255</v>
      </c>
      <c r="DL1175" s="65">
        <f ca="1">-DL1174*DL1171</f>
        <v>-270.66160500193899</v>
      </c>
      <c r="DM1175" s="65">
        <f ca="1">-DM1174*DM1171</f>
        <v>-275.60461364308065</v>
      </c>
      <c r="DP1175" s="65">
        <f ca="1">-DP1174*DP1171</f>
        <v>-280.86526932812683</v>
      </c>
      <c r="DQ1175" s="65">
        <f ca="1">-DQ1174*DQ1171</f>
        <v>-284.99485732487551</v>
      </c>
    </row>
    <row r="1176" spans="1:128" s="20" customFormat="1" ht="13.8">
      <c r="A1176" s="20" t="s">
        <v>653</v>
      </c>
      <c r="B1176" s="49"/>
      <c r="BD1176" s="65"/>
      <c r="BE1176" s="65"/>
      <c r="BH1176" s="402">
        <f>BI1104</f>
        <v>-15.3</v>
      </c>
      <c r="BI1176" s="402">
        <f>BL1104</f>
        <v>-15.889156</v>
      </c>
      <c r="BJ1176" s="49"/>
      <c r="BK1176" s="65"/>
      <c r="BL1176" s="65">
        <f ca="1">-BL1173*BL1174</f>
        <v>0</v>
      </c>
      <c r="BM1176" s="65">
        <f>-BM1173*BM1174</f>
        <v>0</v>
      </c>
      <c r="BN1176" s="49"/>
      <c r="BO1176" s="65"/>
      <c r="BP1176" s="65">
        <f>-BP1173*BP1174</f>
        <v>0</v>
      </c>
      <c r="BQ1176" s="65">
        <f>-BQ1173*BQ1174</f>
        <v>0</v>
      </c>
      <c r="BT1176" s="65">
        <f>-BT1173*BT1174</f>
        <v>0</v>
      </c>
      <c r="BU1176" s="65">
        <f>-BU1173*BU1174</f>
        <v>0</v>
      </c>
      <c r="BX1176" s="69">
        <f>-BX1173*BX1174</f>
        <v>-7.9797190000000002</v>
      </c>
      <c r="BY1176" s="69">
        <f>-BY1173*BY1174</f>
        <v>-6.3839826440133347</v>
      </c>
      <c r="BZ1176" s="91"/>
      <c r="CA1176" s="91"/>
      <c r="CB1176" s="69">
        <f ca="1">-CB1173*CB1174</f>
        <v>-8.4419628045140147</v>
      </c>
      <c r="CC1176" s="69">
        <f>-CC1173*CC1174</f>
        <v>-7.6394304174260457</v>
      </c>
      <c r="CD1176" s="91"/>
      <c r="CE1176" s="91"/>
      <c r="CF1176" s="69">
        <f>-CF1173*CF1174</f>
        <v>-8.3843238437193257</v>
      </c>
      <c r="CG1176" s="69">
        <f>-CG1173*CG1174</f>
        <v>-7.3837369947902509</v>
      </c>
      <c r="CH1176" s="91"/>
      <c r="CI1176" s="91"/>
      <c r="CJ1176" s="69">
        <f>-CJ1173*CJ1174</f>
        <v>0</v>
      </c>
      <c r="CK1176" s="69">
        <f>-CK1173*CK1174</f>
        <v>0</v>
      </c>
      <c r="CL1176" s="91"/>
      <c r="CM1176" s="91"/>
      <c r="CN1176" s="69">
        <f>-CN1173*CN1174</f>
        <v>-7.1030239999999996</v>
      </c>
      <c r="CO1176" s="69">
        <f>-CO1173*CO1174</f>
        <v>-7.3641319999999997</v>
      </c>
      <c r="CP1176" s="91"/>
      <c r="CR1176" s="69">
        <f>-CR1173*CR1174</f>
        <v>0</v>
      </c>
      <c r="CS1176" s="69">
        <f>-CS1173*CS1174</f>
        <v>0</v>
      </c>
      <c r="CT1176" s="91"/>
      <c r="CV1176" s="69">
        <f>-CV1173*CV1174</f>
        <v>-13.842887473460721</v>
      </c>
      <c r="CW1176" s="69">
        <f>-CW1173*CW1174</f>
        <v>-8.6688578471651603</v>
      </c>
      <c r="CZ1176" s="69">
        <f>-CZ1173*CZ1174</f>
        <v>-11.420514628128304</v>
      </c>
      <c r="DA1176" s="69">
        <f>-DA1173*DA1174</f>
        <v>-6.6331342345174473</v>
      </c>
      <c r="DD1176" s="69">
        <f>-DD1173*DD1174</f>
        <v>0</v>
      </c>
      <c r="DE1176" s="69">
        <f>-DE1173*DE1174</f>
        <v>0</v>
      </c>
      <c r="DH1176" s="69">
        <f ca="1">-DH1173*DH1174</f>
        <v>-6.5331955266243158</v>
      </c>
      <c r="DI1176" s="69">
        <f ca="1">-DI1173*DI1174</f>
        <v>-6.3688808998581123</v>
      </c>
      <c r="DL1176" s="69">
        <f ca="1">-DL1173*DL1174</f>
        <v>-6.3399610618265685</v>
      </c>
      <c r="DM1176" s="69">
        <f ca="1">-DM1173*DM1174</f>
        <v>-6.1777471743618895</v>
      </c>
      <c r="DP1176" s="69">
        <f ca="1">-DP1173*DP1174</f>
        <v>-6.024560864201888</v>
      </c>
      <c r="DQ1176" s="69">
        <f ca="1">-DQ1173*DQ1174</f>
        <v>-5.8498952526701489</v>
      </c>
    </row>
    <row r="1177" spans="1:128" s="20" customFormat="1" ht="13.8">
      <c r="B1177" s="49"/>
      <c r="BH1177" s="49"/>
      <c r="BI1177" s="49"/>
      <c r="BJ1177" s="49"/>
      <c r="BK1177" s="49"/>
      <c r="BL1177" s="49"/>
      <c r="BM1177" s="49"/>
      <c r="BN1177" s="49"/>
      <c r="BO1177" s="49"/>
      <c r="BP1177" s="49"/>
      <c r="BQ1177" s="2">
        <f>BQ1172*BQ1173</f>
        <v>214.94110911999999</v>
      </c>
      <c r="BT1177" s="49"/>
      <c r="BX1177" s="49"/>
      <c r="CB1177" s="49"/>
      <c r="CF1177" s="49"/>
      <c r="CJ1177" s="49"/>
      <c r="CN1177" s="49"/>
      <c r="CR1177" s="49"/>
      <c r="CV1177" s="49"/>
      <c r="CZ1177" s="49"/>
      <c r="DD1177" s="49"/>
      <c r="DH1177" s="49"/>
      <c r="DL1177" s="49"/>
      <c r="DP1177" s="49"/>
    </row>
    <row r="1178" spans="1:128" s="21" customFormat="1" ht="13.8">
      <c r="A1178" s="21" t="s">
        <v>615</v>
      </c>
      <c r="B1178" s="27"/>
      <c r="BH1178" s="27"/>
      <c r="BI1178" s="27"/>
      <c r="BJ1178" s="27"/>
      <c r="BK1178" s="27"/>
      <c r="BL1178" s="27"/>
      <c r="BM1178" s="27"/>
      <c r="BN1178" s="27"/>
      <c r="BO1178" s="27"/>
      <c r="BP1178" s="27"/>
      <c r="BT1178" s="27"/>
      <c r="BX1178" s="27"/>
      <c r="CB1178" s="27"/>
      <c r="CF1178" s="27"/>
      <c r="CJ1178" s="27"/>
      <c r="CN1178" s="27"/>
      <c r="CR1178" s="27"/>
      <c r="CV1178" s="27"/>
      <c r="CZ1178" s="27"/>
      <c r="DD1178" s="27"/>
      <c r="DH1178" s="27"/>
      <c r="DL1178" s="27"/>
      <c r="DP1178" s="27"/>
      <c r="DW1178" s="20"/>
      <c r="DX1178" s="20"/>
    </row>
    <row r="1179" spans="1:128" s="21" customFormat="1" ht="13.8">
      <c r="A1179" s="20" t="s">
        <v>654</v>
      </c>
      <c r="B1179" s="27"/>
      <c r="BH1179" s="65">
        <f>BH1301</f>
        <v>26375</v>
      </c>
      <c r="BI1179" s="65">
        <f>BI1301</f>
        <v>28779</v>
      </c>
      <c r="BJ1179" s="27"/>
      <c r="BK1179" s="27"/>
      <c r="BL1179" s="65">
        <f>BL1301</f>
        <v>30020</v>
      </c>
      <c r="BM1179" s="65">
        <f>BM1301</f>
        <v>31776</v>
      </c>
      <c r="BN1179" s="27"/>
      <c r="BO1179" s="27"/>
      <c r="BP1179" s="65">
        <f>BP1301</f>
        <v>33736</v>
      </c>
      <c r="BQ1179" s="65">
        <f>BQ1301</f>
        <v>38526</v>
      </c>
      <c r="BT1179" s="65">
        <f>BT1301</f>
        <v>38102</v>
      </c>
      <c r="BU1179" s="65">
        <f>BU1301</f>
        <v>39267</v>
      </c>
      <c r="BX1179" s="65">
        <f>BX1301</f>
        <v>40217</v>
      </c>
      <c r="BY1179" s="65">
        <f>BY1301</f>
        <v>41336</v>
      </c>
      <c r="CB1179" s="65">
        <f>CB1301</f>
        <v>43707</v>
      </c>
      <c r="CC1179" s="65">
        <f>CC1301</f>
        <v>44691</v>
      </c>
      <c r="CF1179" s="65">
        <f>CF1301</f>
        <v>45528</v>
      </c>
      <c r="CG1179" s="65">
        <f>CG1301</f>
        <v>47355</v>
      </c>
      <c r="CJ1179" s="65">
        <f>CJ1301</f>
        <v>48331</v>
      </c>
      <c r="CK1179" s="65">
        <f>CK1301</f>
        <v>48702</v>
      </c>
      <c r="CN1179" s="65">
        <f>CN1301</f>
        <v>50786</v>
      </c>
      <c r="CO1179" s="65">
        <f>CO1301</f>
        <v>51359</v>
      </c>
      <c r="CR1179" s="65">
        <f>CR1301</f>
        <v>50511</v>
      </c>
      <c r="CS1179" s="65">
        <f>CS1301</f>
        <v>55872</v>
      </c>
      <c r="CV1179" s="65">
        <f>CV1301</f>
        <v>57380</v>
      </c>
      <c r="CW1179" s="65">
        <f>CW1301</f>
        <v>57794</v>
      </c>
      <c r="CZ1179" s="65">
        <f>CZ1301</f>
        <v>58412</v>
      </c>
      <c r="DA1179" s="65">
        <f>DA1301</f>
        <v>54469</v>
      </c>
      <c r="DD1179" s="65">
        <f>DD1301</f>
        <v>55229</v>
      </c>
      <c r="DE1179" s="65">
        <f>DE1301</f>
        <v>55184</v>
      </c>
      <c r="DH1179" s="65">
        <f ca="1">DH1301</f>
        <v>58089.377840381232</v>
      </c>
      <c r="DI1179" s="65">
        <f ca="1">DI1301</f>
        <v>59231.745524052021</v>
      </c>
      <c r="DL1179" s="65">
        <f ca="1">DL1301</f>
        <v>60466.808680109476</v>
      </c>
      <c r="DM1179" s="65">
        <f ca="1">DM1301</f>
        <v>61105.177994769161</v>
      </c>
      <c r="DP1179" s="65">
        <f ca="1">DP1301</f>
        <v>61920.766140175816</v>
      </c>
      <c r="DQ1179" s="65">
        <f ca="1">DQ1301</f>
        <v>62744.437929616906</v>
      </c>
      <c r="DW1179" s="20"/>
      <c r="DX1179" s="20"/>
    </row>
    <row r="1180" spans="1:128" s="21" customFormat="1" ht="13.8">
      <c r="A1180" s="20" t="s">
        <v>713</v>
      </c>
      <c r="B1180" s="27"/>
      <c r="BH1180" s="65">
        <f>BH1407</f>
        <v>322582</v>
      </c>
      <c r="BI1180" s="65">
        <f>BI1407</f>
        <v>339265</v>
      </c>
      <c r="BJ1180" s="27"/>
      <c r="BK1180" s="27"/>
      <c r="BL1180" s="65">
        <f>BL1407</f>
        <v>360740</v>
      </c>
      <c r="BM1180" s="65">
        <f>BM1407</f>
        <v>361529</v>
      </c>
      <c r="BN1180" s="27"/>
      <c r="BO1180" s="27"/>
      <c r="BP1180" s="65">
        <f>BP1407</f>
        <v>386863</v>
      </c>
      <c r="BQ1180" s="65">
        <f>BQ1407</f>
        <v>401937</v>
      </c>
      <c r="BT1180" s="65">
        <f>BT1407</f>
        <v>388335</v>
      </c>
      <c r="BU1180" s="65">
        <f>BU1407</f>
        <v>408582</v>
      </c>
      <c r="BX1180" s="65">
        <f>BX1407</f>
        <v>397040</v>
      </c>
      <c r="BY1180" s="65">
        <f>BY1407</f>
        <v>391113</v>
      </c>
      <c r="CB1180" s="65">
        <f>CB1407</f>
        <v>395777</v>
      </c>
      <c r="CC1180" s="65">
        <f>CC1407</f>
        <v>390820</v>
      </c>
      <c r="CF1180" s="65">
        <f>CF1407</f>
        <v>396291</v>
      </c>
      <c r="CG1180" s="65">
        <f>CG1407</f>
        <v>416961</v>
      </c>
      <c r="CJ1180" s="65">
        <f>CJ1407</f>
        <v>449012</v>
      </c>
      <c r="CK1180" s="65">
        <f>CK1407</f>
        <v>429384</v>
      </c>
      <c r="CN1180" s="65">
        <f>CN1407</f>
        <v>408166</v>
      </c>
      <c r="CO1180" s="65">
        <f>CO1407</f>
        <v>416086</v>
      </c>
      <c r="CR1180" s="65">
        <f>CR1407</f>
        <v>437910</v>
      </c>
      <c r="CS1180" s="65">
        <f>CS1407</f>
        <v>454718</v>
      </c>
      <c r="CV1180" s="65">
        <f>CV1407</f>
        <v>435514.02499999997</v>
      </c>
      <c r="CW1180" s="65">
        <f>CW1407</f>
        <v>433327</v>
      </c>
      <c r="CZ1180" s="65">
        <f>CZ1407</f>
        <v>432779</v>
      </c>
      <c r="DA1180" s="65">
        <f>DA1407</f>
        <v>446582</v>
      </c>
      <c r="DD1180" s="65">
        <f>DD1407</f>
        <v>468999</v>
      </c>
      <c r="DE1180" s="65">
        <f>DE1407</f>
        <v>458547</v>
      </c>
      <c r="DH1180" s="65">
        <f ca="1">DH1407</f>
        <v>467565.63513879071</v>
      </c>
      <c r="DI1180" s="65">
        <f ca="1">DI1407</f>
        <v>477057.98778344376</v>
      </c>
      <c r="DL1180" s="65">
        <f ca="1">DL1407</f>
        <v>484064.89133376349</v>
      </c>
      <c r="DM1180" s="65">
        <f ca="1">DM1407</f>
        <v>492890.87738192204</v>
      </c>
      <c r="DP1180" s="65">
        <f ca="1">DP1407</f>
        <v>504349.70587187452</v>
      </c>
      <c r="DQ1180" s="65">
        <f ca="1">DQ1407</f>
        <v>512772.17145862099</v>
      </c>
      <c r="DW1180" s="20"/>
      <c r="DX1180" s="20"/>
    </row>
    <row r="1181" spans="1:128" s="21" customFormat="1" ht="13.8">
      <c r="A1181" s="21" t="s">
        <v>749</v>
      </c>
      <c r="B1181" s="27"/>
      <c r="BH1181" s="74">
        <f>BH1252</f>
        <v>8.1762156598942287E-2</v>
      </c>
      <c r="BI1181" s="74">
        <f>BI1252</f>
        <v>8.482749473125728E-2</v>
      </c>
      <c r="BJ1181" s="27"/>
      <c r="BK1181" s="27"/>
      <c r="BL1181" s="74">
        <f>BL1252</f>
        <v>8.3217830016078062E-2</v>
      </c>
      <c r="BM1181" s="74">
        <f>BM1252</f>
        <v>8.7893364017824299E-2</v>
      </c>
      <c r="BN1181" s="27"/>
      <c r="BO1181" s="27"/>
      <c r="BP1181" s="74">
        <f>BP1252</f>
        <v>8.7203997280691101E-2</v>
      </c>
      <c r="BQ1181" s="74">
        <f>BQ1252</f>
        <v>9.5850842296180738E-2</v>
      </c>
      <c r="BT1181" s="74">
        <f>BT1252</f>
        <v>9.811631709735151E-2</v>
      </c>
      <c r="BU1181" s="74">
        <f>BU1252</f>
        <v>9.610555531080664E-2</v>
      </c>
      <c r="BX1181" s="74">
        <f>BX1252</f>
        <v>0.10129206125327422</v>
      </c>
      <c r="BY1181" s="74">
        <f>BY1252</f>
        <v>0.10568812593802814</v>
      </c>
      <c r="CB1181" s="74">
        <f>CB1252</f>
        <v>0.11043340062712083</v>
      </c>
      <c r="CC1181" s="74">
        <f>CC1252</f>
        <v>0.11435187554372857</v>
      </c>
      <c r="CF1181" s="74">
        <f>CF1252</f>
        <v>0.11488527370038684</v>
      </c>
      <c r="CG1181" s="74">
        <f>CG1252</f>
        <v>0.11357177289962371</v>
      </c>
      <c r="CJ1181" s="74">
        <f>CJ1252</f>
        <v>0.10763854863567121</v>
      </c>
      <c r="CK1181" s="74">
        <f>CK1252</f>
        <v>0.11342295008663573</v>
      </c>
      <c r="CN1181" s="74">
        <f>CN1252</f>
        <v>0.12442486635339543</v>
      </c>
      <c r="CO1181" s="74">
        <f>CO1252</f>
        <v>0.12343361708877491</v>
      </c>
      <c r="CR1181" s="74">
        <f>CR1252</f>
        <v>0.11534561896280057</v>
      </c>
      <c r="CS1181" s="74">
        <f>CS1252</f>
        <v>0.12287175788070848</v>
      </c>
      <c r="CV1181" s="74">
        <f>CV1252</f>
        <v>0.13175235860659137</v>
      </c>
      <c r="CW1181" s="74">
        <f>CW1252</f>
        <v>0.13337271852434765</v>
      </c>
      <c r="CZ1181" s="74">
        <f>CZ1252</f>
        <v>0.1349695803169747</v>
      </c>
      <c r="DA1181" s="74">
        <f>DA1252</f>
        <v>0.12196864181718027</v>
      </c>
      <c r="DD1181" s="74">
        <f>DD1252</f>
        <v>0.11775931291964375</v>
      </c>
      <c r="DE1181" s="74">
        <f>DE1252</f>
        <v>0.12034535173057506</v>
      </c>
      <c r="DH1181" s="74">
        <f ca="1">DH1252</f>
        <v>0.12423791116115317</v>
      </c>
      <c r="DI1181" s="74">
        <f ca="1">DI1252</f>
        <v>0.12416047323567664</v>
      </c>
      <c r="DL1181" s="74">
        <f ca="1">DL1252</f>
        <v>0.12491467520708401</v>
      </c>
      <c r="DM1181" s="74">
        <f ca="1">DM1252</f>
        <v>0.12397303500389423</v>
      </c>
      <c r="DP1181" s="74">
        <f ca="1">DP1252</f>
        <v>0.12277347526778618</v>
      </c>
      <c r="DQ1181" s="74">
        <f ca="1">DQ1252</f>
        <v>0.12236318860895939</v>
      </c>
    </row>
    <row r="1182" spans="1:128" s="93" customFormat="1" ht="13.8">
      <c r="A1182" s="325" t="s">
        <v>655</v>
      </c>
      <c r="B1182" s="94"/>
      <c r="BH1182" s="365">
        <v>7.0000000000000007E-2</v>
      </c>
      <c r="BI1182" s="365">
        <v>7.0000000000000007E-2</v>
      </c>
      <c r="BJ1182" s="94"/>
      <c r="BK1182" s="94"/>
      <c r="BL1182" s="365">
        <v>0.08</v>
      </c>
      <c r="BM1182" s="365">
        <v>0.08</v>
      </c>
      <c r="BN1182" s="94"/>
      <c r="BO1182" s="94"/>
      <c r="BP1182" s="365">
        <v>0.08</v>
      </c>
      <c r="BQ1182" s="365">
        <v>0.08</v>
      </c>
      <c r="BT1182" s="365">
        <v>0.08</v>
      </c>
      <c r="BU1182" s="365">
        <v>0.08</v>
      </c>
      <c r="BX1182" s="365">
        <v>0.08</v>
      </c>
      <c r="BY1182" s="774">
        <v>0.08</v>
      </c>
      <c r="CB1182" s="774">
        <v>0.105</v>
      </c>
      <c r="CC1182" s="774">
        <v>0.105</v>
      </c>
      <c r="CF1182" s="774">
        <v>0.105</v>
      </c>
      <c r="CG1182" s="774">
        <v>0.105</v>
      </c>
      <c r="CJ1182" s="774">
        <v>0.105</v>
      </c>
      <c r="CK1182" s="774">
        <v>0.105</v>
      </c>
      <c r="CN1182" s="774">
        <v>0.105</v>
      </c>
      <c r="CO1182" s="774">
        <v>0.105</v>
      </c>
      <c r="CR1182" s="774">
        <v>0.105</v>
      </c>
      <c r="CS1182" s="366">
        <f>CR1182</f>
        <v>0.105</v>
      </c>
      <c r="CV1182" s="774">
        <v>0.105</v>
      </c>
      <c r="CW1182" s="366">
        <f>CV1182</f>
        <v>0.105</v>
      </c>
      <c r="CZ1182" s="774">
        <v>0.105</v>
      </c>
      <c r="DA1182" s="366">
        <f>CZ1182</f>
        <v>0.105</v>
      </c>
      <c r="DD1182" s="774">
        <v>0.1125</v>
      </c>
      <c r="DE1182" s="366">
        <f>DD1182</f>
        <v>0.1125</v>
      </c>
      <c r="DH1182" s="366">
        <f>DE1182</f>
        <v>0.1125</v>
      </c>
      <c r="DI1182" s="366">
        <f>DH1182</f>
        <v>0.1125</v>
      </c>
      <c r="DL1182" s="366">
        <f>DI1182</f>
        <v>0.1125</v>
      </c>
      <c r="DM1182" s="366">
        <f>DL1182</f>
        <v>0.1125</v>
      </c>
      <c r="DP1182" s="366">
        <f>DM1182</f>
        <v>0.1125</v>
      </c>
      <c r="DQ1182" s="366">
        <f>DP1182</f>
        <v>0.1125</v>
      </c>
      <c r="DW1182" s="20"/>
      <c r="DX1182" s="20"/>
    </row>
    <row r="1183" spans="1:128" s="21" customFormat="1" ht="13.8">
      <c r="A1183" s="20" t="s">
        <v>656</v>
      </c>
      <c r="B1183" s="27"/>
      <c r="BH1183" s="66">
        <f>IF(BH1181&lt;BH1182,(BH1181-BH1182),0)</f>
        <v>0</v>
      </c>
      <c r="BI1183" s="66">
        <f>IF(BI1181&lt;BI1182,(BI1181-BI1182),0)</f>
        <v>0</v>
      </c>
      <c r="BJ1183" s="27"/>
      <c r="BK1183" s="27"/>
      <c r="BL1183" s="66">
        <f>IF(BL1181&lt;BL1182,(BL1181-BL1182),0)</f>
        <v>0</v>
      </c>
      <c r="BM1183" s="66">
        <f>IF(BM1181&lt;BM1182,(BM1181-BM1182),0)</f>
        <v>0</v>
      </c>
      <c r="BN1183" s="27"/>
      <c r="BO1183" s="27"/>
      <c r="BP1183" s="66">
        <f>IF(BP1181&lt;BP1182,(BP1181-BP1182),0)</f>
        <v>0</v>
      </c>
      <c r="BQ1183" s="66">
        <f>IF(BQ1181&lt;BQ1182,(BQ1181-BQ1182),0)</f>
        <v>0</v>
      </c>
      <c r="BT1183" s="66">
        <f>IF(BT1181&lt;BT1182,(BT1181-BT1182),0)</f>
        <v>0</v>
      </c>
      <c r="BU1183" s="66">
        <f>IF(BU1181&lt;BU1182,(BU1181-BU1182),0)</f>
        <v>0</v>
      </c>
      <c r="BX1183" s="66">
        <f>IF(BX1181&lt;BX1182,(BX1181-BX1182),0)</f>
        <v>0</v>
      </c>
      <c r="BY1183" s="66">
        <f>IF(BY1181&lt;BY1182,(BY1181-BY1182),0)</f>
        <v>0</v>
      </c>
      <c r="CB1183" s="66">
        <f>IF(CB1181&lt;CB1182,(CB1181-CB1182),0)</f>
        <v>0</v>
      </c>
      <c r="CC1183" s="66">
        <f>IF(CC1181&lt;CC1182,(CC1181-CC1182),0)</f>
        <v>0</v>
      </c>
      <c r="CF1183" s="66">
        <f>IF(CF1181&lt;CF1182,(CF1181-CF1182),0)</f>
        <v>0</v>
      </c>
      <c r="CG1183" s="66">
        <f>IF(CG1181&lt;CG1182,(CG1181-CG1182),0)</f>
        <v>0</v>
      </c>
      <c r="CJ1183" s="66">
        <f>IF(CJ1181&lt;CJ1182,(CJ1181-CJ1182),0)</f>
        <v>0</v>
      </c>
      <c r="CK1183" s="66">
        <f>IF(CK1181&lt;CK1182,(CK1181-CK1182),0)</f>
        <v>0</v>
      </c>
      <c r="CN1183" s="66">
        <f>IF(CN1181&lt;CN1182,(CN1181-CN1182),0)</f>
        <v>0</v>
      </c>
      <c r="CO1183" s="66">
        <f>IF(CO1181&lt;CO1182,(CO1181-CO1182),0)</f>
        <v>0</v>
      </c>
      <c r="CR1183" s="66">
        <f>IF(CR1181&lt;CR1182,(CR1181-CR1182),0)</f>
        <v>0</v>
      </c>
      <c r="CS1183" s="66">
        <f>IF(CS1181&lt;CS1182,(CS1181-CS1182),0)</f>
        <v>0</v>
      </c>
      <c r="CV1183" s="66">
        <f>IF(CV1181&lt;CV1182,(CV1181-CV1182),0)</f>
        <v>0</v>
      </c>
      <c r="CW1183" s="66">
        <f>IF(CW1181&lt;CW1182,(CW1181-CW1182),0)</f>
        <v>0</v>
      </c>
      <c r="CZ1183" s="66">
        <f>IF(CZ1181&lt;CZ1182,(CZ1181-CZ1182),0)</f>
        <v>0</v>
      </c>
      <c r="DA1183" s="66">
        <f>IF(DA1181&lt;DA1182,(DA1181-DA1182),0)</f>
        <v>0</v>
      </c>
      <c r="DD1183" s="66">
        <f>IF(DD1181&lt;DD1182,(DD1181-DD1182),0)</f>
        <v>0</v>
      </c>
      <c r="DE1183" s="66">
        <f>IF(DE1181&lt;DE1182,(DE1181-DE1182),0)</f>
        <v>0</v>
      </c>
      <c r="DH1183" s="66">
        <f ca="1">IF(DH1181&lt;DH1182,(DH1181-DH1182),0)</f>
        <v>0</v>
      </c>
      <c r="DI1183" s="66">
        <f ca="1">IF(DI1181&lt;DI1182,(DI1181-DI1182),0)</f>
        <v>0</v>
      </c>
      <c r="DL1183" s="66">
        <f ca="1">IF(DL1181&lt;DL1182,(DL1181-DL1182),0)</f>
        <v>0</v>
      </c>
      <c r="DM1183" s="66">
        <f ca="1">IF(DM1181&lt;DM1182,(DM1181-DM1182),0)</f>
        <v>0</v>
      </c>
      <c r="DP1183" s="66">
        <f ca="1">IF(DP1181&lt;DP1182,(DP1181-DP1182),0)</f>
        <v>0</v>
      </c>
      <c r="DQ1183" s="66">
        <f ca="1">IF(DQ1181&lt;DQ1182,(DQ1181-DQ1182),0)</f>
        <v>0</v>
      </c>
      <c r="DW1183" s="20"/>
      <c r="DX1183" s="20"/>
    </row>
    <row r="1184" spans="1:128" s="21" customFormat="1" ht="14.4" thickBot="1">
      <c r="A1184" s="20" t="s">
        <v>657</v>
      </c>
      <c r="B1184" s="27"/>
      <c r="BH1184" s="27"/>
      <c r="BI1184" s="27"/>
      <c r="BJ1184" s="27"/>
      <c r="BK1184" s="27"/>
      <c r="BL1184" s="27"/>
      <c r="BM1184" s="27"/>
      <c r="BN1184" s="27"/>
      <c r="BO1184" s="27"/>
      <c r="BP1184" s="27"/>
      <c r="BQ1184" s="27"/>
      <c r="BT1184" s="27"/>
      <c r="BU1184" s="27"/>
      <c r="BX1184" s="65">
        <f>BX1183*BX1180</f>
        <v>0</v>
      </c>
      <c r="BY1184" s="27"/>
      <c r="CB1184" s="65">
        <f>CB1183*CB1180</f>
        <v>0</v>
      </c>
      <c r="CC1184" s="27"/>
      <c r="CF1184" s="65">
        <f>CF1183*CF1180</f>
        <v>0</v>
      </c>
      <c r="CG1184" s="65">
        <f>CG1183*CG1180</f>
        <v>0</v>
      </c>
      <c r="CJ1184" s="65">
        <f>CJ1183*CJ1180</f>
        <v>0</v>
      </c>
      <c r="CK1184" s="65">
        <f>CK1183*CK1180</f>
        <v>0</v>
      </c>
      <c r="CN1184" s="65">
        <f>CN1183*CN1180</f>
        <v>0</v>
      </c>
      <c r="CO1184" s="65">
        <f>CO1183*CO1180</f>
        <v>0</v>
      </c>
      <c r="CR1184" s="65">
        <f>CR1183*CR1180</f>
        <v>0</v>
      </c>
      <c r="CS1184" s="65">
        <f>CS1183*CS1180</f>
        <v>0</v>
      </c>
      <c r="CV1184" s="65">
        <f>CV1183*CV1180</f>
        <v>0</v>
      </c>
      <c r="CW1184" s="65">
        <f>CW1183*CW1180</f>
        <v>0</v>
      </c>
      <c r="CZ1184" s="65">
        <f>CZ1183*CZ1180</f>
        <v>0</v>
      </c>
      <c r="DA1184" s="65">
        <f>DA1183*DA1180</f>
        <v>0</v>
      </c>
      <c r="DD1184" s="65">
        <f>DD1183*DD1180</f>
        <v>0</v>
      </c>
      <c r="DE1184" s="65">
        <f>DE1183*DE1180</f>
        <v>0</v>
      </c>
      <c r="DH1184" s="65">
        <f ca="1">DH1183*DH1180</f>
        <v>0</v>
      </c>
      <c r="DI1184" s="65">
        <f ca="1">DI1183*DI1180</f>
        <v>0</v>
      </c>
      <c r="DL1184" s="65">
        <f ca="1">DL1183*DL1180</f>
        <v>0</v>
      </c>
      <c r="DM1184" s="65">
        <f ca="1">DM1183*DM1180</f>
        <v>0</v>
      </c>
      <c r="DP1184" s="65">
        <f ca="1">DP1183*DP1180</f>
        <v>0</v>
      </c>
      <c r="DQ1184" s="65">
        <f ca="1">DQ1183*DQ1180</f>
        <v>0</v>
      </c>
      <c r="DW1184" s="20"/>
      <c r="DX1184" s="20"/>
    </row>
    <row r="1185" spans="1:128" s="93" customFormat="1" ht="14.4" thickBot="1">
      <c r="A1185" s="325" t="s">
        <v>295</v>
      </c>
      <c r="B1185" s="94"/>
      <c r="BH1185" s="94"/>
      <c r="BI1185" s="368"/>
      <c r="BJ1185" s="94"/>
      <c r="BK1185" s="94"/>
      <c r="BL1185" s="368"/>
      <c r="BM1185" s="368"/>
      <c r="BN1185" s="94"/>
      <c r="BO1185" s="94"/>
      <c r="BP1185" s="368"/>
      <c r="BQ1185" s="368"/>
      <c r="BT1185" s="368"/>
      <c r="BU1185" s="368"/>
      <c r="BY1185" s="368"/>
      <c r="CC1185" s="368"/>
      <c r="CR1185" s="1200">
        <v>0.11</v>
      </c>
      <c r="CS1185" s="1200">
        <v>0.11</v>
      </c>
      <c r="DA1185" s="366"/>
      <c r="DE1185" s="366"/>
      <c r="DH1185" s="1311">
        <v>0.1125</v>
      </c>
      <c r="DI1185" s="366">
        <f>DH1185</f>
        <v>0.1125</v>
      </c>
      <c r="DL1185" s="366">
        <f>DI1185</f>
        <v>0.1125</v>
      </c>
      <c r="DM1185" s="366">
        <f>DL1185</f>
        <v>0.1125</v>
      </c>
      <c r="DP1185" s="366">
        <f>DM1185</f>
        <v>0.1125</v>
      </c>
      <c r="DQ1185" s="366">
        <f>DP1185</f>
        <v>0.1125</v>
      </c>
      <c r="DW1185" s="20"/>
      <c r="DX1185" s="20"/>
    </row>
    <row r="1186" spans="1:128" s="21" customFormat="1" ht="13.8">
      <c r="A1186" s="21" t="s">
        <v>658</v>
      </c>
      <c r="B1186" s="27"/>
      <c r="BH1186" s="98"/>
      <c r="BI1186" s="98"/>
      <c r="BJ1186" s="27"/>
      <c r="BK1186" s="27"/>
      <c r="BL1186" s="72"/>
      <c r="BM1186" s="72"/>
      <c r="BN1186" s="27"/>
      <c r="BO1186" s="27"/>
      <c r="BP1186" s="72">
        <f>BP1187*BP1188</f>
        <v>3222.7734512500001</v>
      </c>
      <c r="BQ1186" s="72"/>
      <c r="BT1186" s="72"/>
      <c r="BU1186" s="72"/>
      <c r="BY1186" s="72"/>
      <c r="CC1186" s="72"/>
      <c r="CR1186" s="72">
        <f>+CR1187*CR1188</f>
        <v>3536.302455</v>
      </c>
      <c r="CS1186" s="72"/>
      <c r="CW1186" s="72"/>
      <c r="DA1186" s="72"/>
      <c r="DE1186" s="72"/>
      <c r="DH1186" s="72">
        <f ca="1">IF(DH1183&lt;0,(DH1185-DH1181)*DH1180,0)</f>
        <v>0</v>
      </c>
      <c r="DI1186" s="72">
        <f ca="1">IF(DI1183&lt;0,(DI1185-DI1181)*DI1180,0)</f>
        <v>0</v>
      </c>
      <c r="DL1186" s="72">
        <f ca="1">IF(DL1183&lt;0,(DL1185-DL1181)*DL1180,0)</f>
        <v>0</v>
      </c>
      <c r="DM1186" s="72">
        <f ca="1">IF(DM1183&lt;0,(DM1185-DM1181)*DM1180,0)</f>
        <v>0</v>
      </c>
      <c r="DP1186" s="72">
        <f ca="1">IF(DP1183&lt;0,(DP1185-DP1181)*DP1180,0)</f>
        <v>0</v>
      </c>
      <c r="DQ1186" s="72">
        <f ca="1">IF(DQ1183&lt;0,(DQ1185-DQ1181)*DQ1180,0)</f>
        <v>0</v>
      </c>
      <c r="DW1186" s="28"/>
      <c r="DX1186" s="20"/>
    </row>
    <row r="1187" spans="1:128" s="93" customFormat="1" ht="13.8">
      <c r="A1187" s="325" t="s">
        <v>659</v>
      </c>
      <c r="B1187" s="94"/>
      <c r="BH1187" s="403"/>
      <c r="BI1187" s="403"/>
      <c r="BJ1187" s="94"/>
      <c r="BK1187" s="94"/>
      <c r="BL1187" s="403"/>
      <c r="BM1187" s="403"/>
      <c r="BN1187" s="94"/>
      <c r="BO1187" s="555"/>
      <c r="BP1187" s="557">
        <f>(26.5*27.274469+30.95*80.775445)/(27.274469+80.775445)</f>
        <v>29.826710007839527</v>
      </c>
      <c r="BQ1187" s="403"/>
      <c r="BT1187" s="403"/>
      <c r="BU1187" s="403"/>
      <c r="BY1187" s="403"/>
      <c r="CC1187" s="403"/>
      <c r="CR1187" s="1199">
        <v>18.899999999999999</v>
      </c>
      <c r="CS1187" s="403"/>
      <c r="CW1187" s="403"/>
      <c r="DA1187" s="403"/>
      <c r="DE1187" s="403"/>
      <c r="DH1187" s="403">
        <f>DH$1172*0.95</f>
        <v>37.139075324999993</v>
      </c>
      <c r="DI1187" s="403">
        <f>DI$1172*0.95</f>
        <v>38.810333714624988</v>
      </c>
      <c r="DL1187" s="403">
        <f>DL$1172*0.95</f>
        <v>40.556798731783104</v>
      </c>
      <c r="DM1187" s="403">
        <f>DM$1172*0.95</f>
        <v>42.381854674713345</v>
      </c>
      <c r="DP1187" s="403">
        <f>DP$1172*0.95</f>
        <v>44.289038135075444</v>
      </c>
      <c r="DQ1187" s="403">
        <f>DQ$1172*0.95</f>
        <v>46.282044851153834</v>
      </c>
      <c r="DW1187" s="20"/>
      <c r="DX1187" s="20"/>
    </row>
    <row r="1188" spans="1:128" s="21" customFormat="1" ht="13.8">
      <c r="A1188" s="21" t="s">
        <v>660</v>
      </c>
      <c r="B1188" s="27"/>
      <c r="BH1188" s="374"/>
      <c r="BI1188" s="374"/>
      <c r="BJ1188" s="27"/>
      <c r="BK1188" s="27"/>
      <c r="BL1188" s="374"/>
      <c r="BM1188" s="374"/>
      <c r="BN1188" s="27"/>
      <c r="BO1188" s="556"/>
      <c r="BP1188" s="554">
        <f>27.274469+80.775445</f>
        <v>108.049914</v>
      </c>
      <c r="BQ1188" s="374"/>
      <c r="BT1188" s="374"/>
      <c r="BU1188" s="374"/>
      <c r="BY1188" s="374"/>
      <c r="CC1188" s="374"/>
      <c r="CR1188" s="554">
        <v>187.10595000000001</v>
      </c>
      <c r="CS1188" s="99"/>
      <c r="CW1188" s="99"/>
      <c r="DA1188" s="99"/>
      <c r="DE1188" s="99"/>
      <c r="DH1188" s="99">
        <f ca="1">+DH1186/DH1187</f>
        <v>0</v>
      </c>
      <c r="DI1188" s="99">
        <f ca="1">+DI1186/DI1187</f>
        <v>0</v>
      </c>
      <c r="DL1188" s="99">
        <f ca="1">+DL1186/DL1187</f>
        <v>0</v>
      </c>
      <c r="DM1188" s="99">
        <f ca="1">+DM1186/DM1187</f>
        <v>0</v>
      </c>
      <c r="DP1188" s="99">
        <f ca="1">+DP1186/DP1187</f>
        <v>0</v>
      </c>
      <c r="DQ1188" s="99">
        <f ca="1">+DQ1186/DQ1187</f>
        <v>0</v>
      </c>
      <c r="DW1188" s="20"/>
      <c r="DX1188" s="20"/>
    </row>
    <row r="1189" spans="1:128" s="20" customFormat="1" ht="13.8">
      <c r="B1189" s="49"/>
      <c r="BH1189" s="49"/>
      <c r="BI1189" s="49"/>
      <c r="BJ1189" s="49"/>
      <c r="BK1189" s="49"/>
      <c r="BL1189" s="49"/>
      <c r="BM1189" s="49"/>
      <c r="BN1189" s="49"/>
      <c r="BO1189" s="49"/>
      <c r="BP1189" s="49"/>
      <c r="DH1189" s="49"/>
      <c r="DL1189" s="49"/>
      <c r="DP1189" s="49"/>
    </row>
    <row r="1190" spans="1:128" s="20" customFormat="1" ht="13.8">
      <c r="A1190" s="21" t="s">
        <v>661</v>
      </c>
      <c r="B1190" s="49"/>
      <c r="BH1190" s="49"/>
      <c r="BI1190" s="49"/>
      <c r="BJ1190" s="49"/>
      <c r="BK1190" s="49"/>
      <c r="BL1190" s="49"/>
      <c r="BM1190" s="49"/>
      <c r="BN1190" s="49"/>
      <c r="BO1190" s="49"/>
      <c r="BP1190" s="49"/>
      <c r="DH1190" s="49"/>
      <c r="DL1190" s="49"/>
      <c r="DP1190" s="49"/>
    </row>
    <row r="1191" spans="1:128" s="20" customFormat="1" ht="13.8">
      <c r="A1191" s="20" t="s">
        <v>1127</v>
      </c>
      <c r="B1191" s="49"/>
      <c r="BH1191" s="49"/>
      <c r="BI1191" s="49"/>
      <c r="BJ1191" s="49"/>
      <c r="BK1191" s="49"/>
      <c r="BL1191" s="49"/>
      <c r="BM1191" s="49"/>
      <c r="BN1191" s="49"/>
      <c r="BO1191" s="49"/>
      <c r="BP1191" s="49"/>
      <c r="CR1191" s="77">
        <f t="shared" ref="CR1191:CS1192" si="1659">CR1160</f>
        <v>0.11534561896280057</v>
      </c>
      <c r="CS1191" s="77">
        <f t="shared" si="1659"/>
        <v>0.12287175788070848</v>
      </c>
      <c r="CV1191" s="77">
        <f t="shared" ref="CV1191:CW1191" si="1660">CV1160</f>
        <v>0.13175235860659137</v>
      </c>
      <c r="CW1191" s="77">
        <f t="shared" si="1660"/>
        <v>0.13337271852434765</v>
      </c>
      <c r="CZ1191" s="77">
        <f t="shared" ref="CZ1191" si="1661">CZ1160</f>
        <v>0.1349695803169747</v>
      </c>
      <c r="DA1191" s="77">
        <f t="shared" ref="DA1191:DA1192" si="1662">DA1160</f>
        <v>0.12196864181718027</v>
      </c>
      <c r="DD1191" s="77">
        <f t="shared" ref="DD1191:DE1192" si="1663">DD1160</f>
        <v>0.11775931291964375</v>
      </c>
      <c r="DE1191" s="77">
        <f t="shared" si="1663"/>
        <v>0.12034535173057506</v>
      </c>
      <c r="DH1191" s="77">
        <f ca="1">DH1160</f>
        <v>0.12423791116115317</v>
      </c>
      <c r="DI1191" s="77">
        <f t="shared" ref="DI1191:DI1192" ca="1" si="1664">DI1160</f>
        <v>0.12416047323567664</v>
      </c>
      <c r="DL1191" s="77">
        <f ca="1">DL1160</f>
        <v>0.12491467520708401</v>
      </c>
      <c r="DM1191" s="77">
        <f t="shared" ref="DM1191:DM1192" ca="1" si="1665">DM1160</f>
        <v>0.12397303500389423</v>
      </c>
      <c r="DP1191" s="77">
        <f ca="1">DP1160</f>
        <v>0.12277347526778618</v>
      </c>
      <c r="DQ1191" s="77">
        <f t="shared" ref="DQ1191:DQ1192" ca="1" si="1666">DQ1160</f>
        <v>0.12236318860895939</v>
      </c>
    </row>
    <row r="1192" spans="1:128" s="20" customFormat="1" ht="14.4" thickBot="1">
      <c r="A1192" s="20" t="s">
        <v>1128</v>
      </c>
      <c r="B1192" s="49"/>
      <c r="BH1192" s="49"/>
      <c r="BI1192" s="49"/>
      <c r="BJ1192" s="49"/>
      <c r="BK1192" s="49"/>
      <c r="BL1192" s="49"/>
      <c r="BM1192" s="49"/>
      <c r="BN1192" s="49"/>
      <c r="BO1192" s="49"/>
      <c r="BP1192" s="49"/>
      <c r="CR1192" s="77">
        <f t="shared" si="1659"/>
        <v>0.11117093501148638</v>
      </c>
      <c r="CS1192" s="77">
        <f t="shared" si="1659"/>
        <v>0.11845915810467146</v>
      </c>
      <c r="CV1192" s="77">
        <f t="shared" ref="CV1192:CW1192" si="1667">CV1161</f>
        <v>0.12691502393425791</v>
      </c>
      <c r="CW1192" s="77">
        <f t="shared" si="1667"/>
        <v>0.12733931184410635</v>
      </c>
      <c r="CZ1192" s="77">
        <f t="shared" ref="CZ1192" si="1668">CZ1161</f>
        <v>0.12995031213912872</v>
      </c>
      <c r="DA1192" s="77">
        <f t="shared" si="1662"/>
        <v>0.11690369182860035</v>
      </c>
      <c r="DD1192" s="77">
        <f t="shared" si="1663"/>
        <v>0.11291019071200578</v>
      </c>
      <c r="DE1192" s="77">
        <f t="shared" si="1663"/>
        <v>0.11656509534555891</v>
      </c>
      <c r="DH1192" s="77">
        <f t="shared" ref="DH1192" ca="1" si="1669">DH1161</f>
        <v>0.11932167131244903</v>
      </c>
      <c r="DI1192" s="77">
        <f t="shared" ca="1" si="1664"/>
        <v>0.11925186652543064</v>
      </c>
      <c r="DL1192" s="77">
        <f t="shared" ref="DL1192" ca="1" si="1670">DL1161</f>
        <v>0.11988238617181526</v>
      </c>
      <c r="DM1192" s="77">
        <f t="shared" ca="1" si="1665"/>
        <v>0.1189405995569997</v>
      </c>
      <c r="DP1192" s="77">
        <f t="shared" ref="DP1192" ca="1" si="1671">DP1161</f>
        <v>0.11776150164209856</v>
      </c>
      <c r="DQ1192" s="77">
        <f t="shared" ca="1" si="1666"/>
        <v>0.11736105733372333</v>
      </c>
    </row>
    <row r="1193" spans="1:128" s="93" customFormat="1" ht="14.4" thickBot="1">
      <c r="A1193" s="325" t="s">
        <v>662</v>
      </c>
      <c r="B1193" s="94"/>
      <c r="BH1193" s="94"/>
      <c r="BI1193" s="368"/>
      <c r="BJ1193" s="94"/>
      <c r="BK1193" s="94"/>
      <c r="BL1193" s="368"/>
      <c r="BM1193" s="434">
        <v>0.105</v>
      </c>
      <c r="BN1193" s="94"/>
      <c r="BO1193" s="94"/>
      <c r="BP1193" s="368"/>
      <c r="BQ1193" s="368"/>
      <c r="BT1193" s="368"/>
      <c r="BU1193" s="368"/>
      <c r="BY1193" s="368"/>
      <c r="CC1193" s="368"/>
      <c r="DH1193" s="1311">
        <v>0.1225</v>
      </c>
      <c r="DI1193" s="1228">
        <f>DH1193</f>
        <v>0.1225</v>
      </c>
      <c r="DL1193" s="1311">
        <v>0.1225</v>
      </c>
      <c r="DM1193" s="1311">
        <v>0.1225</v>
      </c>
      <c r="DP1193" s="1228">
        <v>0.12</v>
      </c>
      <c r="DQ1193" s="1311">
        <v>0.12</v>
      </c>
      <c r="DW1193" s="20"/>
      <c r="DX1193" s="20"/>
    </row>
    <row r="1194" spans="1:128" s="21" customFormat="1" ht="13.8">
      <c r="A1194" s="20" t="s">
        <v>663</v>
      </c>
      <c r="B1194" s="27"/>
      <c r="BH1194" s="27"/>
      <c r="BI1194" s="27"/>
      <c r="BJ1194" s="27"/>
      <c r="BK1194" s="27"/>
      <c r="BL1194" s="66"/>
      <c r="BM1194" s="66">
        <f>IF(BM1181&gt;BM1193,(BM1181-BM1193),0)</f>
        <v>0</v>
      </c>
      <c r="BN1194" s="27"/>
      <c r="BO1194" s="27"/>
      <c r="BP1194" s="66"/>
      <c r="BQ1194" s="66"/>
      <c r="BT1194" s="66"/>
      <c r="BU1194" s="66"/>
      <c r="BY1194" s="66"/>
      <c r="CC1194" s="66"/>
      <c r="DH1194" s="66">
        <f ca="1">IF(DH1181&gt;DH1193,(DH1181-DH1193),0)</f>
        <v>1.7379111611531689E-3</v>
      </c>
      <c r="DI1194" s="66">
        <f ca="1">IF(DI1181&gt;DI1193,(DI1181-DI1193),0)</f>
        <v>1.6604732356766405E-3</v>
      </c>
      <c r="DL1194" s="66">
        <f ca="1">IF(DL1181&gt;DL1193,(DL1181-DL1193),0)</f>
        <v>2.4146752070840077E-3</v>
      </c>
      <c r="DM1194" s="66">
        <f ca="1">IF(DM1181&gt;DM1193,(DM1181-DM1193),0)</f>
        <v>1.4730350038942297E-3</v>
      </c>
      <c r="DP1194" s="66">
        <f ca="1">IF(DP1181&gt;DP1193,(DP1181-DP1193),0)</f>
        <v>2.7734752677861796E-3</v>
      </c>
      <c r="DQ1194" s="66">
        <f ca="1">IF(DQ1181&gt;DQ1193,(DQ1181-DQ1193),0)</f>
        <v>2.363188608959399E-3</v>
      </c>
      <c r="DW1194" s="20"/>
      <c r="DX1194" s="20"/>
    </row>
    <row r="1195" spans="1:128" s="21" customFormat="1" ht="14.4" thickBot="1">
      <c r="A1195" s="20" t="s">
        <v>664</v>
      </c>
      <c r="B1195" s="27"/>
      <c r="BH1195" s="27"/>
      <c r="BI1195" s="27"/>
      <c r="BJ1195" s="27"/>
      <c r="BK1195" s="27"/>
      <c r="BL1195" s="65"/>
      <c r="BM1195" s="65">
        <f>BM1194*BM1180</f>
        <v>0</v>
      </c>
      <c r="BN1195" s="27"/>
      <c r="BO1195" s="27"/>
      <c r="BP1195" s="65"/>
      <c r="BQ1195" s="65"/>
      <c r="BT1195" s="65"/>
      <c r="BU1195" s="65"/>
      <c r="BY1195" s="65"/>
      <c r="CC1195" s="65"/>
      <c r="DH1195" s="65">
        <f ca="1">DH1194*DH1180</f>
        <v>812.58753587937463</v>
      </c>
      <c r="DI1195" s="65">
        <f ca="1">DI1194*DI1180</f>
        <v>792.14202058016213</v>
      </c>
      <c r="DL1195" s="65">
        <f ca="1">DL1194*DL1180</f>
        <v>1168.8594917234529</v>
      </c>
      <c r="DM1195" s="65">
        <f ca="1">DM1194*DM1180</f>
        <v>726.04551548370978</v>
      </c>
      <c r="DP1195" s="65">
        <f ca="1">DP1194*DP1180</f>
        <v>1398.8014355508781</v>
      </c>
      <c r="DQ1195" s="65">
        <f ca="1">DQ1194*DQ1180</f>
        <v>1211.7773545823889</v>
      </c>
      <c r="DW1195" s="20"/>
      <c r="DX1195" s="20"/>
    </row>
    <row r="1196" spans="1:128" s="93" customFormat="1" ht="14.4" thickBot="1">
      <c r="A1196" s="325" t="s">
        <v>295</v>
      </c>
      <c r="B1196" s="94"/>
      <c r="BH1196" s="94"/>
      <c r="BI1196" s="368"/>
      <c r="BJ1196" s="94"/>
      <c r="BK1196" s="94"/>
      <c r="BL1196" s="368"/>
      <c r="BM1196" s="434">
        <v>0.1</v>
      </c>
      <c r="BN1196" s="94"/>
      <c r="BO1196" s="94"/>
      <c r="BP1196" s="368"/>
      <c r="BQ1196" s="368"/>
      <c r="BT1196" s="368"/>
      <c r="BU1196" s="368"/>
      <c r="BY1196" s="368"/>
      <c r="CC1196" s="368"/>
      <c r="DG1196" s="609"/>
      <c r="DH1196" s="1311">
        <v>0.125</v>
      </c>
      <c r="DI1196" s="366">
        <f>DH1196</f>
        <v>0.125</v>
      </c>
      <c r="DL1196" s="1311">
        <v>0.12385</v>
      </c>
      <c r="DM1196" s="1311">
        <v>0.123</v>
      </c>
      <c r="DP1196" s="1311">
        <v>0.1217</v>
      </c>
      <c r="DQ1196" s="1311">
        <v>0.12139999999999999</v>
      </c>
      <c r="DW1196" s="20"/>
      <c r="DX1196" s="20"/>
    </row>
    <row r="1197" spans="1:128" s="21" customFormat="1" ht="14.4" thickBot="1">
      <c r="A1197" s="21" t="s">
        <v>173</v>
      </c>
      <c r="B1197" s="27"/>
      <c r="BH1197" s="98"/>
      <c r="BI1197" s="98"/>
      <c r="BJ1197" s="27"/>
      <c r="BK1197" s="27"/>
      <c r="BL1197" s="72"/>
      <c r="BM1197" s="72">
        <v>-180</v>
      </c>
      <c r="BN1197" s="27"/>
      <c r="BO1197" s="27"/>
      <c r="BP1197" s="72"/>
      <c r="BQ1197" s="72"/>
      <c r="BT1197" s="72"/>
      <c r="BU1197" s="72"/>
      <c r="BY1197" s="72"/>
      <c r="CC1197" s="72"/>
      <c r="CN1197" s="1001">
        <v>-654</v>
      </c>
      <c r="CO1197" s="791">
        <f>-1500-CN1197</f>
        <v>-846</v>
      </c>
      <c r="CR1197" s="607">
        <f>IF(CR1194&gt;0,-(CR1179-(CR1180*CR1196)),0)</f>
        <v>0</v>
      </c>
      <c r="CS1197" s="72">
        <f>IF(CS1194&gt;0,-(CS1179-(CS1180*CS1196)),0)</f>
        <v>0</v>
      </c>
      <c r="CU1197" s="46"/>
      <c r="CV1197" s="607">
        <f>IF(CV1194&gt;0,-(CV1179-(CV1180*CV1196)),0)</f>
        <v>0</v>
      </c>
      <c r="CW1197" s="72">
        <f>IF(CW1194&gt;0,-(CW1179-(CW1180*CW1196)),0)</f>
        <v>0</v>
      </c>
      <c r="CZ1197" s="607">
        <v>-883</v>
      </c>
      <c r="DA1197" s="1309">
        <v>-285</v>
      </c>
      <c r="DD1197" s="1309">
        <f>-291-DA1197</f>
        <v>-6</v>
      </c>
      <c r="DE1197" s="1309">
        <v>0</v>
      </c>
      <c r="DG1197" s="1574"/>
      <c r="DH1197" s="1309">
        <v>0</v>
      </c>
      <c r="DI1197" s="1309">
        <v>0</v>
      </c>
      <c r="DJ1197" s="1574"/>
      <c r="DL1197" s="72">
        <f ca="1">IF(DL1194&gt;0,-(DL1179-(DL1180*DL1196)),0)</f>
        <v>-515.3718884228656</v>
      </c>
      <c r="DM1197" s="72">
        <f ca="1">IF(DM1194&gt;0,-(DM1179-(DM1180*DM1196)),0)</f>
        <v>-479.60007679275441</v>
      </c>
      <c r="DP1197" s="72">
        <f ca="1">IF(DP1194&gt;0,-(DP1179-(DP1180*DP1196)),0)</f>
        <v>-541.40693556868791</v>
      </c>
      <c r="DQ1197" s="72">
        <f ca="1">IF(DQ1194&gt;0,-(DQ1179-(DQ1180*DQ1196)),0)</f>
        <v>-493.89631454032497</v>
      </c>
      <c r="DW1197" s="20"/>
      <c r="DX1197" s="20"/>
    </row>
    <row r="1198" spans="1:128" s="93" customFormat="1" ht="13.8">
      <c r="A1198" s="325" t="s">
        <v>659</v>
      </c>
      <c r="B1198" s="94"/>
      <c r="BH1198" s="403"/>
      <c r="BI1198" s="403"/>
      <c r="BJ1198" s="94"/>
      <c r="BK1198" s="94"/>
      <c r="BL1198" s="403"/>
      <c r="BM1198" s="403">
        <f>BM$1172</f>
        <v>32.020000000000003</v>
      </c>
      <c r="BN1198" s="94"/>
      <c r="BO1198" s="94"/>
      <c r="BP1198" s="403"/>
      <c r="BQ1198" s="403"/>
      <c r="BT1198" s="403"/>
      <c r="BU1198" s="403"/>
      <c r="BY1198" s="403"/>
      <c r="CC1198" s="403"/>
      <c r="CN1198" s="403">
        <f>+CN1197/CN1199</f>
        <v>28.058496215621052</v>
      </c>
      <c r="CO1198" s="1020">
        <v>28.5</v>
      </c>
      <c r="CR1198" s="403">
        <f>CR$1172</f>
        <v>25.52</v>
      </c>
      <c r="CS1198" s="403">
        <f>CS$1172</f>
        <v>24.51</v>
      </c>
      <c r="CV1198" s="403">
        <f>CV$1172</f>
        <v>23.55</v>
      </c>
      <c r="CW1198" s="403">
        <f>CW$1172</f>
        <v>24.34</v>
      </c>
      <c r="CZ1198" s="403">
        <f>CZ1197/CZ1199</f>
        <v>29.681205034066828</v>
      </c>
      <c r="DA1198" s="403">
        <f>DA1197/DA1199</f>
        <v>30.049743396278938</v>
      </c>
      <c r="DD1198" s="403">
        <f>DD1197/DD1199</f>
        <v>25.901814853827425</v>
      </c>
      <c r="DE1198" s="403">
        <f>DE$1172</f>
        <v>37.410299999999999</v>
      </c>
      <c r="DH1198" s="403">
        <f>DH$1172</f>
        <v>39.093763499999994</v>
      </c>
      <c r="DI1198" s="403">
        <f>DI$1172</f>
        <v>40.852982857499988</v>
      </c>
      <c r="DL1198" s="403">
        <f>DL$1172</f>
        <v>42.691367086087482</v>
      </c>
      <c r="DM1198" s="403">
        <f>DM$1172</f>
        <v>44.612478604961417</v>
      </c>
      <c r="DP1198" s="403">
        <f>DP$1172</f>
        <v>46.620040142184678</v>
      </c>
      <c r="DQ1198" s="403">
        <f>DQ$1172</f>
        <v>48.717941948582983</v>
      </c>
      <c r="DW1198" s="20"/>
      <c r="DX1198" s="20"/>
    </row>
    <row r="1199" spans="1:128" s="21" customFormat="1" ht="13.8">
      <c r="A1199" s="21" t="s">
        <v>665</v>
      </c>
      <c r="B1199" s="27"/>
      <c r="BH1199" s="374"/>
      <c r="BI1199" s="374"/>
      <c r="BJ1199" s="27"/>
      <c r="BK1199" s="27"/>
      <c r="BL1199" s="374"/>
      <c r="BM1199" s="99">
        <f>+BM1197/BM1198</f>
        <v>-5.6214865708931914</v>
      </c>
      <c r="BN1199" s="27"/>
      <c r="BO1199" s="27"/>
      <c r="BP1199" s="374"/>
      <c r="BQ1199" s="374"/>
      <c r="BT1199" s="374"/>
      <c r="BU1199" s="374"/>
      <c r="BY1199" s="374"/>
      <c r="CC1199" s="374"/>
      <c r="CN1199" s="554">
        <v>-23.308447999999999</v>
      </c>
      <c r="CO1199" s="99">
        <f>+CO1197/CO1198</f>
        <v>-29.684210526315791</v>
      </c>
      <c r="CR1199" s="99">
        <f>+CR1197/CR1198</f>
        <v>0</v>
      </c>
      <c r="CS1199" s="99">
        <f>+CS1197/CS1198</f>
        <v>0</v>
      </c>
      <c r="CV1199" s="99">
        <f>+CV1197/CV1198</f>
        <v>0</v>
      </c>
      <c r="CW1199" s="99">
        <f>+CW1197/CW1198</f>
        <v>0</v>
      </c>
      <c r="CZ1199" s="554">
        <v>-29.749466000000002</v>
      </c>
      <c r="DA1199" s="554">
        <v>-9.4842739999999992</v>
      </c>
      <c r="DD1199" s="554">
        <v>-0.23164399999999999</v>
      </c>
      <c r="DE1199" s="99">
        <f>+DE1197/DE1198</f>
        <v>0</v>
      </c>
      <c r="DH1199" s="99">
        <f>+DH1197/DH1198</f>
        <v>0</v>
      </c>
      <c r="DI1199" s="99">
        <f>+DI1197/DI1198</f>
        <v>0</v>
      </c>
      <c r="DL1199" s="99">
        <f ca="1">+DL1197/DL1198</f>
        <v>-12.072039936870938</v>
      </c>
      <c r="DM1199" s="99">
        <f ca="1">+DM1197/DM1198</f>
        <v>-10.750357115092399</v>
      </c>
      <c r="DP1199" s="99">
        <f ca="1">+DP1197/DP1198</f>
        <v>-11.61318038160138</v>
      </c>
      <c r="DQ1199" s="99">
        <f ca="1">+DQ1197/DQ1198</f>
        <v>-10.137873128170812</v>
      </c>
      <c r="DW1199" s="20"/>
      <c r="DX1199" s="20"/>
    </row>
    <row r="1200" spans="1:128" s="20" customFormat="1" ht="13.8">
      <c r="A1200" s="21"/>
      <c r="B1200" s="49"/>
      <c r="BH1200" s="49"/>
      <c r="BI1200" s="49"/>
      <c r="BJ1200" s="49"/>
      <c r="BK1200" s="49"/>
      <c r="BL1200" s="49"/>
      <c r="BM1200" s="49"/>
      <c r="BN1200" s="49"/>
      <c r="BO1200" s="49"/>
      <c r="BP1200" s="49"/>
      <c r="BX1200" s="49"/>
      <c r="CB1200" s="49"/>
      <c r="CF1200" s="49"/>
      <c r="CJ1200" s="49"/>
      <c r="CN1200" s="49"/>
      <c r="CR1200" s="49"/>
      <c r="CV1200" s="49"/>
      <c r="CZ1200" s="49"/>
      <c r="DD1200" s="49"/>
      <c r="DH1200" s="49"/>
      <c r="DL1200" s="49"/>
      <c r="DP1200" s="49"/>
    </row>
    <row r="1201" spans="1:128" s="20" customFormat="1" ht="13.8">
      <c r="A1201" s="21" t="s">
        <v>420</v>
      </c>
      <c r="B1201" s="49"/>
      <c r="BH1201" s="49"/>
      <c r="BI1201" s="49"/>
      <c r="BJ1201" s="49"/>
      <c r="BK1201" s="49"/>
      <c r="BL1201" s="49"/>
      <c r="BM1201" s="49"/>
      <c r="BN1201" s="49"/>
      <c r="BO1201" s="49"/>
      <c r="BP1201" s="49"/>
      <c r="BX1201" s="49"/>
      <c r="CB1201" s="49"/>
      <c r="CF1201" s="49"/>
      <c r="CJ1201" s="49"/>
      <c r="CN1201" s="49"/>
      <c r="CR1201" s="49"/>
      <c r="CV1201" s="49"/>
      <c r="CZ1201" s="49"/>
      <c r="DD1201" s="49"/>
      <c r="DH1201" s="49"/>
      <c r="DL1201" s="49"/>
      <c r="DP1201" s="49"/>
    </row>
    <row r="1202" spans="1:128" s="325" customFormat="1" ht="13.8">
      <c r="A1202" s="325" t="s">
        <v>720</v>
      </c>
      <c r="B1202" s="324"/>
      <c r="BH1202" s="404">
        <f>BH1106</f>
        <v>7.281072000000222</v>
      </c>
      <c r="BI1202" s="404">
        <f>BI1106</f>
        <v>0.4266219999999521</v>
      </c>
      <c r="BJ1202" s="324"/>
      <c r="BK1202" s="324"/>
      <c r="BL1202" s="404">
        <f>BL1106</f>
        <v>0</v>
      </c>
      <c r="BM1202" s="404">
        <f>BM1106</f>
        <v>0.10910100000000966</v>
      </c>
      <c r="BN1202" s="324"/>
      <c r="BO1202" s="324"/>
      <c r="BP1202" s="404">
        <f>BP1106</f>
        <v>5.2451000000019121E-2</v>
      </c>
      <c r="BQ1202" s="404">
        <f>BQ1106</f>
        <v>3.4138999999868247E-2</v>
      </c>
      <c r="BT1202" s="404">
        <f>BT1106</f>
        <v>0</v>
      </c>
      <c r="BU1202" s="404">
        <f>BU1106</f>
        <v>0</v>
      </c>
      <c r="BX1202" s="404">
        <f>BX1106</f>
        <v>0</v>
      </c>
      <c r="BY1202" s="404">
        <f>BY1106</f>
        <v>-2.1682000000055268E-2</v>
      </c>
      <c r="CB1202" s="404">
        <f>CB1106</f>
        <v>-5.6349000000409433E-2</v>
      </c>
      <c r="CC1202" s="404">
        <f>CC1106</f>
        <v>1.4591399999999339</v>
      </c>
      <c r="CF1202" s="404">
        <f>CF1106</f>
        <v>1.5574610000003304</v>
      </c>
      <c r="CG1202" s="404">
        <f>CG1106</f>
        <v>1.4093439999996917</v>
      </c>
      <c r="CJ1202" s="404">
        <f>CJ1106</f>
        <v>1.5924990000003163</v>
      </c>
      <c r="CK1202" s="404">
        <f>CK1106</f>
        <v>0.81980299999986528</v>
      </c>
      <c r="CN1202" s="404">
        <f>CN1106</f>
        <v>0.92957499999965876</v>
      </c>
      <c r="CO1202" s="404">
        <f>CO1106</f>
        <v>1.3302999999996246</v>
      </c>
      <c r="CR1202" s="404">
        <f>CR1106</f>
        <v>1.3717490000003636</v>
      </c>
      <c r="CS1202" s="404">
        <f>CS1106</f>
        <v>1.5185189999997419</v>
      </c>
      <c r="CV1202" s="404">
        <f>CV1106</f>
        <v>5.0360530000002655</v>
      </c>
      <c r="CW1202" s="404">
        <f>CW1106</f>
        <v>2.41834196694208</v>
      </c>
      <c r="CZ1202" s="404">
        <f>CZ1106</f>
        <v>1.7255540330579606</v>
      </c>
      <c r="DA1202" s="404">
        <f>DA1106</f>
        <v>1.6550480000000789</v>
      </c>
      <c r="DD1202" s="404">
        <f>DD1106</f>
        <v>1.4336359999997512</v>
      </c>
      <c r="DE1202" s="404">
        <f>DE1106</f>
        <v>1.5801360000000386</v>
      </c>
      <c r="DH1202" s="405">
        <f>IF(DH1205&gt;0,DH1204/DH1203,0)</f>
        <v>0.72111246081488167</v>
      </c>
      <c r="DI1202" s="405">
        <f>IF(DI1205&gt;0,DI1204/DI1203,0)</f>
        <v>0.70893446448801967</v>
      </c>
      <c r="DL1202" s="405">
        <f ca="1">IF(DL1205&gt;0,DL1204/DL1203,0)</f>
        <v>0.67908459229905038</v>
      </c>
      <c r="DM1202" s="405">
        <f ca="1">IF(DM1205&gt;0,DM1204/DM1203,0)</f>
        <v>0.65049155683382731</v>
      </c>
      <c r="DP1202" s="405">
        <f ca="1">IF(DP1205&gt;0,DP1204/DP1203,0)</f>
        <v>0.61204771010862391</v>
      </c>
      <c r="DQ1202" s="405">
        <f ca="1">IF(DQ1205&gt;0,DQ1204/DQ1203,0)</f>
        <v>0.57643285621252549</v>
      </c>
      <c r="DW1202" s="20"/>
      <c r="DX1202" s="20"/>
    </row>
    <row r="1203" spans="1:128" s="325" customFormat="1" ht="13.8">
      <c r="A1203" s="325" t="s">
        <v>659</v>
      </c>
      <c r="B1203" s="324"/>
      <c r="BH1203" s="403">
        <f>IF(BH1202&gt;0,(BH1204/BH1202),"na")</f>
        <v>5.6310389459132875</v>
      </c>
      <c r="BI1203" s="403">
        <f>IF(BI1202&gt;0,(BI1204/BI1202),"na")</f>
        <v>246.11951563682086</v>
      </c>
      <c r="BJ1203" s="324"/>
      <c r="BK1203" s="324"/>
      <c r="BL1203" s="403" t="str">
        <f>IF(BL1202&gt;0,(BL1204/BL1202),"na")</f>
        <v>na</v>
      </c>
      <c r="BM1203" s="403">
        <f>IF(BM1202&gt;0,(BM1204/BM1202),"na")</f>
        <v>18.33163765684845</v>
      </c>
      <c r="BN1203" s="324"/>
      <c r="BO1203" s="324"/>
      <c r="BP1203" s="403">
        <f>IF(BP1202&gt;0,(BP1204/BP1202),"na")</f>
        <v>-743.55112390585089</v>
      </c>
      <c r="BQ1203" s="403">
        <f>IF(BQ1202&gt;0,(BQ1204/BQ1202),"na")</f>
        <v>4218.0497378527707</v>
      </c>
      <c r="BR1203" s="93"/>
      <c r="BS1203" s="93"/>
      <c r="BT1203" s="403" t="str">
        <f>IF(BT1202&gt;0,(BT1204/BT1202),"na")</f>
        <v>na</v>
      </c>
      <c r="BU1203" s="403" t="str">
        <f>IF(BU1202&gt;0,(BU1204/BU1202),"na")</f>
        <v>na</v>
      </c>
      <c r="BV1203" s="93"/>
      <c r="BW1203" s="93"/>
      <c r="BX1203" s="403" t="str">
        <f>IF(BX1202&gt;0,(BX1204/BX1202),"na")</f>
        <v>na</v>
      </c>
      <c r="BY1203" s="403" t="str">
        <f>IF(BY1202&gt;0,(BY1204/BY1202),"na")</f>
        <v>na</v>
      </c>
      <c r="BZ1203" s="93"/>
      <c r="CA1203" s="93"/>
      <c r="CB1203" s="403" t="str">
        <f>IF(CB1202&gt;0,(CB1204/CB1202),"na")</f>
        <v>na</v>
      </c>
      <c r="CC1203" s="403">
        <f>IF(CC1202&gt;0,(CC1204/CC1202),"na")</f>
        <v>-0.68533519744510141</v>
      </c>
      <c r="CD1203" s="93"/>
      <c r="CE1203" s="93"/>
      <c r="CF1203" s="403">
        <f>IF(CF1202&gt;0,(CF1204/CF1202),"na")</f>
        <v>0</v>
      </c>
      <c r="CG1203" s="403">
        <f>IF(CG1202&gt;0,(CG1204/CG1202),"na")</f>
        <v>0</v>
      </c>
      <c r="CH1203" s="93"/>
      <c r="CI1203" s="93"/>
      <c r="CJ1203" s="403">
        <f>IF(CJ1202&gt;0,(CJ1204/CJ1202),"na")</f>
        <v>-31.397193969974278</v>
      </c>
      <c r="CK1203" s="403">
        <f>IF(CK1202&gt;0,(CK1204/CK1202),"na")</f>
        <v>36.594157376839227</v>
      </c>
      <c r="CL1203" s="93"/>
      <c r="CM1203" s="93"/>
      <c r="CN1203" s="403">
        <f>IF(CN1202&gt;0,(CN1204/CN1202),"na")</f>
        <v>90.363875964855808</v>
      </c>
      <c r="CO1203" s="403">
        <f>IF(CO1202&gt;0,(CO1204/CO1202),"na")</f>
        <v>17.289333233110195</v>
      </c>
      <c r="CP1203" s="93"/>
      <c r="CQ1203" s="93"/>
      <c r="CR1203" s="403">
        <f>IF(CR1202&gt;0,(CR1204/CR1202),"na")</f>
        <v>-34.262827966331699</v>
      </c>
      <c r="CS1203" s="403">
        <f>IF(CS1202&gt;0,(CS1204/CS1202),"na")</f>
        <v>16.71420893647386</v>
      </c>
      <c r="CT1203" s="93"/>
      <c r="CU1203" s="93"/>
      <c r="CV1203" s="403">
        <f>IF(CV1202&gt;0,(CV1204/CV1202),"na")</f>
        <v>10.116051046324758</v>
      </c>
      <c r="CW1203" s="403">
        <f>IF(CW1202&gt;0,(CW1204/CW1202),"na")</f>
        <v>11.578180581055355</v>
      </c>
      <c r="CX1203" s="93"/>
      <c r="CY1203" s="93"/>
      <c r="CZ1203" s="403">
        <f>IF(CZ1202&gt;0,(CZ1204/CZ1202),"na")</f>
        <v>-28.396676697028187</v>
      </c>
      <c r="DA1203" s="403">
        <f>IF(DA1202&gt;0,(DA1204/DA1202),"na")</f>
        <v>19.334786664796717</v>
      </c>
      <c r="DB1203" s="93"/>
      <c r="DC1203" s="93"/>
      <c r="DD1203" s="403">
        <f>IF(DD1202&gt;0,(DD1204/DD1202),"na")</f>
        <v>-25.808503692713089</v>
      </c>
      <c r="DE1203" s="403">
        <f>IF(DE1202&gt;0,(DE1204/DE1202),"na")</f>
        <v>91.764253203519473</v>
      </c>
      <c r="DF1203" s="93"/>
      <c r="DG1203" s="93"/>
      <c r="DH1203" s="403">
        <f>DH$1172</f>
        <v>39.093763499999994</v>
      </c>
      <c r="DI1203" s="403">
        <f>DI$1172</f>
        <v>40.852982857499988</v>
      </c>
      <c r="DJ1203" s="93"/>
      <c r="DK1203" s="93"/>
      <c r="DL1203" s="403">
        <f>DL$1172</f>
        <v>42.691367086087482</v>
      </c>
      <c r="DM1203" s="403">
        <f>DM$1172</f>
        <v>44.612478604961417</v>
      </c>
      <c r="DN1203" s="93"/>
      <c r="DO1203" s="93"/>
      <c r="DP1203" s="403">
        <f>DP$1172</f>
        <v>46.620040142184678</v>
      </c>
      <c r="DQ1203" s="403">
        <f>DQ$1172</f>
        <v>48.717941948582983</v>
      </c>
      <c r="DR1203" s="93"/>
      <c r="DS1203" s="93"/>
      <c r="DT1203" s="93"/>
      <c r="DU1203" s="93"/>
      <c r="DV1203" s="93"/>
      <c r="DW1203" s="20"/>
      <c r="DX1203" s="20"/>
    </row>
    <row r="1204" spans="1:128" s="20" customFormat="1" ht="13.8">
      <c r="A1204" s="20" t="s">
        <v>418</v>
      </c>
      <c r="B1204" s="49"/>
      <c r="BH1204" s="65">
        <f>BH1064</f>
        <v>41</v>
      </c>
      <c r="BI1204" s="65">
        <f>BI1064</f>
        <v>105</v>
      </c>
      <c r="BJ1204" s="49"/>
      <c r="BK1204" s="49"/>
      <c r="BL1204" s="65">
        <f>BL1064</f>
        <v>2</v>
      </c>
      <c r="BM1204" s="65">
        <f>BM1064</f>
        <v>2</v>
      </c>
      <c r="BN1204" s="49"/>
      <c r="BO1204" s="49"/>
      <c r="BP1204" s="65">
        <f>BP1064</f>
        <v>-39</v>
      </c>
      <c r="BQ1204" s="65">
        <f>BQ1064</f>
        <v>144</v>
      </c>
      <c r="BR1204" s="28"/>
      <c r="BS1204" s="28"/>
      <c r="BT1204" s="65">
        <f>BT1064</f>
        <v>0</v>
      </c>
      <c r="BU1204" s="65">
        <f>BU1064</f>
        <v>0</v>
      </c>
      <c r="BV1204" s="28"/>
      <c r="BW1204" s="28"/>
      <c r="BX1204" s="65">
        <f>BX1064</f>
        <v>0</v>
      </c>
      <c r="BY1204" s="65">
        <f>BY1064</f>
        <v>-1</v>
      </c>
      <c r="BZ1204" s="28"/>
      <c r="CB1204" s="65">
        <f>CB1064</f>
        <v>0</v>
      </c>
      <c r="CC1204" s="65">
        <f>CC1064</f>
        <v>-1</v>
      </c>
      <c r="CD1204" s="28"/>
      <c r="CF1204" s="65">
        <f>CF1064</f>
        <v>0</v>
      </c>
      <c r="CG1204" s="65">
        <f>CG1064</f>
        <v>0</v>
      </c>
      <c r="CH1204" s="28"/>
      <c r="CJ1204" s="65">
        <f>CJ1064</f>
        <v>-50</v>
      </c>
      <c r="CK1204" s="65">
        <f>CK1064</f>
        <v>30</v>
      </c>
      <c r="CL1204" s="28"/>
      <c r="CN1204" s="65">
        <f>CN1064</f>
        <v>84</v>
      </c>
      <c r="CO1204" s="65">
        <f>CO1064</f>
        <v>23</v>
      </c>
      <c r="CP1204" s="28"/>
      <c r="CR1204" s="65">
        <f>CR1064</f>
        <v>-47</v>
      </c>
      <c r="CS1204" s="65">
        <f>CS1064</f>
        <v>25.380843840001035</v>
      </c>
      <c r="CT1204" s="28"/>
      <c r="CV1204" s="65">
        <f>CV1064</f>
        <v>50.944969219999621</v>
      </c>
      <c r="CW1204" s="65">
        <f>CW1064</f>
        <v>28</v>
      </c>
      <c r="CX1204" s="28"/>
      <c r="CZ1204" s="65">
        <f>CZ1064</f>
        <v>-49</v>
      </c>
      <c r="DA1204" s="65">
        <f>DA1064</f>
        <v>32</v>
      </c>
      <c r="DB1204" s="28"/>
      <c r="DD1204" s="65">
        <f>DD1064</f>
        <v>-37</v>
      </c>
      <c r="DE1204" s="65">
        <f>DE1064</f>
        <v>145</v>
      </c>
      <c r="DF1204" s="28"/>
      <c r="DH1204" s="65">
        <f>+DH1205*DH1058</f>
        <v>28.190999999999999</v>
      </c>
      <c r="DI1204" s="65">
        <f>+DI1205*DI1058</f>
        <v>28.962087524819999</v>
      </c>
      <c r="DJ1204" s="28"/>
      <c r="DL1204" s="65">
        <f ca="1">+DL1205*DL1058</f>
        <v>28.991049612344817</v>
      </c>
      <c r="DM1204" s="65">
        <f ca="1">+DM1205*DM1058</f>
        <v>29.020040661957164</v>
      </c>
      <c r="DN1204" s="28"/>
      <c r="DP1204" s="65">
        <f ca="1">+DP1205*DP1058</f>
        <v>28.533688814196257</v>
      </c>
      <c r="DQ1204" s="65">
        <f ca="1">+DQ1205*DQ1058</f>
        <v>28.0826224262177</v>
      </c>
      <c r="DR1204" s="28"/>
    </row>
    <row r="1205" spans="1:128" s="325" customFormat="1" ht="13.8">
      <c r="A1205" s="325" t="s">
        <v>666</v>
      </c>
      <c r="B1205" s="324"/>
      <c r="BH1205" s="348">
        <f>+BH1204/BH1058</f>
        <v>1.777199826614651E-3</v>
      </c>
      <c r="BI1205" s="348">
        <f>+BI1204/BI1058</f>
        <v>4.4512272669464583E-3</v>
      </c>
      <c r="BJ1205" s="324"/>
      <c r="BK1205" s="324"/>
      <c r="BL1205" s="348">
        <f>+BL1204/BL1058</f>
        <v>8.4598790237299607E-5</v>
      </c>
      <c r="BM1205" s="348">
        <f>+BM1204/BM1058</f>
        <v>8.5001487526031706E-5</v>
      </c>
      <c r="BN1205" s="324"/>
      <c r="BO1205" s="324"/>
      <c r="BP1205" s="348">
        <f>+BP1204/BP1058</f>
        <v>-1.6229037493237901E-3</v>
      </c>
      <c r="BQ1205" s="348">
        <f>+BQ1204/BQ1058</f>
        <v>5.9622391520370984E-3</v>
      </c>
      <c r="BT1205" s="348">
        <f>+BT1204/BT1058</f>
        <v>0</v>
      </c>
      <c r="BU1205" s="348">
        <f>+BU1204/BU1058</f>
        <v>0</v>
      </c>
      <c r="BX1205" s="348">
        <f>+BX1204/BX1058</f>
        <v>0</v>
      </c>
      <c r="BY1205" s="348">
        <f>+BY1204/BY1058</f>
        <v>-3.4440005510400881E-5</v>
      </c>
      <c r="CB1205" s="348">
        <f>+CB1204/CB1058</f>
        <v>0</v>
      </c>
      <c r="CC1205" s="348">
        <f>+CC1204/CC1058</f>
        <v>-3.579994988007017E-5</v>
      </c>
      <c r="CF1205" s="348">
        <f>+CF1204/CF1058</f>
        <v>0</v>
      </c>
      <c r="CG1205" s="348">
        <f>+CG1204/CG1058</f>
        <v>0</v>
      </c>
      <c r="CJ1205" s="348">
        <f>+CJ1204/CJ1058</f>
        <v>-1.887504718761797E-3</v>
      </c>
      <c r="CK1205" s="348">
        <f>+CK1204/CK1058</f>
        <v>1.1346444780635401E-3</v>
      </c>
      <c r="CN1205" s="348">
        <f>+CN1204/CN1058</f>
        <v>3.1661075722739435E-3</v>
      </c>
      <c r="CO1205" s="348">
        <f>+CO1204/CO1058</f>
        <v>8.6417433777944764E-4</v>
      </c>
      <c r="CR1205" s="348">
        <f>+CR1204/CR1058</f>
        <v>-1.8088054187192118E-3</v>
      </c>
      <c r="CS1205" s="348">
        <f>+CS1204/CS1058</f>
        <v>1.011551705392413E-3</v>
      </c>
      <c r="CV1205" s="348">
        <f>+CV1204/CV1058</f>
        <v>1.7691068243219647E-3</v>
      </c>
      <c r="CW1205" s="348">
        <f>+CW1204/CW1058</f>
        <v>9.6372272320506644E-4</v>
      </c>
      <c r="CZ1205" s="348">
        <f>+CZ1204/CZ1058</f>
        <v>-1.684890997868097E-3</v>
      </c>
      <c r="DA1205" s="348">
        <f>+DA1204/DA1058</f>
        <v>1.1021940550408156E-3</v>
      </c>
      <c r="DD1205" s="348">
        <f>+DD1204/DD1058</f>
        <v>-1.3128947555177063E-3</v>
      </c>
      <c r="DE1205" s="348">
        <f>+DE1204/DE1058</f>
        <v>5.2045944005743002E-3</v>
      </c>
      <c r="DH1205" s="368">
        <v>1E-3</v>
      </c>
      <c r="DI1205" s="368">
        <v>1E-3</v>
      </c>
      <c r="DL1205" s="368">
        <v>1E-3</v>
      </c>
      <c r="DM1205" s="368">
        <v>1E-3</v>
      </c>
      <c r="DP1205" s="368">
        <v>1E-3</v>
      </c>
      <c r="DQ1205" s="368">
        <v>1E-3</v>
      </c>
      <c r="DW1205" s="20"/>
      <c r="DX1205" s="20"/>
    </row>
    <row r="1206" spans="1:128" s="20" customFormat="1" ht="13.8">
      <c r="A1206" s="21"/>
      <c r="B1206" s="49"/>
      <c r="BH1206" s="49"/>
      <c r="BI1206" s="49"/>
      <c r="BJ1206" s="49"/>
      <c r="BK1206" s="49"/>
      <c r="BL1206" s="49"/>
      <c r="BM1206" s="49"/>
      <c r="BN1206" s="49"/>
      <c r="BO1206" s="49"/>
      <c r="BP1206" s="49"/>
      <c r="BT1206" s="49"/>
      <c r="BX1206" s="49"/>
      <c r="CB1206" s="49"/>
      <c r="CF1206" s="49"/>
      <c r="CJ1206" s="49"/>
      <c r="CN1206" s="49"/>
      <c r="CR1206" s="49"/>
      <c r="CV1206" s="49"/>
      <c r="CZ1206" s="49"/>
      <c r="DD1206" s="49"/>
      <c r="DH1206" s="49"/>
      <c r="DL1206" s="49"/>
      <c r="DP1206" s="49"/>
    </row>
    <row r="1207" spans="1:128" s="318" customFormat="1" ht="13.8">
      <c r="A1207" s="316" t="s">
        <v>240</v>
      </c>
      <c r="B1207" s="317"/>
      <c r="BH1207" s="317"/>
      <c r="BI1207" s="317"/>
      <c r="BJ1207" s="317"/>
      <c r="BK1207" s="317"/>
      <c r="BL1207" s="317"/>
      <c r="BM1207" s="317"/>
      <c r="BN1207" s="317"/>
      <c r="BO1207" s="317"/>
      <c r="BP1207" s="317"/>
      <c r="BT1207" s="317"/>
      <c r="BX1207" s="317"/>
      <c r="CB1207" s="317"/>
      <c r="CF1207" s="317"/>
      <c r="CJ1207" s="317"/>
      <c r="CN1207" s="317"/>
      <c r="CR1207" s="317"/>
      <c r="CV1207" s="317"/>
      <c r="CZ1207" s="317"/>
      <c r="DD1207" s="317"/>
      <c r="DH1207" s="317"/>
      <c r="DL1207" s="317"/>
      <c r="DP1207" s="317"/>
      <c r="DT1207" s="742"/>
      <c r="DU1207" s="742"/>
      <c r="DV1207" s="742"/>
      <c r="DW1207" s="20"/>
      <c r="DX1207" s="20"/>
    </row>
    <row r="1208" spans="1:128" s="20" customFormat="1" ht="13.8">
      <c r="B1208" s="49"/>
      <c r="BH1208" s="49"/>
      <c r="BI1208" s="49"/>
      <c r="BJ1208" s="49"/>
      <c r="BK1208" s="49"/>
      <c r="BL1208" s="49"/>
      <c r="BM1208" s="49"/>
      <c r="BN1208" s="49"/>
      <c r="BO1208" s="49"/>
      <c r="BP1208" s="49"/>
      <c r="BT1208" s="49"/>
      <c r="BX1208" s="49"/>
      <c r="CB1208" s="49"/>
      <c r="CF1208" s="49"/>
      <c r="CJ1208" s="49"/>
      <c r="CN1208" s="49"/>
      <c r="CR1208" s="49"/>
      <c r="CV1208" s="49"/>
      <c r="CZ1208" s="49"/>
      <c r="DD1208" s="49"/>
      <c r="DH1208" s="49"/>
      <c r="DL1208" s="49"/>
      <c r="DP1208" s="49"/>
    </row>
    <row r="1209" spans="1:128" s="20" customFormat="1" ht="13.8">
      <c r="A1209" s="20" t="s">
        <v>667</v>
      </c>
      <c r="B1209" s="49"/>
      <c r="BD1209" s="65"/>
      <c r="BE1209" s="65"/>
      <c r="BF1209" s="65"/>
      <c r="BG1209" s="65"/>
      <c r="BH1209" s="69">
        <f>BH1107</f>
        <v>2743.7286880000001</v>
      </c>
      <c r="BI1209" s="69">
        <f>BI1107</f>
        <v>2743.6553100000001</v>
      </c>
      <c r="BJ1209" s="69">
        <f>BJ1107</f>
        <v>2743.6553100000001</v>
      </c>
      <c r="BK1209" s="69"/>
      <c r="BL1209" s="69">
        <f>BL1107</f>
        <v>2744.1186699999998</v>
      </c>
      <c r="BM1209" s="69">
        <f>BM1107</f>
        <v>2756.6277709999999</v>
      </c>
      <c r="BN1209" s="69">
        <f>BN1107</f>
        <v>2756.6277709999999</v>
      </c>
      <c r="BO1209" s="69"/>
      <c r="BP1209" s="69">
        <f>BP1107</f>
        <v>2765.9802220000001</v>
      </c>
      <c r="BQ1209" s="69">
        <f>BQ1107</f>
        <v>2902.7143609999998</v>
      </c>
      <c r="BR1209" s="69">
        <f>BR1107</f>
        <v>2902.7143609999998</v>
      </c>
      <c r="BT1209" s="69">
        <f>BT1107</f>
        <v>2917.5600979999999</v>
      </c>
      <c r="BU1209" s="69">
        <f>BU1107</f>
        <v>2927.4766599999998</v>
      </c>
      <c r="BV1209" s="69">
        <f>BV1107</f>
        <v>2927.4766599999998</v>
      </c>
      <c r="BX1209" s="69">
        <f>BX1107</f>
        <v>2936.0370090000001</v>
      </c>
      <c r="BY1209" s="69">
        <f>BY1107</f>
        <v>2937.4153270000002</v>
      </c>
      <c r="BZ1209" s="69">
        <f>BZ1107</f>
        <v>2937.4153269999997</v>
      </c>
      <c r="CB1209" s="69">
        <f>CB1107</f>
        <v>2898.7589779999998</v>
      </c>
      <c r="CC1209" s="69">
        <f>CC1107</f>
        <v>2873.6181179999999</v>
      </c>
      <c r="CD1209" s="69">
        <f>CD1107</f>
        <v>2873.6181179999999</v>
      </c>
      <c r="CF1209" s="69">
        <f>CF1107</f>
        <v>2833.1755790000002</v>
      </c>
      <c r="CG1209" s="69">
        <f>CG1107</f>
        <v>2834.5849229999999</v>
      </c>
      <c r="CH1209" s="69">
        <f>CH1107</f>
        <v>2834.5849229999999</v>
      </c>
      <c r="CJ1209" s="69">
        <f>CJ1107</f>
        <v>2836.1774220000002</v>
      </c>
      <c r="CK1209" s="69">
        <f>CK1107</f>
        <v>2840.3702250000001</v>
      </c>
      <c r="CL1209" s="69">
        <f>CL1107</f>
        <v>2840.3702250000001</v>
      </c>
      <c r="CN1209" s="69">
        <f>CN1107</f>
        <v>2845.5418</v>
      </c>
      <c r="CO1209" s="69">
        <f>CO1107</f>
        <v>2823.5636519999998</v>
      </c>
      <c r="CP1209" s="69">
        <f>CP1107</f>
        <v>2823.5636519999994</v>
      </c>
      <c r="CR1209" s="69">
        <f>CR1107</f>
        <v>2794.1041740000001</v>
      </c>
      <c r="CS1209" s="69">
        <f>CS1107</f>
        <v>2989.9237509999998</v>
      </c>
      <c r="CT1209" s="69">
        <f>CT1107</f>
        <v>2989.9237509999998</v>
      </c>
      <c r="CV1209" s="69">
        <f>CV1107</f>
        <v>3003.3667820000001</v>
      </c>
      <c r="CW1209" s="69">
        <f>CW1107</f>
        <v>3005.7851239669421</v>
      </c>
      <c r="CX1209" s="69">
        <f>CX1107</f>
        <v>3005.7851239669421</v>
      </c>
      <c r="CZ1209" s="69">
        <f>CZ1107</f>
        <v>3007.5106780000001</v>
      </c>
      <c r="DA1209" s="69">
        <f>DA1107</f>
        <v>2979.41626</v>
      </c>
      <c r="DB1209" s="69">
        <f>DB1107</f>
        <v>2979.41626</v>
      </c>
      <c r="DD1209" s="69">
        <f>DD1107</f>
        <v>2971.3656219999998</v>
      </c>
      <c r="DE1209" s="69">
        <f>DE1107</f>
        <v>2983.52018</v>
      </c>
      <c r="DF1209" s="69">
        <f>DF1107</f>
        <v>2983.52018</v>
      </c>
      <c r="DH1209" s="69">
        <f>DH1107</f>
        <v>3004.0993669702411</v>
      </c>
      <c r="DI1209" s="69">
        <f ca="1">DI1107</f>
        <v>3004.8083014347289</v>
      </c>
      <c r="DJ1209" s="69">
        <f ca="1">DJ1107</f>
        <v>3004.8083014347299</v>
      </c>
      <c r="DL1209" s="69">
        <f ca="1">DL1107</f>
        <v>3005.4873860270282</v>
      </c>
      <c r="DM1209" s="69">
        <f ca="1">DM1107</f>
        <v>2994.065837646991</v>
      </c>
      <c r="DN1209" s="69">
        <f ca="1">DN1107</f>
        <v>2994.0658376469905</v>
      </c>
      <c r="DP1209" s="69">
        <f ca="1">DP1107</f>
        <v>2983.9275282420072</v>
      </c>
      <c r="DQ1209" s="69">
        <f ca="1">DQ1107</f>
        <v>2972.8907807166183</v>
      </c>
      <c r="DR1209" s="69">
        <f ca="1">DR1107</f>
        <v>2972.8907807166183</v>
      </c>
    </row>
    <row r="1210" spans="1:128" s="47" customFormat="1" ht="13.8">
      <c r="A1210" s="47" t="s">
        <v>668</v>
      </c>
      <c r="B1210" s="92"/>
      <c r="BH1210" s="406"/>
      <c r="BI1210" s="406">
        <f>AVERAGE(BH1209,BI1209)</f>
        <v>2743.6919990000001</v>
      </c>
      <c r="BJ1210" s="406"/>
      <c r="BK1210" s="406"/>
      <c r="BL1210" s="406">
        <f>AVERAGE(BI1209,BL1209)</f>
        <v>2743.88699</v>
      </c>
      <c r="BM1210" s="406">
        <f>AVERAGE(BL1209,BM1209)</f>
        <v>2750.3732204999997</v>
      </c>
      <c r="BN1210" s="406"/>
      <c r="BO1210" s="406"/>
      <c r="BP1210" s="406">
        <f>AVERAGE(BM1209,BP1209)</f>
        <v>2761.3039964999998</v>
      </c>
      <c r="BQ1210" s="406">
        <f>AVERAGE(BP1209,BQ1209)</f>
        <v>2834.3472915000002</v>
      </c>
      <c r="BR1210" s="406"/>
      <c r="BT1210" s="406">
        <f>AVERAGE(BQ1209,BT1209)</f>
        <v>2910.1372295000001</v>
      </c>
      <c r="BU1210" s="406">
        <f>AVERAGE(BT1209,BU1209)</f>
        <v>2922.5183790000001</v>
      </c>
      <c r="BV1210" s="406"/>
      <c r="BX1210" s="406">
        <f>AVERAGE(BU1209,BX1209)</f>
        <v>2931.7568345</v>
      </c>
      <c r="BY1210" s="406">
        <f>AVERAGE(BX1209,BY1209)</f>
        <v>2936.7261680000001</v>
      </c>
      <c r="BZ1210" s="406"/>
      <c r="CB1210" s="406">
        <f>AVERAGE(BY1209,CB1209)</f>
        <v>2918.0871525000002</v>
      </c>
      <c r="CC1210" s="406">
        <f>AVERAGE(CB1209,CC1209)</f>
        <v>2886.1885480000001</v>
      </c>
      <c r="CD1210" s="406"/>
      <c r="CF1210" s="406">
        <f>AVERAGE(CC1209,CF1209)</f>
        <v>2853.3968485</v>
      </c>
      <c r="CG1210" s="406">
        <f>AVERAGE(CF1209,CG1209)</f>
        <v>2833.880251</v>
      </c>
      <c r="CH1210" s="406"/>
      <c r="CJ1210" s="406">
        <f>AVERAGE(CG1209,CJ1209)</f>
        <v>2835.3811725</v>
      </c>
      <c r="CK1210" s="406">
        <f>AVERAGE(CJ1209,CK1209)</f>
        <v>2838.2738235000002</v>
      </c>
      <c r="CL1210" s="406"/>
      <c r="CN1210" s="406">
        <f>AVERAGE(CK1209,CN1209)</f>
        <v>2842.9560124999998</v>
      </c>
      <c r="CO1210" s="406">
        <f>AVERAGE(CN1209,CO1209)</f>
        <v>2834.5527259999999</v>
      </c>
      <c r="CP1210" s="406"/>
      <c r="CR1210" s="406">
        <f>AVERAGE(CO1209,CR1209)</f>
        <v>2808.8339129999999</v>
      </c>
      <c r="CS1210" s="406">
        <f>AVERAGE(CR1209,CS1209)</f>
        <v>2892.0139625000002</v>
      </c>
      <c r="CT1210" s="406"/>
      <c r="CV1210" s="406">
        <f>AVERAGE(CS1209,CV1209)</f>
        <v>2996.6452664999997</v>
      </c>
      <c r="CW1210" s="406">
        <f>AVERAGE(CV1209,CW1209)</f>
        <v>3004.5759529834713</v>
      </c>
      <c r="CX1210" s="406"/>
      <c r="CZ1210" s="406">
        <f>AVERAGE(CW1209,CZ1209)</f>
        <v>3006.6479009834711</v>
      </c>
      <c r="DA1210" s="406">
        <f>AVERAGE(CZ1209,DA1209)</f>
        <v>2993.4634690000003</v>
      </c>
      <c r="DB1210" s="406"/>
      <c r="DD1210" s="406">
        <f>AVERAGE(DA1209,DD1209)</f>
        <v>2975.3909409999997</v>
      </c>
      <c r="DE1210" s="406">
        <f>AVERAGE(DD1209,DE1209)</f>
        <v>2977.4429009999999</v>
      </c>
      <c r="DF1210" s="406"/>
      <c r="DH1210" s="406">
        <f>AVERAGE(DE1209,DH1209)</f>
        <v>2993.8097734851208</v>
      </c>
      <c r="DI1210" s="406">
        <f ca="1">AVERAGE(DH1209,DI1209)</f>
        <v>3004.4538342024853</v>
      </c>
      <c r="DJ1210" s="406"/>
      <c r="DL1210" s="406">
        <f ca="1">AVERAGE(DI1209,DL1209)</f>
        <v>3005.1478437308788</v>
      </c>
      <c r="DM1210" s="406">
        <f ca="1">AVERAGE(DL1209,DM1209)</f>
        <v>2999.7766118370096</v>
      </c>
      <c r="DN1210" s="406"/>
      <c r="DP1210" s="406">
        <f ca="1">AVERAGE(DM1209,DP1209)</f>
        <v>2988.9966829444993</v>
      </c>
      <c r="DQ1210" s="406">
        <f ca="1">AVERAGE(DP1209,DQ1209)</f>
        <v>2978.4091544793127</v>
      </c>
      <c r="DR1210" s="406"/>
    </row>
    <row r="1211" spans="1:128" s="325" customFormat="1" ht="13.8">
      <c r="A1211" s="335" t="s">
        <v>76</v>
      </c>
      <c r="B1211" s="324"/>
      <c r="BH1211" s="324"/>
      <c r="BI1211" s="345">
        <f>+BI1212/BI1210</f>
        <v>0.99409846330932861</v>
      </c>
      <c r="BJ1211" s="336"/>
      <c r="BK1211" s="336"/>
      <c r="BL1211" s="345">
        <f>+BL1212/BL1210</f>
        <v>0.99421004215629161</v>
      </c>
      <c r="BM1211" s="345">
        <f>+BM1212/BM1210</f>
        <v>0.99502859452015968</v>
      </c>
      <c r="BN1211" s="336"/>
      <c r="BO1211" s="336"/>
      <c r="BP1211" s="345">
        <f>+BP1212/BP1210</f>
        <v>0.99590628322186625</v>
      </c>
      <c r="BQ1211" s="345">
        <f>+BQ1212/BQ1210</f>
        <v>0.98530621437080146</v>
      </c>
      <c r="BR1211" s="336"/>
      <c r="BT1211" s="345">
        <f>+BT1212/BT1210</f>
        <v>0.99699765721993072</v>
      </c>
      <c r="BU1211" s="345">
        <f>+BU1212/BU1210</f>
        <v>0.99626405121060824</v>
      </c>
      <c r="BV1211" s="336"/>
      <c r="BX1211" s="345">
        <f>+BX1212/BX1210</f>
        <v>0.99725187491500322</v>
      </c>
      <c r="BY1211" s="345">
        <f>+BY1212/BY1210</f>
        <v>0.99743722513797539</v>
      </c>
      <c r="BZ1211" s="336"/>
      <c r="CB1211" s="345">
        <f>+CB1212/CB1210</f>
        <v>1.002231889302696</v>
      </c>
      <c r="CC1211" s="345">
        <f>+CC1212/CC1210</f>
        <v>0.9986180570209926</v>
      </c>
      <c r="CD1211" s="336"/>
      <c r="CF1211" s="345">
        <f>+CF1212/CF1210</f>
        <v>1.0012277126828122</v>
      </c>
      <c r="CG1211" s="345">
        <f>+CG1212/CG1210</f>
        <v>0.99838375280734482</v>
      </c>
      <c r="CH1211" s="336"/>
      <c r="CJ1211" s="345">
        <f>+CJ1212/CJ1210</f>
        <v>0.99831374612120161</v>
      </c>
      <c r="CK1211" s="345">
        <f>+CK1212/CK1210</f>
        <v>0.99750770223738405</v>
      </c>
      <c r="CL1211" s="336"/>
      <c r="CN1211" s="345">
        <f>+CN1212/CN1210</f>
        <v>0.99850296224025736</v>
      </c>
      <c r="CO1211" s="345">
        <f>+CO1212/CO1210</f>
        <v>1.0013572772750745</v>
      </c>
      <c r="CP1211" s="336"/>
      <c r="CR1211" s="345">
        <f>+CR1212/CR1210</f>
        <v>0.99995232434378534</v>
      </c>
      <c r="CS1211" s="345">
        <f>+CS1212/CS1210</f>
        <v>0.989794668047008</v>
      </c>
      <c r="CT1211" s="336"/>
      <c r="CV1211" s="345">
        <f>+CV1212/CV1210</f>
        <v>0.99915062802779708</v>
      </c>
      <c r="CW1211" s="345">
        <f>+CW1212/CW1210</f>
        <v>0.99854357052311282</v>
      </c>
      <c r="CX1211" s="336"/>
      <c r="CZ1211" s="345">
        <f>+CZ1212/CZ1210</f>
        <v>0.99822130786191443</v>
      </c>
      <c r="DA1211" s="345">
        <f>+DA1212/DA1210</f>
        <v>1.0006803259906425</v>
      </c>
      <c r="DB1211" s="336"/>
      <c r="DD1211" s="345">
        <f>+DD1212/DD1210</f>
        <v>0.99882672863189326</v>
      </c>
      <c r="DE1211" s="345">
        <f>+DE1212/DE1210</f>
        <v>0.99860857079791243</v>
      </c>
      <c r="DF1211" s="336"/>
      <c r="DH1211" s="346">
        <f>DE1211</f>
        <v>0.99860857079791243</v>
      </c>
      <c r="DI1211" s="346">
        <f>DH1211</f>
        <v>0.99860857079791243</v>
      </c>
      <c r="DL1211" s="346">
        <f>DI1211</f>
        <v>0.99860857079791243</v>
      </c>
      <c r="DM1211" s="346">
        <f>DL1211</f>
        <v>0.99860857079791243</v>
      </c>
      <c r="DP1211" s="346">
        <f>DM1211</f>
        <v>0.99860857079791243</v>
      </c>
      <c r="DQ1211" s="346">
        <f>DP1211</f>
        <v>0.99860857079791243</v>
      </c>
      <c r="DW1211" s="20"/>
      <c r="DX1211" s="20"/>
    </row>
    <row r="1212" spans="1:128" s="20" customFormat="1" ht="13.8">
      <c r="A1212" s="20" t="s">
        <v>669</v>
      </c>
      <c r="B1212" s="49" t="s">
        <v>360</v>
      </c>
      <c r="BD1212" s="67"/>
      <c r="BE1212" s="67"/>
      <c r="BF1212" s="67"/>
      <c r="BG1212" s="67"/>
      <c r="BH1212" s="373">
        <v>2716.6</v>
      </c>
      <c r="BI1212" s="373">
        <v>2727.5</v>
      </c>
      <c r="BJ1212" s="373">
        <v>2722.1</v>
      </c>
      <c r="BK1212" s="67"/>
      <c r="BL1212" s="373">
        <v>2728</v>
      </c>
      <c r="BM1212" s="373">
        <v>2736.7</v>
      </c>
      <c r="BN1212" s="373">
        <v>2732.2</v>
      </c>
      <c r="BO1212" s="67"/>
      <c r="BP1212" s="373">
        <v>2750</v>
      </c>
      <c r="BQ1212" s="373">
        <v>2792.7</v>
      </c>
      <c r="BR1212" s="373">
        <v>2771.4</v>
      </c>
      <c r="BT1212" s="373">
        <v>2901.4</v>
      </c>
      <c r="BU1212" s="373">
        <v>2911.6</v>
      </c>
      <c r="BV1212" s="373">
        <v>2906.2</v>
      </c>
      <c r="BX1212" s="373">
        <v>2923.7</v>
      </c>
      <c r="BY1212" s="373">
        <v>2929.2</v>
      </c>
      <c r="BZ1212" s="373">
        <v>2926.4</v>
      </c>
      <c r="CB1212" s="373">
        <v>2924.6</v>
      </c>
      <c r="CC1212" s="373">
        <v>2882.2</v>
      </c>
      <c r="CD1212" s="373">
        <v>2903.3</v>
      </c>
      <c r="CF1212" s="373">
        <v>2856.9</v>
      </c>
      <c r="CG1212" s="373">
        <v>2829.3</v>
      </c>
      <c r="CH1212" s="373">
        <v>2843.1</v>
      </c>
      <c r="CJ1212" s="373">
        <v>2830.6</v>
      </c>
      <c r="CK1212" s="373">
        <v>2831.2</v>
      </c>
      <c r="CL1212" s="373">
        <v>2830.9</v>
      </c>
      <c r="CN1212" s="373">
        <v>2838.7</v>
      </c>
      <c r="CO1212" s="373">
        <v>2838.4</v>
      </c>
      <c r="CP1212" s="373">
        <v>2838.6</v>
      </c>
      <c r="CR1212" s="373">
        <v>2808.7</v>
      </c>
      <c r="CS1212" s="373">
        <v>2862.5</v>
      </c>
      <c r="CT1212" s="373">
        <v>2847.5</v>
      </c>
      <c r="CV1212" s="373">
        <v>2994.1</v>
      </c>
      <c r="CW1212" s="373">
        <v>3000.2</v>
      </c>
      <c r="CX1212" s="373">
        <v>2997.2</v>
      </c>
      <c r="CZ1212" s="373">
        <v>3001.3</v>
      </c>
      <c r="DA1212" s="373">
        <v>2995.5</v>
      </c>
      <c r="DB1212" s="373">
        <v>2998.4</v>
      </c>
      <c r="DD1212" s="373">
        <v>2971.9</v>
      </c>
      <c r="DE1212" s="373">
        <v>2973.3</v>
      </c>
      <c r="DF1212" s="373">
        <v>2972.6</v>
      </c>
      <c r="DH1212" s="65">
        <f>+DH1210*DH1211</f>
        <v>2989.6440991407985</v>
      </c>
      <c r="DI1212" s="65">
        <f ca="1">+DI1210*DI1211</f>
        <v>3000.2733494012518</v>
      </c>
      <c r="DJ1212" s="65">
        <f ca="1">AVERAGE(DH1212:DI1212)</f>
        <v>2994.9587242710249</v>
      </c>
      <c r="DL1212" s="65">
        <f ca="1">+DL1210*DL1211</f>
        <v>3000.9663932645212</v>
      </c>
      <c r="DM1212" s="65">
        <f ca="1">+DM1210*DM1211</f>
        <v>2995.6026350595603</v>
      </c>
      <c r="DN1212" s="65">
        <f ca="1">AVERAGE(DL1212:DM1212)</f>
        <v>2998.284514162041</v>
      </c>
      <c r="DP1212" s="65">
        <f ca="1">+DP1210*DP1211</f>
        <v>2984.8377056749073</v>
      </c>
      <c r="DQ1212" s="65">
        <f ca="1">+DQ1210*DQ1211</f>
        <v>2974.2649090060054</v>
      </c>
      <c r="DR1212" s="65">
        <f ca="1">AVERAGE(DP1212:DQ1212)</f>
        <v>2979.5513073404563</v>
      </c>
    </row>
    <row r="1213" spans="1:128" s="20" customFormat="1" ht="13.8">
      <c r="A1213" s="325" t="s">
        <v>363</v>
      </c>
      <c r="B1213" s="324"/>
      <c r="C1213" s="325"/>
      <c r="D1213" s="325"/>
      <c r="E1213" s="325"/>
      <c r="F1213" s="325"/>
      <c r="G1213" s="325"/>
      <c r="H1213" s="325"/>
      <c r="I1213" s="325"/>
      <c r="J1213" s="325"/>
      <c r="K1213" s="325"/>
      <c r="L1213" s="325"/>
      <c r="M1213" s="325"/>
      <c r="N1213" s="325"/>
      <c r="O1213" s="325"/>
      <c r="P1213" s="325"/>
      <c r="Q1213" s="325"/>
      <c r="R1213" s="325"/>
      <c r="S1213" s="325"/>
      <c r="T1213" s="325"/>
      <c r="U1213" s="325"/>
      <c r="V1213" s="325"/>
      <c r="W1213" s="325"/>
      <c r="X1213" s="325"/>
      <c r="Y1213" s="325"/>
      <c r="Z1213" s="325"/>
      <c r="AA1213" s="325"/>
      <c r="AB1213" s="325"/>
      <c r="AC1213" s="325"/>
      <c r="AD1213" s="325"/>
      <c r="AE1213" s="325"/>
      <c r="AF1213" s="325"/>
      <c r="AG1213" s="325"/>
      <c r="AH1213" s="325"/>
      <c r="AI1213" s="325"/>
      <c r="AJ1213" s="325"/>
      <c r="AK1213" s="325"/>
      <c r="AL1213" s="325"/>
      <c r="AM1213" s="325"/>
      <c r="AN1213" s="325"/>
      <c r="AO1213" s="325"/>
      <c r="AP1213" s="325"/>
      <c r="AQ1213" s="325"/>
      <c r="AR1213" s="325"/>
      <c r="AS1213" s="325"/>
      <c r="AT1213" s="325"/>
      <c r="AU1213" s="325"/>
      <c r="AV1213" s="325"/>
      <c r="AW1213" s="325"/>
      <c r="AX1213" s="325"/>
      <c r="AY1213" s="325"/>
      <c r="AZ1213" s="325"/>
      <c r="BA1213" s="325"/>
      <c r="BB1213" s="325"/>
      <c r="BC1213" s="325"/>
      <c r="BD1213" s="327"/>
      <c r="BE1213" s="327"/>
      <c r="BF1213" s="327"/>
      <c r="BG1213" s="327"/>
      <c r="BH1213" s="326">
        <f>BH1214-BH1212</f>
        <v>187.80000000000018</v>
      </c>
      <c r="BI1213" s="326">
        <f>BI1214-BI1212</f>
        <v>187.90000000000009</v>
      </c>
      <c r="BJ1213" s="326">
        <f>BJ1214-BJ1212</f>
        <v>182.59999999999991</v>
      </c>
      <c r="BK1213" s="327"/>
      <c r="BL1213" s="326">
        <f>BL1214-BL1212</f>
        <v>190.80000000000018</v>
      </c>
      <c r="BM1213" s="326">
        <f>BM1214-BM1212</f>
        <v>208.5</v>
      </c>
      <c r="BN1213" s="326">
        <f>BN1214-BN1212</f>
        <v>202.20000000000027</v>
      </c>
      <c r="BO1213" s="327"/>
      <c r="BP1213" s="326">
        <f>BP1214-BP1212</f>
        <v>176.80000000000018</v>
      </c>
      <c r="BQ1213" s="326">
        <f>BQ1214-BQ1212</f>
        <v>284.70000000000027</v>
      </c>
      <c r="BR1213" s="326">
        <f>BR1214-BR1212</f>
        <v>260.79999999999973</v>
      </c>
      <c r="BS1213" s="325"/>
      <c r="BT1213" s="326">
        <f>BT1214-BT1212</f>
        <v>328.09999999999991</v>
      </c>
      <c r="BU1213" s="326">
        <f>BU1214-BU1212</f>
        <v>281</v>
      </c>
      <c r="BV1213" s="326">
        <f>BV1214-BV1212</f>
        <v>280.80000000000018</v>
      </c>
      <c r="BW1213" s="325"/>
      <c r="BX1213" s="326">
        <f>BX1214-BX1212</f>
        <v>257.10000000000036</v>
      </c>
      <c r="BY1213" s="326">
        <f>BY1214-BY1212</f>
        <v>254.5</v>
      </c>
      <c r="BZ1213" s="326">
        <f>BZ1214-BZ1212</f>
        <v>265.29999999999973</v>
      </c>
      <c r="CA1213" s="325"/>
      <c r="CB1213" s="326">
        <f>CB1214-CB1212</f>
        <v>279.70000000000027</v>
      </c>
      <c r="CC1213" s="326">
        <f>CC1214-CC1212</f>
        <v>250.10000000000036</v>
      </c>
      <c r="CD1213" s="326">
        <f>CD1214-CD1212</f>
        <v>260.39999999999964</v>
      </c>
      <c r="CE1213" s="325"/>
      <c r="CF1213" s="326">
        <f>CF1214-CF1212</f>
        <v>268.90000000000009</v>
      </c>
      <c r="CG1213" s="326">
        <f>CG1214-CG1212</f>
        <v>246.19999999999982</v>
      </c>
      <c r="CH1213" s="326">
        <f>CH1214-CH1212</f>
        <v>246.70000000000027</v>
      </c>
      <c r="CI1213" s="325"/>
      <c r="CJ1213" s="326">
        <f>CJ1214-CJ1212</f>
        <v>408</v>
      </c>
      <c r="CK1213" s="326">
        <f>CK1214-CK1212</f>
        <v>369.5</v>
      </c>
      <c r="CL1213" s="326">
        <f>CL1214-CL1212</f>
        <v>370.19999999999982</v>
      </c>
      <c r="CM1213" s="325"/>
      <c r="CN1213" s="326">
        <f>CN1214-CN1212</f>
        <v>245.70000000000027</v>
      </c>
      <c r="CO1213" s="326">
        <f>CO1214-CO1212</f>
        <v>267.09999999999991</v>
      </c>
      <c r="CP1213" s="326">
        <f>CP1214-CP1212</f>
        <v>260.20000000000027</v>
      </c>
      <c r="CQ1213" s="325"/>
      <c r="CR1213" s="326">
        <f>CR1214-CR1212</f>
        <v>268.5</v>
      </c>
      <c r="CS1213" s="326">
        <f>CS1214-CS1212</f>
        <v>283</v>
      </c>
      <c r="CT1213" s="326">
        <f>CT1214-CT1212</f>
        <v>290.59999999999991</v>
      </c>
      <c r="CU1213" s="325"/>
      <c r="CV1213" s="326">
        <f>CV1214-CV1212</f>
        <v>284.20000000000027</v>
      </c>
      <c r="CW1213" s="326">
        <f>CW1214-CW1212</f>
        <v>281.40000000000009</v>
      </c>
      <c r="CX1213" s="326">
        <f>CX1214-CX1212</f>
        <v>273.30000000000018</v>
      </c>
      <c r="CY1213" s="325"/>
      <c r="CZ1213" s="326">
        <f>CZ1214-CZ1212</f>
        <v>248.09999999999991</v>
      </c>
      <c r="DA1213" s="326">
        <f>DA1214-DA1212</f>
        <v>234.69999999999982</v>
      </c>
      <c r="DB1213" s="326">
        <f>DB1214-DB1212</f>
        <v>235.59999999999991</v>
      </c>
      <c r="DC1213" s="325"/>
      <c r="DD1213" s="326">
        <f>DD1214-DD1212</f>
        <v>245.79999999999973</v>
      </c>
      <c r="DE1213" s="326">
        <f>DE1214-DE1212</f>
        <v>8.3999999999996362</v>
      </c>
      <c r="DF1213" s="326">
        <f>DF1214-DF1212</f>
        <v>207.30000000000018</v>
      </c>
      <c r="DG1213" s="325"/>
      <c r="DH1213" s="328">
        <f>DE1213</f>
        <v>8.3999999999996362</v>
      </c>
      <c r="DI1213" s="328">
        <f>DH1213</f>
        <v>8.3999999999996362</v>
      </c>
      <c r="DJ1213" s="326">
        <f>AVERAGE(DH1213:DI1213)</f>
        <v>8.3999999999996362</v>
      </c>
      <c r="DK1213" s="325"/>
      <c r="DL1213" s="328">
        <f>DI1213</f>
        <v>8.3999999999996362</v>
      </c>
      <c r="DM1213" s="328">
        <f>DL1213</f>
        <v>8.3999999999996362</v>
      </c>
      <c r="DN1213" s="326">
        <f>AVERAGE(DL1213:DM1213)</f>
        <v>8.3999999999996362</v>
      </c>
      <c r="DO1213" s="325"/>
      <c r="DP1213" s="328">
        <f>DM1213</f>
        <v>8.3999999999996362</v>
      </c>
      <c r="DQ1213" s="328">
        <f>DP1213</f>
        <v>8.3999999999996362</v>
      </c>
      <c r="DR1213" s="326">
        <f>AVERAGE(DP1213:DQ1213)</f>
        <v>8.3999999999996362</v>
      </c>
      <c r="DS1213" s="325"/>
      <c r="DT1213" s="325"/>
      <c r="DU1213" s="325"/>
      <c r="DV1213" s="325"/>
    </row>
    <row r="1214" spans="1:128" s="21" customFormat="1" ht="13.8">
      <c r="A1214" s="21" t="s">
        <v>670</v>
      </c>
      <c r="B1214" s="49" t="s">
        <v>360</v>
      </c>
      <c r="BD1214" s="72"/>
      <c r="BE1214" s="72"/>
      <c r="BF1214" s="72"/>
      <c r="BG1214" s="72"/>
      <c r="BH1214" s="374">
        <v>2904.4</v>
      </c>
      <c r="BI1214" s="374">
        <v>2915.4</v>
      </c>
      <c r="BJ1214" s="374">
        <v>2904.7</v>
      </c>
      <c r="BK1214" s="72"/>
      <c r="BL1214" s="374">
        <v>2918.8</v>
      </c>
      <c r="BM1214" s="374">
        <v>2945.2</v>
      </c>
      <c r="BN1214" s="374">
        <v>2934.4</v>
      </c>
      <c r="BO1214" s="72"/>
      <c r="BP1214" s="374">
        <v>2926.8</v>
      </c>
      <c r="BQ1214" s="374">
        <v>3077.4</v>
      </c>
      <c r="BR1214" s="374">
        <v>3032.2</v>
      </c>
      <c r="BT1214" s="374">
        <v>3229.5</v>
      </c>
      <c r="BU1214" s="374">
        <v>3192.6</v>
      </c>
      <c r="BV1214" s="374">
        <v>3187</v>
      </c>
      <c r="BW1214" s="407"/>
      <c r="BX1214" s="374">
        <v>3180.8</v>
      </c>
      <c r="BY1214" s="374">
        <v>3183.7</v>
      </c>
      <c r="BZ1214" s="374">
        <v>3191.7</v>
      </c>
      <c r="CB1214" s="374">
        <v>3204.3</v>
      </c>
      <c r="CC1214" s="374">
        <v>3132.3</v>
      </c>
      <c r="CD1214" s="374">
        <v>3163.7</v>
      </c>
      <c r="CF1214" s="374">
        <v>3125.8</v>
      </c>
      <c r="CG1214" s="374">
        <v>3075.5</v>
      </c>
      <c r="CH1214" s="374">
        <v>3089.8</v>
      </c>
      <c r="CJ1214" s="374">
        <v>3238.6</v>
      </c>
      <c r="CK1214" s="374">
        <v>3200.7</v>
      </c>
      <c r="CL1214" s="374">
        <v>3201.1</v>
      </c>
      <c r="CN1214" s="374">
        <v>3084.4</v>
      </c>
      <c r="CO1214" s="374">
        <v>3105.5</v>
      </c>
      <c r="CP1214" s="374">
        <v>3098.8</v>
      </c>
      <c r="CR1214" s="374">
        <v>3077.2</v>
      </c>
      <c r="CS1214" s="374">
        <v>3145.5</v>
      </c>
      <c r="CT1214" s="374">
        <v>3138.1</v>
      </c>
      <c r="CV1214" s="374">
        <v>3278.3</v>
      </c>
      <c r="CW1214" s="374">
        <v>3281.6</v>
      </c>
      <c r="CX1214" s="374">
        <v>3270.5</v>
      </c>
      <c r="CZ1214" s="374">
        <v>3249.4</v>
      </c>
      <c r="DA1214" s="374">
        <v>3230.2</v>
      </c>
      <c r="DB1214" s="374">
        <v>3234</v>
      </c>
      <c r="DD1214" s="374">
        <v>3217.7</v>
      </c>
      <c r="DE1214" s="374">
        <v>2981.7</v>
      </c>
      <c r="DF1214" s="374">
        <v>3179.9</v>
      </c>
      <c r="DH1214" s="99">
        <f>SUM(DH1212:DH1213)</f>
        <v>2998.0440991407982</v>
      </c>
      <c r="DI1214" s="99">
        <f ca="1">SUM(DI1212:DI1213)</f>
        <v>3008.6733494012515</v>
      </c>
      <c r="DJ1214" s="99">
        <f ca="1">SUM(DJ1212:DJ1213)</f>
        <v>3003.3587242710246</v>
      </c>
      <c r="DL1214" s="99">
        <f ca="1">SUM(DL1212:DL1213)</f>
        <v>3009.3663932645209</v>
      </c>
      <c r="DM1214" s="99">
        <f ca="1">SUM(DM1212:DM1213)</f>
        <v>3004.0026350595599</v>
      </c>
      <c r="DN1214" s="99">
        <f ca="1">SUM(DN1212:DN1213)</f>
        <v>3006.6845141620406</v>
      </c>
      <c r="DP1214" s="99">
        <f ca="1">SUM(DP1212:DP1213)</f>
        <v>2993.2377056749069</v>
      </c>
      <c r="DQ1214" s="99">
        <f ca="1">SUM(DQ1212:DQ1213)</f>
        <v>2982.664909006005</v>
      </c>
      <c r="DR1214" s="99">
        <f ca="1">SUM(DR1212:DR1213)</f>
        <v>2987.951307340456</v>
      </c>
    </row>
    <row r="1215" spans="1:128" s="20" customFormat="1" ht="13.8">
      <c r="B1215" s="49"/>
      <c r="BH1215" s="49"/>
      <c r="BI1215" s="49"/>
      <c r="BJ1215" s="49"/>
      <c r="BK1215" s="49"/>
      <c r="BL1215" s="49"/>
      <c r="BM1215" s="49"/>
      <c r="BN1215" s="49"/>
      <c r="BO1215" s="49"/>
      <c r="BP1215" s="49"/>
      <c r="BQ1215" s="49"/>
      <c r="BR1215" s="49"/>
      <c r="BT1215" s="49"/>
      <c r="BU1215" s="49"/>
      <c r="BV1215" s="49"/>
      <c r="BX1215" s="49"/>
      <c r="BY1215" s="49"/>
      <c r="BZ1215" s="49"/>
      <c r="CB1215" s="49"/>
      <c r="CC1215" s="49"/>
      <c r="CD1215" s="49"/>
      <c r="CF1215" s="49"/>
      <c r="CG1215" s="49"/>
      <c r="CH1215" s="49"/>
      <c r="CJ1215" s="49"/>
      <c r="CK1215" s="49"/>
      <c r="CL1215" s="49"/>
      <c r="CN1215" s="49"/>
      <c r="CO1215" s="49"/>
      <c r="CP1215" s="49"/>
      <c r="CR1215" s="49"/>
      <c r="CS1215" s="49"/>
      <c r="CT1215" s="49"/>
      <c r="CV1215" s="49"/>
      <c r="CW1215" s="49"/>
      <c r="CX1215" s="49"/>
      <c r="CZ1215" s="49"/>
      <c r="DA1215" s="49"/>
      <c r="DB1215" s="49"/>
      <c r="DD1215" s="49"/>
      <c r="DE1215" s="49"/>
      <c r="DF1215" s="49"/>
      <c r="DH1215" s="49"/>
      <c r="DL1215" s="49"/>
      <c r="DP1215" s="49"/>
    </row>
    <row r="1216" spans="1:128" s="20" customFormat="1" ht="13.8">
      <c r="A1216" s="21" t="s">
        <v>895</v>
      </c>
      <c r="B1216" s="49"/>
      <c r="BH1216" s="65">
        <f>BH45</f>
        <v>3176</v>
      </c>
      <c r="BI1216" s="65">
        <f>BI45</f>
        <v>3310</v>
      </c>
      <c r="BJ1216" s="65">
        <f>BJ45</f>
        <v>6486</v>
      </c>
      <c r="BK1216" s="49"/>
      <c r="BL1216" s="65">
        <f>BL45</f>
        <v>3512</v>
      </c>
      <c r="BM1216" s="65">
        <f>BM45</f>
        <v>3599</v>
      </c>
      <c r="BN1216" s="65">
        <f>BN45</f>
        <v>7111</v>
      </c>
      <c r="BO1216" s="49"/>
      <c r="BP1216" s="65">
        <f>BP45</f>
        <v>3675</v>
      </c>
      <c r="BQ1216" s="65">
        <f>BQ45</f>
        <v>3540</v>
      </c>
      <c r="BR1216" s="65">
        <f>BR45</f>
        <v>7215</v>
      </c>
      <c r="BT1216" s="65">
        <f>BT45</f>
        <v>2782</v>
      </c>
      <c r="BU1216" s="65">
        <f>BU45</f>
        <v>3107</v>
      </c>
      <c r="BV1216" s="65">
        <f>BV45</f>
        <v>5889</v>
      </c>
      <c r="BX1216" s="65">
        <f>BX45</f>
        <v>3355</v>
      </c>
      <c r="BY1216" s="65">
        <f>BY45</f>
        <v>3454</v>
      </c>
      <c r="BZ1216" s="65">
        <f>BZ45</f>
        <v>6809</v>
      </c>
      <c r="CB1216" s="65">
        <f>CB45</f>
        <v>3493</v>
      </c>
      <c r="CC1216" s="65">
        <f>CC45</f>
        <v>2994</v>
      </c>
      <c r="CD1216" s="65">
        <f>CD45</f>
        <v>6487</v>
      </c>
      <c r="CF1216" s="65">
        <f>CF45</f>
        <v>3564</v>
      </c>
      <c r="CG1216" s="65">
        <f>CG45</f>
        <v>2906</v>
      </c>
      <c r="CH1216" s="65">
        <f>CH45</f>
        <v>6470</v>
      </c>
      <c r="CJ1216" s="65">
        <f>CJ45</f>
        <v>1413</v>
      </c>
      <c r="CK1216" s="65">
        <f>CK45</f>
        <v>2345</v>
      </c>
      <c r="CL1216" s="65">
        <f>CL45</f>
        <v>3758</v>
      </c>
      <c r="CN1216" s="65">
        <f>CN45</f>
        <v>2990</v>
      </c>
      <c r="CO1216" s="65">
        <f>CO45</f>
        <v>3208</v>
      </c>
      <c r="CP1216" s="65">
        <f>CP45</f>
        <v>6198</v>
      </c>
      <c r="CR1216" s="65">
        <f>CR45</f>
        <v>3113</v>
      </c>
      <c r="CS1216" s="65">
        <f>CS45</f>
        <v>3402</v>
      </c>
      <c r="CT1216" s="65">
        <f>CT45</f>
        <v>6515</v>
      </c>
      <c r="CV1216" s="65">
        <f>CV45</f>
        <v>3829</v>
      </c>
      <c r="CW1216" s="65">
        <f>CW45</f>
        <v>3584</v>
      </c>
      <c r="CX1216" s="65">
        <f>CX45</f>
        <v>7413</v>
      </c>
      <c r="CZ1216" s="65">
        <f>CZ45</f>
        <v>3552</v>
      </c>
      <c r="DA1216" s="65">
        <f>DA45</f>
        <v>3173</v>
      </c>
      <c r="DB1216" s="65">
        <f>DB45</f>
        <v>6725</v>
      </c>
      <c r="DD1216" s="65">
        <f>DD45</f>
        <v>3568</v>
      </c>
      <c r="DE1216" s="65">
        <f>DE45</f>
        <v>2219</v>
      </c>
      <c r="DF1216" s="65">
        <f>DF45</f>
        <v>5787</v>
      </c>
      <c r="DH1216" s="65">
        <f ca="1">DH45</f>
        <v>3701.5536350305647</v>
      </c>
      <c r="DI1216" s="65">
        <f ca="1">DI45</f>
        <v>3826.2909150494493</v>
      </c>
      <c r="DJ1216" s="65">
        <f ca="1">DJ45</f>
        <v>7527.8445500800126</v>
      </c>
      <c r="DL1216" s="65">
        <f ca="1">DL45</f>
        <v>3980.3177206167493</v>
      </c>
      <c r="DM1216" s="65">
        <f ca="1">DM45</f>
        <v>3994.2697629431987</v>
      </c>
      <c r="DN1216" s="65">
        <f ca="1">DN45</f>
        <v>7974.5874835599489</v>
      </c>
      <c r="DP1216" s="65">
        <f ca="1">DP45</f>
        <v>4160.966953009286</v>
      </c>
      <c r="DQ1216" s="65">
        <f ca="1">DQ45</f>
        <v>4318.1038988617502</v>
      </c>
      <c r="DR1216" s="65">
        <f ca="1">DR45</f>
        <v>8479.0708518710398</v>
      </c>
    </row>
    <row r="1217" spans="1:126" s="20" customFormat="1" ht="13.8">
      <c r="A1217" s="325" t="s">
        <v>671</v>
      </c>
      <c r="B1217" s="324"/>
      <c r="C1217" s="325"/>
      <c r="D1217" s="325"/>
      <c r="E1217" s="325"/>
      <c r="F1217" s="325"/>
      <c r="G1217" s="325"/>
      <c r="H1217" s="325"/>
      <c r="I1217" s="325"/>
      <c r="J1217" s="325"/>
      <c r="K1217" s="325"/>
      <c r="L1217" s="325"/>
      <c r="M1217" s="325"/>
      <c r="N1217" s="325"/>
      <c r="O1217" s="325"/>
      <c r="P1217" s="325"/>
      <c r="Q1217" s="325"/>
      <c r="R1217" s="325"/>
      <c r="S1217" s="325"/>
      <c r="T1217" s="325"/>
      <c r="U1217" s="325"/>
      <c r="V1217" s="325"/>
      <c r="W1217" s="325"/>
      <c r="X1217" s="325"/>
      <c r="Y1217" s="325"/>
      <c r="Z1217" s="325"/>
      <c r="AA1217" s="325"/>
      <c r="AB1217" s="325"/>
      <c r="AC1217" s="325"/>
      <c r="AD1217" s="325"/>
      <c r="AE1217" s="325"/>
      <c r="AF1217" s="325"/>
      <c r="AG1217" s="325"/>
      <c r="AH1217" s="325"/>
      <c r="AI1217" s="325"/>
      <c r="AJ1217" s="325"/>
      <c r="AK1217" s="325"/>
      <c r="AL1217" s="325"/>
      <c r="AM1217" s="325"/>
      <c r="AN1217" s="325"/>
      <c r="AO1217" s="325"/>
      <c r="AP1217" s="325"/>
      <c r="AQ1217" s="325"/>
      <c r="AR1217" s="325"/>
      <c r="AS1217" s="325"/>
      <c r="AT1217" s="325"/>
      <c r="AU1217" s="325"/>
      <c r="AV1217" s="325"/>
      <c r="AW1217" s="325"/>
      <c r="AX1217" s="325"/>
      <c r="AY1217" s="325"/>
      <c r="AZ1217" s="325"/>
      <c r="BA1217" s="325"/>
      <c r="BB1217" s="325"/>
      <c r="BC1217" s="325"/>
      <c r="BD1217" s="327"/>
      <c r="BE1217" s="327"/>
      <c r="BF1217" s="327"/>
      <c r="BG1217" s="327"/>
      <c r="BH1217" s="326">
        <f>BH1218-BH1216</f>
        <v>110</v>
      </c>
      <c r="BI1217" s="326">
        <f>BI1218-BI1216</f>
        <v>114</v>
      </c>
      <c r="BJ1217" s="326">
        <f>BJ1218-BJ1216</f>
        <v>223</v>
      </c>
      <c r="BK1217" s="327"/>
      <c r="BL1217" s="326">
        <f>BL1218-BL1216</f>
        <v>116</v>
      </c>
      <c r="BM1217" s="326">
        <f>BM1218-BM1216</f>
        <v>127</v>
      </c>
      <c r="BN1217" s="326">
        <f>BN1218-BN1216</f>
        <v>243</v>
      </c>
      <c r="BO1217" s="327"/>
      <c r="BP1217" s="326">
        <f>BP1218-BP1216</f>
        <v>127</v>
      </c>
      <c r="BQ1217" s="326">
        <f>BQ1218-BQ1216</f>
        <v>147</v>
      </c>
      <c r="BR1217" s="326">
        <f>BR1218-BR1216</f>
        <v>274</v>
      </c>
      <c r="BS1217" s="325"/>
      <c r="BT1217" s="326">
        <f>BT1218-BT1216</f>
        <v>147</v>
      </c>
      <c r="BU1217" s="326">
        <f>BU1218-BU1216</f>
        <v>150</v>
      </c>
      <c r="BV1217" s="326">
        <f>BV1218-BV1216</f>
        <v>297</v>
      </c>
      <c r="BW1217" s="325"/>
      <c r="BX1217" s="326">
        <f>BX1218-BX1216</f>
        <v>148</v>
      </c>
      <c r="BY1217" s="326">
        <f>BY1218-BY1216</f>
        <v>140</v>
      </c>
      <c r="BZ1217" s="326">
        <f>BZ1218-BZ1216</f>
        <v>288</v>
      </c>
      <c r="CA1217" s="325"/>
      <c r="CB1217" s="326">
        <f>CB1218-CB1216</f>
        <v>141</v>
      </c>
      <c r="CC1217" s="326">
        <f>CC1218-CC1216</f>
        <v>138</v>
      </c>
      <c r="CD1217" s="326">
        <f>CD1218-CD1216</f>
        <v>279</v>
      </c>
      <c r="CE1217" s="325"/>
      <c r="CF1217" s="326">
        <f>CF1218-CF1216</f>
        <v>137</v>
      </c>
      <c r="CG1217" s="326">
        <f>CG1218-CG1216</f>
        <v>131</v>
      </c>
      <c r="CH1217" s="326">
        <f>CH1218-CH1216</f>
        <v>268</v>
      </c>
      <c r="CI1217" s="325"/>
      <c r="CJ1217" s="326">
        <f>CJ1218-CJ1216</f>
        <v>124</v>
      </c>
      <c r="CK1217" s="326">
        <f>CK1218-CK1216</f>
        <v>90</v>
      </c>
      <c r="CL1217" s="326">
        <f>CL1218-CL1216</f>
        <v>201</v>
      </c>
      <c r="CM1217" s="325"/>
      <c r="CN1217" s="326">
        <f>CN1218-CN1216</f>
        <v>92</v>
      </c>
      <c r="CO1217" s="326">
        <f>CO1218-CO1216</f>
        <v>95</v>
      </c>
      <c r="CP1217" s="326">
        <f>CP1218-CP1216</f>
        <v>187</v>
      </c>
      <c r="CQ1217" s="325"/>
      <c r="CR1217" s="326">
        <f>CR1218-CR1216</f>
        <v>92</v>
      </c>
      <c r="CS1217" s="326">
        <f>CS1218-CS1216</f>
        <v>107</v>
      </c>
      <c r="CT1217" s="326">
        <f>CT1218-CT1216</f>
        <v>199</v>
      </c>
      <c r="CU1217" s="325"/>
      <c r="CV1217" s="326">
        <f>CV1218-CV1216</f>
        <v>142</v>
      </c>
      <c r="CW1217" s="326">
        <f>CW1218-CW1216</f>
        <v>182</v>
      </c>
      <c r="CX1217" s="326">
        <f>CX1218-CX1216</f>
        <v>332</v>
      </c>
      <c r="CY1217" s="325"/>
      <c r="CZ1217" s="326">
        <f>CZ1218-CZ1216</f>
        <v>217</v>
      </c>
      <c r="DA1217" s="326">
        <f>DA1218-DA1216</f>
        <v>203</v>
      </c>
      <c r="DB1217" s="326">
        <f>DB1218-DB1216</f>
        <v>420</v>
      </c>
      <c r="DC1217" s="325"/>
      <c r="DD1217" s="326">
        <f>DD1218-DD1216</f>
        <v>198</v>
      </c>
      <c r="DE1217" s="326">
        <f>DE1218-DE1216</f>
        <v>0</v>
      </c>
      <c r="DF1217" s="326">
        <f>DF1218-DF1216</f>
        <v>357</v>
      </c>
      <c r="DG1217" s="325"/>
      <c r="DH1217" s="328">
        <f>DE1217</f>
        <v>0</v>
      </c>
      <c r="DI1217" s="328">
        <f>DH1217</f>
        <v>0</v>
      </c>
      <c r="DJ1217" s="326">
        <f>+DI1217+DH1217</f>
        <v>0</v>
      </c>
      <c r="DK1217" s="325"/>
      <c r="DL1217" s="328">
        <f>DI1217</f>
        <v>0</v>
      </c>
      <c r="DM1217" s="328">
        <f>DL1217</f>
        <v>0</v>
      </c>
      <c r="DN1217" s="326">
        <f>+DM1217+DL1217</f>
        <v>0</v>
      </c>
      <c r="DO1217" s="325"/>
      <c r="DP1217" s="328">
        <f>DM1217</f>
        <v>0</v>
      </c>
      <c r="DQ1217" s="328">
        <f>DP1217</f>
        <v>0</v>
      </c>
      <c r="DR1217" s="326">
        <f>+DQ1217+DP1217</f>
        <v>0</v>
      </c>
      <c r="DS1217" s="325"/>
      <c r="DT1217" s="325"/>
      <c r="DU1217" s="325"/>
      <c r="DV1217" s="325"/>
    </row>
    <row r="1218" spans="1:126" s="21" customFormat="1" ht="13.8">
      <c r="A1218" s="21" t="s">
        <v>506</v>
      </c>
      <c r="B1218" s="49" t="s">
        <v>1069</v>
      </c>
      <c r="BH1218" s="98">
        <v>3286</v>
      </c>
      <c r="BI1218" s="98">
        <v>3424</v>
      </c>
      <c r="BJ1218" s="98">
        <v>6709</v>
      </c>
      <c r="BK1218" s="27"/>
      <c r="BL1218" s="98">
        <v>3628</v>
      </c>
      <c r="BM1218" s="98">
        <v>3726</v>
      </c>
      <c r="BN1218" s="72">
        <f>BL1218+BM1218</f>
        <v>7354</v>
      </c>
      <c r="BO1218" s="27"/>
      <c r="BP1218" s="98">
        <v>3802</v>
      </c>
      <c r="BQ1218" s="98">
        <v>3687</v>
      </c>
      <c r="BR1218" s="72">
        <f>BP1218+BQ1218</f>
        <v>7489</v>
      </c>
      <c r="BT1218" s="98">
        <v>2929</v>
      </c>
      <c r="BU1218" s="98">
        <v>3257</v>
      </c>
      <c r="BV1218" s="72">
        <f>BT1218+BU1218</f>
        <v>6186</v>
      </c>
      <c r="BX1218" s="98">
        <v>3503</v>
      </c>
      <c r="BY1218" s="98">
        <v>3594</v>
      </c>
      <c r="BZ1218" s="72">
        <f>BX1218+BY1218</f>
        <v>7097</v>
      </c>
      <c r="CB1218" s="98">
        <v>3634</v>
      </c>
      <c r="CC1218" s="98">
        <v>3132</v>
      </c>
      <c r="CD1218" s="72">
        <f>CB1218+CC1218</f>
        <v>6766</v>
      </c>
      <c r="CF1218" s="98">
        <v>3701</v>
      </c>
      <c r="CG1218" s="98">
        <v>3037</v>
      </c>
      <c r="CH1218" s="72">
        <f>CF1218+CG1218</f>
        <v>6738</v>
      </c>
      <c r="CJ1218" s="98">
        <v>1537</v>
      </c>
      <c r="CK1218" s="98">
        <v>2435</v>
      </c>
      <c r="CL1218" s="607">
        <v>3959</v>
      </c>
      <c r="CN1218" s="98">
        <v>3082</v>
      </c>
      <c r="CO1218" s="98">
        <v>3303</v>
      </c>
      <c r="CP1218" s="607">
        <v>6385</v>
      </c>
      <c r="CR1218" s="98">
        <v>3205</v>
      </c>
      <c r="CS1218" s="98">
        <v>3509</v>
      </c>
      <c r="CT1218" s="607">
        <v>6714</v>
      </c>
      <c r="CV1218" s="98">
        <v>3971</v>
      </c>
      <c r="CW1218" s="98">
        <v>3766</v>
      </c>
      <c r="CX1218" s="607">
        <v>7745</v>
      </c>
      <c r="CZ1218" s="98">
        <v>3769</v>
      </c>
      <c r="DA1218" s="98">
        <v>3376</v>
      </c>
      <c r="DB1218" s="607">
        <v>7145</v>
      </c>
      <c r="DD1218" s="98">
        <v>3766</v>
      </c>
      <c r="DE1218" s="98">
        <v>2219</v>
      </c>
      <c r="DF1218" s="607">
        <v>6144</v>
      </c>
      <c r="DH1218" s="72">
        <f ca="1">SUM(DH1216:DH1217)</f>
        <v>3701.5536350305647</v>
      </c>
      <c r="DI1218" s="72">
        <f ca="1">SUM(DI1216:DI1217)</f>
        <v>3826.2909150494493</v>
      </c>
      <c r="DJ1218" s="72">
        <f ca="1">SUM(DJ1216:DJ1217)</f>
        <v>7527.8445500800126</v>
      </c>
      <c r="DL1218" s="72">
        <f ca="1">SUM(DL1216:DL1217)</f>
        <v>3980.3177206167493</v>
      </c>
      <c r="DM1218" s="72">
        <f ca="1">SUM(DM1216:DM1217)</f>
        <v>3994.2697629431987</v>
      </c>
      <c r="DN1218" s="72">
        <f ca="1">SUM(DN1216:DN1217)</f>
        <v>7974.5874835599489</v>
      </c>
      <c r="DP1218" s="72">
        <f ca="1">SUM(DP1216:DP1217)</f>
        <v>4160.966953009286</v>
      </c>
      <c r="DQ1218" s="72">
        <f ca="1">SUM(DQ1216:DQ1217)</f>
        <v>4318.1038988617502</v>
      </c>
      <c r="DR1218" s="72">
        <f ca="1">SUM(DR1216:DR1217)</f>
        <v>8479.0708518710398</v>
      </c>
    </row>
    <row r="1219" spans="1:126" s="20" customFormat="1" ht="13.8">
      <c r="B1219" s="49"/>
      <c r="BH1219" s="49"/>
      <c r="BI1219" s="49"/>
      <c r="BJ1219" s="49"/>
      <c r="BK1219" s="49"/>
      <c r="BL1219" s="49"/>
      <c r="BM1219" s="49"/>
      <c r="BN1219" s="49"/>
      <c r="BO1219" s="49"/>
      <c r="BP1219" s="49"/>
      <c r="BQ1219" s="49"/>
      <c r="BR1219" s="49"/>
      <c r="BT1219" s="49"/>
      <c r="BU1219" s="49"/>
      <c r="BV1219" s="49"/>
      <c r="BX1219" s="49"/>
      <c r="BY1219" s="49"/>
      <c r="BZ1219" s="49"/>
      <c r="CB1219" s="49"/>
      <c r="CC1219" s="49"/>
      <c r="CD1219" s="49"/>
      <c r="CF1219" s="49"/>
      <c r="CG1219" s="49"/>
      <c r="CH1219" s="49"/>
      <c r="CJ1219" s="49"/>
      <c r="CK1219" s="49"/>
      <c r="CL1219" s="49"/>
      <c r="CN1219" s="49"/>
      <c r="CO1219" s="49"/>
      <c r="CP1219" s="49"/>
      <c r="CR1219" s="49"/>
      <c r="CS1219" s="49"/>
      <c r="CT1219" s="49"/>
      <c r="CV1219" s="49"/>
      <c r="CW1219" s="49"/>
      <c r="CX1219" s="49"/>
      <c r="CZ1219" s="49"/>
      <c r="DA1219" s="49"/>
      <c r="DB1219" s="49"/>
      <c r="DD1219" s="49"/>
      <c r="DE1219" s="49"/>
      <c r="DF1219" s="49"/>
      <c r="DH1219" s="49"/>
      <c r="DL1219" s="49"/>
      <c r="DP1219" s="49"/>
    </row>
    <row r="1220" spans="1:126" s="20" customFormat="1" ht="13.8">
      <c r="A1220" s="20" t="s">
        <v>672</v>
      </c>
      <c r="B1220" s="49" t="s">
        <v>361</v>
      </c>
      <c r="BD1220" s="67"/>
      <c r="BE1220" s="67"/>
      <c r="BF1220" s="67"/>
      <c r="BG1220" s="67"/>
      <c r="BH1220" s="373">
        <v>2704.1</v>
      </c>
      <c r="BI1220" s="373">
        <v>2714.8</v>
      </c>
      <c r="BJ1220" s="373">
        <v>2709.4</v>
      </c>
      <c r="BK1220" s="373"/>
      <c r="BL1220" s="373">
        <v>2715.2</v>
      </c>
      <c r="BM1220" s="373">
        <v>2724.2</v>
      </c>
      <c r="BN1220" s="373">
        <v>2719.7</v>
      </c>
      <c r="BO1220" s="373"/>
      <c r="BP1220" s="373">
        <v>2737.3</v>
      </c>
      <c r="BQ1220" s="373">
        <v>2780.6</v>
      </c>
      <c r="BR1220" s="373">
        <v>2759</v>
      </c>
      <c r="BT1220" s="373">
        <v>2889.3</v>
      </c>
      <c r="BU1220" s="373">
        <v>2894.7</v>
      </c>
      <c r="BV1220" s="373">
        <v>2891.7</v>
      </c>
      <c r="BX1220" s="373">
        <v>2906.6</v>
      </c>
      <c r="BY1220" s="373">
        <v>2914</v>
      </c>
      <c r="BZ1220" s="373">
        <v>2910.3</v>
      </c>
      <c r="CB1220" s="373">
        <v>2909.6</v>
      </c>
      <c r="CC1220" s="373">
        <v>2867.1</v>
      </c>
      <c r="CD1220" s="373">
        <v>2888.3</v>
      </c>
      <c r="CF1220" s="373">
        <v>2841.3</v>
      </c>
      <c r="CG1220" s="373">
        <v>2828.4</v>
      </c>
      <c r="CH1220" s="373">
        <v>2834.9</v>
      </c>
      <c r="CJ1220" s="373">
        <v>2830.6</v>
      </c>
      <c r="CK1220" s="373">
        <v>2831.2</v>
      </c>
      <c r="CL1220" s="373">
        <v>2830.9</v>
      </c>
      <c r="CN1220" s="373">
        <v>2838.7</v>
      </c>
      <c r="CO1220" s="373">
        <v>2838.4</v>
      </c>
      <c r="CP1220" s="373">
        <v>2838.6</v>
      </c>
      <c r="CR1220" s="373">
        <v>2808.7</v>
      </c>
      <c r="CS1220" s="373">
        <v>2862.5</v>
      </c>
      <c r="CT1220" s="373">
        <v>2847.5</v>
      </c>
      <c r="CV1220" s="373">
        <v>2994.1</v>
      </c>
      <c r="CW1220" s="373">
        <v>3000.2</v>
      </c>
      <c r="CX1220" s="373">
        <v>2997.2</v>
      </c>
      <c r="CZ1220" s="373">
        <v>3001.3</v>
      </c>
      <c r="DA1220" s="373">
        <v>2995.5</v>
      </c>
      <c r="DB1220" s="373">
        <v>2998.4</v>
      </c>
      <c r="DD1220" s="373">
        <v>2971.9</v>
      </c>
      <c r="DE1220" s="373">
        <v>2973.3</v>
      </c>
      <c r="DF1220" s="373">
        <v>2972.6</v>
      </c>
      <c r="DH1220" s="65">
        <f>+DH1221*DH1212</f>
        <v>2989.6440991407985</v>
      </c>
      <c r="DI1220" s="65">
        <f ca="1">+DI1221*DI1212</f>
        <v>3000.2733494012518</v>
      </c>
      <c r="DJ1220" s="65">
        <f ca="1">AVERAGE(DH1220:DI1220)</f>
        <v>2994.9587242710249</v>
      </c>
      <c r="DL1220" s="65">
        <f ca="1">+DL1221*DL1212</f>
        <v>3000.9663932645212</v>
      </c>
      <c r="DM1220" s="65">
        <f ca="1">+DM1221*DM1212</f>
        <v>2995.6026350595603</v>
      </c>
      <c r="DN1220" s="65">
        <f ca="1">AVERAGE(DL1220:DM1220)</f>
        <v>2998.284514162041</v>
      </c>
      <c r="DP1220" s="65">
        <f ca="1">+DP1221*DP1212</f>
        <v>2984.8377056749073</v>
      </c>
      <c r="DQ1220" s="65">
        <f ca="1">+DQ1221*DQ1212</f>
        <v>2974.2649090060054</v>
      </c>
      <c r="DR1220" s="65">
        <f ca="1">AVERAGE(DP1220:DQ1220)</f>
        <v>2979.5513073404563</v>
      </c>
    </row>
    <row r="1221" spans="1:126" s="20" customFormat="1" ht="13.8">
      <c r="A1221" s="335" t="s">
        <v>673</v>
      </c>
      <c r="B1221" s="324"/>
      <c r="C1221" s="325"/>
      <c r="D1221" s="325"/>
      <c r="E1221" s="325"/>
      <c r="F1221" s="325"/>
      <c r="G1221" s="325"/>
      <c r="H1221" s="325"/>
      <c r="I1221" s="325"/>
      <c r="J1221" s="325"/>
      <c r="K1221" s="325"/>
      <c r="L1221" s="325"/>
      <c r="M1221" s="325"/>
      <c r="N1221" s="325"/>
      <c r="O1221" s="325"/>
      <c r="P1221" s="325"/>
      <c r="Q1221" s="325"/>
      <c r="R1221" s="325"/>
      <c r="S1221" s="325"/>
      <c r="T1221" s="325"/>
      <c r="U1221" s="325"/>
      <c r="V1221" s="325"/>
      <c r="W1221" s="325"/>
      <c r="X1221" s="325"/>
      <c r="Y1221" s="325"/>
      <c r="Z1221" s="325"/>
      <c r="AA1221" s="325"/>
      <c r="AB1221" s="325"/>
      <c r="AC1221" s="325"/>
      <c r="AD1221" s="325"/>
      <c r="AE1221" s="325"/>
      <c r="AF1221" s="325"/>
      <c r="AG1221" s="325"/>
      <c r="AH1221" s="325"/>
      <c r="AI1221" s="325"/>
      <c r="AJ1221" s="325"/>
      <c r="AK1221" s="325"/>
      <c r="AL1221" s="325"/>
      <c r="AM1221" s="325"/>
      <c r="AN1221" s="325"/>
      <c r="AO1221" s="325"/>
      <c r="AP1221" s="325"/>
      <c r="AQ1221" s="325"/>
      <c r="AR1221" s="325"/>
      <c r="AS1221" s="325"/>
      <c r="AT1221" s="325"/>
      <c r="AU1221" s="325"/>
      <c r="AV1221" s="325"/>
      <c r="AW1221" s="325"/>
      <c r="AX1221" s="325"/>
      <c r="AY1221" s="325"/>
      <c r="AZ1221" s="325"/>
      <c r="BA1221" s="325"/>
      <c r="BB1221" s="325"/>
      <c r="BC1221" s="325"/>
      <c r="BD1221" s="325"/>
      <c r="BE1221" s="325"/>
      <c r="BF1221" s="325"/>
      <c r="BG1221" s="325"/>
      <c r="BH1221" s="345">
        <f>BH1220/BH1212</f>
        <v>0.99539866008981814</v>
      </c>
      <c r="BI1221" s="345">
        <f>BI1220/BI1212</f>
        <v>0.99534372135655369</v>
      </c>
      <c r="BJ1221" s="345">
        <f>BJ1220/BJ1212</f>
        <v>0.99533448440542238</v>
      </c>
      <c r="BK1221" s="324"/>
      <c r="BL1221" s="345">
        <f>BL1220/BL1212</f>
        <v>0.99530791788856299</v>
      </c>
      <c r="BM1221" s="345">
        <f>BM1220/BM1212</f>
        <v>0.99543245514670953</v>
      </c>
      <c r="BN1221" s="345">
        <f>BN1220/BN1212</f>
        <v>0.99542493228899787</v>
      </c>
      <c r="BO1221" s="324"/>
      <c r="BP1221" s="345">
        <f>BP1220/BP1212</f>
        <v>0.99538181818181826</v>
      </c>
      <c r="BQ1221" s="345">
        <f>BQ1220/BQ1212</f>
        <v>0.99566727539656963</v>
      </c>
      <c r="BR1221" s="345">
        <f>BR1220/BR1212</f>
        <v>0.99552572706935116</v>
      </c>
      <c r="BS1221" s="325"/>
      <c r="BT1221" s="345">
        <f>BT1220/BT1212</f>
        <v>0.99582959950368788</v>
      </c>
      <c r="BU1221" s="345">
        <f>BU1220/BU1212</f>
        <v>0.99419563126803134</v>
      </c>
      <c r="BV1221" s="345">
        <f>BV1220/BV1212</f>
        <v>0.99501066685018236</v>
      </c>
      <c r="BW1221" s="325"/>
      <c r="BX1221" s="345">
        <f>BX1220/BX1212</f>
        <v>0.99415124670793864</v>
      </c>
      <c r="BY1221" s="345">
        <f>BY1220/BY1212</f>
        <v>0.99481086986207845</v>
      </c>
      <c r="BZ1221" s="345">
        <f>BZ1220/BZ1212</f>
        <v>0.99449835975943146</v>
      </c>
      <c r="CA1221" s="325"/>
      <c r="CB1221" s="345">
        <f>CB1220/CB1212</f>
        <v>0.99487109348286951</v>
      </c>
      <c r="CC1221" s="345">
        <f>CC1220/CC1212</f>
        <v>0.99476094649920199</v>
      </c>
      <c r="CD1221" s="345">
        <f>CD1220/CD1212</f>
        <v>0.99483346536699613</v>
      </c>
      <c r="CE1221" s="533"/>
      <c r="CF1221" s="345">
        <f>CF1220/CF1212</f>
        <v>0.99453953586054822</v>
      </c>
      <c r="CG1221" s="345">
        <f>CG1220/CG1212</f>
        <v>0.9996819001166366</v>
      </c>
      <c r="CH1221" s="345">
        <f>CH1220/CH1212</f>
        <v>0.99711582427631817</v>
      </c>
      <c r="CI1221" s="325"/>
      <c r="CJ1221" s="345">
        <f>CJ1220/CJ1212</f>
        <v>1</v>
      </c>
      <c r="CK1221" s="345">
        <f>CK1220/CK1212</f>
        <v>1</v>
      </c>
      <c r="CL1221" s="345">
        <f>CL1220/CL1212</f>
        <v>1</v>
      </c>
      <c r="CM1221" s="325"/>
      <c r="CN1221" s="345">
        <f>CN1220/CN1212</f>
        <v>1</v>
      </c>
      <c r="CO1221" s="345">
        <f>CO1220/CO1212</f>
        <v>1</v>
      </c>
      <c r="CP1221" s="345">
        <f>CP1220/CP1212</f>
        <v>1</v>
      </c>
      <c r="CQ1221" s="325"/>
      <c r="CR1221" s="345">
        <f>CR1220/CR1212</f>
        <v>1</v>
      </c>
      <c r="CS1221" s="345">
        <f>CS1220/CS1212</f>
        <v>1</v>
      </c>
      <c r="CT1221" s="345">
        <f>CT1220/CT1212</f>
        <v>1</v>
      </c>
      <c r="CU1221" s="325"/>
      <c r="CV1221" s="345">
        <f>CV1220/CV1212</f>
        <v>1</v>
      </c>
      <c r="CW1221" s="345">
        <f>CW1220/CW1212</f>
        <v>1</v>
      </c>
      <c r="CX1221" s="345">
        <f>CX1220/CX1212</f>
        <v>1</v>
      </c>
      <c r="CY1221" s="325"/>
      <c r="CZ1221" s="345">
        <f>CZ1220/CZ1212</f>
        <v>1</v>
      </c>
      <c r="DA1221" s="345">
        <f>DA1220/DA1212</f>
        <v>1</v>
      </c>
      <c r="DB1221" s="345">
        <f>DB1220/DB1212</f>
        <v>1</v>
      </c>
      <c r="DC1221" s="325"/>
      <c r="DD1221" s="345">
        <f>DD1220/DD1212</f>
        <v>1</v>
      </c>
      <c r="DE1221" s="345">
        <f>DE1220/DE1212</f>
        <v>1</v>
      </c>
      <c r="DF1221" s="345">
        <f>DF1220/DF1212</f>
        <v>1</v>
      </c>
      <c r="DG1221" s="325"/>
      <c r="DH1221" s="346">
        <f>DE1221</f>
        <v>1</v>
      </c>
      <c r="DI1221" s="346">
        <f>DH1221</f>
        <v>1</v>
      </c>
      <c r="DJ1221" s="325"/>
      <c r="DK1221" s="325"/>
      <c r="DL1221" s="346">
        <f>DI1221</f>
        <v>1</v>
      </c>
      <c r="DM1221" s="346">
        <f>DL1221</f>
        <v>1</v>
      </c>
      <c r="DN1221" s="325"/>
      <c r="DO1221" s="325"/>
      <c r="DP1221" s="346">
        <f>DM1221</f>
        <v>1</v>
      </c>
      <c r="DQ1221" s="346">
        <f>DP1221</f>
        <v>1</v>
      </c>
      <c r="DR1221" s="325"/>
      <c r="DS1221" s="325"/>
      <c r="DT1221" s="325"/>
      <c r="DU1221" s="325"/>
      <c r="DV1221" s="325"/>
    </row>
    <row r="1222" spans="1:126" s="20" customFormat="1" ht="13.8">
      <c r="B1222" s="49"/>
      <c r="BH1222" s="49"/>
      <c r="BI1222" s="49"/>
      <c r="BJ1222" s="49"/>
      <c r="BK1222" s="49"/>
      <c r="BL1222" s="49"/>
      <c r="BM1222" s="49"/>
      <c r="BN1222" s="49"/>
      <c r="BO1222" s="49"/>
      <c r="BP1222" s="49"/>
      <c r="BQ1222" s="49"/>
      <c r="BR1222" s="49"/>
      <c r="BT1222" s="49"/>
      <c r="BU1222" s="49"/>
      <c r="BV1222" s="49"/>
      <c r="BX1222" s="49"/>
      <c r="BY1222" s="49"/>
      <c r="BZ1222" s="49"/>
      <c r="CB1222" s="49"/>
      <c r="CC1222" s="49"/>
      <c r="CD1222" s="49"/>
      <c r="CF1222" s="49"/>
      <c r="CG1222" s="49"/>
      <c r="CH1222" s="49"/>
      <c r="CJ1222" s="49"/>
      <c r="CK1222" s="49"/>
      <c r="CL1222" s="49"/>
      <c r="CN1222" s="49"/>
      <c r="CO1222" s="49"/>
      <c r="CP1222" s="49"/>
      <c r="CR1222" s="49"/>
      <c r="CS1222" s="49"/>
      <c r="CT1222" s="49"/>
      <c r="CV1222" s="49"/>
      <c r="CW1222" s="49"/>
      <c r="CX1222" s="49"/>
      <c r="CZ1222" s="49"/>
      <c r="DA1222" s="49"/>
      <c r="DB1222" s="49"/>
      <c r="DD1222" s="49"/>
      <c r="DE1222" s="49"/>
      <c r="DF1222" s="49"/>
      <c r="DH1222" s="49"/>
      <c r="DL1222" s="49"/>
      <c r="DP1222" s="49"/>
    </row>
    <row r="1223" spans="1:126" s="20" customFormat="1" ht="13.8">
      <c r="A1223" s="21" t="s">
        <v>710</v>
      </c>
      <c r="B1223" s="49"/>
      <c r="BH1223" s="65">
        <f>BH41</f>
        <v>2937</v>
      </c>
      <c r="BI1223" s="65">
        <f>BI41</f>
        <v>3373</v>
      </c>
      <c r="BJ1223" s="65">
        <f>BJ41</f>
        <v>6310</v>
      </c>
      <c r="BK1223" s="49"/>
      <c r="BL1223" s="65">
        <f>BL41</f>
        <v>3392</v>
      </c>
      <c r="BM1223" s="65">
        <f>BM41</f>
        <v>3879</v>
      </c>
      <c r="BN1223" s="65">
        <f>BN41</f>
        <v>7271</v>
      </c>
      <c r="BO1223" s="49"/>
      <c r="BP1223" s="65">
        <f>BP41</f>
        <v>3506</v>
      </c>
      <c r="BQ1223" s="65">
        <f>BQ41</f>
        <v>3987</v>
      </c>
      <c r="BR1223" s="65">
        <f>BR41</f>
        <v>7493</v>
      </c>
      <c r="BT1223" s="65">
        <f>BT41</f>
        <v>2738</v>
      </c>
      <c r="BU1223" s="65">
        <f>BU41</f>
        <v>2971</v>
      </c>
      <c r="BV1223" s="65">
        <f>BV41</f>
        <v>5709</v>
      </c>
      <c r="BX1223" s="65">
        <f>BX41</f>
        <v>2911</v>
      </c>
      <c r="BY1223" s="65">
        <f>BY41</f>
        <v>3495</v>
      </c>
      <c r="BZ1223" s="65">
        <f>BZ41</f>
        <v>6406</v>
      </c>
      <c r="CB1223" s="65">
        <f ca="1">CB41</f>
        <v>3323</v>
      </c>
      <c r="CC1223" s="65">
        <f>CC41</f>
        <v>3077</v>
      </c>
      <c r="CD1223" s="65">
        <f ca="1">CD41</f>
        <v>6400</v>
      </c>
      <c r="CF1223" s="65">
        <f>CF41</f>
        <v>3173</v>
      </c>
      <c r="CG1223" s="65">
        <f>CG41</f>
        <v>2780</v>
      </c>
      <c r="CH1223" s="65">
        <f>CH41</f>
        <v>5953</v>
      </c>
      <c r="CJ1223" s="65">
        <f>CJ41</f>
        <v>1545</v>
      </c>
      <c r="CK1223" s="65">
        <f>CK41</f>
        <v>2032</v>
      </c>
      <c r="CL1223" s="65">
        <f>CL41</f>
        <v>3577</v>
      </c>
      <c r="CN1223" s="65">
        <f>CN41</f>
        <v>2943</v>
      </c>
      <c r="CO1223" s="65">
        <f>CO41</f>
        <v>3219</v>
      </c>
      <c r="CP1223" s="65">
        <f>CP41</f>
        <v>6162</v>
      </c>
      <c r="CR1223" s="65">
        <f>CR41</f>
        <v>3530</v>
      </c>
      <c r="CS1223" s="65">
        <f>CS41</f>
        <v>3589</v>
      </c>
      <c r="CT1223" s="65">
        <f>CT41</f>
        <v>7119</v>
      </c>
      <c r="CV1223" s="65">
        <f>CV41</f>
        <v>3555</v>
      </c>
      <c r="CW1223" s="65">
        <f>CW41</f>
        <v>3551</v>
      </c>
      <c r="CX1223" s="65">
        <f>CX41</f>
        <v>7106</v>
      </c>
      <c r="CZ1223" s="65">
        <f>CZ41</f>
        <v>3407</v>
      </c>
      <c r="DA1223" s="65">
        <f>DA41</f>
        <v>3128</v>
      </c>
      <c r="DB1223" s="65">
        <f>DB41</f>
        <v>6535</v>
      </c>
      <c r="DD1223" s="65">
        <f>DD41</f>
        <v>3642</v>
      </c>
      <c r="DE1223" s="65">
        <f>DE41</f>
        <v>2249</v>
      </c>
      <c r="DF1223" s="65">
        <f>DF41</f>
        <v>5891</v>
      </c>
      <c r="DH1223" s="65">
        <f ca="1">DH41</f>
        <v>3701.5536350305647</v>
      </c>
      <c r="DI1223" s="65">
        <f ca="1">DI41</f>
        <v>3826.2909150494493</v>
      </c>
      <c r="DJ1223" s="65">
        <f ca="1">DJ41</f>
        <v>7527.8445500800126</v>
      </c>
      <c r="DL1223" s="65">
        <f ca="1">DL41</f>
        <v>3980.3177206167493</v>
      </c>
      <c r="DM1223" s="65">
        <f ca="1">DM41</f>
        <v>3994.2697629431987</v>
      </c>
      <c r="DN1223" s="65">
        <f ca="1">DN41</f>
        <v>7974.5874835599489</v>
      </c>
      <c r="DP1223" s="65">
        <f ca="1">DP41</f>
        <v>4160.966953009286</v>
      </c>
      <c r="DQ1223" s="65">
        <f ca="1">DQ41</f>
        <v>4318.1038988617502</v>
      </c>
      <c r="DR1223" s="65">
        <f ca="1">DR41</f>
        <v>8479.0708518710398</v>
      </c>
    </row>
    <row r="1224" spans="1:126" s="20" customFormat="1" ht="13.8">
      <c r="A1224" s="63" t="s">
        <v>674</v>
      </c>
      <c r="B1224" s="49"/>
      <c r="BH1224" s="65">
        <f>BH44</f>
        <v>-3</v>
      </c>
      <c r="BI1224" s="65">
        <f>BI44</f>
        <v>-3</v>
      </c>
      <c r="BJ1224" s="65">
        <f>BH1224+BI1224</f>
        <v>-6</v>
      </c>
      <c r="BK1224" s="49"/>
      <c r="BL1224" s="65">
        <f>BL44</f>
        <v>-3</v>
      </c>
      <c r="BM1224" s="65">
        <f>BM44</f>
        <v>-3</v>
      </c>
      <c r="BN1224" s="65">
        <f>BL1224+BM1224</f>
        <v>-6</v>
      </c>
      <c r="BO1224" s="49"/>
      <c r="BP1224" s="65">
        <f>BP44</f>
        <v>-1</v>
      </c>
      <c r="BQ1224" s="65">
        <f>BQ44</f>
        <v>0</v>
      </c>
      <c r="BR1224" s="65">
        <f>BP1224+BQ1224</f>
        <v>-1</v>
      </c>
      <c r="BT1224" s="65">
        <f>BT44</f>
        <v>0</v>
      </c>
      <c r="BU1224" s="65">
        <f>BU44</f>
        <v>0</v>
      </c>
      <c r="BV1224" s="65">
        <f>BT1224+BU1224</f>
        <v>0</v>
      </c>
      <c r="BX1224" s="65">
        <f>BX44</f>
        <v>0</v>
      </c>
      <c r="BY1224" s="65">
        <f>BY44</f>
        <v>0</v>
      </c>
      <c r="BZ1224" s="65">
        <f>BX1224+BY1224</f>
        <v>0</v>
      </c>
      <c r="CB1224" s="65">
        <f>CB44</f>
        <v>0</v>
      </c>
      <c r="CC1224" s="65">
        <f>CC44</f>
        <v>0</v>
      </c>
      <c r="CD1224" s="65">
        <f>CB1224+CC1224</f>
        <v>0</v>
      </c>
      <c r="CF1224" s="65">
        <f>CF44</f>
        <v>0</v>
      </c>
      <c r="CG1224" s="65">
        <f>CG44</f>
        <v>0</v>
      </c>
      <c r="CH1224" s="65">
        <f>CF1224+CG1224</f>
        <v>0</v>
      </c>
      <c r="CJ1224" s="65">
        <f>CJ44</f>
        <v>0</v>
      </c>
      <c r="CK1224" s="65">
        <f>CK44</f>
        <v>0</v>
      </c>
      <c r="CL1224" s="65">
        <f>CJ1224+CK1224</f>
        <v>0</v>
      </c>
      <c r="CN1224" s="65">
        <f>CN44</f>
        <v>0</v>
      </c>
      <c r="CO1224" s="65">
        <f>CO44</f>
        <v>0</v>
      </c>
      <c r="CP1224" s="65">
        <f>CN1224+CO1224</f>
        <v>0</v>
      </c>
      <c r="CR1224" s="65">
        <f>CR44</f>
        <v>0</v>
      </c>
      <c r="CS1224" s="65">
        <f>CS44</f>
        <v>0</v>
      </c>
      <c r="CT1224" s="65">
        <f>CR1224+CS1224</f>
        <v>0</v>
      </c>
      <c r="CV1224" s="65">
        <f>CV44</f>
        <v>0</v>
      </c>
      <c r="CW1224" s="65">
        <f>CW44</f>
        <v>0</v>
      </c>
      <c r="CX1224" s="65">
        <f>CV1224+CW1224</f>
        <v>0</v>
      </c>
      <c r="CZ1224" s="65">
        <f>CZ44</f>
        <v>0</v>
      </c>
      <c r="DA1224" s="65">
        <f>DA44</f>
        <v>0</v>
      </c>
      <c r="DB1224" s="65">
        <f>CZ1224+DA1224</f>
        <v>0</v>
      </c>
      <c r="DD1224" s="65">
        <f>DD44</f>
        <v>0</v>
      </c>
      <c r="DE1224" s="65">
        <f>DE44</f>
        <v>0</v>
      </c>
      <c r="DF1224" s="65">
        <f>DD1224+DE1224</f>
        <v>0</v>
      </c>
      <c r="DH1224" s="65">
        <f>DH44</f>
        <v>0</v>
      </c>
      <c r="DI1224" s="65">
        <f>DI44</f>
        <v>0</v>
      </c>
      <c r="DJ1224" s="65">
        <f>DH1224+DI1224</f>
        <v>0</v>
      </c>
      <c r="DL1224" s="65">
        <f>DL44</f>
        <v>0</v>
      </c>
      <c r="DM1224" s="65">
        <f>DM44</f>
        <v>0</v>
      </c>
      <c r="DN1224" s="65">
        <f>DL1224+DM1224</f>
        <v>0</v>
      </c>
      <c r="DP1224" s="65">
        <f>DP44</f>
        <v>0</v>
      </c>
      <c r="DQ1224" s="65">
        <f>DQ44</f>
        <v>0</v>
      </c>
      <c r="DR1224" s="65">
        <f>DP1224+DQ1224</f>
        <v>0</v>
      </c>
    </row>
    <row r="1225" spans="1:126" s="20" customFormat="1" ht="13.8">
      <c r="A1225" s="21" t="s">
        <v>897</v>
      </c>
      <c r="B1225" s="49"/>
      <c r="BH1225" s="72">
        <f>SUM(BH1223:BH1224)</f>
        <v>2934</v>
      </c>
      <c r="BI1225" s="72">
        <f>SUM(BI1223:BI1224)</f>
        <v>3370</v>
      </c>
      <c r="BJ1225" s="72">
        <f>SUM(BJ1223:BJ1224)</f>
        <v>6304</v>
      </c>
      <c r="BK1225" s="49"/>
      <c r="BL1225" s="72">
        <f>SUM(BL1223:BL1224)</f>
        <v>3389</v>
      </c>
      <c r="BM1225" s="72">
        <f>SUM(BM1223:BM1224)</f>
        <v>3876</v>
      </c>
      <c r="BN1225" s="72">
        <f>SUM(BN1223:BN1224)</f>
        <v>7265</v>
      </c>
      <c r="BO1225" s="49"/>
      <c r="BP1225" s="72">
        <f>SUM(BP1223:BP1224)</f>
        <v>3505</v>
      </c>
      <c r="BQ1225" s="72">
        <f>SUM(BQ1223:BQ1224)</f>
        <v>3987</v>
      </c>
      <c r="BR1225" s="72">
        <f>SUM(BR1223:BR1224)</f>
        <v>7492</v>
      </c>
      <c r="BT1225" s="72">
        <f>SUM(BT1223:BT1224)</f>
        <v>2738</v>
      </c>
      <c r="BU1225" s="72">
        <f>SUM(BU1223:BU1224)</f>
        <v>2971</v>
      </c>
      <c r="BV1225" s="72">
        <f>SUM(BV1223:BV1224)</f>
        <v>5709</v>
      </c>
      <c r="BX1225" s="72">
        <f>SUM(BX1223:BX1224)</f>
        <v>2911</v>
      </c>
      <c r="BY1225" s="72">
        <f>SUM(BY1223:BY1224)</f>
        <v>3495</v>
      </c>
      <c r="BZ1225" s="72">
        <f>SUM(BZ1223:BZ1224)</f>
        <v>6406</v>
      </c>
      <c r="CB1225" s="72">
        <f ca="1">SUM(CB1223:CB1224)</f>
        <v>3323</v>
      </c>
      <c r="CC1225" s="72">
        <f>SUM(CC1223:CC1224)</f>
        <v>3077</v>
      </c>
      <c r="CD1225" s="72">
        <f ca="1">SUM(CD1223:CD1224)</f>
        <v>6400</v>
      </c>
      <c r="CF1225" s="72">
        <f>SUM(CF1223:CF1224)</f>
        <v>3173</v>
      </c>
      <c r="CG1225" s="72">
        <f>SUM(CG1223:CG1224)</f>
        <v>2780</v>
      </c>
      <c r="CH1225" s="72">
        <f>SUM(CH1223:CH1224)</f>
        <v>5953</v>
      </c>
      <c r="CJ1225" s="72">
        <f>SUM(CJ1223:CJ1224)</f>
        <v>1545</v>
      </c>
      <c r="CK1225" s="72">
        <f>SUM(CK1223:CK1224)</f>
        <v>2032</v>
      </c>
      <c r="CL1225" s="72">
        <f>SUM(CL1223:CL1224)</f>
        <v>3577</v>
      </c>
      <c r="CN1225" s="72">
        <f>SUM(CN1223:CN1224)</f>
        <v>2943</v>
      </c>
      <c r="CO1225" s="72">
        <f>SUM(CO1223:CO1224)</f>
        <v>3219</v>
      </c>
      <c r="CP1225" s="72">
        <f>SUM(CP1223:CP1224)</f>
        <v>6162</v>
      </c>
      <c r="CR1225" s="72">
        <f>SUM(CR1223:CR1224)</f>
        <v>3530</v>
      </c>
      <c r="CS1225" s="72">
        <f>SUM(CS1223:CS1224)</f>
        <v>3589</v>
      </c>
      <c r="CT1225" s="72">
        <f>SUM(CT1223:CT1224)</f>
        <v>7119</v>
      </c>
      <c r="CV1225" s="72">
        <f>SUM(CV1223:CV1224)</f>
        <v>3555</v>
      </c>
      <c r="CW1225" s="72">
        <f>SUM(CW1223:CW1224)</f>
        <v>3551</v>
      </c>
      <c r="CX1225" s="72">
        <f>SUM(CX1223:CX1224)</f>
        <v>7106</v>
      </c>
      <c r="CZ1225" s="72">
        <f>SUM(CZ1223:CZ1224)</f>
        <v>3407</v>
      </c>
      <c r="DA1225" s="72">
        <f>SUM(DA1223:DA1224)</f>
        <v>3128</v>
      </c>
      <c r="DB1225" s="72">
        <f>SUM(DB1223:DB1224)</f>
        <v>6535</v>
      </c>
      <c r="DD1225" s="72">
        <f>SUM(DD1223:DD1224)</f>
        <v>3642</v>
      </c>
      <c r="DE1225" s="72">
        <f>SUM(DE1223:DE1224)</f>
        <v>2249</v>
      </c>
      <c r="DF1225" s="72">
        <f>SUM(DF1223:DF1224)</f>
        <v>5891</v>
      </c>
      <c r="DH1225" s="72">
        <f ca="1">SUM(DH1223:DH1224)</f>
        <v>3701.5536350305647</v>
      </c>
      <c r="DI1225" s="72">
        <f ca="1">SUM(DI1223:DI1224)</f>
        <v>3826.2909150494493</v>
      </c>
      <c r="DJ1225" s="72">
        <f ca="1">SUM(DJ1223:DJ1224)</f>
        <v>7527.8445500800126</v>
      </c>
      <c r="DL1225" s="72">
        <f ca="1">SUM(DL1223:DL1224)</f>
        <v>3980.3177206167493</v>
      </c>
      <c r="DM1225" s="72">
        <f ca="1">SUM(DM1223:DM1224)</f>
        <v>3994.2697629431987</v>
      </c>
      <c r="DN1225" s="72">
        <f ca="1">SUM(DN1223:DN1224)</f>
        <v>7974.5874835599489</v>
      </c>
      <c r="DP1225" s="72">
        <f ca="1">SUM(DP1223:DP1224)</f>
        <v>4160.966953009286</v>
      </c>
      <c r="DQ1225" s="72">
        <f ca="1">SUM(DQ1223:DQ1224)</f>
        <v>4318.1038988617502</v>
      </c>
      <c r="DR1225" s="72">
        <f ca="1">SUM(DR1223:DR1224)</f>
        <v>8479.0708518710398</v>
      </c>
    </row>
    <row r="1226" spans="1:126" s="20" customFormat="1" ht="13.8">
      <c r="A1226" s="21"/>
      <c r="B1226" s="49"/>
      <c r="BH1226" s="72"/>
      <c r="BI1226" s="72"/>
      <c r="BJ1226" s="72"/>
      <c r="BK1226" s="49"/>
      <c r="BL1226" s="72"/>
      <c r="BM1226" s="72"/>
      <c r="BN1226" s="72"/>
      <c r="BO1226" s="49"/>
      <c r="BP1226" s="72"/>
      <c r="BQ1226" s="72"/>
      <c r="BR1226" s="72"/>
      <c r="BT1226" s="72"/>
      <c r="BU1226" s="72"/>
      <c r="BV1226" s="72"/>
      <c r="BX1226" s="72"/>
      <c r="BY1226" s="72"/>
      <c r="BZ1226" s="72"/>
      <c r="CB1226" s="72"/>
      <c r="CC1226" s="72"/>
      <c r="CD1226" s="72"/>
      <c r="CF1226" s="72"/>
      <c r="CG1226" s="72"/>
      <c r="CH1226" s="72"/>
      <c r="CJ1226" s="72"/>
      <c r="CK1226" s="72"/>
      <c r="CL1226" s="72"/>
      <c r="CN1226" s="72"/>
      <c r="CO1226" s="72"/>
      <c r="CP1226" s="72"/>
      <c r="CR1226" s="72"/>
      <c r="CS1226" s="72"/>
      <c r="CT1226" s="72"/>
      <c r="CV1226" s="72"/>
      <c r="CW1226" s="72"/>
      <c r="CX1226" s="72"/>
      <c r="CZ1226" s="72"/>
      <c r="DA1226" s="72"/>
      <c r="DB1226" s="72"/>
      <c r="DD1226" s="72"/>
      <c r="DE1226" s="72"/>
      <c r="DF1226" s="72"/>
      <c r="DH1226" s="72"/>
      <c r="DI1226" s="72"/>
      <c r="DJ1226" s="72"/>
      <c r="DL1226" s="72"/>
      <c r="DM1226" s="72"/>
      <c r="DN1226" s="72"/>
      <c r="DP1226" s="72"/>
      <c r="DQ1226" s="72"/>
      <c r="DR1226" s="72"/>
    </row>
    <row r="1227" spans="1:126" s="20" customFormat="1" ht="13.8">
      <c r="A1227" s="21" t="s">
        <v>899</v>
      </c>
      <c r="B1227" s="49"/>
      <c r="BH1227" s="65">
        <f>BH39</f>
        <v>3179</v>
      </c>
      <c r="BI1227" s="65">
        <f>BI39</f>
        <v>3313</v>
      </c>
      <c r="BJ1227" s="65">
        <f>BJ39</f>
        <v>6492</v>
      </c>
      <c r="BK1227" s="49"/>
      <c r="BL1227" s="65">
        <f>BL39</f>
        <v>3515</v>
      </c>
      <c r="BM1227" s="65">
        <f>BM39</f>
        <v>3602</v>
      </c>
      <c r="BN1227" s="65">
        <f>BN39</f>
        <v>7117</v>
      </c>
      <c r="BO1227" s="49"/>
      <c r="BP1227" s="65">
        <f>BP39</f>
        <v>3676</v>
      </c>
      <c r="BQ1227" s="65">
        <f>BQ39</f>
        <v>3540</v>
      </c>
      <c r="BR1227" s="65">
        <f>BR39</f>
        <v>7216</v>
      </c>
      <c r="BT1227" s="65">
        <f>BT39</f>
        <v>2782</v>
      </c>
      <c r="BU1227" s="65">
        <f>BU39</f>
        <v>3107</v>
      </c>
      <c r="BV1227" s="65">
        <f>BV39</f>
        <v>5889</v>
      </c>
      <c r="BX1227" s="65">
        <f>BX39</f>
        <v>3411</v>
      </c>
      <c r="BY1227" s="65">
        <f>BY39</f>
        <v>3527</v>
      </c>
      <c r="BZ1227" s="65">
        <f>BZ39</f>
        <v>6938</v>
      </c>
      <c r="CB1227" s="65">
        <f ca="1">CB39</f>
        <v>2876</v>
      </c>
      <c r="CC1227" s="65">
        <f>CC39</f>
        <v>2929</v>
      </c>
      <c r="CD1227" s="65">
        <f ca="1">CD39</f>
        <v>5805</v>
      </c>
      <c r="CF1227" s="65">
        <f>CF39</f>
        <v>3514</v>
      </c>
      <c r="CG1227" s="65">
        <f>CG39</f>
        <v>2647</v>
      </c>
      <c r="CH1227" s="65">
        <f>CH39</f>
        <v>6161</v>
      </c>
      <c r="CJ1227" s="65">
        <f>CJ39</f>
        <v>1323</v>
      </c>
      <c r="CK1227" s="65">
        <f>CK39</f>
        <v>2337</v>
      </c>
      <c r="CL1227" s="65">
        <f>CL39</f>
        <v>3660</v>
      </c>
      <c r="CN1227" s="65">
        <f>CN39</f>
        <v>2982</v>
      </c>
      <c r="CO1227" s="65">
        <f>CO39</f>
        <v>3199</v>
      </c>
      <c r="CP1227" s="65">
        <f>CP39</f>
        <v>6181</v>
      </c>
      <c r="CR1227" s="65">
        <f>CR39</f>
        <v>3108</v>
      </c>
      <c r="CS1227" s="65">
        <f>CS39</f>
        <v>3388</v>
      </c>
      <c r="CT1227" s="65">
        <f>CT39</f>
        <v>6496</v>
      </c>
      <c r="CV1227" s="65">
        <f>CV39</f>
        <v>3829</v>
      </c>
      <c r="CW1227" s="65">
        <f>CW39</f>
        <v>3584</v>
      </c>
      <c r="CX1227" s="65">
        <f>CX39</f>
        <v>7413</v>
      </c>
      <c r="CZ1227" s="65">
        <f>CZ39</f>
        <v>3552</v>
      </c>
      <c r="DA1227" s="65">
        <f>DA39</f>
        <v>3173</v>
      </c>
      <c r="DB1227" s="65">
        <f>DB39</f>
        <v>6725</v>
      </c>
      <c r="DD1227" s="65">
        <f>DD39</f>
        <v>3568</v>
      </c>
      <c r="DE1227" s="65">
        <f>DE39</f>
        <v>2219</v>
      </c>
      <c r="DF1227" s="65">
        <f>DF39</f>
        <v>5787</v>
      </c>
      <c r="DH1227" s="65">
        <f ca="1">DH39</f>
        <v>3701.5536350305647</v>
      </c>
      <c r="DI1227" s="65">
        <f ca="1">DI39</f>
        <v>3826.2909150494493</v>
      </c>
      <c r="DJ1227" s="65">
        <f ca="1">DJ39</f>
        <v>7527.8445500800126</v>
      </c>
      <c r="DL1227" s="65">
        <f ca="1">DL39</f>
        <v>3980.3177206167493</v>
      </c>
      <c r="DM1227" s="65">
        <f ca="1">DM39</f>
        <v>3994.2697629431987</v>
      </c>
      <c r="DN1227" s="65">
        <f ca="1">DN39</f>
        <v>7974.5874835599489</v>
      </c>
      <c r="DP1227" s="65">
        <f ca="1">DP39</f>
        <v>4160.966953009286</v>
      </c>
      <c r="DQ1227" s="65">
        <f ca="1">DQ39</f>
        <v>4318.1038988617502</v>
      </c>
      <c r="DR1227" s="65">
        <f ca="1">DR39</f>
        <v>8479.0708518710398</v>
      </c>
    </row>
    <row r="1228" spans="1:126" s="20" customFormat="1" ht="13.8">
      <c r="B1228" s="49"/>
      <c r="BH1228" s="49"/>
      <c r="BI1228" s="23"/>
      <c r="BJ1228" s="49"/>
      <c r="BK1228" s="49"/>
      <c r="BL1228" s="49"/>
      <c r="BM1228" s="23"/>
      <c r="BN1228" s="49"/>
      <c r="BO1228" s="49"/>
      <c r="BP1228" s="49"/>
      <c r="BQ1228" s="49"/>
      <c r="BR1228" s="49"/>
      <c r="BT1228" s="49"/>
      <c r="BU1228" s="49"/>
      <c r="BV1228" s="49"/>
      <c r="BX1228" s="49"/>
      <c r="BY1228" s="49"/>
      <c r="BZ1228" s="49"/>
      <c r="CB1228" s="49"/>
      <c r="CC1228" s="49"/>
      <c r="CD1228" s="49"/>
      <c r="CF1228" s="49"/>
      <c r="CG1228" s="49"/>
      <c r="CH1228" s="49"/>
      <c r="CJ1228" s="49"/>
      <c r="CK1228" s="49"/>
      <c r="CL1228" s="49"/>
      <c r="CN1228" s="49"/>
      <c r="CO1228" s="49"/>
      <c r="CP1228" s="49"/>
      <c r="CR1228" s="49"/>
      <c r="CS1228" s="49"/>
      <c r="CT1228" s="49"/>
      <c r="CV1228" s="49"/>
      <c r="CW1228" s="49"/>
      <c r="CX1228" s="49"/>
      <c r="CZ1228" s="49"/>
      <c r="DA1228" s="49"/>
      <c r="DB1228" s="49"/>
      <c r="DD1228" s="49"/>
      <c r="DE1228" s="49"/>
      <c r="DF1228" s="49"/>
      <c r="DH1228" s="49"/>
      <c r="DI1228" s="49"/>
      <c r="DJ1228" s="49"/>
      <c r="DL1228" s="49"/>
      <c r="DM1228" s="49"/>
      <c r="DN1228" s="49"/>
      <c r="DP1228" s="49"/>
      <c r="DQ1228" s="49"/>
      <c r="DR1228" s="49"/>
    </row>
    <row r="1229" spans="1:126" s="20" customFormat="1" ht="13.8">
      <c r="A1229" s="1202" t="s">
        <v>1118</v>
      </c>
      <c r="B1229" s="1203"/>
      <c r="C1229" s="1204"/>
      <c r="D1229" s="1202"/>
      <c r="E1229" s="1202"/>
      <c r="F1229" s="1202"/>
      <c r="G1229" s="1202"/>
      <c r="H1229" s="1202"/>
      <c r="I1229" s="1202"/>
      <c r="J1229" s="1202"/>
      <c r="K1229" s="1202"/>
      <c r="L1229" s="1202"/>
      <c r="M1229" s="1202"/>
      <c r="N1229" s="1202"/>
      <c r="O1229" s="1202"/>
      <c r="P1229" s="1202"/>
      <c r="Q1229" s="1202"/>
      <c r="R1229" s="1202"/>
      <c r="S1229" s="1202"/>
      <c r="T1229" s="1202"/>
      <c r="U1229" s="1202"/>
      <c r="V1229" s="1202"/>
      <c r="W1229" s="1202"/>
      <c r="X1229" s="1202"/>
      <c r="Y1229" s="1202"/>
      <c r="Z1229" s="1202"/>
      <c r="AA1229" s="1202"/>
      <c r="AB1229" s="1202"/>
      <c r="AC1229" s="1202"/>
      <c r="AD1229" s="1202"/>
      <c r="AE1229" s="1202"/>
      <c r="AF1229" s="1202"/>
      <c r="AG1229" s="1202"/>
      <c r="AH1229" s="1202"/>
      <c r="AI1229" s="1202"/>
      <c r="AJ1229" s="1202"/>
      <c r="AK1229" s="1202"/>
      <c r="AL1229" s="1202"/>
      <c r="AM1229" s="1202"/>
      <c r="AN1229" s="1202"/>
      <c r="AO1229" s="1202"/>
      <c r="AP1229" s="1202"/>
      <c r="AQ1229" s="1202"/>
      <c r="AR1229" s="1202"/>
      <c r="AS1229" s="1202"/>
      <c r="AT1229" s="1202"/>
      <c r="AU1229" s="1202"/>
      <c r="AV1229" s="1202"/>
      <c r="AW1229" s="1202"/>
      <c r="AX1229" s="1202"/>
      <c r="AY1229" s="1202"/>
      <c r="AZ1229" s="1202"/>
      <c r="BA1229" s="1202"/>
      <c r="BB1229" s="1202"/>
      <c r="BC1229" s="1202"/>
      <c r="BD1229" s="1202"/>
      <c r="BE1229" s="1202"/>
      <c r="BF1229" s="1202"/>
      <c r="BG1229" s="1202"/>
      <c r="BH1229" s="1201">
        <v>0.99209999999999998</v>
      </c>
      <c r="BI1229" s="1201">
        <v>0.99209999999999998</v>
      </c>
      <c r="BJ1229" s="1205">
        <f>BI1229</f>
        <v>0.99209999999999998</v>
      </c>
      <c r="BK1229" s="1203"/>
      <c r="BL1229" s="1201">
        <v>0.99209999999999998</v>
      </c>
      <c r="BM1229" s="1201">
        <v>0.99209999999999998</v>
      </c>
      <c r="BN1229" s="1205">
        <f>BM1229</f>
        <v>0.99209999999999998</v>
      </c>
      <c r="BO1229" s="1203"/>
      <c r="BP1229" s="1201">
        <v>0.99209999999999998</v>
      </c>
      <c r="BQ1229" s="1201">
        <v>0.99209999999999998</v>
      </c>
      <c r="BR1229" s="1205">
        <f>BQ1229</f>
        <v>0.99209999999999998</v>
      </c>
      <c r="BS1229" s="1202"/>
      <c r="BT1229" s="1201">
        <v>0.99209999999999998</v>
      </c>
      <c r="BU1229" s="1201">
        <v>0.99209999999999998</v>
      </c>
      <c r="BV1229" s="1205">
        <f>BU1229</f>
        <v>0.99209999999999998</v>
      </c>
      <c r="BW1229" s="1202"/>
      <c r="BX1229" s="1201">
        <v>0.99209999999999998</v>
      </c>
      <c r="BY1229" s="1201">
        <v>0.99209999999999998</v>
      </c>
      <c r="BZ1229" s="1205">
        <f>BY1229</f>
        <v>0.99209999999999998</v>
      </c>
      <c r="CA1229" s="1202"/>
      <c r="CB1229" s="1201">
        <v>0.99209999999999998</v>
      </c>
      <c r="CC1229" s="1201">
        <v>0.99209999999999998</v>
      </c>
      <c r="CD1229" s="1205">
        <f>CC1229</f>
        <v>0.99209999999999998</v>
      </c>
      <c r="CE1229" s="1202"/>
      <c r="CF1229" s="1201">
        <v>0.99209999999999998</v>
      </c>
      <c r="CG1229" s="1201">
        <v>0.99209999999999998</v>
      </c>
      <c r="CH1229" s="1205">
        <f>CG1229</f>
        <v>0.99209999999999998</v>
      </c>
      <c r="CI1229" s="1202"/>
      <c r="CJ1229" s="1201">
        <v>0.99209999999999998</v>
      </c>
      <c r="CK1229" s="1201">
        <v>0.99209999999999998</v>
      </c>
      <c r="CL1229" s="1205">
        <f>AVERAGE(CJ1229:CK1229)</f>
        <v>0.99209999999999998</v>
      </c>
      <c r="CM1229" s="1202"/>
      <c r="CN1229" s="1201">
        <v>0.99209999999999998</v>
      </c>
      <c r="CO1229" s="1201">
        <v>0.99209999999999998</v>
      </c>
      <c r="CP1229" s="1205">
        <f>AVERAGE(CN1229:CO1229)</f>
        <v>0.99209999999999998</v>
      </c>
      <c r="CQ1229" s="1202"/>
      <c r="CR1229" s="1201">
        <v>0.99209999999999998</v>
      </c>
      <c r="CS1229" s="1201">
        <v>1</v>
      </c>
      <c r="CT1229" s="1205">
        <f>CS1229</f>
        <v>1</v>
      </c>
      <c r="CU1229" s="1202"/>
      <c r="CV1229" s="1201">
        <v>1</v>
      </c>
      <c r="CW1229" s="1201">
        <v>1</v>
      </c>
      <c r="CX1229" s="1205">
        <f>CW1229</f>
        <v>1</v>
      </c>
      <c r="CY1229" s="1202"/>
      <c r="CZ1229" s="1201">
        <v>1</v>
      </c>
      <c r="DA1229" s="1201">
        <v>1</v>
      </c>
      <c r="DB1229" s="1205">
        <f>DA1229</f>
        <v>1</v>
      </c>
      <c r="DC1229" s="1202"/>
      <c r="DD1229" s="1201">
        <v>1</v>
      </c>
      <c r="DE1229" s="1201">
        <v>1</v>
      </c>
      <c r="DF1229" s="1205">
        <f>DE1229</f>
        <v>1</v>
      </c>
      <c r="DG1229" s="533"/>
      <c r="DH1229" s="1201">
        <v>1</v>
      </c>
      <c r="DI1229" s="1201">
        <v>1</v>
      </c>
      <c r="DJ1229" s="1205">
        <f>DI1229</f>
        <v>1</v>
      </c>
      <c r="DK1229" s="533"/>
      <c r="DL1229" s="1201">
        <v>1</v>
      </c>
      <c r="DM1229" s="1201">
        <v>1</v>
      </c>
      <c r="DN1229" s="1205">
        <f>DM1229</f>
        <v>1</v>
      </c>
      <c r="DO1229" s="533"/>
      <c r="DP1229" s="1201">
        <v>1</v>
      </c>
      <c r="DQ1229" s="1201">
        <v>1</v>
      </c>
      <c r="DR1229" s="1205">
        <f>DQ1229</f>
        <v>1</v>
      </c>
      <c r="DS1229" s="533"/>
      <c r="DT1229" s="533"/>
      <c r="DU1229" s="533"/>
      <c r="DV1229" s="533"/>
    </row>
    <row r="1230" spans="1:126" s="20" customFormat="1" ht="13.8">
      <c r="B1230" s="49"/>
      <c r="BH1230" s="49"/>
      <c r="BI1230" s="23"/>
      <c r="BJ1230" s="49"/>
      <c r="BK1230" s="49"/>
      <c r="BL1230" s="49"/>
      <c r="BM1230" s="23"/>
      <c r="BN1230" s="49"/>
      <c r="BO1230" s="49"/>
      <c r="BP1230" s="49"/>
      <c r="BQ1230" s="49"/>
      <c r="BR1230" s="49"/>
      <c r="BT1230" s="49"/>
      <c r="BU1230" s="49"/>
      <c r="BV1230" s="49"/>
      <c r="BX1230" s="49"/>
      <c r="BY1230" s="49"/>
      <c r="BZ1230" s="49"/>
      <c r="CB1230" s="49"/>
      <c r="CC1230" s="49"/>
      <c r="CD1230" s="49"/>
      <c r="CF1230" s="49"/>
      <c r="CG1230" s="49"/>
      <c r="CH1230" s="49"/>
      <c r="CJ1230" s="49"/>
      <c r="CK1230" s="49"/>
      <c r="CL1230" s="49"/>
      <c r="CN1230" s="49"/>
      <c r="CO1230" s="49"/>
      <c r="CP1230" s="49"/>
      <c r="CR1230" s="49"/>
      <c r="CS1230" s="49"/>
      <c r="CT1230" s="49"/>
      <c r="CV1230" s="49"/>
      <c r="CW1230" s="49"/>
      <c r="CX1230" s="49"/>
      <c r="CZ1230" s="49"/>
      <c r="DA1230" s="49"/>
      <c r="DB1230" s="49"/>
      <c r="DD1230" s="49"/>
      <c r="DE1230" s="49"/>
      <c r="DF1230" s="49"/>
      <c r="DH1230" s="49"/>
      <c r="DI1230" s="49"/>
      <c r="DJ1230" s="49"/>
      <c r="DL1230" s="49"/>
      <c r="DM1230" s="49"/>
      <c r="DN1230" s="49"/>
      <c r="DP1230" s="49"/>
      <c r="DQ1230" s="49"/>
      <c r="DR1230" s="49"/>
    </row>
    <row r="1231" spans="1:126" s="20" customFormat="1" ht="13.8">
      <c r="A1231" s="21" t="s">
        <v>1119</v>
      </c>
      <c r="B1231" s="49"/>
      <c r="BH1231" s="49"/>
      <c r="BI1231" s="23"/>
      <c r="BJ1231" s="49"/>
      <c r="BK1231" s="49"/>
      <c r="BL1231" s="49"/>
      <c r="BM1231" s="23"/>
      <c r="BN1231" s="49"/>
      <c r="BO1231" s="49"/>
      <c r="BP1231" s="49"/>
      <c r="BQ1231" s="49"/>
      <c r="BR1231" s="49"/>
      <c r="BT1231" s="49"/>
      <c r="BU1231" s="49"/>
      <c r="BV1231" s="49"/>
      <c r="BX1231" s="49"/>
      <c r="BY1231" s="49"/>
      <c r="BZ1231" s="49"/>
      <c r="CB1231" s="49"/>
      <c r="CC1231" s="49"/>
      <c r="CD1231" s="49"/>
      <c r="CF1231" s="49"/>
      <c r="CG1231" s="49"/>
      <c r="CH1231" s="49"/>
      <c r="CJ1231" s="49"/>
      <c r="CK1231" s="49"/>
      <c r="CL1231" s="49"/>
      <c r="CN1231" s="49"/>
      <c r="CO1231" s="49"/>
      <c r="CP1231" s="49"/>
      <c r="CR1231" s="49"/>
      <c r="CS1231" s="49"/>
      <c r="CT1231" s="49"/>
      <c r="CV1231" s="49"/>
      <c r="CW1231" s="49"/>
      <c r="CX1231" s="49"/>
      <c r="CZ1231" s="49"/>
      <c r="DA1231" s="49"/>
      <c r="DB1231" s="49"/>
      <c r="DD1231" s="49"/>
      <c r="DE1231" s="49"/>
      <c r="DF1231" s="49"/>
      <c r="DH1231" s="49"/>
      <c r="DI1231" s="49"/>
      <c r="DJ1231" s="49"/>
      <c r="DL1231" s="49"/>
      <c r="DM1231" s="49"/>
      <c r="DN1231" s="49"/>
      <c r="DP1231" s="49"/>
      <c r="DQ1231" s="49"/>
      <c r="DR1231" s="49"/>
    </row>
    <row r="1232" spans="1:126" s="20" customFormat="1" ht="13.8">
      <c r="A1232" s="20" t="str">
        <f>A1212</f>
        <v>Weighted Average Shares: Cash Basis</v>
      </c>
      <c r="B1232" s="49"/>
      <c r="BH1232" s="65">
        <f t="shared" ref="BH1232" si="1672">BH1212/BH1229</f>
        <v>2738.2320330611833</v>
      </c>
      <c r="BI1232" s="65">
        <f>BI1212/BI1229</f>
        <v>2749.2188287471022</v>
      </c>
      <c r="BJ1232" s="65">
        <f t="shared" ref="BJ1232" si="1673">BJ1212/BJ1229</f>
        <v>2743.7758290494908</v>
      </c>
      <c r="BK1232" s="49"/>
      <c r="BL1232" s="65">
        <f t="shared" ref="BL1232" si="1674">BL1212/BL1229</f>
        <v>2749.7228102005847</v>
      </c>
      <c r="BM1232" s="65">
        <f>BM1212/BM1229</f>
        <v>2758.49208749118</v>
      </c>
      <c r="BN1232" s="65">
        <f t="shared" ref="BN1232" si="1675">BN1212/BN1229</f>
        <v>2753.9562544098376</v>
      </c>
      <c r="BO1232" s="49"/>
      <c r="BP1232" s="65">
        <f t="shared" ref="BP1232" si="1676">BP1212/BP1229</f>
        <v>2771.897994153815</v>
      </c>
      <c r="BQ1232" s="65">
        <f>BQ1212/BQ1229</f>
        <v>2814.9380102812215</v>
      </c>
      <c r="BR1232" s="65">
        <f t="shared" ref="BR1232" si="1677">BR1212/BR1229</f>
        <v>2793.4684003628668</v>
      </c>
      <c r="BT1232" s="65">
        <f t="shared" ref="BT1232" si="1678">BT1212/BT1229</f>
        <v>2924.5035782683199</v>
      </c>
      <c r="BU1232" s="65">
        <f>BU1212/BU1229</f>
        <v>2934.7847999193627</v>
      </c>
      <c r="BV1232" s="65">
        <f t="shared" ref="BV1232" si="1679">BV1212/BV1229</f>
        <v>2929.3418002217518</v>
      </c>
      <c r="BX1232" s="65">
        <f t="shared" ref="BX1232" si="1680">BX1212/BX1229</f>
        <v>2946.9811510936397</v>
      </c>
      <c r="BY1232" s="65">
        <f>BY1212/BY1229</f>
        <v>2952.5249470819472</v>
      </c>
      <c r="BZ1232" s="65">
        <f t="shared" ref="BZ1232" si="1681">BZ1212/BZ1229</f>
        <v>2949.7026509424454</v>
      </c>
      <c r="CB1232" s="65">
        <f t="shared" ref="CB1232" si="1682">CB1212/CB1229</f>
        <v>2947.8883177099083</v>
      </c>
      <c r="CC1232" s="65">
        <f>CC1212/CC1229</f>
        <v>2905.1506904545913</v>
      </c>
      <c r="CD1232" s="65">
        <f t="shared" ref="CD1232" si="1683">CD1212/CD1229</f>
        <v>2926.4187077915535</v>
      </c>
      <c r="CF1232" s="65">
        <f t="shared" ref="CF1232" si="1684">CF1212/CF1229</f>
        <v>2879.6492289083762</v>
      </c>
      <c r="CG1232" s="65">
        <f>CG1212/CG1229</f>
        <v>2851.829452676142</v>
      </c>
      <c r="CH1232" s="65">
        <f t="shared" ref="CH1232" si="1685">CH1212/CH1229</f>
        <v>2865.7393407922586</v>
      </c>
      <c r="CJ1232" s="65">
        <f t="shared" ref="CJ1232:CL1232" si="1686">CJ1212/CJ1229</f>
        <v>2853.1398044551961</v>
      </c>
      <c r="CK1232" s="65">
        <f t="shared" si="1686"/>
        <v>2853.7445821993751</v>
      </c>
      <c r="CL1232" s="65">
        <f t="shared" si="1686"/>
        <v>2853.4421933272856</v>
      </c>
      <c r="CN1232" s="65">
        <f t="shared" ref="CN1232:CP1232" si="1687">CN1212/CN1229</f>
        <v>2861.3043040016128</v>
      </c>
      <c r="CO1232" s="65">
        <f t="shared" si="1687"/>
        <v>2861.0019151295232</v>
      </c>
      <c r="CP1232" s="65">
        <f t="shared" si="1687"/>
        <v>2861.2035077109163</v>
      </c>
      <c r="CR1232" s="65">
        <f t="shared" ref="CR1232:CT1232" si="1688">CR1212/CR1229</f>
        <v>2831.0654167926618</v>
      </c>
      <c r="CS1232" s="65">
        <f t="shared" si="1688"/>
        <v>2862.5</v>
      </c>
      <c r="CT1232" s="65">
        <f t="shared" si="1688"/>
        <v>2847.5</v>
      </c>
      <c r="CV1232" s="65">
        <f t="shared" ref="CV1232:CX1232" si="1689">CV1212/CV1229</f>
        <v>2994.1</v>
      </c>
      <c r="CW1232" s="65">
        <f t="shared" si="1689"/>
        <v>3000.2</v>
      </c>
      <c r="CX1232" s="65">
        <f t="shared" si="1689"/>
        <v>2997.2</v>
      </c>
      <c r="CZ1232" s="65">
        <f t="shared" ref="CZ1232:DB1232" si="1690">CZ1212/CZ1229</f>
        <v>3001.3</v>
      </c>
      <c r="DA1232" s="65">
        <f t="shared" si="1690"/>
        <v>2995.5</v>
      </c>
      <c r="DB1232" s="65">
        <f t="shared" si="1690"/>
        <v>2998.4</v>
      </c>
      <c r="DD1232" s="65">
        <f t="shared" ref="DD1232:DF1232" si="1691">DD1212/DD1229</f>
        <v>2971.9</v>
      </c>
      <c r="DE1232" s="65">
        <f t="shared" si="1691"/>
        <v>2973.3</v>
      </c>
      <c r="DF1232" s="65">
        <f t="shared" si="1691"/>
        <v>2972.6</v>
      </c>
      <c r="DH1232" s="65">
        <f t="shared" ref="DH1232:DJ1232" si="1692">DH1212/DH1229</f>
        <v>2989.6440991407985</v>
      </c>
      <c r="DI1232" s="65">
        <f t="shared" ca="1" si="1692"/>
        <v>3000.2733494012518</v>
      </c>
      <c r="DJ1232" s="65">
        <f t="shared" ca="1" si="1692"/>
        <v>2994.9587242710249</v>
      </c>
      <c r="DL1232" s="65">
        <f t="shared" ref="DL1232:DN1232" ca="1" si="1693">DL1212/DL1229</f>
        <v>3000.9663932645212</v>
      </c>
      <c r="DM1232" s="65">
        <f t="shared" ca="1" si="1693"/>
        <v>2995.6026350595603</v>
      </c>
      <c r="DN1232" s="65">
        <f t="shared" ca="1" si="1693"/>
        <v>2998.284514162041</v>
      </c>
      <c r="DP1232" s="65">
        <f t="shared" ref="DP1232:DR1232" ca="1" si="1694">DP1212/DP1229</f>
        <v>2984.8377056749073</v>
      </c>
      <c r="DQ1232" s="65">
        <f t="shared" ca="1" si="1694"/>
        <v>2974.2649090060054</v>
      </c>
      <c r="DR1232" s="65">
        <f t="shared" ca="1" si="1694"/>
        <v>2979.5513073404563</v>
      </c>
    </row>
    <row r="1233" spans="1:128" s="20" customFormat="1" ht="13.8">
      <c r="A1233" s="20" t="str">
        <f>A1214</f>
        <v>Weighted Average Shares for Diluted Cash EPS</v>
      </c>
      <c r="B1233" s="49"/>
      <c r="BH1233" s="65">
        <f t="shared" ref="BH1233" si="1695">BH1214/BH1229</f>
        <v>2927.5274669892151</v>
      </c>
      <c r="BI1233" s="65">
        <f>BI1214/BI1229</f>
        <v>2938.61505896583</v>
      </c>
      <c r="BJ1233" s="65">
        <f t="shared" ref="BJ1233" si="1696">BJ1214/BJ1229</f>
        <v>2927.8298558613042</v>
      </c>
      <c r="BK1233" s="49"/>
      <c r="BL1233" s="65">
        <f t="shared" ref="BL1233" si="1697">BL1214/BL1229</f>
        <v>2942.0421328495113</v>
      </c>
      <c r="BM1233" s="65">
        <f>BM1214/BM1229</f>
        <v>2968.6523535933875</v>
      </c>
      <c r="BN1233" s="65">
        <f t="shared" ref="BN1233" si="1698">BN1214/BN1229</f>
        <v>2957.7663541981656</v>
      </c>
      <c r="BO1233" s="49"/>
      <c r="BP1233" s="65">
        <f t="shared" ref="BP1233" si="1699">BP1214/BP1229</f>
        <v>2950.1058361052314</v>
      </c>
      <c r="BQ1233" s="65">
        <f>BQ1214/BQ1229</f>
        <v>3101.9050498941642</v>
      </c>
      <c r="BR1233" s="65">
        <f t="shared" ref="BR1233" si="1700">BR1214/BR1229</f>
        <v>3056.3451264993446</v>
      </c>
      <c r="BT1233" s="65">
        <f t="shared" ref="BT1233" si="1701">BT1214/BT1229</f>
        <v>3255.2162080435442</v>
      </c>
      <c r="BU1233" s="65">
        <f>BU1214/BU1229</f>
        <v>3218.0223767765347</v>
      </c>
      <c r="BV1233" s="65">
        <f t="shared" ref="BV1233" si="1702">BV1214/BV1229</f>
        <v>3212.3777844975307</v>
      </c>
      <c r="BX1233" s="65">
        <f t="shared" ref="BX1233" si="1703">BX1214/BX1229</f>
        <v>3206.1284144743477</v>
      </c>
      <c r="BY1233" s="65">
        <f>BY1214/BY1229</f>
        <v>3209.0515069045459</v>
      </c>
      <c r="BZ1233" s="65">
        <f t="shared" ref="BZ1233" si="1704">BZ1214/BZ1229</f>
        <v>3217.1152101602661</v>
      </c>
      <c r="CB1233" s="65">
        <f t="shared" ref="CB1233" si="1705">CB1214/CB1229</f>
        <v>3229.8155427880256</v>
      </c>
      <c r="CC1233" s="65">
        <f>CC1214/CC1229</f>
        <v>3157.2422134865437</v>
      </c>
      <c r="CD1233" s="65">
        <f t="shared" ref="CD1233" si="1706">CD1214/CD1229</f>
        <v>3188.8922487652453</v>
      </c>
      <c r="CF1233" s="65">
        <f t="shared" ref="CF1233" si="1707">CF1214/CF1229</f>
        <v>3150.6904545912712</v>
      </c>
      <c r="CG1233" s="65">
        <f>CG1214/CG1229</f>
        <v>3099.9899203709306</v>
      </c>
      <c r="CH1233" s="65">
        <f t="shared" ref="CH1233" si="1708">CH1214/CH1229</f>
        <v>3114.4037899405303</v>
      </c>
      <c r="CJ1233" s="65">
        <f t="shared" ref="CJ1233:CL1233" si="1709">CJ1214/CJ1229</f>
        <v>3264.3886704969259</v>
      </c>
      <c r="CK1233" s="65">
        <f t="shared" si="1709"/>
        <v>3226.1868763229513</v>
      </c>
      <c r="CL1233" s="65">
        <f t="shared" si="1709"/>
        <v>3226.5900614857374</v>
      </c>
      <c r="CN1233" s="65">
        <f t="shared" ref="CN1233:CP1233" si="1710">CN1214/CN1229</f>
        <v>3108.9607902429193</v>
      </c>
      <c r="CO1233" s="65">
        <f t="shared" si="1710"/>
        <v>3130.228807579881</v>
      </c>
      <c r="CP1233" s="65">
        <f t="shared" si="1710"/>
        <v>3123.4754561032155</v>
      </c>
      <c r="CR1233" s="65">
        <f t="shared" ref="CR1233:CT1233" si="1711">CR1214/CR1229</f>
        <v>3101.7034573127708</v>
      </c>
      <c r="CS1233" s="65">
        <f t="shared" si="1711"/>
        <v>3145.5</v>
      </c>
      <c r="CT1233" s="65">
        <f t="shared" si="1711"/>
        <v>3138.1</v>
      </c>
      <c r="CV1233" s="65">
        <f t="shared" ref="CV1233:CX1233" si="1712">CV1214/CV1229</f>
        <v>3278.3</v>
      </c>
      <c r="CW1233" s="65">
        <f t="shared" si="1712"/>
        <v>3281.6</v>
      </c>
      <c r="CX1233" s="65">
        <f t="shared" si="1712"/>
        <v>3270.5</v>
      </c>
      <c r="CZ1233" s="65">
        <f t="shared" ref="CZ1233:DB1233" si="1713">CZ1214/CZ1229</f>
        <v>3249.4</v>
      </c>
      <c r="DA1233" s="65">
        <f t="shared" si="1713"/>
        <v>3230.2</v>
      </c>
      <c r="DB1233" s="65">
        <f t="shared" si="1713"/>
        <v>3234</v>
      </c>
      <c r="DD1233" s="65">
        <f t="shared" ref="DD1233:DF1233" si="1714">DD1214/DD1229</f>
        <v>3217.7</v>
      </c>
      <c r="DE1233" s="65">
        <f t="shared" si="1714"/>
        <v>2981.7</v>
      </c>
      <c r="DF1233" s="65">
        <f t="shared" si="1714"/>
        <v>3179.9</v>
      </c>
      <c r="DH1233" s="65">
        <f t="shared" ref="DH1233:DJ1233" si="1715">DH1214/DH1229</f>
        <v>2998.0440991407982</v>
      </c>
      <c r="DI1233" s="65">
        <f t="shared" ca="1" si="1715"/>
        <v>3008.6733494012515</v>
      </c>
      <c r="DJ1233" s="65">
        <f t="shared" ca="1" si="1715"/>
        <v>3003.3587242710246</v>
      </c>
      <c r="DL1233" s="65">
        <f t="shared" ref="DL1233:DN1233" ca="1" si="1716">DL1214/DL1229</f>
        <v>3009.3663932645209</v>
      </c>
      <c r="DM1233" s="65">
        <f t="shared" ca="1" si="1716"/>
        <v>3004.0026350595599</v>
      </c>
      <c r="DN1233" s="65">
        <f t="shared" ca="1" si="1716"/>
        <v>3006.6845141620406</v>
      </c>
      <c r="DP1233" s="65">
        <f t="shared" ref="DP1233:DR1233" ca="1" si="1717">DP1214/DP1229</f>
        <v>2993.2377056749069</v>
      </c>
      <c r="DQ1233" s="65">
        <f t="shared" ca="1" si="1717"/>
        <v>2982.664909006005</v>
      </c>
      <c r="DR1233" s="65">
        <f t="shared" ca="1" si="1717"/>
        <v>2987.951307340456</v>
      </c>
    </row>
    <row r="1234" spans="1:128" s="20" customFormat="1" ht="13.8">
      <c r="A1234" s="20" t="str">
        <f>A1220</f>
        <v>Weighted Average Shares: Reported Basis</v>
      </c>
      <c r="B1234" s="49"/>
      <c r="BH1234" s="65">
        <f t="shared" ref="BH1234" si="1718">BH1220/BH1229</f>
        <v>2725.6324967241203</v>
      </c>
      <c r="BI1234" s="65">
        <f>BI1220/BI1229</f>
        <v>2736.4176998286466</v>
      </c>
      <c r="BJ1234" s="65">
        <f t="shared" ref="BJ1234" si="1719">BJ1220/BJ1229</f>
        <v>2730.9747001310352</v>
      </c>
      <c r="BK1234" s="49"/>
      <c r="BL1234" s="65">
        <f t="shared" ref="BL1234" si="1720">BL1220/BL1229</f>
        <v>2736.8208849914322</v>
      </c>
      <c r="BM1234" s="65">
        <f>BM1220/BM1229</f>
        <v>2745.8925511541174</v>
      </c>
      <c r="BN1234" s="65">
        <f t="shared" ref="BN1234" si="1721">BN1220/BN1229</f>
        <v>2741.3567180727746</v>
      </c>
      <c r="BO1234" s="49"/>
      <c r="BP1234" s="65">
        <f t="shared" ref="BP1234" si="1722">BP1220/BP1229</f>
        <v>2759.0968652353595</v>
      </c>
      <c r="BQ1234" s="65">
        <f>BQ1220/BQ1229</f>
        <v>2802.741659106945</v>
      </c>
      <c r="BR1234" s="65">
        <f t="shared" ref="BR1234" si="1723">BR1220/BR1229</f>
        <v>2780.9696603165003</v>
      </c>
      <c r="BT1234" s="65">
        <f t="shared" ref="BT1234" si="1724">BT1220/BT1229</f>
        <v>2912.3072270940434</v>
      </c>
      <c r="BU1234" s="65">
        <f>BU1220/BU1229</f>
        <v>2917.7502267916539</v>
      </c>
      <c r="BV1234" s="65">
        <f t="shared" ref="BV1234" si="1725">BV1220/BV1229</f>
        <v>2914.7263380707591</v>
      </c>
      <c r="BX1234" s="65">
        <f t="shared" ref="BX1234" si="1726">BX1220/BX1229</f>
        <v>2929.7449853845378</v>
      </c>
      <c r="BY1234" s="65">
        <f>BY1220/BY1229</f>
        <v>2937.2039108960789</v>
      </c>
      <c r="BZ1234" s="65">
        <f t="shared" ref="BZ1234" si="1727">BZ1220/BZ1229</f>
        <v>2933.4744481403086</v>
      </c>
      <c r="CB1234" s="65">
        <f t="shared" ref="CB1234" si="1728">CB1220/CB1229</f>
        <v>2932.768874105433</v>
      </c>
      <c r="CC1234" s="65">
        <f>CC1220/CC1229</f>
        <v>2889.9304505594196</v>
      </c>
      <c r="CD1234" s="65">
        <f t="shared" ref="CD1234" si="1729">CD1220/CD1229</f>
        <v>2911.2992641870783</v>
      </c>
      <c r="CF1234" s="65">
        <f t="shared" ref="CF1234" si="1730">CF1220/CF1229</f>
        <v>2863.925007559722</v>
      </c>
      <c r="CG1234" s="65">
        <f>CG1220/CG1229</f>
        <v>2850.9222860598729</v>
      </c>
      <c r="CH1234" s="65">
        <f t="shared" ref="CH1234" si="1731">CH1220/CH1229</f>
        <v>2857.4740449551459</v>
      </c>
      <c r="CJ1234" s="65">
        <f t="shared" ref="CJ1234:CL1234" si="1732">CJ1220/CJ1229</f>
        <v>2853.1398044551961</v>
      </c>
      <c r="CK1234" s="65">
        <f t="shared" si="1732"/>
        <v>2853.7445821993751</v>
      </c>
      <c r="CL1234" s="65">
        <f t="shared" si="1732"/>
        <v>2853.4421933272856</v>
      </c>
      <c r="CN1234" s="65">
        <f t="shared" ref="CN1234:CP1234" si="1733">CN1220/CN1229</f>
        <v>2861.3043040016128</v>
      </c>
      <c r="CO1234" s="65">
        <f t="shared" si="1733"/>
        <v>2861.0019151295232</v>
      </c>
      <c r="CP1234" s="65">
        <f t="shared" si="1733"/>
        <v>2861.2035077109163</v>
      </c>
      <c r="CR1234" s="65">
        <f t="shared" ref="CR1234:CT1234" si="1734">CR1220/CR1229</f>
        <v>2831.0654167926618</v>
      </c>
      <c r="CS1234" s="65">
        <f t="shared" si="1734"/>
        <v>2862.5</v>
      </c>
      <c r="CT1234" s="65">
        <f t="shared" si="1734"/>
        <v>2847.5</v>
      </c>
      <c r="CV1234" s="65">
        <f t="shared" ref="CV1234:CX1234" si="1735">CV1220/CV1229</f>
        <v>2994.1</v>
      </c>
      <c r="CW1234" s="65">
        <f t="shared" si="1735"/>
        <v>3000.2</v>
      </c>
      <c r="CX1234" s="65">
        <f t="shared" si="1735"/>
        <v>2997.2</v>
      </c>
      <c r="CZ1234" s="65">
        <f t="shared" ref="CZ1234:DB1234" si="1736">CZ1220/CZ1229</f>
        <v>3001.3</v>
      </c>
      <c r="DA1234" s="65">
        <f t="shared" si="1736"/>
        <v>2995.5</v>
      </c>
      <c r="DB1234" s="65">
        <f t="shared" si="1736"/>
        <v>2998.4</v>
      </c>
      <c r="DD1234" s="65">
        <f t="shared" ref="DD1234:DF1234" si="1737">DD1220/DD1229</f>
        <v>2971.9</v>
      </c>
      <c r="DE1234" s="65">
        <f t="shared" si="1737"/>
        <v>2973.3</v>
      </c>
      <c r="DF1234" s="65">
        <f t="shared" si="1737"/>
        <v>2972.6</v>
      </c>
      <c r="DH1234" s="65">
        <f t="shared" ref="DH1234:DJ1234" si="1738">DH1220/DH1229</f>
        <v>2989.6440991407985</v>
      </c>
      <c r="DI1234" s="65">
        <f t="shared" ca="1" si="1738"/>
        <v>3000.2733494012518</v>
      </c>
      <c r="DJ1234" s="65">
        <f t="shared" ca="1" si="1738"/>
        <v>2994.9587242710249</v>
      </c>
      <c r="DL1234" s="65">
        <f t="shared" ref="DL1234:DN1234" ca="1" si="1739">DL1220/DL1229</f>
        <v>3000.9663932645212</v>
      </c>
      <c r="DM1234" s="65">
        <f t="shared" ca="1" si="1739"/>
        <v>2995.6026350595603</v>
      </c>
      <c r="DN1234" s="65">
        <f t="shared" ca="1" si="1739"/>
        <v>2998.284514162041</v>
      </c>
      <c r="DP1234" s="65">
        <f t="shared" ref="DP1234:DR1234" ca="1" si="1740">DP1220/DP1229</f>
        <v>2984.8377056749073</v>
      </c>
      <c r="DQ1234" s="65">
        <f t="shared" ca="1" si="1740"/>
        <v>2974.2649090060054</v>
      </c>
      <c r="DR1234" s="65">
        <f t="shared" ca="1" si="1740"/>
        <v>2979.5513073404563</v>
      </c>
    </row>
    <row r="1235" spans="1:128" s="20" customFormat="1" ht="13.8">
      <c r="B1235" s="49"/>
      <c r="BH1235" s="49"/>
      <c r="BI1235" s="23"/>
      <c r="BJ1235" s="49"/>
      <c r="BK1235" s="49"/>
      <c r="BL1235" s="49"/>
      <c r="BM1235" s="23"/>
      <c r="BN1235" s="49"/>
      <c r="BO1235" s="49"/>
      <c r="BP1235" s="49"/>
      <c r="BQ1235" s="49"/>
      <c r="BR1235" s="49"/>
      <c r="BT1235" s="49"/>
      <c r="BU1235" s="49"/>
      <c r="BV1235" s="49"/>
      <c r="BX1235" s="49"/>
      <c r="BY1235" s="49"/>
      <c r="BZ1235" s="49"/>
      <c r="CB1235" s="49"/>
      <c r="CC1235" s="49"/>
      <c r="CD1235" s="49"/>
      <c r="CF1235" s="49"/>
      <c r="CG1235" s="65"/>
      <c r="CH1235" s="49"/>
      <c r="CJ1235" s="49"/>
      <c r="CK1235" s="49"/>
      <c r="CL1235" s="49"/>
      <c r="CN1235" s="49"/>
      <c r="CO1235" s="49"/>
      <c r="CP1235" s="49"/>
      <c r="CR1235" s="49"/>
      <c r="CS1235" s="49"/>
      <c r="CT1235" s="49"/>
      <c r="CV1235" s="49"/>
      <c r="CW1235" s="49"/>
      <c r="CX1235" s="49"/>
      <c r="CZ1235" s="49"/>
      <c r="DA1235" s="49"/>
      <c r="DB1235" s="49"/>
      <c r="DD1235" s="49"/>
      <c r="DE1235" s="49"/>
      <c r="DF1235" s="49"/>
      <c r="DH1235" s="49"/>
      <c r="DI1235" s="49"/>
      <c r="DJ1235" s="49"/>
      <c r="DL1235" s="49"/>
      <c r="DM1235" s="49"/>
      <c r="DN1235" s="49"/>
      <c r="DP1235" s="49"/>
      <c r="DQ1235" s="49"/>
      <c r="DR1235" s="49"/>
    </row>
    <row r="1236" spans="1:128" s="20" customFormat="1" ht="13.8">
      <c r="B1236" s="49"/>
      <c r="BH1236" s="49"/>
      <c r="BI1236" s="23"/>
      <c r="BJ1236" s="49"/>
      <c r="BK1236" s="49"/>
      <c r="BL1236" s="49"/>
      <c r="BM1236" s="23"/>
      <c r="BN1236" s="49"/>
      <c r="BO1236" s="49"/>
      <c r="BP1236" s="49"/>
      <c r="BQ1236" s="49"/>
      <c r="BR1236" s="49"/>
      <c r="BT1236" s="49"/>
      <c r="BU1236" s="49"/>
      <c r="BV1236" s="49"/>
      <c r="BX1236" s="49"/>
      <c r="BY1236" s="49"/>
      <c r="BZ1236" s="49"/>
      <c r="CB1236" s="49"/>
      <c r="CC1236" s="49"/>
      <c r="CD1236" s="49"/>
      <c r="CF1236" s="49"/>
      <c r="CG1236" s="49"/>
      <c r="CH1236" s="49"/>
      <c r="CJ1236" s="49"/>
      <c r="CK1236" s="49"/>
      <c r="CL1236" s="49"/>
      <c r="CN1236" s="49"/>
      <c r="CO1236" s="49"/>
      <c r="CP1236" s="49"/>
      <c r="CR1236" s="49"/>
      <c r="CS1236" s="49"/>
      <c r="CT1236" s="49"/>
      <c r="CV1236" s="49"/>
      <c r="CW1236" s="49"/>
      <c r="CX1236" s="49"/>
      <c r="CZ1236" s="49"/>
      <c r="DA1236" s="49"/>
      <c r="DB1236" s="49"/>
      <c r="DD1236" s="49"/>
      <c r="DE1236" s="49"/>
      <c r="DF1236" s="49"/>
      <c r="DH1236" s="49"/>
      <c r="DI1236" s="49"/>
      <c r="DJ1236" s="49"/>
      <c r="DL1236" s="49"/>
      <c r="DM1236" s="49"/>
      <c r="DN1236" s="49"/>
      <c r="DP1236" s="49"/>
      <c r="DQ1236" s="49"/>
      <c r="DR1236" s="49"/>
    </row>
    <row r="1237" spans="1:128" s="20" customFormat="1" ht="13.8">
      <c r="B1237" s="49"/>
      <c r="BH1237" s="49"/>
      <c r="BI1237" s="23"/>
      <c r="BJ1237" s="49"/>
      <c r="BK1237" s="49"/>
      <c r="BL1237" s="49"/>
      <c r="BM1237" s="23"/>
      <c r="BN1237" s="49"/>
      <c r="BO1237" s="49"/>
      <c r="BP1237" s="49"/>
      <c r="BQ1237" s="49"/>
      <c r="BR1237" s="49"/>
      <c r="BT1237" s="49"/>
      <c r="BU1237" s="49"/>
      <c r="BV1237" s="49"/>
      <c r="BX1237" s="49"/>
      <c r="BY1237" s="49"/>
      <c r="BZ1237" s="49"/>
      <c r="CB1237" s="49"/>
      <c r="CC1237" s="49"/>
      <c r="CD1237" s="49"/>
      <c r="CF1237" s="49"/>
      <c r="CG1237" s="49"/>
      <c r="CH1237" s="49"/>
      <c r="CJ1237" s="49"/>
      <c r="CK1237" s="49"/>
      <c r="CL1237" s="49"/>
      <c r="CN1237" s="49"/>
      <c r="CO1237" s="49"/>
      <c r="CP1237" s="49"/>
      <c r="CR1237" s="49"/>
      <c r="CS1237" s="49"/>
      <c r="CT1237" s="49"/>
      <c r="CV1237" s="49"/>
      <c r="CW1237" s="49"/>
      <c r="CX1237" s="49"/>
      <c r="CZ1237" s="49"/>
      <c r="DA1237" s="49"/>
      <c r="DB1237" s="49"/>
      <c r="DD1237" s="49"/>
      <c r="DE1237" s="49"/>
      <c r="DF1237" s="49"/>
      <c r="DH1237" s="49"/>
      <c r="DI1237" s="49"/>
      <c r="DJ1237" s="49"/>
      <c r="DL1237" s="49"/>
      <c r="DM1237" s="49"/>
      <c r="DN1237" s="49"/>
      <c r="DP1237" s="49"/>
      <c r="DQ1237" s="49"/>
      <c r="DR1237" s="49"/>
    </row>
    <row r="1238" spans="1:128" s="21" customFormat="1" ht="13.8">
      <c r="A1238" s="21" t="s">
        <v>896</v>
      </c>
      <c r="B1238" s="27"/>
      <c r="BD1238" s="374"/>
      <c r="BE1238" s="374"/>
      <c r="BF1238" s="374"/>
      <c r="BH1238" s="99">
        <f t="shared" ref="BH1238" si="1741">+BH1216/BH1232*100</f>
        <v>115.98724876684091</v>
      </c>
      <c r="BI1238" s="99">
        <f>+BI1216/BI1232*100</f>
        <v>120.39783684692942</v>
      </c>
      <c r="BJ1238" s="99">
        <f t="shared" ref="BJ1238" si="1742">+BJ1216/BJ1232*100</f>
        <v>236.38957422578159</v>
      </c>
      <c r="BK1238" s="79"/>
      <c r="BL1238" s="99">
        <f t="shared" ref="BL1238" si="1743">+BL1216/BL1232*100</f>
        <v>127.72196480938416</v>
      </c>
      <c r="BM1238" s="99">
        <f>+BM1216/BM1232*100</f>
        <v>130.46983227975301</v>
      </c>
      <c r="BN1238" s="99">
        <f t="shared" ref="BN1238" si="1744">+BN1216/BN1232*100</f>
        <v>258.21034697313519</v>
      </c>
      <c r="BO1238" s="79"/>
      <c r="BP1238" s="99">
        <f t="shared" ref="BP1238" si="1745">+BP1216/BP1232*100</f>
        <v>132.58063636363636</v>
      </c>
      <c r="BQ1238" s="99">
        <f>+BQ1216/BQ1232*100</f>
        <v>125.7576538833387</v>
      </c>
      <c r="BR1238" s="99">
        <f t="shared" ref="BR1238" si="1746">+BR1216/BR1232*100</f>
        <v>258.28106733059104</v>
      </c>
      <c r="BS1238" s="79">
        <f>+BR1238/BN1238-1</f>
        <v>2.7388661331695374E-4</v>
      </c>
      <c r="BT1238" s="99">
        <f t="shared" ref="BT1238" si="1747">+BT1216/BT1232*100</f>
        <v>95.127255807541175</v>
      </c>
      <c r="BU1238" s="99">
        <f>+BU1216/BU1232*100</f>
        <v>105.86806910289877</v>
      </c>
      <c r="BV1238" s="99">
        <f t="shared" ref="BV1238" si="1748">+BV1216/BV1232*100</f>
        <v>201.03492189112933</v>
      </c>
      <c r="BW1238" s="79">
        <f>+BV1238/BR1238-1</f>
        <v>-0.22164282512503553</v>
      </c>
      <c r="BX1238" s="99">
        <f t="shared" ref="BX1238" si="1749">+BX1216/BX1232*100</f>
        <v>113.84531586688101</v>
      </c>
      <c r="BY1238" s="99">
        <f>+BY1216/BY1232*100</f>
        <v>116.98461696026219</v>
      </c>
      <c r="BZ1238" s="99">
        <f t="shared" ref="BZ1238" si="1750">+BZ1216/BZ1232*100</f>
        <v>230.83682681793329</v>
      </c>
      <c r="CA1238" s="79">
        <f>+BZ1238/BV1238-1</f>
        <v>0.14824242796454645</v>
      </c>
      <c r="CB1238" s="99">
        <f t="shared" ref="CB1238" si="1751">+CB1216/CB1232*100</f>
        <v>118.49159885112495</v>
      </c>
      <c r="CC1238" s="99">
        <f>+CC1216/CC1232*100</f>
        <v>103.05833738116716</v>
      </c>
      <c r="CD1238" s="99">
        <f t="shared" ref="CD1238" si="1752">+CD1216/CD1232*100</f>
        <v>221.67026142665242</v>
      </c>
      <c r="CE1238" s="79">
        <f>+CD1238/BZ1238-1</f>
        <v>-3.9710151615065969E-2</v>
      </c>
      <c r="CF1238" s="99">
        <f t="shared" ref="CF1238:CJ1238" si="1753">+CF1216/CF1232*100</f>
        <v>123.76507403129267</v>
      </c>
      <c r="CG1238" s="99">
        <f>+CG1216/CG1232*100</f>
        <v>101.89950164351605</v>
      </c>
      <c r="CH1238" s="99">
        <f t="shared" ref="CH1238" si="1754">+CH1216/CH1232*100</f>
        <v>225.7707080299673</v>
      </c>
      <c r="CI1238" s="79">
        <f>+CH1238/CD1238-1</f>
        <v>1.8497955372654529E-2</v>
      </c>
      <c r="CJ1238" s="99">
        <f t="shared" si="1753"/>
        <v>49.524387055747901</v>
      </c>
      <c r="CK1238" s="99">
        <f>+CK1216/CK1232*100</f>
        <v>82.172735942356596</v>
      </c>
      <c r="CL1238" s="99">
        <f t="shared" ref="CL1238" si="1755">+CL1216/CL1232*100</f>
        <v>131.70058285350947</v>
      </c>
      <c r="CM1238" s="79">
        <f>+CL1238/CH1238-1</f>
        <v>-0.41666222335614755</v>
      </c>
      <c r="CN1238" s="99">
        <f t="shared" ref="CN1238" si="1756">+CN1216/CN1232*100</f>
        <v>104.49779828794871</v>
      </c>
      <c r="CO1238" s="99">
        <f>+CO1216/CO1232*100</f>
        <v>112.12855129650508</v>
      </c>
      <c r="CP1238" s="99">
        <f t="shared" ref="CP1238" si="1757">+CP1216/CP1232*100</f>
        <v>216.62213062777425</v>
      </c>
      <c r="CQ1238" s="79">
        <f>+CP1238/CL1238-1</f>
        <v>0.6448076837193879</v>
      </c>
      <c r="CR1238" s="99">
        <f t="shared" ref="CR1238" si="1758">+CR1216/CR1232*100</f>
        <v>109.95860362445259</v>
      </c>
      <c r="CS1238" s="99">
        <f>+CS1216/CS1232*100</f>
        <v>118.8471615720524</v>
      </c>
      <c r="CT1238" s="99">
        <f>+CT1216/CT1232*100</f>
        <v>228.79719051799822</v>
      </c>
      <c r="CU1238" s="79">
        <f>+CT1238/CP1238-1</f>
        <v>5.6204136922393122E-2</v>
      </c>
      <c r="CV1238" s="99">
        <f t="shared" ref="CV1238" si="1759">+CV1216/CV1232*100</f>
        <v>127.88484018569855</v>
      </c>
      <c r="CW1238" s="99">
        <f>+CW1216/CW1232*100</f>
        <v>119.45870275314981</v>
      </c>
      <c r="CX1238" s="99">
        <f>+CX1216/CX1232*100</f>
        <v>247.33084211931134</v>
      </c>
      <c r="CY1238" s="79">
        <f>+CX1238/CT1238-1</f>
        <v>8.1004716707197444E-2</v>
      </c>
      <c r="CZ1238" s="99">
        <f t="shared" ref="CZ1238" si="1760">+CZ1216/CZ1232*100</f>
        <v>118.34871555659214</v>
      </c>
      <c r="DA1238" s="99">
        <f>+DA1216/DA1232*100</f>
        <v>105.9255549991654</v>
      </c>
      <c r="DB1238" s="99">
        <f>+DB1216/DB1232*100</f>
        <v>224.28628601921025</v>
      </c>
      <c r="DC1238" s="79">
        <f>+DB1238/CX1238-1</f>
        <v>-9.3172998169732901E-2</v>
      </c>
      <c r="DD1238" s="99">
        <f t="shared" ref="DD1238" si="1761">+DD1216/DD1232*100</f>
        <v>120.05787543322452</v>
      </c>
      <c r="DE1238" s="99">
        <f>+DE1216/DE1232*100</f>
        <v>74.630881512124574</v>
      </c>
      <c r="DF1238" s="99">
        <f>+DF1216/DF1232*100</f>
        <v>194.67805961111486</v>
      </c>
      <c r="DG1238" s="79">
        <f>+DF1238/DB1238-1</f>
        <v>-0.13201086403276319</v>
      </c>
      <c r="DH1238" s="99">
        <f t="shared" ref="DH1238" ca="1" si="1762">+DH1216/DH1232*100</f>
        <v>123.81251788781024</v>
      </c>
      <c r="DI1238" s="99">
        <f ca="1">+DI1216/DI1232*100</f>
        <v>127.53141029010044</v>
      </c>
      <c r="DJ1238" s="99">
        <f t="shared" ref="DJ1238" ca="1" si="1763">+DJ1216/DJ1232*100</f>
        <v>251.350527440484</v>
      </c>
      <c r="DK1238" s="79">
        <f ca="1">+DJ1238/DF1238-1</f>
        <v>0.29110865365402239</v>
      </c>
      <c r="DL1238" s="99">
        <f t="shared" ref="DL1238" ca="1" si="1764">+DL1216/DL1232*100</f>
        <v>132.63453164788251</v>
      </c>
      <c r="DM1238" s="99">
        <f ca="1">+DM1216/DM1232*100</f>
        <v>133.33777037700403</v>
      </c>
      <c r="DN1238" s="99">
        <f t="shared" ref="DN1238" ca="1" si="1765">+DN1216/DN1232*100</f>
        <v>265.97167299810718</v>
      </c>
      <c r="DO1238" s="79">
        <f ca="1">+DN1238/DJ1238-1</f>
        <v>5.8170339670702509E-2</v>
      </c>
      <c r="DP1238" s="99">
        <f t="shared" ref="DP1238" ca="1" si="1766">+DP1216/DP1232*100</f>
        <v>139.40345718289035</v>
      </c>
      <c r="DQ1238" s="99">
        <f ca="1">+DQ1216/DQ1232*100</f>
        <v>145.1822225312423</v>
      </c>
      <c r="DR1238" s="99">
        <f t="shared" ref="DR1238" ca="1" si="1767">+DR1216/DR1232*100</f>
        <v>284.57542687658724</v>
      </c>
      <c r="DS1238" s="79">
        <f ca="1">+DR1238/DN1238-1</f>
        <v>6.9946373118510374E-2</v>
      </c>
      <c r="DT1238" s="79"/>
      <c r="DU1238" s="79"/>
      <c r="DV1238" s="79"/>
    </row>
    <row r="1239" spans="1:128" s="20" customFormat="1" ht="13.8">
      <c r="A1239" s="47" t="s">
        <v>293</v>
      </c>
      <c r="B1239" s="92" t="s">
        <v>1069</v>
      </c>
      <c r="BD1239" s="408"/>
      <c r="BE1239" s="408"/>
      <c r="BF1239" s="408"/>
      <c r="BG1239" s="408"/>
      <c r="BH1239" s="423">
        <v>116.9</v>
      </c>
      <c r="BI1239" s="105">
        <v>121.4</v>
      </c>
      <c r="BJ1239" s="105"/>
      <c r="BK1239" s="409"/>
      <c r="BL1239" s="423">
        <v>128.69999999999999</v>
      </c>
      <c r="BM1239" s="105">
        <v>131.5</v>
      </c>
      <c r="BN1239" s="105">
        <v>260.3</v>
      </c>
      <c r="BO1239" s="409"/>
      <c r="BP1239" s="423">
        <v>133.6</v>
      </c>
      <c r="BQ1239" s="423">
        <v>126.8</v>
      </c>
      <c r="BR1239" s="423">
        <v>260.3</v>
      </c>
      <c r="BT1239" s="423">
        <v>95.9</v>
      </c>
      <c r="BU1239" s="423">
        <v>106.7</v>
      </c>
      <c r="BV1239" s="423">
        <v>202.6</v>
      </c>
      <c r="BX1239" s="423">
        <v>114.8</v>
      </c>
      <c r="BY1239" s="423">
        <v>117.9</v>
      </c>
      <c r="BZ1239" s="423"/>
      <c r="CB1239" s="423">
        <v>119.4</v>
      </c>
      <c r="CC1239" s="423">
        <v>103.9</v>
      </c>
      <c r="CD1239" s="423"/>
      <c r="CF1239" s="423">
        <v>124.8</v>
      </c>
      <c r="CG1239" s="423">
        <v>102.7</v>
      </c>
      <c r="CH1239" s="423"/>
      <c r="CJ1239" s="423">
        <v>49.9</v>
      </c>
      <c r="CK1239" s="423">
        <v>82.8</v>
      </c>
      <c r="CL1239" s="423"/>
      <c r="CN1239" s="423">
        <v>105.3</v>
      </c>
      <c r="CO1239" s="423">
        <v>113</v>
      </c>
      <c r="CP1239" s="423">
        <v>218.3</v>
      </c>
      <c r="CR1239" s="423">
        <v>109.9</v>
      </c>
      <c r="CS1239" s="957">
        <v>118.8</v>
      </c>
      <c r="CT1239" s="423">
        <v>228.8</v>
      </c>
      <c r="CV1239" s="423">
        <v>127.9</v>
      </c>
      <c r="CW1239" s="957">
        <v>119.5</v>
      </c>
      <c r="CX1239" s="423">
        <v>247.3</v>
      </c>
      <c r="CZ1239" s="423">
        <v>118.3</v>
      </c>
      <c r="DA1239" s="957">
        <v>105.9</v>
      </c>
      <c r="DB1239" s="423">
        <v>224.3</v>
      </c>
      <c r="DD1239" s="423">
        <v>120.1</v>
      </c>
      <c r="DE1239" s="957">
        <v>74.599999999999994</v>
      </c>
      <c r="DF1239" s="423">
        <v>194.7</v>
      </c>
      <c r="DH1239" s="409"/>
      <c r="DI1239" s="409"/>
      <c r="DJ1239" s="409"/>
      <c r="DL1239" s="409"/>
      <c r="DM1239" s="409"/>
      <c r="DN1239" s="409"/>
      <c r="DP1239" s="409"/>
      <c r="DQ1239" s="409"/>
      <c r="DR1239" s="409"/>
    </row>
    <row r="1240" spans="1:128" s="21" customFormat="1" ht="13.8">
      <c r="A1240" s="21" t="s">
        <v>362</v>
      </c>
      <c r="B1240" s="27"/>
      <c r="BD1240" s="374"/>
      <c r="BE1240" s="374"/>
      <c r="BF1240" s="374"/>
      <c r="BH1240" s="99">
        <f t="shared" ref="BH1240" si="1768">+BH1218/BH1233*100</f>
        <v>112.24489051094891</v>
      </c>
      <c r="BI1240" s="99">
        <f>+BI1218/BI1233*100</f>
        <v>116.51747273101461</v>
      </c>
      <c r="BJ1240" s="99">
        <f t="shared" ref="BJ1240" si="1769">+BJ1218/BJ1233*100</f>
        <v>229.14582917340863</v>
      </c>
      <c r="BK1240" s="97"/>
      <c r="BL1240" s="99">
        <f t="shared" ref="BL1240" si="1770">+BL1218/BL1233*100</f>
        <v>123.31570508428121</v>
      </c>
      <c r="BM1240" s="99">
        <f>+BM1218/BM1233*100</f>
        <v>125.51149667255197</v>
      </c>
      <c r="BN1240" s="99">
        <f t="shared" ref="BN1240" si="1771">+BN1218/BN1233*100</f>
        <v>248.63356733914941</v>
      </c>
      <c r="BO1240" s="97"/>
      <c r="BP1240" s="99">
        <f t="shared" ref="BP1240" si="1772">+BP1218/BP1233*100</f>
        <v>128.87673226732267</v>
      </c>
      <c r="BQ1240" s="99">
        <f>+BQ1218/BQ1233*100</f>
        <v>118.86243907194383</v>
      </c>
      <c r="BR1240" s="99">
        <f t="shared" ref="BR1240" si="1773">+BR1218/BR1233*100</f>
        <v>245.03122815117737</v>
      </c>
      <c r="BS1240" s="79">
        <f>+BR1240/BN1240-1</f>
        <v>-1.4488547248562966E-2</v>
      </c>
      <c r="BT1240" s="99">
        <f t="shared" ref="BT1240" si="1774">+BT1218/BT1233*100</f>
        <v>89.978662331630275</v>
      </c>
      <c r="BU1240" s="99">
        <f>+BU1218/BU1233*100</f>
        <v>101.21122909227589</v>
      </c>
      <c r="BV1240" s="99">
        <f t="shared" ref="BV1240" si="1775">+BV1218/BV1233*100</f>
        <v>192.56763727643551</v>
      </c>
      <c r="BW1240" s="79">
        <f>+BV1240/BR1240-1</f>
        <v>-0.21410981477990765</v>
      </c>
      <c r="BX1240" s="99">
        <f t="shared" ref="BX1240" si="1776">+BX1218/BX1233*100</f>
        <v>109.25950389839034</v>
      </c>
      <c r="BY1240" s="99">
        <f>+BY1218/BY1233*100</f>
        <v>111.9957093947294</v>
      </c>
      <c r="BZ1240" s="99">
        <f t="shared" ref="BZ1240" si="1777">+BZ1218/BZ1233*100</f>
        <v>220.60136291004792</v>
      </c>
      <c r="CA1240" s="79">
        <f>+BZ1240/BV1240-1</f>
        <v>0.14557859269659801</v>
      </c>
      <c r="CB1240" s="99">
        <f t="shared" ref="CB1240" si="1778">+CB1218/CB1233*100</f>
        <v>112.51416534032393</v>
      </c>
      <c r="CC1240" s="99">
        <f>+CC1218/CC1233*100</f>
        <v>99.200498036586538</v>
      </c>
      <c r="CD1240" s="99">
        <f t="shared" ref="CD1240" si="1779">+CD1218/CD1233*100</f>
        <v>212.17399247716284</v>
      </c>
      <c r="CE1240" s="79">
        <f>+CD1240/BZ1240-1</f>
        <v>-3.8201805835267777E-2</v>
      </c>
      <c r="CF1240" s="99">
        <f t="shared" ref="CF1240:CJ1240" si="1780">+CF1218/CF1233*100</f>
        <v>117.46631582314926</v>
      </c>
      <c r="CG1240" s="99">
        <f>+CG1218/CG1233*100</f>
        <v>97.968060477971051</v>
      </c>
      <c r="CH1240" s="99">
        <f t="shared" ref="CH1240" si="1781">+CH1218/CH1233*100</f>
        <v>216.34959544307074</v>
      </c>
      <c r="CI1240" s="79">
        <f>+CH1240/CD1240-1</f>
        <v>1.9680088578044375E-2</v>
      </c>
      <c r="CJ1240" s="99">
        <f t="shared" si="1780"/>
        <v>47.083854134502559</v>
      </c>
      <c r="CK1240" s="99">
        <f>+CK1218/CK1233*100</f>
        <v>75.476098978348489</v>
      </c>
      <c r="CL1240" s="99">
        <f t="shared" ref="CL1240" si="1782">+CL1218/CL1233*100</f>
        <v>122.69919402705321</v>
      </c>
      <c r="CM1240" s="79">
        <f>+CL1240/CH1240-1</f>
        <v>-0.43286608058696496</v>
      </c>
      <c r="CN1240" s="99">
        <f t="shared" ref="CN1240" si="1783">+CN1218/CN1233*100</f>
        <v>99.132803786798078</v>
      </c>
      <c r="CO1240" s="99">
        <f>+CO1218/CO1233*100</f>
        <v>105.51944292384479</v>
      </c>
      <c r="CP1240" s="99">
        <f t="shared" ref="CP1240" si="1784">+CP1218/CP1233*100</f>
        <v>204.41972699109331</v>
      </c>
      <c r="CQ1240" s="79">
        <f>+CP1240/CL1240-1</f>
        <v>0.66602338843417375</v>
      </c>
      <c r="CR1240" s="99">
        <f t="shared" ref="CR1240" si="1785">+CR1218/CR1233*100</f>
        <v>103.33031652151308</v>
      </c>
      <c r="CS1240" s="99">
        <f>+CS1218/CS1233*100</f>
        <v>111.55619138451756</v>
      </c>
      <c r="CT1240" s="99">
        <f t="shared" ref="CT1240" si="1786">+CT1218/CT1233*100</f>
        <v>213.95111691788026</v>
      </c>
      <c r="CU1240" s="79">
        <f>+CT1240/CP1240-1</f>
        <v>4.6626566168940453E-2</v>
      </c>
      <c r="CV1240" s="99">
        <f t="shared" ref="CV1240" si="1787">+CV1218/CV1233*100</f>
        <v>121.12985388768568</v>
      </c>
      <c r="CW1240" s="99">
        <f>+CW1218/CW1233*100</f>
        <v>114.76109215017065</v>
      </c>
      <c r="CX1240" s="99">
        <f t="shared" ref="CX1240" si="1788">+CX1218/CX1233*100</f>
        <v>236.81394282219844</v>
      </c>
      <c r="CY1240" s="79">
        <f>+CX1240/CT1240-1</f>
        <v>0.10686004463857746</v>
      </c>
      <c r="CZ1240" s="99">
        <f t="shared" ref="CZ1240" si="1789">+CZ1218/CZ1233*100</f>
        <v>115.99064442666338</v>
      </c>
      <c r="DA1240" s="99">
        <f>+DA1218/DA1233*100</f>
        <v>104.51365240542383</v>
      </c>
      <c r="DB1240" s="99">
        <f t="shared" ref="DB1240" si="1790">+DB1218/DB1233*100</f>
        <v>220.93382807668522</v>
      </c>
      <c r="DC1240" s="79">
        <f>+DB1240/CX1240-1</f>
        <v>-6.7057347030601733E-2</v>
      </c>
      <c r="DD1240" s="99">
        <f t="shared" ref="DD1240" si="1791">+DD1218/DD1233*100</f>
        <v>117.04012182614912</v>
      </c>
      <c r="DE1240" s="99">
        <f>+DE1218/DE1233*100</f>
        <v>74.420632525069593</v>
      </c>
      <c r="DF1240" s="99">
        <f t="shared" ref="DF1240" si="1792">+DF1218/DF1233*100</f>
        <v>193.21362306990787</v>
      </c>
      <c r="DG1240" s="79">
        <f>+DF1240/DB1240-1</f>
        <v>-0.12546835968078085</v>
      </c>
      <c r="DH1240" s="99">
        <f t="shared" ref="DH1240" ca="1" si="1793">+DH1218/DH1233*100</f>
        <v>123.46561666959414</v>
      </c>
      <c r="DI1240" s="99">
        <f ca="1">+DI1218/DI1233*100</f>
        <v>127.17535174800247</v>
      </c>
      <c r="DJ1240" s="99">
        <f t="shared" ref="DJ1240" ca="1" si="1794">+DJ1218/DJ1233*100</f>
        <v>250.64753301845991</v>
      </c>
      <c r="DK1240" s="79">
        <f ca="1">+DJ1240/DF1240-1</f>
        <v>0.29725600625879012</v>
      </c>
      <c r="DL1240" s="99">
        <f t="shared" ref="DL1240" ca="1" si="1795">+DL1218/DL1233*100</f>
        <v>132.26431083717105</v>
      </c>
      <c r="DM1240" s="99">
        <f ca="1">+DM1218/DM1233*100</f>
        <v>132.96492207850559</v>
      </c>
      <c r="DN1240" s="99">
        <f t="shared" ref="DN1240" ca="1" si="1796">+DN1218/DN1233*100</f>
        <v>265.22860798990268</v>
      </c>
      <c r="DO1240" s="79">
        <f ca="1">+DN1240/DJ1240-1</f>
        <v>5.8173622520230062E-2</v>
      </c>
      <c r="DP1240" s="99">
        <f t="shared" ref="DP1240" ca="1" si="1797">+DP1218/DP1233*100</f>
        <v>139.01224567365534</v>
      </c>
      <c r="DQ1240" s="99">
        <f ca="1">+DQ1218/DQ1233*100</f>
        <v>144.77334969219825</v>
      </c>
      <c r="DR1240" s="99">
        <f t="shared" ref="DR1240" ca="1" si="1798">+DR1218/DR1233*100</f>
        <v>283.77540259911973</v>
      </c>
      <c r="DS1240" s="79">
        <f ca="1">+DR1240/DN1240-1</f>
        <v>6.9927579644512239E-2</v>
      </c>
      <c r="DT1240" s="79"/>
      <c r="DU1240" s="79"/>
      <c r="DV1240" s="79"/>
    </row>
    <row r="1241" spans="1:128" s="20" customFormat="1" ht="13.8">
      <c r="A1241" s="47" t="s">
        <v>293</v>
      </c>
      <c r="B1241" s="92" t="s">
        <v>1069</v>
      </c>
      <c r="BD1241" s="408"/>
      <c r="BE1241" s="408"/>
      <c r="BF1241" s="408"/>
      <c r="BG1241" s="408"/>
      <c r="BH1241" s="105">
        <v>113.1</v>
      </c>
      <c r="BI1241" s="105">
        <v>117.4</v>
      </c>
      <c r="BJ1241" s="105"/>
      <c r="BK1241" s="409"/>
      <c r="BL1241" s="105">
        <v>124.3</v>
      </c>
      <c r="BM1241" s="105">
        <v>126.5</v>
      </c>
      <c r="BN1241" s="105">
        <v>250.6</v>
      </c>
      <c r="BO1241" s="409"/>
      <c r="BP1241" s="105">
        <v>129.9</v>
      </c>
      <c r="BQ1241" s="105">
        <v>119.8</v>
      </c>
      <c r="BR1241" s="423">
        <v>247</v>
      </c>
      <c r="BT1241" s="105">
        <v>90.7</v>
      </c>
      <c r="BU1241" s="105">
        <v>102</v>
      </c>
      <c r="BV1241" s="423">
        <v>194.1</v>
      </c>
      <c r="BX1241" s="105">
        <v>110.1</v>
      </c>
      <c r="BY1241" s="105">
        <v>112.9</v>
      </c>
      <c r="BZ1241" s="423"/>
      <c r="CB1241" s="105">
        <v>113.4</v>
      </c>
      <c r="CC1241" s="423">
        <v>100</v>
      </c>
      <c r="CD1241" s="423"/>
      <c r="CF1241" s="105">
        <v>118.4</v>
      </c>
      <c r="CG1241" s="423">
        <v>98.7</v>
      </c>
      <c r="CH1241" s="423"/>
      <c r="CJ1241" s="105">
        <v>47.5</v>
      </c>
      <c r="CK1241" s="423">
        <v>76.099999999999994</v>
      </c>
      <c r="CL1241" s="423">
        <v>123.7</v>
      </c>
      <c r="CN1241" s="105">
        <v>99.9</v>
      </c>
      <c r="CO1241" s="423">
        <v>106.4</v>
      </c>
      <c r="CP1241" s="423">
        <v>206</v>
      </c>
      <c r="CR1241" s="105">
        <v>103.3</v>
      </c>
      <c r="CS1241" s="423">
        <v>111.6</v>
      </c>
      <c r="CT1241" s="423">
        <v>214</v>
      </c>
      <c r="CV1241" s="105">
        <v>121.1</v>
      </c>
      <c r="CW1241" s="423">
        <v>114.8</v>
      </c>
      <c r="CX1241" s="423">
        <v>236.8</v>
      </c>
      <c r="CZ1241" s="423">
        <v>116</v>
      </c>
      <c r="DA1241" s="423">
        <v>104.5</v>
      </c>
      <c r="DB1241" s="423">
        <v>220.9</v>
      </c>
      <c r="DD1241" s="423">
        <v>117</v>
      </c>
      <c r="DE1241" s="423">
        <v>74.400000000000006</v>
      </c>
      <c r="DF1241" s="423">
        <v>193.2</v>
      </c>
      <c r="DH1241" s="409"/>
      <c r="DI1241" s="409"/>
      <c r="DJ1241" s="409"/>
      <c r="DL1241" s="409"/>
      <c r="DM1241" s="409"/>
      <c r="DN1241" s="409"/>
      <c r="DP1241" s="409"/>
      <c r="DQ1241" s="409"/>
      <c r="DR1241" s="409"/>
    </row>
    <row r="1242" spans="1:128" s="20" customFormat="1" ht="13.8">
      <c r="A1242" s="20" t="s">
        <v>898</v>
      </c>
      <c r="B1242" s="49"/>
      <c r="BH1242" s="69">
        <f t="shared" ref="BH1242" si="1799">+BH1225/BH1234*100</f>
        <v>107.64473946969417</v>
      </c>
      <c r="BI1242" s="69">
        <f>+BI1225/BI1234*100</f>
        <v>123.15371298069837</v>
      </c>
      <c r="BJ1242" s="69">
        <f t="shared" ref="BJ1242" si="1800">+BJ1225/BJ1234*100</f>
        <v>230.83333579390271</v>
      </c>
      <c r="BK1242" s="49"/>
      <c r="BL1242" s="69">
        <f t="shared" ref="BL1242" si="1801">+BL1225/BL1234*100</f>
        <v>123.8298062757808</v>
      </c>
      <c r="BM1242" s="69">
        <f>+BM1225/BM1234*100</f>
        <v>141.15628808457529</v>
      </c>
      <c r="BN1242" s="69">
        <f t="shared" ref="BN1242" si="1802">+BN1225/BN1234*100</f>
        <v>265.01476265764609</v>
      </c>
      <c r="BO1242" s="49"/>
      <c r="BP1242" s="69">
        <f t="shared" ref="BP1242" si="1803">+BP1225/BP1234*100</f>
        <v>127.03432214225697</v>
      </c>
      <c r="BQ1242" s="69">
        <f>+BQ1225/BQ1234*100</f>
        <v>142.25356757534345</v>
      </c>
      <c r="BR1242" s="69">
        <f t="shared" ref="BR1242" si="1804">+BR1225/BR1234*100</f>
        <v>269.40243566509605</v>
      </c>
      <c r="BT1242" s="69">
        <f t="shared" ref="BT1242" si="1805">+BT1225/BT1234*100</f>
        <v>94.014806354480314</v>
      </c>
      <c r="BU1242" s="69">
        <f>+BU1225/BU1234*100</f>
        <v>101.82502850036275</v>
      </c>
      <c r="BV1242" s="69">
        <f t="shared" ref="BV1242" si="1806">+BV1225/BV1234*100</f>
        <v>195.86744475568005</v>
      </c>
      <c r="BX1242" s="69">
        <f t="shared" ref="BX1242" si="1807">+BX1225/BX1234*100</f>
        <v>99.360183719810095</v>
      </c>
      <c r="BY1242" s="69">
        <f>+BY1225/BY1234*100</f>
        <v>118.99071722717913</v>
      </c>
      <c r="BZ1242" s="69">
        <f t="shared" ref="BZ1242" si="1808">+BZ1225/BZ1234*100</f>
        <v>218.3758581589527</v>
      </c>
      <c r="CB1242" s="69">
        <f t="shared" ref="CB1242" ca="1" si="1809">+CB1225/CB1234*100</f>
        <v>113.30589428100082</v>
      </c>
      <c r="CC1242" s="69">
        <f>+CC1225/CC1234*100</f>
        <v>106.47315057026263</v>
      </c>
      <c r="CD1242" s="69">
        <f t="shared" ref="CD1242" ca="1" si="1810">+CD1225/CD1234*100</f>
        <v>219.83311982827269</v>
      </c>
      <c r="CF1242" s="69">
        <f t="shared" ref="CF1242:CJ1242" si="1811">+CF1225/CF1234*100</f>
        <v>110.79200717981206</v>
      </c>
      <c r="CG1242" s="69">
        <f>+CG1225/CG1234*100</f>
        <v>97.512303775986425</v>
      </c>
      <c r="CH1242" s="69">
        <f t="shared" ref="CH1242" si="1812">+CH1225/CH1234*100</f>
        <v>208.33085117640832</v>
      </c>
      <c r="CJ1242" s="69">
        <f t="shared" si="1811"/>
        <v>54.150869073694622</v>
      </c>
      <c r="CK1242" s="69">
        <f>+CK1225/CK1234*100</f>
        <v>71.204690590562308</v>
      </c>
      <c r="CL1242" s="69">
        <f t="shared" ref="CL1242" si="1813">+CL1225/CL1234*100</f>
        <v>125.35736691511534</v>
      </c>
      <c r="CN1242" s="69">
        <f t="shared" ref="CN1242" si="1814">+CN1225/CN1234*100</f>
        <v>102.85519075633212</v>
      </c>
      <c r="CO1242" s="69">
        <f>+CO1225/CO1234*100</f>
        <v>112.51303198985343</v>
      </c>
      <c r="CP1242" s="69">
        <f t="shared" ref="CP1242" si="1815">+CP1225/CP1234*100</f>
        <v>215.36391883322764</v>
      </c>
      <c r="CR1242" s="69">
        <f t="shared" ref="CR1242" si="1816">+CR1225/CR1234*100</f>
        <v>124.6880407305871</v>
      </c>
      <c r="CS1242" s="69">
        <f>+CS1225/CS1234*100</f>
        <v>125.37991266375545</v>
      </c>
      <c r="CT1242" s="69">
        <f t="shared" ref="CT1242" si="1817">+CT1225/CT1234*100</f>
        <v>250.00877963125546</v>
      </c>
      <c r="CV1242" s="69">
        <f t="shared" ref="CV1242" si="1818">+CV1225/CV1234*100</f>
        <v>118.7335092348285</v>
      </c>
      <c r="CW1242" s="69">
        <f>+CW1225/CW1234*100</f>
        <v>118.35877608159457</v>
      </c>
      <c r="CX1242" s="69">
        <f t="shared" ref="CX1242" si="1819">+CX1225/CX1234*100</f>
        <v>237.0879487521687</v>
      </c>
      <c r="CZ1242" s="69">
        <f t="shared" ref="CZ1242" si="1820">+CZ1225/CZ1234*100</f>
        <v>113.51747576050377</v>
      </c>
      <c r="DA1242" s="69">
        <f>+DA1225/DA1234*100</f>
        <v>104.4233016190953</v>
      </c>
      <c r="DB1242" s="69">
        <f t="shared" ref="DB1242" si="1821">+DB1225/DB1234*100</f>
        <v>217.94957310565636</v>
      </c>
      <c r="DD1242" s="69">
        <f t="shared" ref="DD1242" si="1822">+DD1225/DD1234*100</f>
        <v>122.54786500218715</v>
      </c>
      <c r="DE1242" s="69">
        <f>+DE1225/DE1234*100</f>
        <v>75.639861433424144</v>
      </c>
      <c r="DF1242" s="69">
        <f t="shared" ref="DF1242" si="1823">+DF1225/DF1234*100</f>
        <v>198.17668034717084</v>
      </c>
      <c r="DH1242" s="69">
        <f t="shared" ref="DH1242" ca="1" si="1824">+DH1225/DH1234*100</f>
        <v>123.81251788781024</v>
      </c>
      <c r="DI1242" s="69">
        <f ca="1">+DI1225/DI1234*100</f>
        <v>127.53141029010044</v>
      </c>
      <c r="DJ1242" s="69">
        <f t="shared" ref="DJ1242" ca="1" si="1825">+DJ1225/DJ1234*100</f>
        <v>251.350527440484</v>
      </c>
      <c r="DL1242" s="69">
        <f t="shared" ref="DL1242" ca="1" si="1826">+DL1225/DL1234*100</f>
        <v>132.63453164788251</v>
      </c>
      <c r="DM1242" s="69">
        <f ca="1">+DM1225/DM1234*100</f>
        <v>133.33777037700403</v>
      </c>
      <c r="DN1242" s="69">
        <f t="shared" ref="DN1242" ca="1" si="1827">+DN1225/DN1234*100</f>
        <v>265.97167299810718</v>
      </c>
      <c r="DP1242" s="69">
        <f t="shared" ref="DP1242" ca="1" si="1828">+DP1225/DP1234*100</f>
        <v>139.40345718289035</v>
      </c>
      <c r="DQ1242" s="69">
        <f ca="1">+DQ1225/DQ1234*100</f>
        <v>145.1822225312423</v>
      </c>
      <c r="DR1242" s="69">
        <f t="shared" ref="DR1242" ca="1" si="1829">+DR1225/DR1234*100</f>
        <v>284.57542687658724</v>
      </c>
    </row>
    <row r="1243" spans="1:128" s="20" customFormat="1" ht="13.8">
      <c r="A1243" s="47" t="s">
        <v>293</v>
      </c>
      <c r="B1243" s="92" t="s">
        <v>1070</v>
      </c>
      <c r="BD1243" s="408"/>
      <c r="BE1243" s="408"/>
      <c r="BF1243" s="408"/>
      <c r="BG1243" s="408"/>
      <c r="BH1243" s="105">
        <v>108.5</v>
      </c>
      <c r="BI1243" s="105">
        <v>122.5</v>
      </c>
      <c r="BJ1243" s="105"/>
      <c r="BK1243" s="409"/>
      <c r="BL1243" s="105">
        <v>124.8</v>
      </c>
      <c r="BM1243" s="105">
        <v>142.30000000000001</v>
      </c>
      <c r="BN1243" s="105">
        <v>267.10000000000002</v>
      </c>
      <c r="BO1243" s="409"/>
      <c r="BP1243" s="423">
        <v>128</v>
      </c>
      <c r="BQ1243" s="423">
        <v>143.4</v>
      </c>
      <c r="BR1243" s="423">
        <v>271.5</v>
      </c>
      <c r="BT1243" s="423">
        <v>94.8</v>
      </c>
      <c r="BU1243" s="423">
        <v>102.6</v>
      </c>
      <c r="BV1243" s="423">
        <v>197.4</v>
      </c>
      <c r="BX1243" s="423">
        <v>100.2</v>
      </c>
      <c r="BY1243" s="423">
        <v>119.9</v>
      </c>
      <c r="BZ1243" s="423">
        <v>220.1</v>
      </c>
      <c r="CB1243" s="423">
        <v>114.2</v>
      </c>
      <c r="CC1243" s="423">
        <v>107.3</v>
      </c>
      <c r="CD1243" s="423">
        <v>221.6</v>
      </c>
      <c r="CF1243" s="423">
        <v>111.7</v>
      </c>
      <c r="CG1243" s="423">
        <v>98.3</v>
      </c>
      <c r="CH1243" s="423">
        <v>210</v>
      </c>
      <c r="CJ1243" s="423">
        <v>54.6</v>
      </c>
      <c r="CK1243" s="423">
        <v>71.8</v>
      </c>
      <c r="CL1243" s="423">
        <v>126.4</v>
      </c>
      <c r="CN1243" s="423">
        <v>103.7</v>
      </c>
      <c r="CO1243" s="423">
        <v>113.4</v>
      </c>
      <c r="CP1243" s="423">
        <v>217.1</v>
      </c>
      <c r="CR1243" s="423">
        <v>124.6</v>
      </c>
      <c r="CS1243" s="423">
        <v>125.4</v>
      </c>
      <c r="CT1243" s="423">
        <v>250</v>
      </c>
      <c r="CV1243" s="423">
        <v>118.7</v>
      </c>
      <c r="CW1243" s="423">
        <v>118.4</v>
      </c>
      <c r="CX1243" s="423">
        <v>236.8</v>
      </c>
      <c r="CZ1243" s="423">
        <v>113.5</v>
      </c>
      <c r="DA1243" s="423">
        <v>104.4</v>
      </c>
      <c r="DB1243" s="423">
        <v>217.9</v>
      </c>
      <c r="DD1243" s="423">
        <v>122.5</v>
      </c>
      <c r="DE1243" s="423">
        <v>75.599999999999994</v>
      </c>
      <c r="DF1243" s="423">
        <v>198.2</v>
      </c>
      <c r="DH1243" s="409"/>
      <c r="DI1243" s="409"/>
      <c r="DJ1243" s="409"/>
      <c r="DL1243" s="409"/>
      <c r="DM1243" s="409"/>
      <c r="DN1243" s="409"/>
      <c r="DP1243" s="409"/>
      <c r="DQ1243" s="409"/>
      <c r="DR1243" s="409"/>
    </row>
    <row r="1244" spans="1:128" s="20" customFormat="1" ht="13.8">
      <c r="A1244" s="78" t="s">
        <v>900</v>
      </c>
      <c r="B1244" s="49"/>
      <c r="BD1244" s="408"/>
      <c r="BE1244" s="408"/>
      <c r="BF1244" s="408"/>
      <c r="BG1244" s="408"/>
      <c r="BH1244" s="99">
        <f t="shared" ref="BH1244" si="1830">+BH1227/BH1232*100</f>
        <v>116.09680851063831</v>
      </c>
      <c r="BI1244" s="99">
        <f>+BI1227/BI1232*100</f>
        <v>120.50695875343722</v>
      </c>
      <c r="BJ1244" s="99">
        <f t="shared" ref="BJ1244" si="1831">+BJ1227/BJ1232*100</f>
        <v>236.60825098269723</v>
      </c>
      <c r="BK1244" s="409"/>
      <c r="BL1244" s="99">
        <f t="shared" ref="BL1244" si="1832">+BL1227/BL1232*100</f>
        <v>127.83106671554252</v>
      </c>
      <c r="BM1244" s="99">
        <f>+BM1227/BM1232*100</f>
        <v>130.57858734972777</v>
      </c>
      <c r="BN1244" s="99">
        <f t="shared" ref="BN1244" si="1833">+BN1227/BN1232*100</f>
        <v>258.42821535758731</v>
      </c>
      <c r="BO1244" s="409"/>
      <c r="BP1244" s="99">
        <f t="shared" ref="BP1244" si="1834">+BP1227/BP1232*100</f>
        <v>132.61671272727273</v>
      </c>
      <c r="BQ1244" s="99">
        <f>+BQ1227/BQ1232*100</f>
        <v>125.7576538833387</v>
      </c>
      <c r="BR1244" s="99">
        <f t="shared" ref="BR1244" si="1835">+BR1227/BR1232*100</f>
        <v>258.31686512232085</v>
      </c>
      <c r="BT1244" s="99">
        <f t="shared" ref="BT1244" si="1836">+BT1227/BT1232*100</f>
        <v>95.127255807541175</v>
      </c>
      <c r="BU1244" s="99">
        <f>+BU1227/BU1232*100</f>
        <v>105.86806910289877</v>
      </c>
      <c r="BV1244" s="99">
        <f t="shared" ref="BV1244" si="1837">+BV1227/BV1232*100</f>
        <v>201.03492189112933</v>
      </c>
      <c r="BX1244" s="99">
        <f t="shared" ref="BX1244" si="1838">+BX1227/BX1232*100</f>
        <v>115.74556555050108</v>
      </c>
      <c r="BY1244" s="99">
        <f>+BY1227/BY1232*100</f>
        <v>119.45707701761575</v>
      </c>
      <c r="BZ1244" s="99">
        <f t="shared" ref="BZ1244" si="1839">+BZ1227/BZ1232*100</f>
        <v>235.21014898851828</v>
      </c>
      <c r="CB1244" s="99">
        <f t="shared" ref="CB1244" ca="1" si="1840">+CB1227/CB1232*100</f>
        <v>97.561362237570947</v>
      </c>
      <c r="CC1244" s="99">
        <f>+CC1227/CC1232*100</f>
        <v>100.82093192700022</v>
      </c>
      <c r="CD1244" s="99">
        <f t="shared" ref="CD1244" ca="1" si="1841">+CD1227/CD1232*100</f>
        <v>198.36532566389968</v>
      </c>
      <c r="CF1244" s="99">
        <f t="shared" ref="CF1244:CJ1244" si="1842">+CF1227/CF1232*100</f>
        <v>122.02875144387274</v>
      </c>
      <c r="CG1244" s="99">
        <f>+CG1227/CG1232*100</f>
        <v>92.817612130208872</v>
      </c>
      <c r="CH1244" s="99">
        <f t="shared" ref="CH1244" si="1843">+CH1227/CH1232*100</f>
        <v>214.98815025852065</v>
      </c>
      <c r="CJ1244" s="99">
        <f t="shared" si="1842"/>
        <v>46.369967498056944</v>
      </c>
      <c r="CK1244" s="99">
        <f>+CK1227/CK1232*100</f>
        <v>81.8924025148347</v>
      </c>
      <c r="CL1244" s="99">
        <f t="shared" ref="CL1244" si="1844">+CL1227/CL1232*100</f>
        <v>128.26613444487617</v>
      </c>
      <c r="CN1244" s="99">
        <f t="shared" ref="CN1244" si="1845">+CN1227/CN1232*100</f>
        <v>104.21820551660971</v>
      </c>
      <c r="CO1244" s="99">
        <f>+CO1227/CO1232*100</f>
        <v>111.81397618376549</v>
      </c>
      <c r="CP1244" s="99">
        <f t="shared" ref="CP1244" si="1846">+CP1227/CP1232*100</f>
        <v>216.02797505812723</v>
      </c>
      <c r="CR1244" s="99">
        <f t="shared" ref="CR1244" si="1847">+CR1227/CR1232*100</f>
        <v>109.78199166874356</v>
      </c>
      <c r="CS1244" s="99">
        <f>+CS1227/CS1232*100</f>
        <v>118.35807860262008</v>
      </c>
      <c r="CT1244" s="99">
        <f t="shared" ref="CT1244" si="1848">+CT1227/CT1232*100</f>
        <v>228.12993854258119</v>
      </c>
      <c r="CV1244" s="99">
        <f t="shared" ref="CV1244" si="1849">+CV1227/CV1232*100</f>
        <v>127.88484018569855</v>
      </c>
      <c r="CW1244" s="99">
        <f>+CW1227/CW1232*100</f>
        <v>119.45870275314981</v>
      </c>
      <c r="CX1244" s="99">
        <f t="shared" ref="CX1244" si="1850">+CX1227/CX1232*100</f>
        <v>247.33084211931134</v>
      </c>
      <c r="CZ1244" s="99">
        <f t="shared" ref="CZ1244" si="1851">+CZ1227/CZ1232*100</f>
        <v>118.34871555659214</v>
      </c>
      <c r="DA1244" s="99">
        <f>+DA1227/DA1232*100</f>
        <v>105.9255549991654</v>
      </c>
      <c r="DB1244" s="99">
        <f t="shared" ref="DB1244" si="1852">+DB1227/DB1232*100</f>
        <v>224.28628601921025</v>
      </c>
      <c r="DD1244" s="99">
        <f t="shared" ref="DD1244" si="1853">+DD1227/DD1232*100</f>
        <v>120.05787543322452</v>
      </c>
      <c r="DE1244" s="99">
        <f>+DE1227/DE1232*100</f>
        <v>74.630881512124574</v>
      </c>
      <c r="DF1244" s="99">
        <f t="shared" ref="DF1244" si="1854">+DF1227/DF1232*100</f>
        <v>194.67805961111486</v>
      </c>
      <c r="DH1244" s="99">
        <f t="shared" ref="DH1244" ca="1" si="1855">+DH1227/DH1232*100</f>
        <v>123.81251788781024</v>
      </c>
      <c r="DI1244" s="99">
        <f ca="1">+DI1227/DI1232*100</f>
        <v>127.53141029010044</v>
      </c>
      <c r="DJ1244" s="99">
        <f t="shared" ref="DJ1244" ca="1" si="1856">+DJ1227/DJ1232*100</f>
        <v>251.350527440484</v>
      </c>
      <c r="DL1244" s="99">
        <f t="shared" ref="DL1244" ca="1" si="1857">+DL1227/DL1232*100</f>
        <v>132.63453164788251</v>
      </c>
      <c r="DM1244" s="99">
        <f ca="1">+DM1227/DM1232*100</f>
        <v>133.33777037700403</v>
      </c>
      <c r="DN1244" s="99">
        <f t="shared" ref="DN1244" ca="1" si="1858">+DN1227/DN1232*100</f>
        <v>265.97167299810718</v>
      </c>
      <c r="DP1244" s="99">
        <f t="shared" ref="DP1244" ca="1" si="1859">+DP1227/DP1232*100</f>
        <v>139.40345718289035</v>
      </c>
      <c r="DQ1244" s="99">
        <f ca="1">+DQ1227/DQ1232*100</f>
        <v>145.1822225312423</v>
      </c>
      <c r="DR1244" s="99">
        <f t="shared" ref="DR1244" ca="1" si="1860">+DR1227/DR1232*100</f>
        <v>284.57542687658724</v>
      </c>
    </row>
    <row r="1245" spans="1:128" s="47" customFormat="1" ht="13.8">
      <c r="A1245" s="47" t="s">
        <v>293</v>
      </c>
      <c r="B1245" s="92" t="s">
        <v>1068</v>
      </c>
      <c r="BH1245" s="768"/>
      <c r="BI1245" s="768"/>
      <c r="BJ1245" s="768"/>
      <c r="BK1245" s="97"/>
      <c r="BL1245" s="768"/>
      <c r="BM1245" s="768"/>
      <c r="BN1245" s="768"/>
      <c r="BO1245" s="97"/>
      <c r="BP1245" s="768"/>
      <c r="BQ1245" s="768"/>
      <c r="BR1245" s="768"/>
      <c r="BS1245" s="97"/>
      <c r="BT1245" s="768"/>
      <c r="BU1245" s="768"/>
      <c r="BV1245" s="768"/>
      <c r="BW1245" s="97"/>
      <c r="BX1245" s="768"/>
      <c r="BY1245" s="768"/>
      <c r="BZ1245" s="768"/>
      <c r="CA1245" s="97"/>
      <c r="CB1245" s="768"/>
      <c r="CC1245" s="768"/>
      <c r="CD1245" s="768"/>
      <c r="CE1245" s="97"/>
      <c r="CF1245" s="768"/>
      <c r="CG1245" s="768"/>
      <c r="CH1245" s="957">
        <v>216.7</v>
      </c>
      <c r="CI1245" s="97"/>
      <c r="CJ1245" s="957">
        <v>46.7</v>
      </c>
      <c r="CK1245" s="957">
        <v>82.5</v>
      </c>
      <c r="CL1245" s="957">
        <v>129.30000000000001</v>
      </c>
      <c r="CM1245" s="97"/>
      <c r="CN1245" s="957">
        <v>105</v>
      </c>
      <c r="CO1245" s="957">
        <v>112.7</v>
      </c>
      <c r="CP1245" s="957">
        <v>217.7</v>
      </c>
      <c r="CQ1245" s="97"/>
      <c r="CR1245" s="957">
        <v>109.7</v>
      </c>
      <c r="CS1245" s="957">
        <v>118.4</v>
      </c>
      <c r="CT1245" s="957">
        <v>228.1</v>
      </c>
      <c r="CU1245" s="97"/>
      <c r="CV1245" s="957">
        <v>127.9</v>
      </c>
      <c r="CW1245" s="957">
        <v>119.5</v>
      </c>
      <c r="CX1245" s="957">
        <v>247.1</v>
      </c>
      <c r="CY1245" s="97"/>
      <c r="CZ1245" s="957">
        <v>118.3</v>
      </c>
      <c r="DA1245" s="957">
        <v>105.9</v>
      </c>
      <c r="DB1245" s="423">
        <v>224.3</v>
      </c>
      <c r="DC1245" s="97"/>
      <c r="DD1245" s="957">
        <v>120.1</v>
      </c>
      <c r="DE1245" s="957">
        <v>74.599999999999994</v>
      </c>
      <c r="DF1245" s="423">
        <v>194.7</v>
      </c>
      <c r="DG1245" s="97"/>
      <c r="DH1245" s="768"/>
      <c r="DI1245" s="768"/>
      <c r="DJ1245" s="768"/>
      <c r="DK1245" s="97"/>
      <c r="DL1245" s="768"/>
      <c r="DM1245" s="768"/>
      <c r="DN1245" s="768"/>
      <c r="DO1245" s="97"/>
      <c r="DP1245" s="768"/>
      <c r="DQ1245" s="768"/>
      <c r="DR1245" s="768"/>
      <c r="DS1245" s="97"/>
      <c r="DT1245" s="97"/>
      <c r="DU1245" s="97"/>
      <c r="DV1245" s="97"/>
    </row>
    <row r="1246" spans="1:128" s="21" customFormat="1" ht="13.8">
      <c r="A1246" s="21" t="s">
        <v>961</v>
      </c>
      <c r="B1246" s="27"/>
      <c r="BH1246" s="99">
        <f>+BH32/BH1232*100</f>
        <v>184.35252889641464</v>
      </c>
      <c r="BI1246" s="99">
        <f>+BI32/BI1232*100</f>
        <v>184.9980054995417</v>
      </c>
      <c r="BJ1246" s="99">
        <f>+BJ32/BJ1232*100</f>
        <v>369.3450424304765</v>
      </c>
      <c r="BK1246" s="27"/>
      <c r="BL1246" s="99">
        <f>+BL32/BL1232*100</f>
        <v>195.72881964809383</v>
      </c>
      <c r="BM1246" s="99">
        <f>+BM32/BM1232*100</f>
        <v>197.06418679431434</v>
      </c>
      <c r="BN1246" s="99">
        <f>+BN32/BN1232*100</f>
        <v>392.81669716711809</v>
      </c>
      <c r="BO1246" s="27"/>
      <c r="BP1246" s="99">
        <f>+BP32/BP1232*100</f>
        <v>201.73902545454547</v>
      </c>
      <c r="BQ1246" s="99">
        <f>+BQ32/BQ1232*100</f>
        <v>197.7663443978945</v>
      </c>
      <c r="BR1246" s="99">
        <f>+BR32/BR1232*100</f>
        <v>399.46755791296818</v>
      </c>
      <c r="BT1246" s="99">
        <f>+BT32/BT1232*100</f>
        <v>165.39559178327704</v>
      </c>
      <c r="BU1246" s="99">
        <f>+BU32/BU1232*100</f>
        <v>181.20579063058113</v>
      </c>
      <c r="BV1246" s="99">
        <f>+BV32/BV1232*100</f>
        <v>346.66490606290006</v>
      </c>
      <c r="BX1246" s="99">
        <f>+BX32/BX1232*100</f>
        <v>186.25840202483155</v>
      </c>
      <c r="BY1246" s="99">
        <f>+BY32/BY1232*100</f>
        <v>181.53953297828761</v>
      </c>
      <c r="BZ1246" s="99">
        <f>+BZ32/BZ1232*100</f>
        <v>367.79978471842531</v>
      </c>
      <c r="CB1246" s="99">
        <f>+CB32/CB1232*100</f>
        <v>183.08020584011487</v>
      </c>
      <c r="CC1246" s="99">
        <f>+CC32/CC1232*100</f>
        <v>157.27239261675109</v>
      </c>
      <c r="CD1246" s="99">
        <f>+CD32/CD1232*100</f>
        <v>340.55277098474147</v>
      </c>
      <c r="CF1246" s="99">
        <f>+CF32/CF1232*100</f>
        <v>186.86303685813294</v>
      </c>
      <c r="CG1246" s="99">
        <f>+CG32/CG1232*100</f>
        <v>160.49346834906157</v>
      </c>
      <c r="CH1246" s="99">
        <f>+CH32/CH1232*100</f>
        <v>347.48449931412898</v>
      </c>
      <c r="CJ1246" s="99">
        <f>+CJ32/CJ1232*100</f>
        <v>139.28514802515369</v>
      </c>
      <c r="CK1246" s="99">
        <f>+CK32/CK1232*100</f>
        <v>154.00817674484318</v>
      </c>
      <c r="CL1246" s="99">
        <f>+CL32/CL1232*100</f>
        <v>293.29488501889853</v>
      </c>
      <c r="CN1246" s="99">
        <f>+CN32/CN1232*100</f>
        <v>137.7343889808715</v>
      </c>
      <c r="CO1246" s="99">
        <f>+CO32/CO1232*100</f>
        <v>155.71468080608796</v>
      </c>
      <c r="CP1246" s="99">
        <f>+CP32/CP1232*100</f>
        <v>293.4429507503699</v>
      </c>
      <c r="CR1246" s="99">
        <f>+CR32/CR1232*100</f>
        <v>146.83517997650159</v>
      </c>
      <c r="CS1246" s="99">
        <f>+CS32/CS1232*100</f>
        <v>168.06986899563319</v>
      </c>
      <c r="CT1246" s="99">
        <f>+CT32/CT1232*100</f>
        <v>314.94293239683935</v>
      </c>
      <c r="CV1246" s="99">
        <f>+CV32/CV1232*100</f>
        <v>185.13075715573964</v>
      </c>
      <c r="CW1246" s="99">
        <f>+CW32/CW1232*100</f>
        <v>174.08839410705954</v>
      </c>
      <c r="CX1246" s="99">
        <f>+CX32/CX1232*100</f>
        <v>359.2019217936741</v>
      </c>
      <c r="CZ1246" s="99">
        <f>+CZ32/CZ1232*100</f>
        <v>170.99256988638257</v>
      </c>
      <c r="DA1246" s="99">
        <f>+DA32/DA1232*100</f>
        <v>164.78050408946754</v>
      </c>
      <c r="DB1246" s="99">
        <f>+DB32/DB1232*100</f>
        <v>335.77908217716111</v>
      </c>
      <c r="DD1246" s="99">
        <f>+DD32/DD1232*100</f>
        <v>176.75561088865709</v>
      </c>
      <c r="DE1246" s="99">
        <f>+DE32/DE1232*100</f>
        <v>126.66061278713887</v>
      </c>
      <c r="DF1246" s="99">
        <f>+DF32/DF1232*100</f>
        <v>303.40442710085449</v>
      </c>
      <c r="DH1246" s="99">
        <f ca="1">+DH32/DH1232*100</f>
        <v>183.57295109484474</v>
      </c>
      <c r="DI1246" s="99">
        <f ca="1">+DI32/DI1232*100</f>
        <v>193.31214535351003</v>
      </c>
      <c r="DJ1246" s="99">
        <f ca="1">+DJ32/DJ1232*100</f>
        <v>376.90237887903936</v>
      </c>
      <c r="DL1246" s="99">
        <f ca="1">+DL32/DL1232*100</f>
        <v>202.19660043392605</v>
      </c>
      <c r="DM1246" s="99">
        <f ca="1">+DM32/DM1232*100</f>
        <v>203.61198260927154</v>
      </c>
      <c r="DN1246" s="99">
        <f ca="1">+DN32/DN1232*100</f>
        <v>405.80731702462589</v>
      </c>
      <c r="DP1246" s="99">
        <f ca="1">+DP32/DP1232*100</f>
        <v>214.03892179161429</v>
      </c>
      <c r="DQ1246" s="99">
        <f ca="1">+DQ32/DQ1232*100</f>
        <v>222.62758763199267</v>
      </c>
      <c r="DR1246" s="99">
        <f ca="1">+DR32/DR1232*100</f>
        <v>436.65127118666788</v>
      </c>
    </row>
    <row r="1247" spans="1:128" s="20" customFormat="1" ht="13.8">
      <c r="B1247" s="49"/>
      <c r="BH1247" s="49"/>
      <c r="BI1247" s="49"/>
      <c r="BJ1247" s="49"/>
      <c r="BK1247" s="49"/>
      <c r="BL1247" s="49"/>
      <c r="BM1247" s="49"/>
      <c r="BN1247" s="49"/>
      <c r="BO1247" s="49"/>
      <c r="BP1247" s="49"/>
      <c r="BQ1247" s="49"/>
      <c r="BR1247" s="66"/>
      <c r="BT1247" s="49"/>
      <c r="BV1247" s="66"/>
      <c r="BX1247" s="49"/>
      <c r="BZ1247" s="66"/>
      <c r="CB1247" s="49"/>
      <c r="CD1247" s="66"/>
      <c r="CF1247" s="49"/>
      <c r="CH1247" s="66"/>
      <c r="CJ1247" s="49"/>
      <c r="CL1247" s="66"/>
      <c r="CN1247" s="49"/>
      <c r="CP1247" s="66"/>
      <c r="CR1247" s="49"/>
      <c r="CT1247" s="66"/>
      <c r="CV1247" s="49"/>
      <c r="CX1247" s="66"/>
      <c r="CZ1247" s="49"/>
      <c r="DB1247" s="66"/>
      <c r="DD1247" s="99"/>
      <c r="DF1247" s="66"/>
      <c r="DH1247" s="49"/>
      <c r="DJ1247" s="66"/>
      <c r="DL1247" s="49"/>
      <c r="DN1247" s="66"/>
      <c r="DP1247" s="49"/>
      <c r="DR1247" s="66"/>
    </row>
    <row r="1248" spans="1:128" s="318" customFormat="1" ht="13.8">
      <c r="A1248" s="316" t="s">
        <v>443</v>
      </c>
      <c r="B1248" s="317"/>
      <c r="BH1248" s="317"/>
      <c r="BI1248" s="317"/>
      <c r="BJ1248" s="317"/>
      <c r="BK1248" s="317"/>
      <c r="BL1248" s="317"/>
      <c r="BM1248" s="317"/>
      <c r="BN1248" s="317"/>
      <c r="BO1248" s="317"/>
      <c r="BP1248" s="317"/>
      <c r="BT1248" s="317"/>
      <c r="BX1248" s="317"/>
      <c r="CB1248" s="317"/>
      <c r="CF1248" s="317"/>
      <c r="CJ1248" s="317"/>
      <c r="CN1248" s="317"/>
      <c r="CR1248" s="317"/>
      <c r="CV1248" s="317"/>
      <c r="CZ1248" s="317"/>
      <c r="DD1248" s="317"/>
      <c r="DH1248" s="317"/>
      <c r="DL1248" s="317"/>
      <c r="DP1248" s="317"/>
      <c r="DT1248" s="742"/>
      <c r="DU1248" s="742"/>
      <c r="DV1248" s="742"/>
      <c r="DW1248" s="20"/>
      <c r="DX1248" s="20"/>
    </row>
    <row r="1249" spans="1:128" s="20" customFormat="1" ht="13.8">
      <c r="B1249" s="49"/>
      <c r="BH1249" s="49"/>
      <c r="BI1249" s="49"/>
      <c r="BJ1249" s="49"/>
      <c r="BK1249" s="49"/>
      <c r="BL1249" s="49"/>
      <c r="BM1249" s="49"/>
      <c r="BN1249" s="49"/>
      <c r="BO1249" s="49"/>
      <c r="BP1249" s="49"/>
      <c r="BT1249" s="49"/>
      <c r="BX1249" s="49"/>
      <c r="CB1249" s="49"/>
      <c r="CF1249" s="49"/>
      <c r="CJ1249" s="49"/>
      <c r="CN1249" s="49"/>
      <c r="CR1249" s="49"/>
      <c r="CV1249" s="49"/>
      <c r="CZ1249" s="49"/>
      <c r="DD1249" s="49"/>
      <c r="DH1249" s="49"/>
      <c r="DL1249" s="49"/>
      <c r="DP1249" s="49"/>
    </row>
    <row r="1250" spans="1:128" s="359" customFormat="1" ht="13.8">
      <c r="A1250" s="359" t="s">
        <v>675</v>
      </c>
      <c r="B1250" s="360"/>
      <c r="BH1250" s="360"/>
      <c r="BI1250" s="360"/>
      <c r="BJ1250" s="360"/>
      <c r="BK1250" s="360"/>
      <c r="BL1250" s="360"/>
      <c r="BM1250" s="360"/>
      <c r="BN1250" s="360"/>
      <c r="BO1250" s="360"/>
      <c r="BP1250" s="360"/>
      <c r="BT1250" s="360"/>
      <c r="BX1250" s="360"/>
      <c r="CB1250" s="360"/>
      <c r="CF1250" s="360"/>
      <c r="CJ1250" s="360"/>
      <c r="CN1250" s="360"/>
      <c r="CR1250" s="360"/>
      <c r="CV1250" s="360"/>
      <c r="CZ1250" s="360"/>
      <c r="DD1250" s="360"/>
      <c r="DH1250" s="360"/>
      <c r="DL1250" s="360"/>
      <c r="DP1250" s="360"/>
      <c r="DT1250" s="744"/>
      <c r="DU1250" s="744"/>
      <c r="DV1250" s="744"/>
      <c r="DW1250" s="551" t="s">
        <v>771</v>
      </c>
      <c r="DX1250" s="20"/>
    </row>
    <row r="1251" spans="1:128" s="20" customFormat="1" ht="13.8">
      <c r="B1251" s="49"/>
      <c r="BH1251" s="49"/>
      <c r="BI1251" s="49"/>
      <c r="BJ1251" s="49"/>
      <c r="BK1251" s="49"/>
      <c r="BL1251" s="49"/>
      <c r="BM1251" s="49"/>
      <c r="BN1251" s="49"/>
      <c r="BO1251" s="49"/>
      <c r="BP1251" s="49"/>
      <c r="BR1251" s="82"/>
      <c r="BT1251" s="49"/>
      <c r="BX1251" s="49"/>
      <c r="CB1251" s="49"/>
      <c r="CF1251" s="49"/>
      <c r="CJ1251" s="66"/>
      <c r="CK1251" s="48"/>
      <c r="CN1251" s="49"/>
      <c r="CR1251" s="49"/>
      <c r="CV1251" s="823"/>
      <c r="CZ1251" s="823"/>
      <c r="DD1251" s="99"/>
      <c r="DH1251" s="49"/>
      <c r="DL1251" s="49"/>
      <c r="DP1251" s="49"/>
      <c r="DW1251" s="540"/>
    </row>
    <row r="1252" spans="1:128" s="21" customFormat="1" ht="13.8">
      <c r="A1252" s="21" t="s">
        <v>676</v>
      </c>
      <c r="B1252" s="27"/>
      <c r="BH1252" s="74">
        <f>+BH1301/BH1407</f>
        <v>8.1762156598942287E-2</v>
      </c>
      <c r="BI1252" s="74">
        <f>+BI1301/BI1407</f>
        <v>8.482749473125728E-2</v>
      </c>
      <c r="BJ1252" s="74">
        <f>+BJ1301/BJ1407</f>
        <v>8.482749473125728E-2</v>
      </c>
      <c r="BK1252" s="27"/>
      <c r="BL1252" s="74">
        <f>+BL1301/BL1407</f>
        <v>8.3217830016078062E-2</v>
      </c>
      <c r="BM1252" s="74">
        <f>+BM1301/BM1407</f>
        <v>8.7893364017824299E-2</v>
      </c>
      <c r="BN1252" s="74">
        <f>+BN1301/BN1407</f>
        <v>8.7893364017824299E-2</v>
      </c>
      <c r="BO1252" s="27"/>
      <c r="BP1252" s="74">
        <f>+BP1301/BP1407</f>
        <v>8.7203997280691101E-2</v>
      </c>
      <c r="BQ1252" s="74">
        <f>+BQ1301/BQ1407</f>
        <v>9.5850842296180738E-2</v>
      </c>
      <c r="BR1252" s="74">
        <f>+BR1301/BR1407</f>
        <v>9.5850842296180738E-2</v>
      </c>
      <c r="BT1252" s="74">
        <f>+BT1301/BT1407</f>
        <v>9.811631709735151E-2</v>
      </c>
      <c r="BU1252" s="74">
        <f>+BU1301/BU1407</f>
        <v>9.610555531080664E-2</v>
      </c>
      <c r="BV1252" s="74">
        <f>+BV1301/BV1407</f>
        <v>9.610555531080664E-2</v>
      </c>
      <c r="BX1252" s="74">
        <f>+BX1301/BX1407</f>
        <v>0.10129206125327422</v>
      </c>
      <c r="BY1252" s="74">
        <f>+BY1301/BY1407</f>
        <v>0.10568812593802814</v>
      </c>
      <c r="BZ1252" s="74">
        <f>+BZ1301/BZ1407</f>
        <v>0.10568812593802814</v>
      </c>
      <c r="CB1252" s="74">
        <f>+CB1301/CB1407</f>
        <v>0.11043340062712083</v>
      </c>
      <c r="CC1252" s="74">
        <f>+CC1301/CC1407</f>
        <v>0.11435187554372857</v>
      </c>
      <c r="CD1252" s="74">
        <f>+CD1301/CD1407</f>
        <v>0.11435187554372857</v>
      </c>
      <c r="CF1252" s="74">
        <f>+CF1301/CF1407</f>
        <v>0.11488527370038684</v>
      </c>
      <c r="CG1252" s="74">
        <f>+CG1301/CG1407</f>
        <v>0.11357177289962371</v>
      </c>
      <c r="CH1252" s="74">
        <f>+CH1301/CH1407</f>
        <v>0.11357177289962371</v>
      </c>
      <c r="CJ1252" s="74">
        <f>+CJ1301/CJ1407</f>
        <v>0.10763854863567121</v>
      </c>
      <c r="CK1252" s="74">
        <f>+CK1301/CK1407</f>
        <v>0.11342295008663573</v>
      </c>
      <c r="CL1252" s="74">
        <f>+CL1301/CL1407</f>
        <v>0.11342295008663573</v>
      </c>
      <c r="CN1252" s="74">
        <f>+CN1301/CN1407</f>
        <v>0.12442486635339543</v>
      </c>
      <c r="CO1252" s="74">
        <f>+CO1301/CO1407</f>
        <v>0.12343361708877491</v>
      </c>
      <c r="CP1252" s="74">
        <f>+CP1301/CP1407</f>
        <v>0.12343361708877491</v>
      </c>
      <c r="CR1252" s="74">
        <f>+CR1301/CR1407</f>
        <v>0.11534561896280057</v>
      </c>
      <c r="CS1252" s="74">
        <f>+CS1301/CS1407</f>
        <v>0.12287175788070848</v>
      </c>
      <c r="CT1252" s="74">
        <f>+CT1301/CT1407</f>
        <v>0.12287175788070848</v>
      </c>
      <c r="CV1252" s="74">
        <f>+CV1301/CV1407</f>
        <v>0.13175235860659137</v>
      </c>
      <c r="CW1252" s="74">
        <f>+CW1301/CW1407</f>
        <v>0.13337271852434765</v>
      </c>
      <c r="CX1252" s="74">
        <f>+CX1301/CX1407</f>
        <v>0.13337271852434765</v>
      </c>
      <c r="CZ1252" s="74">
        <f>+CZ1301/CZ1407</f>
        <v>0.1349695803169747</v>
      </c>
      <c r="DA1252" s="74">
        <f>+DA1301/DA1407</f>
        <v>0.12196864181718027</v>
      </c>
      <c r="DB1252" s="74">
        <f>+DB1301/DB1407</f>
        <v>0.12196864181718027</v>
      </c>
      <c r="DD1252" s="74">
        <f>+DD1301/DD1407</f>
        <v>0.11775931291964375</v>
      </c>
      <c r="DE1252" s="74">
        <f>+DE1301/DE1407</f>
        <v>0.12034535173057506</v>
      </c>
      <c r="DF1252" s="74">
        <f>+DF1301/DF1407</f>
        <v>0.12034535173057506</v>
      </c>
      <c r="DH1252" s="74">
        <f ca="1">+DH1301/DH1407</f>
        <v>0.12423791116115317</v>
      </c>
      <c r="DI1252" s="74">
        <f ca="1">+DI1301/DI1407</f>
        <v>0.12416047323567664</v>
      </c>
      <c r="DJ1252" s="74">
        <f ca="1">+DJ1301/DJ1407</f>
        <v>0.12416047323567664</v>
      </c>
      <c r="DL1252" s="74">
        <f ca="1">+DL1301/DL1407</f>
        <v>0.12491467520708401</v>
      </c>
      <c r="DM1252" s="74">
        <f ca="1">+DM1301/DM1407</f>
        <v>0.12397303500389423</v>
      </c>
      <c r="DN1252" s="74">
        <f ca="1">+DN1301/DN1407</f>
        <v>0.12397303500389423</v>
      </c>
      <c r="DP1252" s="74">
        <f ca="1">+DP1301/DP1407</f>
        <v>0.12277347526778618</v>
      </c>
      <c r="DQ1252" s="74">
        <f ca="1">+DQ1301/DQ1407</f>
        <v>0.12236318860895939</v>
      </c>
      <c r="DR1252" s="74">
        <f ca="1">+DR1301/DR1407</f>
        <v>0.12236318860895939</v>
      </c>
      <c r="DW1252" s="540"/>
      <c r="DX1252" s="20"/>
    </row>
    <row r="1253" spans="1:128" s="20" customFormat="1" ht="13.8">
      <c r="A1253" s="20" t="s">
        <v>677</v>
      </c>
      <c r="B1253" s="49"/>
      <c r="BH1253" s="66">
        <f>+BH1254-BH1252</f>
        <v>1.663143014799337E-2</v>
      </c>
      <c r="BI1253" s="66">
        <f>+BI1254-BI1252</f>
        <v>1.8867257158858119E-2</v>
      </c>
      <c r="BJ1253" s="66">
        <f>+BJ1254-BJ1252</f>
        <v>1.8867257158858119E-2</v>
      </c>
      <c r="BK1253" s="49"/>
      <c r="BL1253" s="66">
        <f>+BL1254-BL1252</f>
        <v>2.0177967511226927E-2</v>
      </c>
      <c r="BM1253" s="66">
        <f>+BM1254-BM1252</f>
        <v>1.8878153619764942E-2</v>
      </c>
      <c r="BN1253" s="66">
        <f>+BN1254-BN1252</f>
        <v>1.8878153619764942E-2</v>
      </c>
      <c r="BO1253" s="49"/>
      <c r="BP1253" s="66">
        <f>+BP1254-BP1252</f>
        <v>1.9004143585713798E-2</v>
      </c>
      <c r="BQ1253" s="66">
        <f>+BQ1254-BQ1252</f>
        <v>1.7311170656097857E-2</v>
      </c>
      <c r="BR1253" s="66">
        <f>+BR1254-BR1252</f>
        <v>1.7311170656097857E-2</v>
      </c>
      <c r="BT1253" s="66">
        <f>+BT1254-BT1252</f>
        <v>1.7922669859786008E-2</v>
      </c>
      <c r="BU1253" s="66">
        <f>+BU1254-BU1252</f>
        <v>2.2071456892374122E-2</v>
      </c>
      <c r="BV1253" s="66">
        <f>+BV1254-BV1252</f>
        <v>2.2071456892374122E-2</v>
      </c>
      <c r="BX1253" s="66">
        <f>+BX1254-BX1252</f>
        <v>1.9831754986903094E-2</v>
      </c>
      <c r="BY1253" s="66">
        <f>+BY1254-BY1252</f>
        <v>2.042376499886224E-2</v>
      </c>
      <c r="BZ1253" s="66">
        <f>+BZ1254-BZ1252</f>
        <v>2.042376499886224E-2</v>
      </c>
      <c r="CB1253" s="66">
        <f>+CB1254-CB1252</f>
        <v>1.8742877933785942E-2</v>
      </c>
      <c r="CC1253" s="66">
        <f>+CC1254-CC1252</f>
        <v>1.9259505654777145E-2</v>
      </c>
      <c r="CD1253" s="66">
        <f>+CD1254-CD1252</f>
        <v>1.9259505654777145E-2</v>
      </c>
      <c r="CF1253" s="66">
        <f>+CF1254-CF1252</f>
        <v>1.9044086290125189E-2</v>
      </c>
      <c r="CG1253" s="66">
        <f>+CG1254-CG1252</f>
        <v>1.88650737119299E-2</v>
      </c>
      <c r="CH1253" s="66">
        <f>+CH1254-CH1252</f>
        <v>1.88650737119299E-2</v>
      </c>
      <c r="CJ1253" s="66">
        <f>+CJ1254-CJ1252</f>
        <v>1.773671973132121E-2</v>
      </c>
      <c r="CK1253" s="66">
        <f>+CK1254-CK1252</f>
        <v>1.8116650830026268E-2</v>
      </c>
      <c r="CL1253" s="66">
        <f>+CL1254-CL1252</f>
        <v>1.8116650830026268E-2</v>
      </c>
      <c r="CN1253" s="66">
        <f>+CN1254-CN1252</f>
        <v>1.8730124508165788E-2</v>
      </c>
      <c r="CO1253" s="66">
        <f>+CO1254-CO1252</f>
        <v>1.9500776281826351E-2</v>
      </c>
      <c r="CP1253" s="66">
        <f>+CP1254-CP1252</f>
        <v>1.9500776281826351E-2</v>
      </c>
      <c r="CR1253" s="66">
        <f>+CR1254-CR1252</f>
        <v>1.7103971135621482E-2</v>
      </c>
      <c r="CS1253" s="66">
        <f>+CS1254-CS1252</f>
        <v>1.6902783703306223E-2</v>
      </c>
      <c r="CT1253" s="66">
        <f>+CT1254-CT1252</f>
        <v>1.6902783703306223E-2</v>
      </c>
      <c r="CV1253" s="66">
        <f>+CV1254-CV1252</f>
        <v>1.8764034062967339E-2</v>
      </c>
      <c r="CW1253" s="66">
        <f>+CW1254-CW1252</f>
        <v>1.8997200728318342E-2</v>
      </c>
      <c r="CX1253" s="66">
        <f>+CX1254-CX1252</f>
        <v>1.8997200728318342E-2</v>
      </c>
      <c r="CZ1253" s="66">
        <f>+CZ1254-CZ1252</f>
        <v>1.9171447782817569E-2</v>
      </c>
      <c r="DA1253" s="66">
        <f>+DA1254-DA1252</f>
        <v>1.8377364067517263E-2</v>
      </c>
      <c r="DB1253" s="66">
        <f>+DB1254-DB1252</f>
        <v>1.8377364067517263E-2</v>
      </c>
      <c r="DD1253" s="66">
        <f>+DD1254-DD1252</f>
        <v>1.5869969872003981E-2</v>
      </c>
      <c r="DE1253" s="66">
        <f>+DE1254-DE1252</f>
        <v>1.6044156869415765E-2</v>
      </c>
      <c r="DF1253" s="66">
        <f>+DF1254-DF1252</f>
        <v>1.6044156869415765E-2</v>
      </c>
      <c r="DH1253" s="66">
        <f ca="1">+DH1254-DH1252</f>
        <v>1.5937869338468316E-2</v>
      </c>
      <c r="DI1253" s="66">
        <f ca="1">+DI1254-DI1252</f>
        <v>1.5620742532001713E-2</v>
      </c>
      <c r="DJ1253" s="66">
        <f ca="1">+DJ1254-DJ1252</f>
        <v>1.5620742532001713E-2</v>
      </c>
      <c r="DL1253" s="66">
        <f ca="1">+DL1254-DL1252</f>
        <v>1.5394630210563712E-2</v>
      </c>
      <c r="DM1253" s="66">
        <f ca="1">+DM1254-DM1252</f>
        <v>1.5118965154280434E-2</v>
      </c>
      <c r="DN1253" s="66">
        <f ca="1">+DN1254-DN1252</f>
        <v>1.5118965154280434E-2</v>
      </c>
      <c r="DP1253" s="66">
        <f ca="1">+DP1254-DP1252</f>
        <v>1.477546217087139E-2</v>
      </c>
      <c r="DQ1253" s="66">
        <f ca="1">+DQ1254-DQ1252</f>
        <v>1.4532769941087487E-2</v>
      </c>
      <c r="DR1253" s="66">
        <f ca="1">+DR1254-DR1252</f>
        <v>1.4532769941087487E-2</v>
      </c>
      <c r="DW1253" s="540"/>
    </row>
    <row r="1254" spans="1:128" s="20" customFormat="1" ht="13.8">
      <c r="A1254" s="21" t="s">
        <v>241</v>
      </c>
      <c r="B1254" s="49"/>
      <c r="BH1254" s="74">
        <f>BH1307/BH1407</f>
        <v>9.8393586746935657E-2</v>
      </c>
      <c r="BI1254" s="74">
        <f>BI1307/BI1407</f>
        <v>0.1036947518901154</v>
      </c>
      <c r="BJ1254" s="74">
        <f>BJ1307/BJ1407</f>
        <v>0.1036947518901154</v>
      </c>
      <c r="BK1254" s="49"/>
      <c r="BL1254" s="74">
        <f>BL1307/BL1407</f>
        <v>0.10339579752730499</v>
      </c>
      <c r="BM1254" s="74">
        <f>BM1307/BM1407</f>
        <v>0.10677151763758924</v>
      </c>
      <c r="BN1254" s="74">
        <f>BN1307/BN1407</f>
        <v>0.10677151763758924</v>
      </c>
      <c r="BO1254" s="49"/>
      <c r="BP1254" s="74">
        <f>BP1307/BP1407</f>
        <v>0.1062081408664049</v>
      </c>
      <c r="BQ1254" s="74">
        <f>BQ1307/BQ1407</f>
        <v>0.1131620129522786</v>
      </c>
      <c r="BR1254" s="74">
        <f>BR1307/BR1407</f>
        <v>0.1131620129522786</v>
      </c>
      <c r="BT1254" s="74">
        <f>BT1307/BT1407</f>
        <v>0.11603898695713752</v>
      </c>
      <c r="BU1254" s="74">
        <f>BU1307/BU1407</f>
        <v>0.11817701220318076</v>
      </c>
      <c r="BV1254" s="74">
        <f>BV1307/BV1407</f>
        <v>0.11817701220318076</v>
      </c>
      <c r="BX1254" s="74">
        <f>BX1307/BX1407</f>
        <v>0.12112381624017732</v>
      </c>
      <c r="BY1254" s="74">
        <f>BY1307/BY1407</f>
        <v>0.12611189093689038</v>
      </c>
      <c r="BZ1254" s="74">
        <f>BZ1307/BZ1407</f>
        <v>0.12611189093689038</v>
      </c>
      <c r="CB1254" s="74">
        <f>CB1307/CB1407</f>
        <v>0.12917627856090677</v>
      </c>
      <c r="CC1254" s="74">
        <f>CC1307/CC1407</f>
        <v>0.13361138119850571</v>
      </c>
      <c r="CD1254" s="74">
        <f>CD1307/CD1407</f>
        <v>0.13361138119850571</v>
      </c>
      <c r="CF1254" s="74">
        <f>CF1307/CF1407</f>
        <v>0.13392935999051203</v>
      </c>
      <c r="CG1254" s="74">
        <f>CG1307/CG1407</f>
        <v>0.13243684661155361</v>
      </c>
      <c r="CH1254" s="74">
        <f>CH1307/CH1407</f>
        <v>0.13243684661155361</v>
      </c>
      <c r="CJ1254" s="74">
        <f>CJ1307/CJ1407</f>
        <v>0.12537526836699242</v>
      </c>
      <c r="CK1254" s="74">
        <f>CK1307/CK1407</f>
        <v>0.131539600916662</v>
      </c>
      <c r="CL1254" s="74">
        <f>CL1307/CL1407</f>
        <v>0.131539600916662</v>
      </c>
      <c r="CN1254" s="74">
        <f>CN1307/CN1407</f>
        <v>0.14315499086156122</v>
      </c>
      <c r="CO1254" s="74">
        <f>CO1307/CO1407</f>
        <v>0.14293439337060126</v>
      </c>
      <c r="CP1254" s="74">
        <f>CP1307/CP1407</f>
        <v>0.14293439337060126</v>
      </c>
      <c r="CR1254" s="74">
        <f>CR1307/CR1407</f>
        <v>0.13244959009842205</v>
      </c>
      <c r="CS1254" s="74">
        <f>CS1307/CS1407</f>
        <v>0.1397745415840147</v>
      </c>
      <c r="CT1254" s="74">
        <f>CT1307/CT1407</f>
        <v>0.1397745415840147</v>
      </c>
      <c r="CV1254" s="74">
        <f>CV1307/CV1407</f>
        <v>0.15051639266955871</v>
      </c>
      <c r="CW1254" s="74">
        <f>CW1307/CW1407</f>
        <v>0.15236991925266599</v>
      </c>
      <c r="CX1254" s="74">
        <f>CX1307/CX1407</f>
        <v>0.15236991925266599</v>
      </c>
      <c r="CZ1254" s="74">
        <f>CZ1307/CZ1407</f>
        <v>0.15414102809979227</v>
      </c>
      <c r="DA1254" s="74">
        <f>DA1307/DA1407</f>
        <v>0.14034600588469753</v>
      </c>
      <c r="DB1254" s="74">
        <f>DB1307/DB1407</f>
        <v>0.14034600588469753</v>
      </c>
      <c r="DD1254" s="74">
        <f>DD1307/DD1407</f>
        <v>0.13362928279164774</v>
      </c>
      <c r="DE1254" s="74">
        <f>DE1307/DE1407</f>
        <v>0.13638950859999083</v>
      </c>
      <c r="DF1254" s="74">
        <f>DF1307/DF1407</f>
        <v>0.13638950859999083</v>
      </c>
      <c r="DH1254" s="74">
        <f ca="1">DH1307/DH1407</f>
        <v>0.14017578049962148</v>
      </c>
      <c r="DI1254" s="74">
        <f ca="1">DI1307/DI1407</f>
        <v>0.13978121576767835</v>
      </c>
      <c r="DJ1254" s="74">
        <f ca="1">DJ1307/DJ1407</f>
        <v>0.13978121576767835</v>
      </c>
      <c r="DL1254" s="74">
        <f ca="1">DL1307/DL1407</f>
        <v>0.14030930541764772</v>
      </c>
      <c r="DM1254" s="74">
        <f ca="1">DM1307/DM1407</f>
        <v>0.13909200015817466</v>
      </c>
      <c r="DN1254" s="74">
        <f ca="1">DN1307/DN1407</f>
        <v>0.13909200015817466</v>
      </c>
      <c r="DP1254" s="74">
        <f ca="1">DP1307/DP1407</f>
        <v>0.13754893743865756</v>
      </c>
      <c r="DQ1254" s="74">
        <f ca="1">DQ1307/DQ1407</f>
        <v>0.13689595855004688</v>
      </c>
      <c r="DR1254" s="74">
        <f ca="1">DR1307/DR1407</f>
        <v>0.13689595855004688</v>
      </c>
      <c r="DW1254" s="540"/>
    </row>
    <row r="1255" spans="1:128" s="20" customFormat="1" ht="13.8">
      <c r="A1255" s="20" t="s">
        <v>242</v>
      </c>
      <c r="B1255" s="49"/>
      <c r="BH1255" s="100">
        <f>BH1308/BH1407</f>
        <v>1.8792121073091493E-2</v>
      </c>
      <c r="BI1255" s="100">
        <f>BI1308/BI1407</f>
        <v>1.824532445138756E-2</v>
      </c>
      <c r="BJ1255" s="100">
        <f>BI1255</f>
        <v>1.824532445138756E-2</v>
      </c>
      <c r="BK1255" s="49"/>
      <c r="BL1255" s="100">
        <f>BL1308/BL1407</f>
        <v>1.7561124355491491E-2</v>
      </c>
      <c r="BM1255" s="100">
        <f>BM1308/BM1407</f>
        <v>1.9743920957931451E-2</v>
      </c>
      <c r="BN1255" s="100">
        <f>BM1255</f>
        <v>1.9743920957931451E-2</v>
      </c>
      <c r="BO1255" s="49"/>
      <c r="BP1255" s="100">
        <f>BP1308/BP1407</f>
        <v>1.9945045145180595E-2</v>
      </c>
      <c r="BQ1255" s="66">
        <f>BP1255</f>
        <v>1.9945045145180595E-2</v>
      </c>
      <c r="BR1255" s="66">
        <f>BQ1255</f>
        <v>1.9945045145180595E-2</v>
      </c>
      <c r="BT1255" s="100">
        <f>BT1308/BT1407</f>
        <v>2.0796477268337905E-2</v>
      </c>
      <c r="BU1255" s="100">
        <f>BU1308/BU1407</f>
        <v>2.5277667640767335E-2</v>
      </c>
      <c r="BV1255" s="66">
        <f>BU1255</f>
        <v>2.5277667640767335E-2</v>
      </c>
      <c r="BX1255" s="100">
        <f>BX1308/BX1407</f>
        <v>2.4299818658069718E-2</v>
      </c>
      <c r="BY1255" s="100">
        <f>BY1308/BY1407</f>
        <v>2.2164949771549397E-2</v>
      </c>
      <c r="BZ1255" s="66">
        <f>BY1255</f>
        <v>2.2164949771549397E-2</v>
      </c>
      <c r="CB1255" s="100">
        <f>CB1308/CB1407</f>
        <v>2.0314470017206661E-2</v>
      </c>
      <c r="CC1255" s="100">
        <f>CC1308/CC1407</f>
        <v>1.8655647100967197E-2</v>
      </c>
      <c r="CD1255" s="66">
        <f>CC1255</f>
        <v>1.8655647100967197E-2</v>
      </c>
      <c r="CF1255" s="100">
        <f>CF1308/CF1407</f>
        <v>1.9099601050743015E-2</v>
      </c>
      <c r="CG1255" s="100">
        <f>CG1308/CG1407</f>
        <v>2.0503116598434866E-2</v>
      </c>
      <c r="CH1255" s="66">
        <f>CG1255</f>
        <v>2.0503116598434866E-2</v>
      </c>
      <c r="CJ1255" s="100">
        <f>CJ1308/CJ1407</f>
        <v>2.9201892154329952E-2</v>
      </c>
      <c r="CK1255" s="100">
        <f>CK1308/CK1407</f>
        <v>3.2504704413764837E-2</v>
      </c>
      <c r="CL1255" s="66">
        <f>CK1255</f>
        <v>3.2504704413764837E-2</v>
      </c>
      <c r="CN1255" s="100">
        <f>CN1308/CN1407</f>
        <v>4.0336529745250704E-2</v>
      </c>
      <c r="CO1255" s="100">
        <f>CO1308/CO1407</f>
        <v>4.1157356892565479E-2</v>
      </c>
      <c r="CP1255" s="66">
        <f>CO1255</f>
        <v>4.1157356892565479E-2</v>
      </c>
      <c r="CR1255" s="100">
        <f>CR1308/CR1407</f>
        <v>3.3751227421159602E-2</v>
      </c>
      <c r="CS1255" s="100">
        <f>CS1308/CS1407</f>
        <v>4.2393307500472821E-2</v>
      </c>
      <c r="CT1255" s="66">
        <f>CS1255</f>
        <v>4.2393307500472821E-2</v>
      </c>
      <c r="CV1255" s="100">
        <f>CV1308/CV1407</f>
        <v>5.5263432675905215E-2</v>
      </c>
      <c r="CW1255" s="100">
        <f>CW1308/CW1407</f>
        <v>5.7598534132421934E-2</v>
      </c>
      <c r="CX1255" s="66">
        <f>CW1255</f>
        <v>5.7598534132421934E-2</v>
      </c>
      <c r="CZ1255" s="100">
        <f>CZ1308/CZ1407</f>
        <v>6.5213423017290578E-2</v>
      </c>
      <c r="DA1255" s="100">
        <f>DA1308/DA1407</f>
        <v>6.5360896766999119E-2</v>
      </c>
      <c r="DB1255" s="66">
        <f>DA1255</f>
        <v>6.5360896766999119E-2</v>
      </c>
      <c r="DD1255" s="100">
        <f>DD1308/DD1407</f>
        <v>7.0002281454757898E-2</v>
      </c>
      <c r="DE1255" s="100">
        <f>DE1308/DE1407</f>
        <v>7.3732899789988815E-2</v>
      </c>
      <c r="DF1255" s="66">
        <f>DE1255</f>
        <v>7.3732899789988815E-2</v>
      </c>
      <c r="DH1255" s="66">
        <f>DE1255</f>
        <v>7.3732899789988815E-2</v>
      </c>
      <c r="DI1255" s="66">
        <f>DH1255</f>
        <v>7.3732899789988815E-2</v>
      </c>
      <c r="DJ1255" s="66">
        <f>DI1255</f>
        <v>7.3732899789988815E-2</v>
      </c>
      <c r="DL1255" s="66">
        <f>DI1255</f>
        <v>7.3732899789988815E-2</v>
      </c>
      <c r="DM1255" s="66">
        <f>DL1255</f>
        <v>7.3732899789988815E-2</v>
      </c>
      <c r="DN1255" s="66">
        <f>DM1255</f>
        <v>7.3732899789988815E-2</v>
      </c>
      <c r="DP1255" s="66">
        <f>DM1255</f>
        <v>7.3732899789988815E-2</v>
      </c>
      <c r="DQ1255" s="66">
        <f>DP1255</f>
        <v>7.3732899789988815E-2</v>
      </c>
      <c r="DR1255" s="66">
        <f>DQ1255</f>
        <v>7.3732899789988815E-2</v>
      </c>
      <c r="DW1255" s="540"/>
    </row>
    <row r="1256" spans="1:128" s="20" customFormat="1" ht="13.8">
      <c r="A1256" s="21" t="s">
        <v>296</v>
      </c>
      <c r="B1256" s="49"/>
      <c r="BH1256" s="74">
        <f>+BH1254+BH1255</f>
        <v>0.11718570782002716</v>
      </c>
      <c r="BI1256" s="74">
        <f>+BI1254+BI1255</f>
        <v>0.12194007634150296</v>
      </c>
      <c r="BJ1256" s="74">
        <f>+BJ1254+BJ1255</f>
        <v>0.12194007634150296</v>
      </c>
      <c r="BK1256" s="49"/>
      <c r="BL1256" s="74">
        <f>+BL1254+BL1255</f>
        <v>0.12095692188279648</v>
      </c>
      <c r="BM1256" s="74">
        <f>+BM1254+BM1255</f>
        <v>0.1265154385955207</v>
      </c>
      <c r="BN1256" s="74">
        <f>+BN1254+BN1255</f>
        <v>0.1265154385955207</v>
      </c>
      <c r="BO1256" s="49"/>
      <c r="BP1256" s="74">
        <f>+BP1254+BP1255</f>
        <v>0.12615318601158548</v>
      </c>
      <c r="BQ1256" s="74">
        <f>+BQ1254+BQ1255</f>
        <v>0.13310705809745918</v>
      </c>
      <c r="BR1256" s="74">
        <f>+BR1254+BR1255</f>
        <v>0.13310705809745918</v>
      </c>
      <c r="BT1256" s="74">
        <f>+BT1254+BT1255</f>
        <v>0.13683546422547543</v>
      </c>
      <c r="BU1256" s="74">
        <f>+BU1254+BU1255</f>
        <v>0.14345467984394811</v>
      </c>
      <c r="BV1256" s="74">
        <f>+BV1254+BV1255</f>
        <v>0.14345467984394811</v>
      </c>
      <c r="BX1256" s="74">
        <f>+BX1254+BX1255</f>
        <v>0.14542363489824703</v>
      </c>
      <c r="BY1256" s="74">
        <f>+BY1254+BY1255</f>
        <v>0.14827684070843977</v>
      </c>
      <c r="BZ1256" s="74">
        <f>+BZ1254+BZ1255</f>
        <v>0.14827684070843977</v>
      </c>
      <c r="CB1256" s="74">
        <f>+CB1254+CB1255</f>
        <v>0.14949074857811342</v>
      </c>
      <c r="CC1256" s="74">
        <f>+CC1254+CC1255</f>
        <v>0.15226702829947292</v>
      </c>
      <c r="CD1256" s="74">
        <f>+CD1254+CD1255</f>
        <v>0.15226702829947292</v>
      </c>
      <c r="CF1256" s="74">
        <f>+CF1254+CF1255</f>
        <v>0.15302896104125505</v>
      </c>
      <c r="CG1256" s="74">
        <f>+CG1254+CG1255</f>
        <v>0.15293996320998848</v>
      </c>
      <c r="CH1256" s="74">
        <f>+CH1254+CH1255</f>
        <v>0.15293996320998848</v>
      </c>
      <c r="CJ1256" s="74">
        <f>+CJ1254+CJ1255</f>
        <v>0.15457716052132237</v>
      </c>
      <c r="CK1256" s="74">
        <f>+CK1254+CK1255</f>
        <v>0.16404430533042685</v>
      </c>
      <c r="CL1256" s="74">
        <f>+CL1254+CL1255</f>
        <v>0.16404430533042685</v>
      </c>
      <c r="CN1256" s="74">
        <f>+CN1254+CN1255</f>
        <v>0.18349152060681193</v>
      </c>
      <c r="CO1256" s="74">
        <f>+CO1254+CO1255</f>
        <v>0.18409175026316674</v>
      </c>
      <c r="CP1256" s="74">
        <f>+CP1254+CP1255</f>
        <v>0.18409175026316674</v>
      </c>
      <c r="CR1256" s="74">
        <f>+CR1254+CR1255</f>
        <v>0.16620081751958166</v>
      </c>
      <c r="CS1256" s="74">
        <f>+CS1254+CS1255</f>
        <v>0.18216784908448752</v>
      </c>
      <c r="CT1256" s="74">
        <f>+CT1254+CT1255</f>
        <v>0.18216784908448752</v>
      </c>
      <c r="CV1256" s="74">
        <f>+CV1254+CV1255</f>
        <v>0.20577982534546393</v>
      </c>
      <c r="CW1256" s="74">
        <f>+CW1254+CW1255</f>
        <v>0.20996845338508793</v>
      </c>
      <c r="CX1256" s="74">
        <f>+CX1254+CX1255</f>
        <v>0.20996845338508793</v>
      </c>
      <c r="CZ1256" s="74">
        <f>+CZ1254+CZ1255</f>
        <v>0.21935445111708285</v>
      </c>
      <c r="DA1256" s="74">
        <f>+DA1254+DA1255</f>
        <v>0.20570690265169667</v>
      </c>
      <c r="DB1256" s="74">
        <f>+DB1254+DB1255</f>
        <v>0.20570690265169667</v>
      </c>
      <c r="DD1256" s="74">
        <f>+DD1254+DD1255</f>
        <v>0.20363156424640563</v>
      </c>
      <c r="DE1256" s="74">
        <f>+DE1254+DE1255</f>
        <v>0.21012240838997964</v>
      </c>
      <c r="DF1256" s="74">
        <f>+DF1254+DF1255</f>
        <v>0.21012240838997964</v>
      </c>
      <c r="DH1256" s="74">
        <f ca="1">+DH1254+DH1255</f>
        <v>0.2139086802896103</v>
      </c>
      <c r="DI1256" s="74">
        <f ca="1">+DI1254+DI1255</f>
        <v>0.21351411555766717</v>
      </c>
      <c r="DJ1256" s="74">
        <f ca="1">+DJ1254+DJ1255</f>
        <v>0.21351411555766717</v>
      </c>
      <c r="DL1256" s="74">
        <f ca="1">+DL1254+DL1255</f>
        <v>0.21404220520763653</v>
      </c>
      <c r="DM1256" s="74">
        <f ca="1">+DM1254+DM1255</f>
        <v>0.21282489994816348</v>
      </c>
      <c r="DN1256" s="74">
        <f ca="1">+DN1254+DN1255</f>
        <v>0.21282489994816348</v>
      </c>
      <c r="DP1256" s="74">
        <f ca="1">+DP1254+DP1255</f>
        <v>0.21128183722864638</v>
      </c>
      <c r="DQ1256" s="74">
        <f ca="1">+DQ1254+DQ1255</f>
        <v>0.2106288583400357</v>
      </c>
      <c r="DR1256" s="74">
        <f ca="1">+DR1254+DR1255</f>
        <v>0.2106288583400357</v>
      </c>
      <c r="DW1256" s="540"/>
    </row>
    <row r="1257" spans="1:128" s="20" customFormat="1" ht="13.8">
      <c r="A1257" s="21"/>
      <c r="B1257" s="49"/>
      <c r="BH1257" s="74"/>
      <c r="BI1257" s="74"/>
      <c r="BJ1257" s="74"/>
      <c r="BK1257" s="49"/>
      <c r="BL1257" s="74"/>
      <c r="BM1257" s="74"/>
      <c r="BN1257" s="74"/>
      <c r="BO1257" s="49"/>
      <c r="BP1257" s="74"/>
      <c r="BQ1257" s="74"/>
      <c r="BR1257" s="74"/>
      <c r="BT1257" s="74"/>
      <c r="BU1257" s="74"/>
      <c r="BV1257" s="74"/>
      <c r="BX1257" s="74"/>
      <c r="BY1257" s="74"/>
      <c r="BZ1257" s="74"/>
      <c r="CB1257" s="74"/>
      <c r="CC1257" s="74"/>
      <c r="CD1257" s="74"/>
      <c r="CF1257" s="74"/>
      <c r="CG1257" s="74"/>
      <c r="CH1257" s="74"/>
      <c r="CJ1257" s="74"/>
      <c r="CK1257" s="74"/>
      <c r="CL1257" s="74"/>
      <c r="CN1257" s="74"/>
      <c r="CO1257" s="74"/>
      <c r="CP1257" s="74"/>
      <c r="CR1257" s="74"/>
      <c r="CS1257" s="74"/>
      <c r="CT1257" s="74"/>
      <c r="CV1257" s="74"/>
      <c r="CW1257" s="74"/>
      <c r="CX1257" s="74"/>
      <c r="CZ1257" s="74"/>
      <c r="DA1257" s="74"/>
      <c r="DB1257" s="74"/>
      <c r="DD1257" s="74"/>
      <c r="DE1257" s="74"/>
      <c r="DF1257" s="74"/>
      <c r="DH1257" s="74"/>
      <c r="DI1257" s="74"/>
      <c r="DJ1257" s="74"/>
      <c r="DL1257" s="74"/>
      <c r="DM1257" s="74"/>
      <c r="DN1257" s="74"/>
      <c r="DP1257" s="74"/>
      <c r="DQ1257" s="74"/>
      <c r="DR1257" s="74"/>
      <c r="DW1257" s="540" t="s">
        <v>844</v>
      </c>
      <c r="DX1257" s="20" t="s">
        <v>874</v>
      </c>
    </row>
    <row r="1258" spans="1:128" s="20" customFormat="1" ht="13.8">
      <c r="A1258" s="20" t="s">
        <v>934</v>
      </c>
      <c r="B1258" s="49"/>
      <c r="BH1258" s="74"/>
      <c r="BI1258" s="74"/>
      <c r="BJ1258" s="74"/>
      <c r="BK1258" s="49"/>
      <c r="BL1258" s="74"/>
      <c r="BM1258" s="74"/>
      <c r="BN1258" s="74"/>
      <c r="BO1258" s="49"/>
      <c r="BP1258" s="74"/>
      <c r="BQ1258" s="74"/>
      <c r="BR1258" s="74"/>
      <c r="BT1258" s="74"/>
      <c r="BU1258" s="74"/>
      <c r="BV1258" s="74"/>
      <c r="BX1258" s="74"/>
      <c r="BY1258" s="74"/>
      <c r="BZ1258" s="74"/>
      <c r="CB1258" s="74"/>
      <c r="CC1258" s="74"/>
      <c r="CD1258" s="74"/>
      <c r="CF1258" s="823">
        <v>0.105</v>
      </c>
      <c r="CG1258" s="823">
        <v>0.105</v>
      </c>
      <c r="CH1258" s="74"/>
      <c r="CJ1258" s="823">
        <v>0.105</v>
      </c>
      <c r="CK1258" s="823">
        <v>0.105</v>
      </c>
      <c r="CL1258" s="74"/>
      <c r="CN1258" s="823">
        <v>0.1075</v>
      </c>
      <c r="CO1258" s="823">
        <v>0.1075</v>
      </c>
      <c r="CP1258" s="74"/>
      <c r="CR1258" s="823">
        <v>0.1075</v>
      </c>
      <c r="CS1258" s="823">
        <v>0.1075</v>
      </c>
      <c r="CT1258" s="74"/>
      <c r="CV1258" s="823">
        <v>0.11</v>
      </c>
      <c r="CW1258" s="1071">
        <f>CV1258</f>
        <v>0.11</v>
      </c>
      <c r="CX1258" s="74"/>
      <c r="CZ1258" s="823">
        <v>0.11</v>
      </c>
      <c r="DA1258" s="1071">
        <f>CZ1258</f>
        <v>0.11</v>
      </c>
      <c r="DB1258" s="74"/>
      <c r="DD1258" s="823">
        <f>DA1258</f>
        <v>0.11</v>
      </c>
      <c r="DE1258" s="1071">
        <f>DD1258</f>
        <v>0.11</v>
      </c>
      <c r="DF1258" s="74"/>
      <c r="DH1258" s="1071">
        <f>DE1258</f>
        <v>0.11</v>
      </c>
      <c r="DI1258" s="1071">
        <f>DH1258</f>
        <v>0.11</v>
      </c>
      <c r="DJ1258" s="74"/>
      <c r="DL1258" s="1071">
        <f>DI1258</f>
        <v>0.11</v>
      </c>
      <c r="DM1258" s="1071">
        <f>DL1258</f>
        <v>0.11</v>
      </c>
      <c r="DN1258" s="74"/>
      <c r="DP1258" s="1071">
        <f>DM1258</f>
        <v>0.11</v>
      </c>
      <c r="DQ1258" s="1071">
        <f>DP1258</f>
        <v>0.11</v>
      </c>
      <c r="DR1258" s="74"/>
      <c r="DW1258" s="540"/>
    </row>
    <row r="1259" spans="1:128" s="20" customFormat="1" ht="13.8">
      <c r="A1259" s="21" t="s">
        <v>935</v>
      </c>
      <c r="B1259" s="49"/>
      <c r="BH1259" s="74"/>
      <c r="BI1259" s="74"/>
      <c r="BJ1259" s="74"/>
      <c r="BK1259" s="49"/>
      <c r="BL1259" s="74"/>
      <c r="BM1259" s="74"/>
      <c r="BN1259" s="74"/>
      <c r="BO1259" s="49"/>
      <c r="BP1259" s="74"/>
      <c r="BQ1259" s="74"/>
      <c r="BR1259" s="74"/>
      <c r="BT1259" s="74"/>
      <c r="BU1259" s="74"/>
      <c r="BV1259" s="74"/>
      <c r="BX1259" s="74"/>
      <c r="BY1259" s="74"/>
      <c r="BZ1259" s="74"/>
      <c r="CB1259" s="74"/>
      <c r="CC1259" s="74"/>
      <c r="CD1259" s="74"/>
      <c r="CF1259" s="72">
        <f>+(CF1252-CF1258)*CF1407</f>
        <v>3917.4450000000033</v>
      </c>
      <c r="CG1259" s="72">
        <f>+(CG1252-CG1258)*CG1407</f>
        <v>3574.0950000000034</v>
      </c>
      <c r="CH1259" s="74"/>
      <c r="CJ1259" s="72">
        <f>+(CJ1252-CJ1258)*CJ1407</f>
        <v>1184.7400000000034</v>
      </c>
      <c r="CK1259" s="72">
        <f>+(CK1252-CK1258)*CK1407</f>
        <v>3616.68</v>
      </c>
      <c r="CL1259" s="74"/>
      <c r="CN1259" s="72">
        <f>+(CN1252-CN1258)*CN1407</f>
        <v>6908.1550000000007</v>
      </c>
      <c r="CO1259" s="72">
        <f>+(CO1252-CO1258)*CO1407</f>
        <v>6629.7549999999992</v>
      </c>
      <c r="CP1259" s="74"/>
      <c r="CR1259" s="72">
        <f>+(CR1252-CR1258)*CR1407</f>
        <v>3435.6749999999993</v>
      </c>
      <c r="CS1259" s="72">
        <f>+(CS1252-CS1258)*CS1407</f>
        <v>6989.8149999999978</v>
      </c>
      <c r="CT1259" s="74"/>
      <c r="CV1259" s="72">
        <f>+(CV1252-CV1258)*CV1407</f>
        <v>9473.4572499999995</v>
      </c>
      <c r="CW1259" s="72">
        <f>+(CW1252-CW1258)*CW1407</f>
        <v>10128.029999999993</v>
      </c>
      <c r="CX1259" s="74"/>
      <c r="CZ1259" s="72">
        <f>+(CZ1252-CZ1258)*CZ1407</f>
        <v>10806.309999999994</v>
      </c>
      <c r="DA1259" s="72">
        <f>+(DA1252-DA1258)*DA1407</f>
        <v>5344.98</v>
      </c>
      <c r="DB1259" s="74"/>
      <c r="DD1259" s="72">
        <f>+(DD1252-DD1258)*DD1407</f>
        <v>3639.110000000001</v>
      </c>
      <c r="DE1259" s="72">
        <f>+(DE1252-DE1258)*DE1407</f>
        <v>4743.8300000000027</v>
      </c>
      <c r="DF1259" s="74"/>
      <c r="DH1259" s="72">
        <f ca="1">+(DH1252-DH1258)*DH1407</f>
        <v>6657.1579751142572</v>
      </c>
      <c r="DI1259" s="72">
        <f ca="1">+(DI1252-DI1258)*DI1407</f>
        <v>6755.3668678732074</v>
      </c>
      <c r="DJ1259" s="74"/>
      <c r="DL1259" s="72">
        <f ca="1">+(DL1252-DL1258)*DL1407</f>
        <v>7219.6706333954953</v>
      </c>
      <c r="DM1259" s="72">
        <f ca="1">+(DM1252-DM1258)*DM1407</f>
        <v>6887.1814827577336</v>
      </c>
      <c r="DN1259" s="74"/>
      <c r="DP1259" s="72">
        <f ca="1">+(DP1252-DP1258)*DP1407</f>
        <v>6442.2984942696212</v>
      </c>
      <c r="DQ1259" s="72">
        <f ca="1">+(DQ1252-DQ1258)*DQ1407</f>
        <v>6339.4990691685962</v>
      </c>
      <c r="DR1259" s="74"/>
      <c r="DW1259" s="540"/>
    </row>
    <row r="1260" spans="1:128" s="20" customFormat="1" ht="13.8">
      <c r="A1260" s="20" t="s">
        <v>934</v>
      </c>
      <c r="B1260" s="49"/>
      <c r="BH1260" s="74"/>
      <c r="BI1260" s="74"/>
      <c r="BJ1260" s="74"/>
      <c r="BK1260" s="49"/>
      <c r="BL1260" s="74"/>
      <c r="BM1260" s="74"/>
      <c r="BN1260" s="74"/>
      <c r="BO1260" s="49"/>
      <c r="BP1260" s="74"/>
      <c r="BQ1260" s="74"/>
      <c r="BR1260" s="74"/>
      <c r="BT1260" s="74"/>
      <c r="BU1260" s="74"/>
      <c r="BV1260" s="74"/>
      <c r="BX1260" s="74"/>
      <c r="BY1260" s="74"/>
      <c r="BZ1260" s="74"/>
      <c r="CB1260" s="74"/>
      <c r="CC1260" s="74"/>
      <c r="CD1260" s="74"/>
      <c r="CF1260" s="823">
        <v>0.115</v>
      </c>
      <c r="CG1260" s="823">
        <v>0.115</v>
      </c>
      <c r="CH1260" s="74"/>
      <c r="CJ1260" s="823">
        <v>0.115</v>
      </c>
      <c r="CK1260" s="823">
        <v>0.115</v>
      </c>
      <c r="CL1260" s="74"/>
      <c r="CN1260" s="823">
        <v>0.1125</v>
      </c>
      <c r="CO1260" s="823">
        <v>0.1125</v>
      </c>
      <c r="CP1260" s="74"/>
      <c r="CR1260" s="823">
        <v>0.1125</v>
      </c>
      <c r="CS1260" s="823">
        <v>0.1125</v>
      </c>
      <c r="CT1260" s="74"/>
      <c r="CV1260" s="823">
        <v>0.115</v>
      </c>
      <c r="CW1260" s="1071">
        <f>CV1260</f>
        <v>0.115</v>
      </c>
      <c r="CX1260" s="74"/>
      <c r="CZ1260" s="823">
        <v>0.115</v>
      </c>
      <c r="DA1260" s="1071">
        <f>CZ1260</f>
        <v>0.115</v>
      </c>
      <c r="DB1260" s="74"/>
      <c r="DD1260" s="823">
        <f>DA1260</f>
        <v>0.115</v>
      </c>
      <c r="DE1260" s="1071">
        <f>DD1260</f>
        <v>0.115</v>
      </c>
      <c r="DF1260" s="74"/>
      <c r="DH1260" s="1071">
        <f>DE1260</f>
        <v>0.115</v>
      </c>
      <c r="DI1260" s="1071">
        <f>DH1260</f>
        <v>0.115</v>
      </c>
      <c r="DJ1260" s="74"/>
      <c r="DL1260" s="1071">
        <f>DI1260</f>
        <v>0.115</v>
      </c>
      <c r="DM1260" s="1071">
        <f>DL1260</f>
        <v>0.115</v>
      </c>
      <c r="DN1260" s="74"/>
      <c r="DP1260" s="1071">
        <f>DM1260</f>
        <v>0.115</v>
      </c>
      <c r="DQ1260" s="1071">
        <f>DP1260</f>
        <v>0.115</v>
      </c>
      <c r="DR1260" s="74"/>
      <c r="DW1260" s="540"/>
    </row>
    <row r="1261" spans="1:128" s="20" customFormat="1" ht="13.8">
      <c r="A1261" s="21" t="s">
        <v>935</v>
      </c>
      <c r="B1261" s="49"/>
      <c r="BH1261" s="74"/>
      <c r="BI1261" s="74"/>
      <c r="BJ1261" s="74"/>
      <c r="BK1261" s="49"/>
      <c r="BL1261" s="74"/>
      <c r="BM1261" s="74"/>
      <c r="BN1261" s="74"/>
      <c r="BO1261" s="49"/>
      <c r="BP1261" s="74"/>
      <c r="BQ1261" s="74"/>
      <c r="BR1261" s="74"/>
      <c r="BT1261" s="74"/>
      <c r="BU1261" s="74"/>
      <c r="BV1261" s="74"/>
      <c r="BX1261" s="74"/>
      <c r="BY1261" s="74"/>
      <c r="BZ1261" s="74"/>
      <c r="CB1261" s="74"/>
      <c r="CC1261" s="74"/>
      <c r="CD1261" s="74"/>
      <c r="CF1261" s="72">
        <f>+(CF$1252-CF1260)*CF$1407</f>
        <v>-45.465000000000046</v>
      </c>
      <c r="CG1261" s="72">
        <f>+(CG$1252-CG1260)*CG$1407</f>
        <v>-595.51500000000021</v>
      </c>
      <c r="CH1261" s="74"/>
      <c r="CJ1261" s="72">
        <f>+(CJ$1252-CJ1260)*CJ$1407</f>
        <v>-3305.3800000000006</v>
      </c>
      <c r="CK1261" s="72">
        <f>+(CK$1252-CK1260)*CK$1407</f>
        <v>-677.16000000000372</v>
      </c>
      <c r="CL1261" s="74"/>
      <c r="CN1261" s="72">
        <f>+(CN$1252-CN1260)*CN$1407</f>
        <v>4867.3249999999989</v>
      </c>
      <c r="CO1261" s="72">
        <f>+(CO$1252-CO1260)*CO$1407</f>
        <v>4549.3249999999971</v>
      </c>
      <c r="CP1261" s="74"/>
      <c r="CR1261" s="72">
        <f>+(CR$1252-CR1260)*CR$1407</f>
        <v>1246.1249999999975</v>
      </c>
      <c r="CS1261" s="72">
        <f>+(CS$1252-CS1260)*CS$1407</f>
        <v>4716.2249999999958</v>
      </c>
      <c r="CT1261" s="74"/>
      <c r="CV1261" s="72">
        <f>+(CV$1252-CV1260)*CV$1407</f>
        <v>7295.8871249999984</v>
      </c>
      <c r="CW1261" s="72">
        <f>+(CW$1252-CW1260)*CW$1407</f>
        <v>7961.3949999999923</v>
      </c>
      <c r="CX1261" s="74"/>
      <c r="CZ1261" s="72">
        <f>+(CZ$1252-CZ1260)*CZ$1407</f>
        <v>8642.4149999999918</v>
      </c>
      <c r="DA1261" s="72">
        <f>+(DA$1252-DA1260)*DA$1407</f>
        <v>3112.0699999999974</v>
      </c>
      <c r="DB1261" s="74"/>
      <c r="DD1261" s="72">
        <f>+(DD$1252-DD1260)*DD$1407</f>
        <v>1294.1149999999991</v>
      </c>
      <c r="DE1261" s="72">
        <f>+(DE$1252-DE1260)*DE$1407</f>
        <v>2451.0950000000007</v>
      </c>
      <c r="DF1261" s="74"/>
      <c r="DH1261" s="72">
        <f ca="1">+(DH$1252-DH1260)*DH$1407</f>
        <v>4319.3297994203012</v>
      </c>
      <c r="DI1261" s="72">
        <f ca="1">+(DI$1252-DI1260)*DI$1407</f>
        <v>4370.0769289559867</v>
      </c>
      <c r="DJ1261" s="74"/>
      <c r="DL1261" s="72">
        <f ca="1">+(DL$1252-DL1260)*DL$1407</f>
        <v>4799.3461767266754</v>
      </c>
      <c r="DM1261" s="72">
        <f ca="1">+(DM$1252-DM1260)*DM$1407</f>
        <v>4422.7270958481213</v>
      </c>
      <c r="DN1261" s="74"/>
      <c r="DP1261" s="72">
        <f ca="1">+(DP$1252-DP1260)*DP$1407</f>
        <v>3920.5499649102458</v>
      </c>
      <c r="DQ1261" s="72">
        <f ca="1">+(DQ$1252-DQ1260)*DQ$1407</f>
        <v>3775.6382118754891</v>
      </c>
      <c r="DR1261" s="74"/>
      <c r="DW1261" s="540"/>
    </row>
    <row r="1262" spans="1:128" s="20" customFormat="1" ht="13.8">
      <c r="A1262" s="21"/>
      <c r="B1262" s="49"/>
      <c r="BH1262" s="74"/>
      <c r="BI1262" s="74"/>
      <c r="BJ1262" s="74"/>
      <c r="BK1262" s="49"/>
      <c r="BL1262" s="74"/>
      <c r="BM1262" s="74"/>
      <c r="BN1262" s="74"/>
      <c r="BO1262" s="49"/>
      <c r="BP1262" s="74"/>
      <c r="BQ1262" s="74"/>
      <c r="BR1262" s="74"/>
      <c r="BT1262" s="74"/>
      <c r="BU1262" s="74"/>
      <c r="BV1262" s="74"/>
      <c r="BX1262" s="74"/>
      <c r="BY1262" s="74"/>
      <c r="BZ1262" s="74"/>
      <c r="CB1262" s="74"/>
      <c r="CC1262" s="74"/>
      <c r="CD1262" s="74"/>
      <c r="CF1262" s="74"/>
      <c r="CG1262" s="74"/>
      <c r="CH1262" s="74"/>
      <c r="CJ1262" s="74"/>
      <c r="CK1262" s="74"/>
      <c r="CL1262" s="74"/>
      <c r="CN1262" s="74"/>
      <c r="CO1262" s="74"/>
      <c r="CP1262" s="74"/>
      <c r="CR1262" s="74"/>
      <c r="CS1262" s="74"/>
      <c r="CT1262" s="74"/>
      <c r="CV1262" s="74"/>
      <c r="CW1262" s="74"/>
      <c r="CX1262" s="74"/>
      <c r="CZ1262" s="74"/>
      <c r="DA1262" s="74"/>
      <c r="DB1262" s="74"/>
      <c r="DD1262" s="74"/>
      <c r="DE1262" s="74"/>
      <c r="DF1262" s="74"/>
      <c r="DH1262" s="74"/>
      <c r="DI1262" s="74"/>
      <c r="DJ1262" s="74"/>
      <c r="DL1262" s="74"/>
      <c r="DM1262" s="74"/>
      <c r="DN1262" s="74"/>
      <c r="DP1262" s="74"/>
      <c r="DQ1262" s="74"/>
      <c r="DR1262" s="74"/>
      <c r="DW1262" s="540"/>
    </row>
    <row r="1263" spans="1:128" s="20" customFormat="1" ht="13.8">
      <c r="A1263" s="20" t="s">
        <v>1149</v>
      </c>
      <c r="B1263" s="49"/>
      <c r="BH1263" s="74"/>
      <c r="BI1263" s="74"/>
      <c r="BJ1263" s="74"/>
      <c r="BK1263" s="49"/>
      <c r="BL1263" s="74"/>
      <c r="BM1263" s="74"/>
      <c r="BN1263" s="74"/>
      <c r="BO1263" s="49"/>
      <c r="BP1263" s="74"/>
      <c r="BQ1263" s="74"/>
      <c r="BR1263" s="74"/>
      <c r="BT1263" s="74"/>
      <c r="BU1263" s="74"/>
      <c r="BV1263" s="74"/>
      <c r="BX1263" s="74"/>
      <c r="BY1263" s="74"/>
      <c r="BZ1263" s="74"/>
      <c r="CB1263" s="74"/>
      <c r="CC1263" s="74"/>
      <c r="CD1263" s="74"/>
      <c r="CF1263" s="74"/>
      <c r="CG1263" s="74"/>
      <c r="CH1263" s="74"/>
      <c r="CJ1263" s="74"/>
      <c r="CK1263" s="74"/>
      <c r="CL1263" s="74"/>
      <c r="CN1263" s="74"/>
      <c r="CO1263" s="74"/>
      <c r="CP1263" s="74"/>
      <c r="CR1263" s="74"/>
      <c r="CS1263" s="74"/>
      <c r="CT1263" s="74"/>
      <c r="CV1263" s="573">
        <f>-CV1407*1.15%</f>
        <v>-5008.4112874999992</v>
      </c>
      <c r="CW1263" s="65">
        <f>CV1263</f>
        <v>-5008.4112874999992</v>
      </c>
      <c r="CX1263" s="74"/>
      <c r="CZ1263" s="573">
        <f>-CZ1407*1.15%</f>
        <v>-4976.9584999999997</v>
      </c>
      <c r="DA1263"/>
      <c r="DB1263"/>
      <c r="DC1263"/>
      <c r="DD1263" s="573"/>
      <c r="DE1263"/>
      <c r="DF1263"/>
      <c r="DG1263"/>
      <c r="DH1263"/>
      <c r="DI1263"/>
      <c r="DJ1263"/>
      <c r="DK1263"/>
      <c r="DL1263"/>
      <c r="DM1263"/>
      <c r="DN1263"/>
      <c r="DO1263"/>
      <c r="DP1263"/>
      <c r="DQ1263"/>
      <c r="DR1263"/>
      <c r="DS1263"/>
      <c r="DT1263"/>
      <c r="DU1263"/>
      <c r="DW1263" s="540"/>
    </row>
    <row r="1264" spans="1:128" s="20" customFormat="1" ht="13.8">
      <c r="A1264" s="20" t="s">
        <v>1150</v>
      </c>
      <c r="B1264" s="49"/>
      <c r="BH1264" s="74"/>
      <c r="BI1264" s="74"/>
      <c r="BJ1264" s="74"/>
      <c r="BK1264" s="49"/>
      <c r="BL1264" s="74"/>
      <c r="BM1264" s="74"/>
      <c r="BN1264" s="74"/>
      <c r="BO1264" s="49"/>
      <c r="BP1264" s="74"/>
      <c r="BQ1264" s="74"/>
      <c r="BR1264" s="74"/>
      <c r="BT1264" s="74"/>
      <c r="BU1264" s="74"/>
      <c r="BV1264" s="74"/>
      <c r="BX1264" s="74"/>
      <c r="BY1264" s="74"/>
      <c r="BZ1264" s="74"/>
      <c r="CB1264" s="74"/>
      <c r="CC1264" s="74"/>
      <c r="CD1264" s="74"/>
      <c r="CF1264" s="74"/>
      <c r="CG1264" s="74"/>
      <c r="CH1264" s="74"/>
      <c r="CJ1264" s="74"/>
      <c r="CK1264" s="74"/>
      <c r="CL1264" s="74"/>
      <c r="CN1264" s="74"/>
      <c r="CO1264" s="74"/>
      <c r="CP1264" s="74"/>
      <c r="CR1264" s="74"/>
      <c r="CS1264" s="74"/>
      <c r="CT1264" s="74"/>
      <c r="CV1264" s="573">
        <f>-CV1407*0.5%</f>
        <v>-2177.5701249999997</v>
      </c>
      <c r="CW1264" s="573">
        <f>-CW1407*0.5%</f>
        <v>-2166.6350000000002</v>
      </c>
      <c r="CX1264" s="74"/>
      <c r="CZ1264" s="573">
        <f>-CZ1407*0.5%</f>
        <v>-2163.895</v>
      </c>
      <c r="DA1264"/>
      <c r="DB1264"/>
      <c r="DC1264"/>
      <c r="DD1264" s="573"/>
      <c r="DE1264"/>
      <c r="DF1264"/>
      <c r="DG1264"/>
      <c r="DH1264"/>
      <c r="DI1264"/>
      <c r="DJ1264"/>
      <c r="DK1264"/>
      <c r="DL1264"/>
      <c r="DM1264"/>
      <c r="DN1264"/>
      <c r="DO1264"/>
      <c r="DP1264"/>
      <c r="DQ1264"/>
      <c r="DR1264"/>
      <c r="DS1264"/>
      <c r="DT1264"/>
      <c r="DU1264"/>
      <c r="DW1264" s="540"/>
    </row>
    <row r="1265" spans="1:128" s="20" customFormat="1" ht="13.8">
      <c r="A1265" s="21" t="s">
        <v>935</v>
      </c>
      <c r="B1265" s="49"/>
      <c r="BH1265" s="74"/>
      <c r="BI1265" s="74"/>
      <c r="BJ1265" s="74"/>
      <c r="BK1265" s="49"/>
      <c r="BL1265" s="74"/>
      <c r="BM1265" s="74"/>
      <c r="BN1265" s="74"/>
      <c r="BO1265" s="49"/>
      <c r="BP1265" s="74"/>
      <c r="BQ1265" s="74"/>
      <c r="BR1265" s="74"/>
      <c r="BT1265" s="74"/>
      <c r="BU1265" s="74"/>
      <c r="BV1265" s="74"/>
      <c r="BX1265" s="74"/>
      <c r="BY1265" s="74"/>
      <c r="BZ1265" s="74"/>
      <c r="CB1265" s="74"/>
      <c r="CC1265" s="74"/>
      <c r="CD1265" s="74"/>
      <c r="CF1265" s="74"/>
      <c r="CG1265" s="74"/>
      <c r="CH1265" s="74"/>
      <c r="CJ1265" s="74"/>
      <c r="CK1265" s="74"/>
      <c r="CL1265" s="74"/>
      <c r="CN1265" s="74"/>
      <c r="CO1265" s="74"/>
      <c r="CP1265" s="74"/>
      <c r="CR1265" s="74"/>
      <c r="CS1265" s="74"/>
      <c r="CT1265" s="74"/>
      <c r="CV1265" s="72">
        <f>+CV1261+CV1263+CV1264</f>
        <v>109.90571249999948</v>
      </c>
      <c r="CW1265" s="72">
        <f>+CW1261+CW1263+CW1264</f>
        <v>786.34871249999287</v>
      </c>
      <c r="CX1265" s="74"/>
      <c r="CZ1265" s="72">
        <f>+CZ1261+CZ1263+CZ1264</f>
        <v>1501.5614999999921</v>
      </c>
      <c r="DA1265"/>
      <c r="DB1265"/>
      <c r="DC1265"/>
      <c r="DD1265" s="72"/>
      <c r="DE1265"/>
      <c r="DF1265"/>
      <c r="DG1265"/>
      <c r="DH1265"/>
      <c r="DI1265"/>
      <c r="DJ1265"/>
      <c r="DK1265"/>
      <c r="DL1265"/>
      <c r="DM1265"/>
      <c r="DN1265"/>
      <c r="DO1265"/>
      <c r="DP1265"/>
      <c r="DQ1265"/>
      <c r="DR1265"/>
      <c r="DS1265"/>
      <c r="DT1265"/>
      <c r="DU1265"/>
      <c r="DW1265" s="540"/>
    </row>
    <row r="1266" spans="1:128" s="20" customFormat="1" ht="13.8">
      <c r="A1266" s="21"/>
      <c r="B1266" s="49"/>
      <c r="BH1266" s="74"/>
      <c r="BI1266" s="74"/>
      <c r="BJ1266" s="74"/>
      <c r="BK1266" s="49"/>
      <c r="BL1266" s="74"/>
      <c r="BM1266" s="74"/>
      <c r="BN1266" s="74"/>
      <c r="BO1266" s="49"/>
      <c r="BP1266" s="74"/>
      <c r="BQ1266" s="74"/>
      <c r="BR1266" s="74"/>
      <c r="BT1266" s="74"/>
      <c r="BU1266" s="74"/>
      <c r="BV1266" s="74"/>
      <c r="BX1266" s="74"/>
      <c r="BY1266" s="74"/>
      <c r="BZ1266" s="74"/>
      <c r="CB1266" s="74"/>
      <c r="CC1266" s="74"/>
      <c r="CD1266" s="74"/>
      <c r="CF1266" s="74"/>
      <c r="CG1266" s="74"/>
      <c r="CH1266" s="74"/>
      <c r="CJ1266" s="74"/>
      <c r="CK1266" s="74"/>
      <c r="CL1266" s="74"/>
      <c r="CN1266" s="74"/>
      <c r="CO1266" s="74"/>
      <c r="CP1266" s="74"/>
      <c r="CR1266" s="74"/>
      <c r="CS1266" s="74"/>
      <c r="CT1266" s="74"/>
      <c r="CV1266" s="74"/>
      <c r="CW1266" s="74"/>
      <c r="CX1266" s="74"/>
      <c r="CZ1266" s="74"/>
      <c r="DA1266" s="74"/>
      <c r="DB1266" s="74"/>
      <c r="DD1266" s="74"/>
      <c r="DE1266" s="74"/>
      <c r="DF1266" s="74"/>
      <c r="DH1266" s="74"/>
      <c r="DI1266" s="74"/>
      <c r="DJ1266" s="74"/>
      <c r="DL1266" s="74"/>
      <c r="DM1266" s="74"/>
      <c r="DN1266" s="74"/>
      <c r="DP1266" s="74"/>
      <c r="DQ1266" s="74"/>
      <c r="DR1266" s="74"/>
      <c r="DW1266" s="540"/>
    </row>
    <row r="1267" spans="1:128" s="20" customFormat="1" ht="13.8">
      <c r="A1267" s="540" t="s">
        <v>764</v>
      </c>
      <c r="B1267" s="49"/>
      <c r="BH1267" s="74"/>
      <c r="BI1267" s="74"/>
      <c r="BJ1267" s="74"/>
      <c r="BK1267" s="49"/>
      <c r="BL1267" s="74"/>
      <c r="BM1267" s="74"/>
      <c r="BN1267" s="543">
        <f>BN1252</f>
        <v>8.7893364017824299E-2</v>
      </c>
      <c r="BO1267" s="49"/>
      <c r="BP1267" s="543">
        <f>BP1252</f>
        <v>8.7203997280691101E-2</v>
      </c>
      <c r="BQ1267" s="543">
        <f>BQ1252</f>
        <v>9.5850842296180738E-2</v>
      </c>
      <c r="BR1267" s="543">
        <f>BR1252</f>
        <v>9.5850842296180738E-2</v>
      </c>
      <c r="BT1267" s="543">
        <f>BT1252</f>
        <v>9.811631709735151E-2</v>
      </c>
      <c r="BU1267" s="543">
        <f>BU1252</f>
        <v>9.610555531080664E-2</v>
      </c>
      <c r="BV1267" s="543">
        <f>BV1252</f>
        <v>9.610555531080664E-2</v>
      </c>
      <c r="BX1267" s="543">
        <f>BX1252</f>
        <v>0.10129206125327422</v>
      </c>
      <c r="BY1267" s="543">
        <f>BY1252</f>
        <v>0.10568812593802814</v>
      </c>
      <c r="BZ1267" s="543">
        <f>BZ1252</f>
        <v>0.10568812593802814</v>
      </c>
      <c r="CB1267" s="543">
        <f>CB1252</f>
        <v>0.11043340062712083</v>
      </c>
      <c r="CC1267" s="543">
        <f>CC1252</f>
        <v>0.11435187554372857</v>
      </c>
      <c r="CD1267" s="543">
        <f>CD1252</f>
        <v>0.11435187554372857</v>
      </c>
      <c r="CF1267" s="543">
        <f>CF1252</f>
        <v>0.11488527370038684</v>
      </c>
      <c r="CG1267" s="543">
        <f>CG1252</f>
        <v>0.11357177289962371</v>
      </c>
      <c r="CH1267" s="543">
        <f>CH1252</f>
        <v>0.11357177289962371</v>
      </c>
      <c r="CJ1267" s="543">
        <f>CJ1252</f>
        <v>0.10763854863567121</v>
      </c>
      <c r="CK1267" s="543">
        <f>CK1252</f>
        <v>0.11342295008663573</v>
      </c>
      <c r="CL1267" s="543">
        <f>CL1252</f>
        <v>0.11342295008663573</v>
      </c>
      <c r="CN1267" s="543">
        <f>CN1252</f>
        <v>0.12442486635339543</v>
      </c>
      <c r="CO1267" s="543">
        <f>CO1252</f>
        <v>0.12343361708877491</v>
      </c>
      <c r="CP1267" s="543">
        <f>CP1252</f>
        <v>0.12343361708877491</v>
      </c>
      <c r="CR1267" s="543">
        <f>CR1252</f>
        <v>0.11534561896280057</v>
      </c>
      <c r="CS1267" s="543">
        <f>CS1252</f>
        <v>0.12287175788070848</v>
      </c>
      <c r="CT1267" s="543">
        <f>CT1252</f>
        <v>0.12287175788070848</v>
      </c>
      <c r="CV1267" s="543">
        <f>CV1252</f>
        <v>0.13175235860659137</v>
      </c>
      <c r="CW1267" s="543">
        <f>CW1252</f>
        <v>0.13337271852434765</v>
      </c>
      <c r="CX1267" s="543">
        <f>CX1252</f>
        <v>0.13337271852434765</v>
      </c>
      <c r="CZ1267" s="543">
        <f>CZ1252</f>
        <v>0.1349695803169747</v>
      </c>
      <c r="DA1267" s="543">
        <f>DA1252</f>
        <v>0.12196864181718027</v>
      </c>
      <c r="DB1267" s="543">
        <f>DB1252</f>
        <v>0.12196864181718027</v>
      </c>
      <c r="DD1267" s="543">
        <f>DD1252</f>
        <v>0.11775931291964375</v>
      </c>
      <c r="DE1267" s="543">
        <f>DE1252</f>
        <v>0.12034535173057506</v>
      </c>
      <c r="DF1267" s="543">
        <f>DF1252</f>
        <v>0.12034535173057506</v>
      </c>
      <c r="DH1267" s="543">
        <f ca="1">DH1252</f>
        <v>0.12423791116115317</v>
      </c>
      <c r="DI1267" s="543">
        <f ca="1">DI1252</f>
        <v>0.12416047323567664</v>
      </c>
      <c r="DJ1267" s="543">
        <f ca="1">DJ1252</f>
        <v>0.12416047323567664</v>
      </c>
      <c r="DL1267" s="543">
        <f ca="1">DL1252</f>
        <v>0.12491467520708401</v>
      </c>
      <c r="DM1267" s="543">
        <f ca="1">DM1252</f>
        <v>0.12397303500389423</v>
      </c>
      <c r="DN1267" s="543">
        <f ca="1">DN1252</f>
        <v>0.12397303500389423</v>
      </c>
      <c r="DP1267" s="543">
        <f ca="1">DP1252</f>
        <v>0.12277347526778618</v>
      </c>
      <c r="DQ1267" s="543">
        <f ca="1">DQ1252</f>
        <v>0.12236318860895939</v>
      </c>
      <c r="DR1267" s="543">
        <f ca="1">DR1252</f>
        <v>0.12236318860895939</v>
      </c>
      <c r="DW1267" s="552">
        <v>0.1086</v>
      </c>
    </row>
    <row r="1268" spans="1:128" s="20" customFormat="1" ht="13.8">
      <c r="A1268" s="541" t="s">
        <v>765</v>
      </c>
      <c r="B1268" s="547" t="s">
        <v>848</v>
      </c>
      <c r="C1268" s="533"/>
      <c r="D1268" s="533"/>
      <c r="E1268" s="533"/>
      <c r="F1268" s="533"/>
      <c r="G1268" s="533"/>
      <c r="H1268" s="533"/>
      <c r="I1268" s="533"/>
      <c r="J1268" s="533"/>
      <c r="K1268" s="533"/>
      <c r="L1268" s="533"/>
      <c r="M1268" s="533"/>
      <c r="N1268" s="533"/>
      <c r="O1268" s="533"/>
      <c r="P1268" s="533"/>
      <c r="Q1268" s="533"/>
      <c r="R1268" s="533"/>
      <c r="S1268" s="533"/>
      <c r="T1268" s="533"/>
      <c r="U1268" s="533"/>
      <c r="V1268" s="533"/>
      <c r="W1268" s="533"/>
      <c r="X1268" s="533"/>
      <c r="Y1268" s="533"/>
      <c r="Z1268" s="533"/>
      <c r="AA1268" s="533"/>
      <c r="AB1268" s="533"/>
      <c r="AC1268" s="533"/>
      <c r="AD1268" s="533"/>
      <c r="AE1268" s="533"/>
      <c r="AF1268" s="533"/>
      <c r="AG1268" s="533"/>
      <c r="AH1268" s="533"/>
      <c r="AI1268" s="533"/>
      <c r="AJ1268" s="533"/>
      <c r="AK1268" s="533"/>
      <c r="AL1268" s="533"/>
      <c r="AM1268" s="533"/>
      <c r="AN1268" s="533"/>
      <c r="AO1268" s="533"/>
      <c r="AP1268" s="533"/>
      <c r="AQ1268" s="533"/>
      <c r="AR1268" s="533"/>
      <c r="AS1268" s="533"/>
      <c r="AT1268" s="533"/>
      <c r="AU1268" s="533"/>
      <c r="AV1268" s="533"/>
      <c r="AW1268" s="533"/>
      <c r="AX1268" s="533"/>
      <c r="AY1268" s="533"/>
      <c r="AZ1268" s="533"/>
      <c r="BA1268" s="533"/>
      <c r="BB1268" s="533"/>
      <c r="BC1268" s="533"/>
      <c r="BD1268" s="533"/>
      <c r="BE1268" s="533"/>
      <c r="BF1268" s="533"/>
      <c r="BG1268" s="533"/>
      <c r="BH1268" s="548"/>
      <c r="BI1268" s="548"/>
      <c r="BJ1268" s="548"/>
      <c r="BK1268" s="547"/>
      <c r="BL1268" s="548"/>
      <c r="BM1268" s="548"/>
      <c r="BN1268" s="598">
        <f>BP1268</f>
        <v>8.9999999999999993E-3</v>
      </c>
      <c r="BO1268" s="547"/>
      <c r="BP1268" s="544">
        <v>8.9999999999999993E-3</v>
      </c>
      <c r="BQ1268" s="544">
        <v>0.01</v>
      </c>
      <c r="BR1268" s="549">
        <f>BQ1268</f>
        <v>0.01</v>
      </c>
      <c r="BS1268" s="533"/>
      <c r="BT1268" s="544">
        <v>0.01</v>
      </c>
      <c r="BU1268" s="544">
        <v>0.01</v>
      </c>
      <c r="BV1268" s="549">
        <f>BU1268</f>
        <v>0.01</v>
      </c>
      <c r="BW1268" s="533"/>
      <c r="BX1268" s="544">
        <v>1.0999999999999999E-2</v>
      </c>
      <c r="BY1268" s="544">
        <v>1.0999999999999999E-2</v>
      </c>
      <c r="BZ1268" s="549">
        <f>BY1268</f>
        <v>1.0999999999999999E-2</v>
      </c>
      <c r="CA1268" s="533"/>
      <c r="CB1268" s="544">
        <v>1.0999999999999999E-2</v>
      </c>
      <c r="CC1268" s="544">
        <v>0.01</v>
      </c>
      <c r="CD1268" s="549">
        <f>CC1268</f>
        <v>0.01</v>
      </c>
      <c r="CE1268" s="533"/>
      <c r="CF1268" s="544">
        <v>0.01</v>
      </c>
      <c r="CG1268" s="544">
        <v>8.9999999999999993E-3</v>
      </c>
      <c r="CH1268" s="549">
        <f>CG1268</f>
        <v>8.9999999999999993E-3</v>
      </c>
      <c r="CI1268" s="533"/>
      <c r="CJ1268" s="544">
        <v>8.9999999999999993E-3</v>
      </c>
      <c r="CK1268" s="544">
        <v>8.9999999999999993E-3</v>
      </c>
      <c r="CL1268" s="549">
        <f>CK1268</f>
        <v>8.9999999999999993E-3</v>
      </c>
      <c r="CM1268" s="533"/>
      <c r="CN1268" s="544">
        <v>8.9999999999999993E-3</v>
      </c>
      <c r="CO1268" s="544">
        <v>8.9999999999999993E-3</v>
      </c>
      <c r="CP1268" s="549">
        <f>CO1268</f>
        <v>8.9999999999999993E-3</v>
      </c>
      <c r="CQ1268" s="533"/>
      <c r="CR1268" s="544">
        <v>0.01</v>
      </c>
      <c r="CS1268" s="544">
        <v>8.9999999999999993E-3</v>
      </c>
      <c r="CT1268" s="549">
        <f>CS1268</f>
        <v>8.9999999999999993E-3</v>
      </c>
      <c r="CU1268" s="533"/>
      <c r="CV1268" s="544">
        <v>8.9999999999999993E-3</v>
      </c>
      <c r="CW1268" s="544">
        <v>8.9999999999999993E-3</v>
      </c>
      <c r="CX1268" s="549">
        <f>CW1268</f>
        <v>8.9999999999999993E-3</v>
      </c>
      <c r="CY1268" s="533"/>
      <c r="CZ1268" s="544">
        <v>7.7000000000000002E-3</v>
      </c>
      <c r="DA1268" s="544">
        <v>8.6E-3</v>
      </c>
      <c r="DB1268" s="549">
        <f>DA1268</f>
        <v>8.6E-3</v>
      </c>
      <c r="DC1268" s="533"/>
      <c r="DD1268" s="544">
        <v>8.9999999999999993E-3</v>
      </c>
      <c r="DE1268" s="544">
        <v>8.6999999999999994E-3</v>
      </c>
      <c r="DF1268" s="549">
        <f>DE1268</f>
        <v>8.6999999999999994E-3</v>
      </c>
      <c r="DG1268" s="533"/>
      <c r="DH1268" s="549">
        <f>DE1268</f>
        <v>8.6999999999999994E-3</v>
      </c>
      <c r="DI1268" s="549">
        <f>DH1268</f>
        <v>8.6999999999999994E-3</v>
      </c>
      <c r="DJ1268" s="549">
        <f>DI1268</f>
        <v>8.6999999999999994E-3</v>
      </c>
      <c r="DK1268" s="533"/>
      <c r="DL1268" s="549">
        <f>DI1268</f>
        <v>8.6999999999999994E-3</v>
      </c>
      <c r="DM1268" s="549">
        <f>DL1268</f>
        <v>8.6999999999999994E-3</v>
      </c>
      <c r="DN1268" s="549">
        <f>DM1268</f>
        <v>8.6999999999999994E-3</v>
      </c>
      <c r="DO1268" s="533"/>
      <c r="DP1268" s="549">
        <f>DM1268</f>
        <v>8.6999999999999994E-3</v>
      </c>
      <c r="DQ1268" s="549">
        <f>DP1268</f>
        <v>8.6999999999999994E-3</v>
      </c>
      <c r="DR1268" s="549">
        <f>DQ1268</f>
        <v>8.6999999999999994E-3</v>
      </c>
      <c r="DS1268" s="533"/>
      <c r="DT1268" s="533"/>
      <c r="DU1268" s="533"/>
      <c r="DV1268" s="533"/>
      <c r="DW1268" s="553">
        <f>BY1268</f>
        <v>1.0999999999999999E-2</v>
      </c>
    </row>
    <row r="1269" spans="1:128" s="20" customFormat="1" ht="13.8">
      <c r="A1269" s="541" t="s">
        <v>381</v>
      </c>
      <c r="B1269" s="547"/>
      <c r="C1269" s="533"/>
      <c r="D1269" s="533"/>
      <c r="E1269" s="533"/>
      <c r="F1269" s="533"/>
      <c r="G1269" s="533"/>
      <c r="H1269" s="533"/>
      <c r="I1269" s="533"/>
      <c r="J1269" s="533"/>
      <c r="K1269" s="533"/>
      <c r="L1269" s="533"/>
      <c r="M1269" s="533"/>
      <c r="N1269" s="533"/>
      <c r="O1269" s="533"/>
      <c r="P1269" s="533"/>
      <c r="Q1269" s="533"/>
      <c r="R1269" s="533"/>
      <c r="S1269" s="533"/>
      <c r="T1269" s="533"/>
      <c r="U1269" s="533"/>
      <c r="V1269" s="533"/>
      <c r="W1269" s="533"/>
      <c r="X1269" s="533"/>
      <c r="Y1269" s="533"/>
      <c r="Z1269" s="533"/>
      <c r="AA1269" s="533"/>
      <c r="AB1269" s="533"/>
      <c r="AC1269" s="533"/>
      <c r="AD1269" s="533"/>
      <c r="AE1269" s="533"/>
      <c r="AF1269" s="533"/>
      <c r="AG1269" s="533"/>
      <c r="AH1269" s="533"/>
      <c r="AI1269" s="533"/>
      <c r="AJ1269" s="533"/>
      <c r="AK1269" s="533"/>
      <c r="AL1269" s="533"/>
      <c r="AM1269" s="533"/>
      <c r="AN1269" s="533"/>
      <c r="AO1269" s="533"/>
      <c r="AP1269" s="533"/>
      <c r="AQ1269" s="533"/>
      <c r="AR1269" s="533"/>
      <c r="AS1269" s="533"/>
      <c r="AT1269" s="533"/>
      <c r="AU1269" s="533"/>
      <c r="AV1269" s="533"/>
      <c r="AW1269" s="533"/>
      <c r="AX1269" s="533"/>
      <c r="AY1269" s="533"/>
      <c r="AZ1269" s="533"/>
      <c r="BA1269" s="533"/>
      <c r="BB1269" s="533"/>
      <c r="BC1269" s="533"/>
      <c r="BD1269" s="533"/>
      <c r="BE1269" s="533"/>
      <c r="BF1269" s="533"/>
      <c r="BG1269" s="533"/>
      <c r="BH1269" s="548"/>
      <c r="BI1269" s="548"/>
      <c r="BJ1269" s="548"/>
      <c r="BK1269" s="547"/>
      <c r="BL1269" s="548"/>
      <c r="BM1269" s="548"/>
      <c r="BN1269" s="598">
        <f>BP1269</f>
        <v>2E-3</v>
      </c>
      <c r="BO1269" s="547"/>
      <c r="BP1269" s="544">
        <v>2E-3</v>
      </c>
      <c r="BQ1269" s="544">
        <v>2E-3</v>
      </c>
      <c r="BR1269" s="549">
        <f>BQ1269</f>
        <v>2E-3</v>
      </c>
      <c r="BS1269" s="533"/>
      <c r="BT1269" s="544">
        <v>3.0000000000000001E-3</v>
      </c>
      <c r="BU1269" s="544">
        <v>3.0000000000000001E-3</v>
      </c>
      <c r="BV1269" s="549">
        <f>BU1269</f>
        <v>3.0000000000000001E-3</v>
      </c>
      <c r="BW1269" s="533"/>
      <c r="BX1269" s="544">
        <v>3.0000000000000001E-3</v>
      </c>
      <c r="BY1269" s="544">
        <v>4.0000000000000001E-3</v>
      </c>
      <c r="BZ1269" s="549">
        <f>BY1269</f>
        <v>4.0000000000000001E-3</v>
      </c>
      <c r="CA1269" s="533"/>
      <c r="CB1269" s="544">
        <v>3.0000000000000001E-3</v>
      </c>
      <c r="CC1269" s="544">
        <v>3.0000000000000001E-3</v>
      </c>
      <c r="CD1269" s="549">
        <f>CC1269</f>
        <v>3.0000000000000001E-3</v>
      </c>
      <c r="CE1269" s="533"/>
      <c r="CF1269" s="544">
        <v>2E-3</v>
      </c>
      <c r="CG1269" s="544">
        <v>2E-3</v>
      </c>
      <c r="CH1269" s="549">
        <f>CG1269</f>
        <v>2E-3</v>
      </c>
      <c r="CI1269" s="533"/>
      <c r="CJ1269" s="544">
        <v>2E-3</v>
      </c>
      <c r="CK1269" s="544">
        <v>4.0000000000000001E-3</v>
      </c>
      <c r="CL1269" s="549">
        <f>CK1269</f>
        <v>4.0000000000000001E-3</v>
      </c>
      <c r="CM1269" s="533"/>
      <c r="CN1269" s="544">
        <v>3.0000000000000001E-3</v>
      </c>
      <c r="CO1269" s="544">
        <v>6.0000000000000001E-3</v>
      </c>
      <c r="CP1269" s="549">
        <f>CO1269</f>
        <v>6.0000000000000001E-3</v>
      </c>
      <c r="CQ1269" s="533"/>
      <c r="CR1269" s="544">
        <v>0.01</v>
      </c>
      <c r="CS1269" s="544">
        <v>1.2E-2</v>
      </c>
      <c r="CT1269" s="549">
        <f>CS1269</f>
        <v>1.2E-2</v>
      </c>
      <c r="CU1269" s="533"/>
      <c r="CV1269" s="544">
        <v>8.0000000000000002E-3</v>
      </c>
      <c r="CW1269" s="544">
        <v>1.0999999999999999E-2</v>
      </c>
      <c r="CX1269" s="549">
        <f>CW1269</f>
        <v>1.0999999999999999E-2</v>
      </c>
      <c r="CY1269" s="533"/>
      <c r="CZ1269" s="544">
        <v>9.1000000000000004E-3</v>
      </c>
      <c r="DA1269" s="544">
        <v>7.0000000000000001E-3</v>
      </c>
      <c r="DB1269" s="549">
        <f>DA1269</f>
        <v>7.0000000000000001E-3</v>
      </c>
      <c r="DC1269" s="533"/>
      <c r="DD1269" s="544">
        <v>6.0000000000000001E-3</v>
      </c>
      <c r="DE1269" s="544">
        <v>7.3000000000000001E-3</v>
      </c>
      <c r="DF1269" s="549">
        <f>DE1269</f>
        <v>7.3000000000000001E-3</v>
      </c>
      <c r="DG1269" s="533"/>
      <c r="DH1269" s="549">
        <f>DE1269*(DH1486/DE1486)</f>
        <v>7.8280522724523145E-3</v>
      </c>
      <c r="DI1269" s="549">
        <f>DH1269*(DI1486/DH1486)</f>
        <v>7.8280522724523145E-3</v>
      </c>
      <c r="DJ1269" s="549">
        <f>DI1269</f>
        <v>7.8280522724523145E-3</v>
      </c>
      <c r="DK1269" s="533"/>
      <c r="DL1269" s="549">
        <f>DI1269*(DL1486/DI1486)</f>
        <v>7.8280522724523145E-3</v>
      </c>
      <c r="DM1269" s="549">
        <f>DL1269*(DM1486/DL1486)</f>
        <v>7.8280522724523145E-3</v>
      </c>
      <c r="DN1269" s="549">
        <f>DM1269</f>
        <v>7.8280522724523145E-3</v>
      </c>
      <c r="DO1269" s="533"/>
      <c r="DP1269" s="549">
        <f>DM1269*(DP1486/DM1486)</f>
        <v>7.8280522724523145E-3</v>
      </c>
      <c r="DQ1269" s="549">
        <f>DP1269*(DQ1486/DP1486)</f>
        <v>7.8280522724523145E-3</v>
      </c>
      <c r="DR1269" s="549">
        <f>DQ1269</f>
        <v>7.8280522724523145E-3</v>
      </c>
      <c r="DS1269" s="533"/>
      <c r="DT1269" s="533"/>
      <c r="DU1269" s="533"/>
      <c r="DV1269" s="533"/>
      <c r="DW1269" s="553">
        <f>BY1269</f>
        <v>4.0000000000000001E-3</v>
      </c>
    </row>
    <row r="1270" spans="1:128" s="20" customFormat="1" ht="13.8">
      <c r="A1270" s="541" t="s">
        <v>383</v>
      </c>
      <c r="B1270" s="547"/>
      <c r="C1270" s="533"/>
      <c r="D1270" s="533"/>
      <c r="E1270" s="533"/>
      <c r="F1270" s="533"/>
      <c r="G1270" s="533"/>
      <c r="H1270" s="533"/>
      <c r="I1270" s="533"/>
      <c r="J1270" s="533"/>
      <c r="K1270" s="533"/>
      <c r="L1270" s="533"/>
      <c r="M1270" s="533"/>
      <c r="N1270" s="533"/>
      <c r="O1270" s="533"/>
      <c r="P1270" s="533"/>
      <c r="Q1270" s="533"/>
      <c r="R1270" s="533"/>
      <c r="S1270" s="533"/>
      <c r="T1270" s="533"/>
      <c r="U1270" s="533"/>
      <c r="V1270" s="533"/>
      <c r="W1270" s="533"/>
      <c r="X1270" s="533"/>
      <c r="Y1270" s="533"/>
      <c r="Z1270" s="533"/>
      <c r="AA1270" s="533"/>
      <c r="AB1270" s="533"/>
      <c r="AC1270" s="533"/>
      <c r="AD1270" s="533"/>
      <c r="AE1270" s="533"/>
      <c r="AF1270" s="533"/>
      <c r="AG1270" s="533"/>
      <c r="AH1270" s="533"/>
      <c r="AI1270" s="533"/>
      <c r="AJ1270" s="533"/>
      <c r="AK1270" s="533"/>
      <c r="AL1270" s="533"/>
      <c r="AM1270" s="533"/>
      <c r="AN1270" s="533"/>
      <c r="AO1270" s="533"/>
      <c r="AP1270" s="533"/>
      <c r="AQ1270" s="533"/>
      <c r="AR1270" s="533"/>
      <c r="AS1270" s="533"/>
      <c r="AT1270" s="533"/>
      <c r="AU1270" s="533"/>
      <c r="AV1270" s="533"/>
      <c r="AW1270" s="533"/>
      <c r="AX1270" s="533"/>
      <c r="AY1270" s="533"/>
      <c r="AZ1270" s="533"/>
      <c r="BA1270" s="533"/>
      <c r="BB1270" s="533"/>
      <c r="BC1270" s="533"/>
      <c r="BD1270" s="533"/>
      <c r="BE1270" s="533"/>
      <c r="BF1270" s="533"/>
      <c r="BG1270" s="533"/>
      <c r="BH1270" s="548"/>
      <c r="BI1270" s="548"/>
      <c r="BJ1270" s="548"/>
      <c r="BK1270" s="547"/>
      <c r="BL1270" s="548"/>
      <c r="BM1270" s="548"/>
      <c r="BN1270" s="598">
        <f>BP1270</f>
        <v>4.0000000000000001E-3</v>
      </c>
      <c r="BO1270" s="547"/>
      <c r="BP1270" s="544">
        <v>4.0000000000000001E-3</v>
      </c>
      <c r="BQ1270" s="544">
        <v>4.0000000000000001E-3</v>
      </c>
      <c r="BR1270" s="549">
        <f>BQ1270</f>
        <v>4.0000000000000001E-3</v>
      </c>
      <c r="BS1270" s="533"/>
      <c r="BT1270" s="544">
        <v>4.0000000000000001E-3</v>
      </c>
      <c r="BU1270" s="544">
        <v>1.0999999999999999E-2</v>
      </c>
      <c r="BV1270" s="549">
        <f>BU1270</f>
        <v>1.0999999999999999E-2</v>
      </c>
      <c r="BW1270" s="533"/>
      <c r="BX1270" s="544">
        <v>1.2999999999999999E-2</v>
      </c>
      <c r="BY1270" s="544">
        <v>1.2999999999999999E-2</v>
      </c>
      <c r="BZ1270" s="549">
        <f>BY1270</f>
        <v>1.2999999999999999E-2</v>
      </c>
      <c r="CA1270" s="550"/>
      <c r="CB1270" s="544">
        <v>1.2999999999999999E-2</v>
      </c>
      <c r="CC1270" s="544">
        <v>1.4E-2</v>
      </c>
      <c r="CD1270" s="549">
        <f>CC1270</f>
        <v>1.4E-2</v>
      </c>
      <c r="CE1270" s="533"/>
      <c r="CF1270" s="544">
        <v>1.2999999999999999E-2</v>
      </c>
      <c r="CG1270" s="544">
        <v>1.2E-2</v>
      </c>
      <c r="CH1270" s="549">
        <f>CG1270</f>
        <v>1.2E-2</v>
      </c>
      <c r="CI1270" s="533"/>
      <c r="CJ1270" s="544">
        <v>1.0999999999999999E-2</v>
      </c>
      <c r="CK1270" s="544">
        <v>1.2999999999999999E-2</v>
      </c>
      <c r="CL1270" s="549">
        <f>CK1270</f>
        <v>1.2999999999999999E-2</v>
      </c>
      <c r="CM1270" s="533"/>
      <c r="CN1270" s="544">
        <v>1.4999999999999999E-2</v>
      </c>
      <c r="CO1270" s="544">
        <v>1.4999999999999999E-2</v>
      </c>
      <c r="CP1270" s="549">
        <f>CO1270</f>
        <v>1.4999999999999999E-2</v>
      </c>
      <c r="CQ1270" s="533"/>
      <c r="CR1270" s="544">
        <v>1.4E-2</v>
      </c>
      <c r="CS1270" s="544">
        <v>1.4999999999999999E-2</v>
      </c>
      <c r="CT1270" s="549">
        <f>CS1270</f>
        <v>1.4999999999999999E-2</v>
      </c>
      <c r="CU1270" s="533"/>
      <c r="CV1270" s="544">
        <v>1.0999999999999999E-2</v>
      </c>
      <c r="CW1270" s="544">
        <v>1.2999999999999999E-2</v>
      </c>
      <c r="CX1270" s="549">
        <f>CW1270</f>
        <v>1.2999999999999999E-2</v>
      </c>
      <c r="CY1270" s="533"/>
      <c r="CZ1270" s="544">
        <v>1.3299999999999999E-2</v>
      </c>
      <c r="DA1270" s="544">
        <v>1.0500000000000001E-2</v>
      </c>
      <c r="DB1270" s="549">
        <f>DA1270</f>
        <v>1.0500000000000001E-2</v>
      </c>
      <c r="DC1270" s="533"/>
      <c r="DD1270" s="544">
        <v>0.01</v>
      </c>
      <c r="DE1270" s="544">
        <v>1.0500000000000001E-2</v>
      </c>
      <c r="DF1270" s="549">
        <f>DE1270</f>
        <v>1.0500000000000001E-2</v>
      </c>
      <c r="DG1270" s="533"/>
      <c r="DH1270" s="549">
        <f>DE1270*(DH1469/DE1469)</f>
        <v>1.053805664497303E-2</v>
      </c>
      <c r="DI1270" s="549">
        <f>DH1270*(DI1469/DH1469)</f>
        <v>1.0538185003350686E-2</v>
      </c>
      <c r="DJ1270" s="549">
        <f>DI1270</f>
        <v>1.0538185003350686E-2</v>
      </c>
      <c r="DK1270" s="533"/>
      <c r="DL1270" s="549">
        <f>DI1270*(DL1469/DI1469)</f>
        <v>1.0558812990996973E-2</v>
      </c>
      <c r="DM1270" s="549">
        <f>DL1270*(DM1469/DL1469)</f>
        <v>1.0579318803706789E-2</v>
      </c>
      <c r="DN1270" s="549">
        <f>DM1270</f>
        <v>1.0579318803706789E-2</v>
      </c>
      <c r="DO1270" s="533"/>
      <c r="DP1270" s="549">
        <f>DM1270*(DP1469/DM1469)</f>
        <v>1.0599761167492299E-2</v>
      </c>
      <c r="DQ1270" s="549">
        <f>DP1270*(DQ1469/DP1469)</f>
        <v>1.0620081489308802E-2</v>
      </c>
      <c r="DR1270" s="549">
        <f>DQ1270</f>
        <v>1.0620081489308802E-2</v>
      </c>
      <c r="DS1270" s="533"/>
      <c r="DT1270" s="533"/>
      <c r="DU1270" s="533"/>
      <c r="DV1270" s="533"/>
      <c r="DW1270" s="553">
        <f>BY1270</f>
        <v>1.2999999999999999E-2</v>
      </c>
    </row>
    <row r="1271" spans="1:128" s="20" customFormat="1" ht="13.8">
      <c r="A1271" s="541" t="s">
        <v>769</v>
      </c>
      <c r="B1271" s="547"/>
      <c r="C1271" s="533"/>
      <c r="D1271" s="533"/>
      <c r="E1271" s="533"/>
      <c r="F1271" s="533"/>
      <c r="G1271" s="533"/>
      <c r="H1271" s="533"/>
      <c r="I1271" s="533"/>
      <c r="J1271" s="533"/>
      <c r="K1271" s="533"/>
      <c r="L1271" s="533"/>
      <c r="M1271" s="533"/>
      <c r="N1271" s="533"/>
      <c r="O1271" s="533"/>
      <c r="P1271" s="533"/>
      <c r="Q1271" s="533"/>
      <c r="R1271" s="533"/>
      <c r="S1271" s="533"/>
      <c r="T1271" s="533"/>
      <c r="U1271" s="533"/>
      <c r="V1271" s="533"/>
      <c r="W1271" s="533"/>
      <c r="X1271" s="533"/>
      <c r="Y1271" s="533"/>
      <c r="Z1271" s="533"/>
      <c r="AA1271" s="533"/>
      <c r="AB1271" s="533"/>
      <c r="AC1271" s="533"/>
      <c r="AD1271" s="533"/>
      <c r="AE1271" s="533"/>
      <c r="AF1271" s="533"/>
      <c r="AG1271" s="533"/>
      <c r="AH1271" s="533"/>
      <c r="AI1271" s="533"/>
      <c r="AJ1271" s="533"/>
      <c r="AK1271" s="533"/>
      <c r="AL1271" s="533"/>
      <c r="AM1271" s="533"/>
      <c r="AN1271" s="533"/>
      <c r="AO1271" s="533"/>
      <c r="AP1271" s="533"/>
      <c r="AQ1271" s="533"/>
      <c r="AR1271" s="533"/>
      <c r="AS1271" s="533"/>
      <c r="AT1271" s="533"/>
      <c r="AU1271" s="533"/>
      <c r="AV1271" s="533"/>
      <c r="AW1271" s="533"/>
      <c r="AX1271" s="533"/>
      <c r="AY1271" s="533"/>
      <c r="AZ1271" s="533"/>
      <c r="BA1271" s="533"/>
      <c r="BB1271" s="533"/>
      <c r="BC1271" s="533"/>
      <c r="BD1271" s="533"/>
      <c r="BE1271" s="533"/>
      <c r="BF1271" s="533"/>
      <c r="BG1271" s="533"/>
      <c r="BH1271" s="548"/>
      <c r="BI1271" s="548"/>
      <c r="BJ1271" s="548"/>
      <c r="BK1271" s="547"/>
      <c r="BL1271" s="548"/>
      <c r="BM1271" s="548"/>
      <c r="BN1271" s="598">
        <f>BP1271</f>
        <v>2.1999999999999999E-2</v>
      </c>
      <c r="BO1271" s="547"/>
      <c r="BP1271" s="544">
        <f>1.5%+0.3%+0.4%</f>
        <v>2.1999999999999999E-2</v>
      </c>
      <c r="BQ1271" s="544">
        <f>1.6%+0.4%</f>
        <v>0.02</v>
      </c>
      <c r="BR1271" s="549">
        <f>BQ1271</f>
        <v>0.02</v>
      </c>
      <c r="BS1271" s="533"/>
      <c r="BT1271" s="544">
        <f>1.7%+0.2%+0.6%</f>
        <v>2.5000000000000001E-2</v>
      </c>
      <c r="BU1271" s="544">
        <f>0.4%+1.5%+0.6%</f>
        <v>2.5000000000000001E-2</v>
      </c>
      <c r="BV1271" s="549">
        <f>BU1271</f>
        <v>2.5000000000000001E-2</v>
      </c>
      <c r="BW1271" s="533"/>
      <c r="BX1271" s="544">
        <f>0.4%+1.4%+0.6%</f>
        <v>2.4E-2</v>
      </c>
      <c r="BY1271" s="544">
        <f>0.6%+0.4%+1.4%</f>
        <v>2.4E-2</v>
      </c>
      <c r="BZ1271" s="549">
        <f>BY1271</f>
        <v>2.4E-2</v>
      </c>
      <c r="CA1271" s="533"/>
      <c r="CB1271" s="544">
        <f>1.5%+0.7%+0.4%</f>
        <v>2.5999999999999999E-2</v>
      </c>
      <c r="CC1271" s="544">
        <f>1.6%+0.7%+0.4%</f>
        <v>2.7E-2</v>
      </c>
      <c r="CD1271" s="549">
        <f>CC1271</f>
        <v>2.7E-2</v>
      </c>
      <c r="CE1271" s="533"/>
      <c r="CF1271" s="544">
        <f>1.7%+0.8%+0.4%</f>
        <v>2.9000000000000001E-2</v>
      </c>
      <c r="CG1271" s="544">
        <f>1.6%+0.7%+0.4%</f>
        <v>2.7E-2</v>
      </c>
      <c r="CH1271" s="549">
        <f>CG1271</f>
        <v>2.7E-2</v>
      </c>
      <c r="CI1271" s="533"/>
      <c r="CJ1271" s="544">
        <f>1.6%+0.7%+0.2%</f>
        <v>2.5000000000000001E-2</v>
      </c>
      <c r="CK1271" s="544">
        <f>1.7%+0.8%+0.3%</f>
        <v>2.8000000000000001E-2</v>
      </c>
      <c r="CL1271" s="549">
        <f>CK1271</f>
        <v>2.8000000000000001E-2</v>
      </c>
      <c r="CM1271" s="533"/>
      <c r="CN1271" s="544">
        <f>1.7%+0.8%+0.5%</f>
        <v>3.0000000000000002E-2</v>
      </c>
      <c r="CO1271" s="544">
        <f>1.8%+0.9%+0.3%</f>
        <v>3.0000000000000002E-2</v>
      </c>
      <c r="CP1271" s="549">
        <f>CO1271</f>
        <v>3.0000000000000002E-2</v>
      </c>
      <c r="CQ1271" s="533"/>
      <c r="CR1271" s="544">
        <f>1.8%+0.8%+0.5%</f>
        <v>3.1000000000000003E-2</v>
      </c>
      <c r="CS1271" s="544">
        <f>2%+0.9%+0.4%</f>
        <v>3.3000000000000002E-2</v>
      </c>
      <c r="CT1271" s="549">
        <f>CS1271</f>
        <v>3.3000000000000002E-2</v>
      </c>
      <c r="CU1271" s="533"/>
      <c r="CV1271" s="544">
        <f>1%+0.9%+0.6%+0.2%+0.2%</f>
        <v>2.9000000000000005E-2</v>
      </c>
      <c r="CW1271" s="544">
        <f>0.9%+1%+0.6%+0.3%+0.3%</f>
        <v>3.1E-2</v>
      </c>
      <c r="CX1271" s="549">
        <f>CW1271</f>
        <v>3.1E-2</v>
      </c>
      <c r="CY1271" s="533"/>
      <c r="CZ1271" s="544">
        <f>0.98%+0.96%+0.6%+0.26%+0.37%</f>
        <v>3.1699999999999999E-2</v>
      </c>
      <c r="DA1271" s="544">
        <f>0.86%+0.85%+0.48%+0.25%+0.36%</f>
        <v>2.7999999999999997E-2</v>
      </c>
      <c r="DB1271" s="549">
        <f>DA1271</f>
        <v>2.7999999999999997E-2</v>
      </c>
      <c r="DC1271" s="533"/>
      <c r="DD1271" s="544">
        <f>0.83%+0.78%+0.49%+0.3%+0.34%</f>
        <v>2.7399999999999997E-2</v>
      </c>
      <c r="DE1271" s="544">
        <f>0.85%+0.85%+0.57%+0.3%+0.36%</f>
        <v>2.93E-2</v>
      </c>
      <c r="DF1271" s="549">
        <f>DE1271</f>
        <v>2.93E-2</v>
      </c>
      <c r="DG1271" s="533"/>
      <c r="DH1271" s="549">
        <f>DE1271</f>
        <v>2.93E-2</v>
      </c>
      <c r="DI1271" s="549">
        <f>DH1271</f>
        <v>2.93E-2</v>
      </c>
      <c r="DJ1271" s="549">
        <f>DI1271</f>
        <v>2.93E-2</v>
      </c>
      <c r="DK1271" s="533"/>
      <c r="DL1271" s="549">
        <f>DI1271</f>
        <v>2.93E-2</v>
      </c>
      <c r="DM1271" s="549">
        <f>DL1271</f>
        <v>2.93E-2</v>
      </c>
      <c r="DN1271" s="549">
        <f>DM1271</f>
        <v>2.93E-2</v>
      </c>
      <c r="DO1271" s="533"/>
      <c r="DP1271" s="549">
        <f>DM1271</f>
        <v>2.93E-2</v>
      </c>
      <c r="DQ1271" s="549">
        <f>DP1271</f>
        <v>2.93E-2</v>
      </c>
      <c r="DR1271" s="549">
        <f>DQ1271</f>
        <v>2.93E-2</v>
      </c>
      <c r="DS1271" s="533"/>
      <c r="DT1271" s="533"/>
      <c r="DU1271" s="533"/>
      <c r="DV1271" s="533"/>
      <c r="DW1271" s="553">
        <f>BY1271</f>
        <v>2.4E-2</v>
      </c>
    </row>
    <row r="1272" spans="1:128" s="20" customFormat="1" ht="13.8">
      <c r="A1272" s="542" t="s">
        <v>706</v>
      </c>
      <c r="B1272" s="49"/>
      <c r="BH1272" s="74"/>
      <c r="BI1272" s="74"/>
      <c r="BJ1272" s="74"/>
      <c r="BK1272" s="49"/>
      <c r="BL1272" s="74"/>
      <c r="BM1272" s="74"/>
      <c r="BN1272" s="545">
        <f>SUM(BN1268:BN1271)</f>
        <v>3.6999999999999998E-2</v>
      </c>
      <c r="BO1272" s="49"/>
      <c r="BP1272" s="545">
        <f>SUM(BP1268:BP1271)</f>
        <v>3.6999999999999998E-2</v>
      </c>
      <c r="BQ1272" s="545">
        <f>SUM(BQ1268:BQ1271)</f>
        <v>3.6000000000000004E-2</v>
      </c>
      <c r="BR1272" s="545">
        <f>SUM(BR1268:BR1271)</f>
        <v>3.6000000000000004E-2</v>
      </c>
      <c r="BT1272" s="545">
        <f>SUM(BT1268:BT1271)</f>
        <v>4.2000000000000003E-2</v>
      </c>
      <c r="BU1272" s="545">
        <f>SUM(BU1268:BU1271)</f>
        <v>4.9000000000000002E-2</v>
      </c>
      <c r="BV1272" s="545">
        <f>SUM(BV1268:BV1271)</f>
        <v>4.9000000000000002E-2</v>
      </c>
      <c r="BX1272" s="545">
        <f>SUM(BX1268:BX1271)</f>
        <v>5.0999999999999997E-2</v>
      </c>
      <c r="BY1272" s="545">
        <f>SUM(BY1268:BY1271)</f>
        <v>5.1999999999999998E-2</v>
      </c>
      <c r="BZ1272" s="545">
        <f>SUM(BZ1268:BZ1271)</f>
        <v>5.1999999999999998E-2</v>
      </c>
      <c r="CB1272" s="545">
        <f>SUM(CB1268:CB1271)</f>
        <v>5.2999999999999992E-2</v>
      </c>
      <c r="CC1272" s="545">
        <f>SUM(CC1268:CC1271)</f>
        <v>5.4000000000000006E-2</v>
      </c>
      <c r="CD1272" s="545">
        <f>SUM(CD1268:CD1271)</f>
        <v>5.4000000000000006E-2</v>
      </c>
      <c r="CF1272" s="545">
        <f>SUM(CF1268:CF1271)</f>
        <v>5.4000000000000006E-2</v>
      </c>
      <c r="CG1272" s="545">
        <f>SUM(CG1268:CG1271)</f>
        <v>0.05</v>
      </c>
      <c r="CH1272" s="545">
        <f>SUM(CH1268:CH1271)</f>
        <v>0.05</v>
      </c>
      <c r="CJ1272" s="545">
        <f>SUM(CJ1268:CJ1271)</f>
        <v>4.7E-2</v>
      </c>
      <c r="CK1272" s="545">
        <f>SUM(CK1268:CK1271)</f>
        <v>5.3999999999999999E-2</v>
      </c>
      <c r="CL1272" s="545">
        <f>SUM(CL1268:CL1271)</f>
        <v>5.3999999999999999E-2</v>
      </c>
      <c r="CN1272" s="545">
        <f>SUM(CN1268:CN1271)</f>
        <v>5.7000000000000002E-2</v>
      </c>
      <c r="CO1272" s="545">
        <f>SUM(CO1268:CO1271)</f>
        <v>0.06</v>
      </c>
      <c r="CP1272" s="545">
        <f>SUM(CP1268:CP1271)</f>
        <v>0.06</v>
      </c>
      <c r="CR1272" s="545">
        <f>SUM(CR1268:CR1271)</f>
        <v>6.5000000000000002E-2</v>
      </c>
      <c r="CS1272" s="545">
        <f>SUM(CS1268:CS1271)</f>
        <v>6.9000000000000006E-2</v>
      </c>
      <c r="CT1272" s="545">
        <f>SUM(CT1268:CT1271)</f>
        <v>6.9000000000000006E-2</v>
      </c>
      <c r="CV1272" s="545">
        <f>SUM(CV1268:CV1271)</f>
        <v>5.7000000000000009E-2</v>
      </c>
      <c r="CW1272" s="545">
        <f>SUM(CW1268:CW1271)</f>
        <v>6.4000000000000001E-2</v>
      </c>
      <c r="CX1272" s="545">
        <f>SUM(CX1268:CX1271)</f>
        <v>6.4000000000000001E-2</v>
      </c>
      <c r="CZ1272" s="545">
        <f>SUM(CZ1268:CZ1271)</f>
        <v>6.1800000000000001E-2</v>
      </c>
      <c r="DA1272" s="545">
        <f>SUM(DA1268:DA1271)</f>
        <v>5.4099999999999995E-2</v>
      </c>
      <c r="DB1272" s="545">
        <f>SUM(DB1268:DB1271)</f>
        <v>5.4099999999999995E-2</v>
      </c>
      <c r="DD1272" s="545">
        <f>SUM(DD1268:DD1271)</f>
        <v>5.2400000000000002E-2</v>
      </c>
      <c r="DE1272" s="545">
        <f>SUM(DE1268:DE1271)</f>
        <v>5.5800000000000002E-2</v>
      </c>
      <c r="DF1272" s="545">
        <f>SUM(DF1268:DF1271)</f>
        <v>5.5800000000000002E-2</v>
      </c>
      <c r="DH1272" s="545">
        <f>SUM(DH1268:DH1271)</f>
        <v>5.6366108917425342E-2</v>
      </c>
      <c r="DI1272" s="545">
        <f>SUM(DI1268:DI1271)</f>
        <v>5.6366237275802998E-2</v>
      </c>
      <c r="DJ1272" s="545">
        <f>SUM(DJ1268:DJ1271)</f>
        <v>5.6366237275802998E-2</v>
      </c>
      <c r="DL1272" s="545">
        <f>SUM(DL1268:DL1271)</f>
        <v>5.6386865263449285E-2</v>
      </c>
      <c r="DM1272" s="545">
        <f>SUM(DM1268:DM1271)</f>
        <v>5.6407371076159105E-2</v>
      </c>
      <c r="DN1272" s="545">
        <f>SUM(DN1268:DN1271)</f>
        <v>5.6407371076159105E-2</v>
      </c>
      <c r="DP1272" s="545">
        <f>SUM(DP1268:DP1271)</f>
        <v>5.6427813439944609E-2</v>
      </c>
      <c r="DQ1272" s="545">
        <f>SUM(DQ1268:DQ1271)</f>
        <v>5.644813376176111E-2</v>
      </c>
      <c r="DR1272" s="545">
        <f>SUM(DR1268:DR1271)</f>
        <v>5.644813376176111E-2</v>
      </c>
      <c r="DW1272" s="545">
        <f>SUM(DW1268:DW1271)</f>
        <v>5.1999999999999998E-2</v>
      </c>
    </row>
    <row r="1273" spans="1:128" s="20" customFormat="1" ht="13.8">
      <c r="A1273" s="542" t="s">
        <v>766</v>
      </c>
      <c r="B1273" s="49"/>
      <c r="BH1273" s="74"/>
      <c r="BI1273" s="74"/>
      <c r="BJ1273" s="74"/>
      <c r="BK1273" s="49"/>
      <c r="BL1273" s="74"/>
      <c r="BM1273" s="74"/>
      <c r="BN1273" s="546">
        <f>+BN1267+BN1272</f>
        <v>0.1248933640178243</v>
      </c>
      <c r="BO1273" s="49"/>
      <c r="BP1273" s="546">
        <f>+BP1267+BP1272</f>
        <v>0.12420399728069109</v>
      </c>
      <c r="BQ1273" s="546">
        <f>+BQ1267+BQ1272</f>
        <v>0.13185084229618074</v>
      </c>
      <c r="BR1273" s="546">
        <f>+BR1267+BR1272</f>
        <v>0.13185084229618074</v>
      </c>
      <c r="BT1273" s="546">
        <f>+BT1267+BT1272</f>
        <v>0.14011631709735151</v>
      </c>
      <c r="BU1273" s="546">
        <f>+BU1267+BU1272</f>
        <v>0.14510555531080666</v>
      </c>
      <c r="BV1273" s="546">
        <f>+BV1267+BV1272</f>
        <v>0.14510555531080666</v>
      </c>
      <c r="BX1273" s="546">
        <f>+BX1267+BX1272</f>
        <v>0.15229206125327421</v>
      </c>
      <c r="BY1273" s="546">
        <f>+BY1267+BY1272</f>
        <v>0.15768812593802814</v>
      </c>
      <c r="BZ1273" s="546">
        <f>+BZ1267+BZ1272</f>
        <v>0.15768812593802814</v>
      </c>
      <c r="CB1273" s="546">
        <f>+CB1267+CB1272</f>
        <v>0.16343340062712081</v>
      </c>
      <c r="CC1273" s="546">
        <f>+CC1267+CC1272</f>
        <v>0.16835187554372857</v>
      </c>
      <c r="CD1273" s="546">
        <f>+CD1267+CD1272</f>
        <v>0.16835187554372857</v>
      </c>
      <c r="CF1273" s="546">
        <f>+CF1267+CF1272</f>
        <v>0.16888527370038686</v>
      </c>
      <c r="CG1273" s="546">
        <f>+CG1267+CG1272</f>
        <v>0.16357177289962371</v>
      </c>
      <c r="CH1273" s="546">
        <f>+CH1267+CH1272</f>
        <v>0.16357177289962371</v>
      </c>
      <c r="CJ1273" s="546">
        <f>+CJ1267+CJ1272</f>
        <v>0.15463854863567122</v>
      </c>
      <c r="CK1273" s="546">
        <f>+CK1267+CK1272</f>
        <v>0.16742295008663574</v>
      </c>
      <c r="CL1273" s="546">
        <f>+CL1267+CL1272</f>
        <v>0.16742295008663574</v>
      </c>
      <c r="CN1273" s="546">
        <f>+CN1267+CN1272</f>
        <v>0.18142486635339544</v>
      </c>
      <c r="CO1273" s="546">
        <f>+CO1267+CO1272</f>
        <v>0.18343361708877493</v>
      </c>
      <c r="CP1273" s="546">
        <f>+CP1267+CP1272</f>
        <v>0.18343361708877493</v>
      </c>
      <c r="CR1273" s="546">
        <f>+CR1267+CR1272</f>
        <v>0.18034561896280057</v>
      </c>
      <c r="CS1273" s="546">
        <f>+CS1267+CS1272</f>
        <v>0.19187175788070848</v>
      </c>
      <c r="CT1273" s="546">
        <f>+CT1267+CT1272</f>
        <v>0.19187175788070848</v>
      </c>
      <c r="CV1273" s="546">
        <f>+CV1267+CV1272</f>
        <v>0.1887523586065914</v>
      </c>
      <c r="CW1273" s="546">
        <f>+CW1267+CW1272</f>
        <v>0.19737271852434765</v>
      </c>
      <c r="CX1273" s="546">
        <f>+CX1267+CX1272</f>
        <v>0.19737271852434765</v>
      </c>
      <c r="CZ1273" s="546">
        <f>+CZ1267+CZ1272</f>
        <v>0.1967695803169747</v>
      </c>
      <c r="DA1273" s="546">
        <f>+DA1267+DA1272</f>
        <v>0.17606864181718027</v>
      </c>
      <c r="DB1273" s="546">
        <f>+DB1267+DB1272</f>
        <v>0.17606864181718027</v>
      </c>
      <c r="DD1273" s="546">
        <f>+DD1267+DD1272</f>
        <v>0.17015931291964376</v>
      </c>
      <c r="DE1273" s="546">
        <f>+DE1267+DE1272</f>
        <v>0.17614535173057505</v>
      </c>
      <c r="DF1273" s="546">
        <f>+DF1267+DF1272</f>
        <v>0.17614535173057505</v>
      </c>
      <c r="DH1273" s="546">
        <f ca="1">+DH1267+DH1272</f>
        <v>0.18060402007857851</v>
      </c>
      <c r="DI1273" s="546">
        <f ca="1">+DI1267+DI1272</f>
        <v>0.18052671051147964</v>
      </c>
      <c r="DJ1273" s="546">
        <f ca="1">+DJ1267+DJ1272</f>
        <v>0.18052671051147964</v>
      </c>
      <c r="DL1273" s="546">
        <f ca="1">+DL1267+DL1272</f>
        <v>0.18130154047053329</v>
      </c>
      <c r="DM1273" s="546">
        <f ca="1">+DM1267+DM1272</f>
        <v>0.18038040608005335</v>
      </c>
      <c r="DN1273" s="546">
        <f ca="1">+DN1267+DN1272</f>
        <v>0.18038040608005335</v>
      </c>
      <c r="DP1273" s="546">
        <f ca="1">+DP1267+DP1272</f>
        <v>0.17920128870773078</v>
      </c>
      <c r="DQ1273" s="546">
        <f ca="1">+DQ1267+DQ1272</f>
        <v>0.1788113223707205</v>
      </c>
      <c r="DR1273" s="546">
        <f ca="1">+DR1267+DR1272</f>
        <v>0.1788113223707205</v>
      </c>
      <c r="DW1273" s="546">
        <f>+DW1267+DW1272</f>
        <v>0.16059999999999999</v>
      </c>
    </row>
    <row r="1274" spans="1:128" s="20" customFormat="1" ht="13.8">
      <c r="A1274" s="541" t="s">
        <v>767</v>
      </c>
      <c r="B1274" s="547"/>
      <c r="C1274" s="533"/>
      <c r="D1274" s="533"/>
      <c r="E1274" s="533"/>
      <c r="F1274" s="533"/>
      <c r="G1274" s="533"/>
      <c r="H1274" s="533"/>
      <c r="I1274" s="533"/>
      <c r="J1274" s="533"/>
      <c r="K1274" s="533"/>
      <c r="L1274" s="533"/>
      <c r="M1274" s="533"/>
      <c r="N1274" s="533"/>
      <c r="O1274" s="533"/>
      <c r="P1274" s="533"/>
      <c r="Q1274" s="533"/>
      <c r="R1274" s="533"/>
      <c r="S1274" s="533"/>
      <c r="T1274" s="533"/>
      <c r="U1274" s="533"/>
      <c r="V1274" s="533"/>
      <c r="W1274" s="533"/>
      <c r="X1274" s="533"/>
      <c r="Y1274" s="533"/>
      <c r="Z1274" s="533"/>
      <c r="AA1274" s="533"/>
      <c r="AB1274" s="533"/>
      <c r="AC1274" s="533"/>
      <c r="AD1274" s="533"/>
      <c r="AE1274" s="533"/>
      <c r="AF1274" s="533"/>
      <c r="AG1274" s="533"/>
      <c r="AH1274" s="533"/>
      <c r="AI1274" s="533"/>
      <c r="AJ1274" s="533"/>
      <c r="AK1274" s="533"/>
      <c r="AL1274" s="533"/>
      <c r="AM1274" s="533"/>
      <c r="AN1274" s="533"/>
      <c r="AO1274" s="533"/>
      <c r="AP1274" s="533"/>
      <c r="AQ1274" s="533"/>
      <c r="AR1274" s="533"/>
      <c r="AS1274" s="533"/>
      <c r="AT1274" s="533"/>
      <c r="AU1274" s="533"/>
      <c r="AV1274" s="533"/>
      <c r="AW1274" s="533"/>
      <c r="AX1274" s="533"/>
      <c r="AY1274" s="533"/>
      <c r="AZ1274" s="533"/>
      <c r="BA1274" s="533"/>
      <c r="BB1274" s="533"/>
      <c r="BC1274" s="533"/>
      <c r="BD1274" s="533"/>
      <c r="BE1274" s="533"/>
      <c r="BF1274" s="533"/>
      <c r="BG1274" s="533"/>
      <c r="BH1274" s="548"/>
      <c r="BI1274" s="548"/>
      <c r="BJ1274" s="548"/>
      <c r="BK1274" s="547"/>
      <c r="BL1274" s="548"/>
      <c r="BM1274" s="548"/>
      <c r="BN1274" s="598">
        <f>BP1274</f>
        <v>1.7000000000000001E-3</v>
      </c>
      <c r="BO1274" s="547"/>
      <c r="BP1274" s="544">
        <f>0.15%+0.02%+0%</f>
        <v>1.7000000000000001E-3</v>
      </c>
      <c r="BQ1274" s="544">
        <v>0</v>
      </c>
      <c r="BR1274" s="549">
        <f>BQ1274</f>
        <v>0</v>
      </c>
      <c r="BS1274" s="533"/>
      <c r="BT1274" s="544">
        <v>0</v>
      </c>
      <c r="BU1274" s="544">
        <v>0</v>
      </c>
      <c r="BV1274" s="549">
        <f>BU1274</f>
        <v>0</v>
      </c>
      <c r="BW1274" s="533"/>
      <c r="BX1274" s="544">
        <v>0</v>
      </c>
      <c r="BY1274" s="544">
        <v>0</v>
      </c>
      <c r="BZ1274" s="549">
        <f>BY1274</f>
        <v>0</v>
      </c>
      <c r="CA1274" s="533"/>
      <c r="CB1274" s="544">
        <v>0</v>
      </c>
      <c r="CC1274" s="544">
        <v>0</v>
      </c>
      <c r="CD1274" s="549">
        <f>CC1274</f>
        <v>0</v>
      </c>
      <c r="CE1274" s="533"/>
      <c r="CF1274" s="544">
        <v>0</v>
      </c>
      <c r="CG1274" s="544">
        <v>0</v>
      </c>
      <c r="CH1274" s="549">
        <f>CG1274</f>
        <v>0</v>
      </c>
      <c r="CI1274" s="533"/>
      <c r="CJ1274" s="544">
        <v>0</v>
      </c>
      <c r="CK1274" s="544">
        <v>0</v>
      </c>
      <c r="CL1274" s="549">
        <f>CK1274</f>
        <v>0</v>
      </c>
      <c r="CM1274" s="533"/>
      <c r="CN1274" s="544">
        <v>0</v>
      </c>
      <c r="CO1274" s="544">
        <v>0</v>
      </c>
      <c r="CP1274" s="549">
        <f>CO1274</f>
        <v>0</v>
      </c>
      <c r="CQ1274" s="533"/>
      <c r="CR1274" s="544">
        <v>0</v>
      </c>
      <c r="CS1274" s="544">
        <v>0</v>
      </c>
      <c r="CT1274" s="549">
        <f>CS1274</f>
        <v>0</v>
      </c>
      <c r="CU1274" s="533"/>
      <c r="CV1274" s="544">
        <v>0</v>
      </c>
      <c r="CW1274" s="544">
        <v>0</v>
      </c>
      <c r="CX1274" s="549">
        <f>CW1274</f>
        <v>0</v>
      </c>
      <c r="CY1274" s="533"/>
      <c r="CZ1274" s="544">
        <v>0</v>
      </c>
      <c r="DA1274" s="544">
        <v>0</v>
      </c>
      <c r="DB1274" s="549">
        <f>DA1274</f>
        <v>0</v>
      </c>
      <c r="DC1274" s="533"/>
      <c r="DD1274" s="544">
        <v>0</v>
      </c>
      <c r="DE1274" s="544">
        <v>0</v>
      </c>
      <c r="DF1274" s="549">
        <f>DE1274</f>
        <v>0</v>
      </c>
      <c r="DG1274" s="533"/>
      <c r="DH1274" s="549">
        <f>DE1274</f>
        <v>0</v>
      </c>
      <c r="DI1274" s="549">
        <f>DH1274</f>
        <v>0</v>
      </c>
      <c r="DJ1274" s="549">
        <f>DI1274</f>
        <v>0</v>
      </c>
      <c r="DK1274" s="533"/>
      <c r="DL1274" s="549">
        <f>DI1274</f>
        <v>0</v>
      </c>
      <c r="DM1274" s="549">
        <f>DL1274</f>
        <v>0</v>
      </c>
      <c r="DN1274" s="549">
        <f>DM1274</f>
        <v>0</v>
      </c>
      <c r="DO1274" s="533"/>
      <c r="DP1274" s="549">
        <f>DM1274</f>
        <v>0</v>
      </c>
      <c r="DQ1274" s="549">
        <f>DP1274</f>
        <v>0</v>
      </c>
      <c r="DR1274" s="549">
        <f>DQ1274</f>
        <v>0</v>
      </c>
      <c r="DS1274" s="533"/>
      <c r="DT1274" s="533"/>
      <c r="DU1274" s="533"/>
      <c r="DV1274" s="533"/>
      <c r="DW1274" s="553">
        <f>BU1274</f>
        <v>0</v>
      </c>
    </row>
    <row r="1275" spans="1:128" s="20" customFormat="1" ht="13.8">
      <c r="A1275" s="541" t="s">
        <v>770</v>
      </c>
      <c r="B1275" s="547"/>
      <c r="C1275" s="533"/>
      <c r="D1275" s="533"/>
      <c r="E1275" s="533"/>
      <c r="F1275" s="533"/>
      <c r="G1275" s="533"/>
      <c r="H1275" s="533"/>
      <c r="I1275" s="533"/>
      <c r="J1275" s="533"/>
      <c r="K1275" s="533"/>
      <c r="L1275" s="533"/>
      <c r="M1275" s="533"/>
      <c r="N1275" s="533"/>
      <c r="O1275" s="533"/>
      <c r="P1275" s="533"/>
      <c r="Q1275" s="533"/>
      <c r="R1275" s="533"/>
      <c r="S1275" s="533"/>
      <c r="T1275" s="533"/>
      <c r="U1275" s="533"/>
      <c r="V1275" s="533"/>
      <c r="W1275" s="533"/>
      <c r="X1275" s="533"/>
      <c r="Y1275" s="533"/>
      <c r="Z1275" s="533"/>
      <c r="AA1275" s="533"/>
      <c r="AB1275" s="533"/>
      <c r="AC1275" s="533"/>
      <c r="AD1275" s="533"/>
      <c r="AE1275" s="533"/>
      <c r="AF1275" s="533"/>
      <c r="AG1275" s="533"/>
      <c r="AH1275" s="533"/>
      <c r="AI1275" s="533"/>
      <c r="AJ1275" s="533"/>
      <c r="AK1275" s="533"/>
      <c r="AL1275" s="533"/>
      <c r="AM1275" s="533"/>
      <c r="AN1275" s="533"/>
      <c r="AO1275" s="533"/>
      <c r="AP1275" s="533"/>
      <c r="AQ1275" s="533"/>
      <c r="AR1275" s="533"/>
      <c r="AS1275" s="533"/>
      <c r="AT1275" s="533"/>
      <c r="AU1275" s="533"/>
      <c r="AV1275" s="533"/>
      <c r="AW1275" s="533"/>
      <c r="AX1275" s="533"/>
      <c r="AY1275" s="533"/>
      <c r="AZ1275" s="533"/>
      <c r="BA1275" s="533"/>
      <c r="BB1275" s="533"/>
      <c r="BC1275" s="533"/>
      <c r="BD1275" s="533"/>
      <c r="BE1275" s="533"/>
      <c r="BF1275" s="533"/>
      <c r="BG1275" s="533"/>
      <c r="BH1275" s="548"/>
      <c r="BI1275" s="548"/>
      <c r="BJ1275" s="548"/>
      <c r="BK1275" s="547"/>
      <c r="BL1275" s="548"/>
      <c r="BM1275" s="548"/>
      <c r="BN1275" s="598">
        <f>BP1275</f>
        <v>4.1999999999999997E-3</v>
      </c>
      <c r="BO1275" s="547"/>
      <c r="BP1275" s="544">
        <f>(0.4%+1%)*0.3</f>
        <v>4.1999999999999997E-3</v>
      </c>
      <c r="BQ1275" s="544">
        <v>0</v>
      </c>
      <c r="BR1275" s="549">
        <f>BQ1275</f>
        <v>0</v>
      </c>
      <c r="BS1275" s="533"/>
      <c r="BT1275" s="544">
        <v>0</v>
      </c>
      <c r="BU1275" s="544">
        <v>0</v>
      </c>
      <c r="BV1275" s="549">
        <f>BU1275</f>
        <v>0</v>
      </c>
      <c r="BW1275" s="533"/>
      <c r="BX1275" s="544">
        <v>0</v>
      </c>
      <c r="BY1275" s="544">
        <v>0</v>
      </c>
      <c r="BZ1275" s="549">
        <f>BY1275</f>
        <v>0</v>
      </c>
      <c r="CA1275" s="533"/>
      <c r="CB1275" s="544">
        <v>0</v>
      </c>
      <c r="CC1275" s="544">
        <v>0</v>
      </c>
      <c r="CD1275" s="549">
        <f>CC1275</f>
        <v>0</v>
      </c>
      <c r="CE1275" s="533"/>
      <c r="CF1275" s="544">
        <v>0</v>
      </c>
      <c r="CG1275" s="544">
        <v>0</v>
      </c>
      <c r="CH1275" s="549">
        <f>CG1275</f>
        <v>0</v>
      </c>
      <c r="CI1275" s="533"/>
      <c r="CJ1275" s="544">
        <v>0</v>
      </c>
      <c r="CK1275" s="544">
        <v>0</v>
      </c>
      <c r="CL1275" s="549">
        <f>CK1275</f>
        <v>0</v>
      </c>
      <c r="CM1275" s="533"/>
      <c r="CN1275" s="544">
        <v>0</v>
      </c>
      <c r="CO1275" s="544">
        <v>0</v>
      </c>
      <c r="CP1275" s="549">
        <f>CO1275</f>
        <v>0</v>
      </c>
      <c r="CQ1275" s="533"/>
      <c r="CR1275" s="544">
        <v>0</v>
      </c>
      <c r="CS1275" s="544">
        <v>0</v>
      </c>
      <c r="CT1275" s="549">
        <f>CS1275</f>
        <v>0</v>
      </c>
      <c r="CU1275" s="533"/>
      <c r="CV1275" s="544">
        <v>0</v>
      </c>
      <c r="CW1275" s="544">
        <v>0</v>
      </c>
      <c r="CX1275" s="549">
        <f>CW1275</f>
        <v>0</v>
      </c>
      <c r="CY1275" s="533"/>
      <c r="CZ1275" s="544">
        <v>0</v>
      </c>
      <c r="DA1275" s="544">
        <v>0</v>
      </c>
      <c r="DB1275" s="549">
        <f>DA1275</f>
        <v>0</v>
      </c>
      <c r="DC1275" s="533"/>
      <c r="DD1275" s="544">
        <v>0</v>
      </c>
      <c r="DE1275" s="544">
        <v>0</v>
      </c>
      <c r="DF1275" s="549">
        <f>DE1275</f>
        <v>0</v>
      </c>
      <c r="DG1275" s="533"/>
      <c r="DH1275" s="549">
        <f>DE1275</f>
        <v>0</v>
      </c>
      <c r="DI1275" s="549">
        <f>DH1275</f>
        <v>0</v>
      </c>
      <c r="DJ1275" s="549">
        <f>DI1275</f>
        <v>0</v>
      </c>
      <c r="DK1275" s="533"/>
      <c r="DL1275" s="549">
        <f>DI1275</f>
        <v>0</v>
      </c>
      <c r="DM1275" s="549">
        <f>DL1275</f>
        <v>0</v>
      </c>
      <c r="DN1275" s="549">
        <f>DM1275</f>
        <v>0</v>
      </c>
      <c r="DO1275" s="533"/>
      <c r="DP1275" s="549">
        <f>DM1275</f>
        <v>0</v>
      </c>
      <c r="DQ1275" s="549">
        <f>DP1275</f>
        <v>0</v>
      </c>
      <c r="DR1275" s="549">
        <f>DQ1275</f>
        <v>0</v>
      </c>
      <c r="DS1275" s="533"/>
      <c r="DT1275" s="533"/>
      <c r="DU1275" s="533"/>
      <c r="DV1275" s="533"/>
      <c r="DW1275" s="553">
        <f>BU1275</f>
        <v>0</v>
      </c>
    </row>
    <row r="1276" spans="1:128" s="20" customFormat="1" ht="13.8">
      <c r="A1276" s="542" t="s">
        <v>706</v>
      </c>
      <c r="B1276" s="49"/>
      <c r="BH1276" s="74"/>
      <c r="BI1276" s="74"/>
      <c r="BJ1276" s="74"/>
      <c r="BK1276" s="49"/>
      <c r="BL1276" s="74"/>
      <c r="BM1276" s="74"/>
      <c r="BN1276" s="545">
        <f>BN1272-BN1274-BN1275</f>
        <v>3.1099999999999999E-2</v>
      </c>
      <c r="BO1276" s="49"/>
      <c r="BP1276" s="545">
        <f>BP1272-BP1274-BP1275</f>
        <v>3.1099999999999999E-2</v>
      </c>
      <c r="BQ1276" s="545">
        <f>BQ1272-BQ1274-BQ1275</f>
        <v>3.6000000000000004E-2</v>
      </c>
      <c r="BR1276" s="545">
        <f>BR1272-BR1274-BR1275</f>
        <v>3.6000000000000004E-2</v>
      </c>
      <c r="BT1276" s="545">
        <f>BT1272-BT1274-BT1275</f>
        <v>4.2000000000000003E-2</v>
      </c>
      <c r="BU1276" s="545">
        <f>BU1272-BU1274-BU1275</f>
        <v>4.9000000000000002E-2</v>
      </c>
      <c r="BV1276" s="545">
        <f>BV1272-BV1274-BV1275</f>
        <v>4.9000000000000002E-2</v>
      </c>
      <c r="BX1276" s="545">
        <f>BX1272-BX1274-BX1275</f>
        <v>5.0999999999999997E-2</v>
      </c>
      <c r="BY1276" s="545">
        <f>BY1272-BY1274-BY1275</f>
        <v>5.1999999999999998E-2</v>
      </c>
      <c r="BZ1276" s="545">
        <f>BZ1272-BZ1274-BZ1275</f>
        <v>5.1999999999999998E-2</v>
      </c>
      <c r="CB1276" s="545">
        <f>CB1272-CB1274-CB1275</f>
        <v>5.2999999999999992E-2</v>
      </c>
      <c r="CC1276" s="545">
        <f>CC1272-CC1274-CC1275</f>
        <v>5.4000000000000006E-2</v>
      </c>
      <c r="CD1276" s="545">
        <f>CD1272-CD1274-CD1275</f>
        <v>5.4000000000000006E-2</v>
      </c>
      <c r="CF1276" s="545">
        <f>CF1272-CF1274-CF1275</f>
        <v>5.4000000000000006E-2</v>
      </c>
      <c r="CG1276" s="545">
        <f>CG1272-CG1274-CG1275</f>
        <v>0.05</v>
      </c>
      <c r="CH1276" s="545">
        <f>CH1272-CH1274-CH1275</f>
        <v>0.05</v>
      </c>
      <c r="CJ1276" s="545">
        <f>CJ1272-CJ1274-CJ1275</f>
        <v>4.7E-2</v>
      </c>
      <c r="CK1276" s="545">
        <f>CK1272-CK1274-CK1275</f>
        <v>5.3999999999999999E-2</v>
      </c>
      <c r="CL1276" s="545">
        <f>CL1272-CL1274-CL1275</f>
        <v>5.3999999999999999E-2</v>
      </c>
      <c r="CN1276" s="545">
        <f>CN1272-CN1274-CN1275</f>
        <v>5.7000000000000002E-2</v>
      </c>
      <c r="CO1276" s="545">
        <f>CO1272-CO1274-CO1275</f>
        <v>0.06</v>
      </c>
      <c r="CP1276" s="545">
        <f>CP1272-CP1274-CP1275</f>
        <v>0.06</v>
      </c>
      <c r="CR1276" s="545">
        <f>CR1272-CR1274-CR1275</f>
        <v>6.5000000000000002E-2</v>
      </c>
      <c r="CS1276" s="545">
        <f>CS1272-CS1274-CS1275</f>
        <v>6.9000000000000006E-2</v>
      </c>
      <c r="CT1276" s="545">
        <f>CT1272-CT1274-CT1275</f>
        <v>6.9000000000000006E-2</v>
      </c>
      <c r="CV1276" s="545">
        <f>CV1272-CV1274-CV1275</f>
        <v>5.7000000000000009E-2</v>
      </c>
      <c r="CW1276" s="545">
        <f>CW1272-CW1274-CW1275</f>
        <v>6.4000000000000001E-2</v>
      </c>
      <c r="CX1276" s="545">
        <f>CX1272-CX1274-CX1275</f>
        <v>6.4000000000000001E-2</v>
      </c>
      <c r="CZ1276" s="545">
        <f>CZ1272-CZ1274-CZ1275</f>
        <v>6.1800000000000001E-2</v>
      </c>
      <c r="DA1276" s="545">
        <f>DA1272-DA1274-DA1275</f>
        <v>5.4099999999999995E-2</v>
      </c>
      <c r="DB1276" s="545">
        <f>DB1272-DB1274-DB1275</f>
        <v>5.4099999999999995E-2</v>
      </c>
      <c r="DD1276" s="545">
        <f>DD1272-DD1274-DD1275</f>
        <v>5.2400000000000002E-2</v>
      </c>
      <c r="DE1276" s="545">
        <f>DE1272-DE1274-DE1275</f>
        <v>5.5800000000000002E-2</v>
      </c>
      <c r="DF1276" s="545">
        <f>DF1272-DF1274-DF1275</f>
        <v>5.5800000000000002E-2</v>
      </c>
      <c r="DH1276" s="545">
        <f>DH1272-DH1274-DH1275</f>
        <v>5.6366108917425342E-2</v>
      </c>
      <c r="DI1276" s="545">
        <f>DI1272-DI1274-DI1275</f>
        <v>5.6366237275802998E-2</v>
      </c>
      <c r="DJ1276" s="545">
        <f>DJ1272-DJ1274-DJ1275</f>
        <v>5.6366237275802998E-2</v>
      </c>
      <c r="DL1276" s="545">
        <f>DL1272-DL1274-DL1275</f>
        <v>5.6386865263449285E-2</v>
      </c>
      <c r="DM1276" s="545">
        <f>DM1272-DM1274-DM1275</f>
        <v>5.6407371076159105E-2</v>
      </c>
      <c r="DN1276" s="545">
        <f>DN1272-DN1274-DN1275</f>
        <v>5.6407371076159105E-2</v>
      </c>
      <c r="DP1276" s="545">
        <f>DP1272-DP1274-DP1275</f>
        <v>5.6427813439944609E-2</v>
      </c>
      <c r="DQ1276" s="545">
        <f>DQ1272-DQ1274-DQ1275</f>
        <v>5.644813376176111E-2</v>
      </c>
      <c r="DR1276" s="545">
        <f>DR1272-DR1274-DR1275</f>
        <v>5.644813376176111E-2</v>
      </c>
      <c r="DW1276" s="545">
        <f>DW1272-DW1274-DW1275</f>
        <v>5.1999999999999998E-2</v>
      </c>
    </row>
    <row r="1277" spans="1:128" s="20" customFormat="1" ht="13.8">
      <c r="A1277" s="542" t="s">
        <v>768</v>
      </c>
      <c r="B1277" s="49"/>
      <c r="BH1277" s="74"/>
      <c r="BI1277" s="74"/>
      <c r="BJ1277" s="74"/>
      <c r="BK1277" s="49"/>
      <c r="BL1277" s="74"/>
      <c r="BM1277" s="74"/>
      <c r="BN1277" s="546">
        <f>BN1276+BN1267</f>
        <v>0.1189933640178243</v>
      </c>
      <c r="BO1277" s="49"/>
      <c r="BP1277" s="546">
        <f>BP1276+BP1267</f>
        <v>0.1183039972806911</v>
      </c>
      <c r="BQ1277" s="546">
        <f>BQ1276+BQ1267</f>
        <v>0.13185084229618074</v>
      </c>
      <c r="BR1277" s="546">
        <f>BR1276+BR1267</f>
        <v>0.13185084229618074</v>
      </c>
      <c r="BT1277" s="546">
        <f>BT1276+BT1267</f>
        <v>0.14011631709735151</v>
      </c>
      <c r="BU1277" s="546">
        <f>BU1276+BU1267</f>
        <v>0.14510555531080666</v>
      </c>
      <c r="BV1277" s="546">
        <f>BV1276+BV1267</f>
        <v>0.14510555531080666</v>
      </c>
      <c r="BX1277" s="546">
        <f>BX1276+BX1267</f>
        <v>0.15229206125327421</v>
      </c>
      <c r="BY1277" s="546">
        <f>BY1276+BY1267</f>
        <v>0.15768812593802814</v>
      </c>
      <c r="BZ1277" s="546">
        <f>BZ1276+BZ1267</f>
        <v>0.15768812593802814</v>
      </c>
      <c r="CB1277" s="546">
        <f>CB1276+CB1267</f>
        <v>0.16343340062712081</v>
      </c>
      <c r="CC1277" s="546">
        <f>CC1276+CC1267</f>
        <v>0.16835187554372857</v>
      </c>
      <c r="CD1277" s="546">
        <f>CD1276+CD1267</f>
        <v>0.16835187554372857</v>
      </c>
      <c r="CF1277" s="546">
        <f>CF1276+CF1267</f>
        <v>0.16888527370038686</v>
      </c>
      <c r="CG1277" s="546">
        <f>CG1276+CG1267</f>
        <v>0.16357177289962371</v>
      </c>
      <c r="CH1277" s="546">
        <f>CH1276+CH1267</f>
        <v>0.16357177289962371</v>
      </c>
      <c r="CJ1277" s="546">
        <f>CJ1276+CJ1267</f>
        <v>0.15463854863567122</v>
      </c>
      <c r="CK1277" s="546">
        <f>CK1276+CK1267</f>
        <v>0.16742295008663574</v>
      </c>
      <c r="CL1277" s="546">
        <f>CL1276+CL1267</f>
        <v>0.16742295008663574</v>
      </c>
      <c r="CN1277" s="546">
        <f>CN1276+CN1267</f>
        <v>0.18142486635339544</v>
      </c>
      <c r="CO1277" s="546">
        <f>CO1276+CO1267</f>
        <v>0.18343361708877493</v>
      </c>
      <c r="CP1277" s="546">
        <f>CP1276+CP1267</f>
        <v>0.18343361708877493</v>
      </c>
      <c r="CR1277" s="546">
        <f>CR1276+CR1267</f>
        <v>0.18034561896280057</v>
      </c>
      <c r="CS1277" s="546">
        <f>CS1276+CS1267</f>
        <v>0.19187175788070848</v>
      </c>
      <c r="CT1277" s="546">
        <f>CT1276+CT1267</f>
        <v>0.19187175788070848</v>
      </c>
      <c r="CV1277" s="546">
        <f>CV1276+CV1267</f>
        <v>0.1887523586065914</v>
      </c>
      <c r="CW1277" s="546">
        <f>CW1276+CW1267</f>
        <v>0.19737271852434765</v>
      </c>
      <c r="CX1277" s="546">
        <f>CX1276+CX1267</f>
        <v>0.19737271852434765</v>
      </c>
      <c r="CZ1277" s="546">
        <f>CZ1276+CZ1267</f>
        <v>0.1967695803169747</v>
      </c>
      <c r="DA1277" s="1308">
        <f>DA1276+DA1267</f>
        <v>0.17606864181718027</v>
      </c>
      <c r="DB1277" s="546">
        <f>DB1276+DB1267</f>
        <v>0.17606864181718027</v>
      </c>
      <c r="DD1277" s="546">
        <f>DD1276+DD1267</f>
        <v>0.17015931291964376</v>
      </c>
      <c r="DE1277" s="1308">
        <f>DE1276+DE1267</f>
        <v>0.17614535173057505</v>
      </c>
      <c r="DF1277" s="546">
        <f>DF1276+DF1267</f>
        <v>0.17614535173057505</v>
      </c>
      <c r="DH1277" s="546">
        <f ca="1">DH1276+DH1267</f>
        <v>0.18060402007857851</v>
      </c>
      <c r="DI1277" s="546">
        <f ca="1">DI1276+DI1267</f>
        <v>0.18052671051147964</v>
      </c>
      <c r="DJ1277" s="546">
        <f ca="1">DJ1276+DJ1267</f>
        <v>0.18052671051147964</v>
      </c>
      <c r="DL1277" s="546">
        <f ca="1">DL1276+DL1267</f>
        <v>0.18130154047053329</v>
      </c>
      <c r="DM1277" s="546">
        <f ca="1">DM1276+DM1267</f>
        <v>0.18038040608005335</v>
      </c>
      <c r="DN1277" s="546">
        <f ca="1">DN1276+DN1267</f>
        <v>0.18038040608005335</v>
      </c>
      <c r="DP1277" s="546">
        <f ca="1">DP1276+DP1267</f>
        <v>0.17920128870773078</v>
      </c>
      <c r="DQ1277" s="546">
        <f ca="1">DQ1276+DQ1267</f>
        <v>0.1788113223707205</v>
      </c>
      <c r="DR1277" s="546">
        <f ca="1">DR1276+DR1267</f>
        <v>0.1788113223707205</v>
      </c>
      <c r="DW1277" s="546">
        <f>DW1276+DW1267</f>
        <v>0.16059999999999999</v>
      </c>
    </row>
    <row r="1278" spans="1:128" s="20" customFormat="1" ht="13.8">
      <c r="B1278" s="49"/>
      <c r="BH1278" s="49"/>
      <c r="BI1278" s="49"/>
      <c r="BJ1278" s="49"/>
      <c r="BK1278" s="49"/>
      <c r="BL1278" s="49"/>
      <c r="BM1278" s="49"/>
      <c r="BN1278" s="49"/>
      <c r="BO1278" s="49"/>
      <c r="BP1278" s="49"/>
      <c r="BT1278" s="49"/>
      <c r="BX1278" s="49"/>
      <c r="CB1278" s="49"/>
      <c r="CF1278" s="49"/>
      <c r="CJ1278" s="49"/>
      <c r="CN1278" s="49"/>
      <c r="CR1278" s="49"/>
      <c r="CV1278" s="1233">
        <v>0.189</v>
      </c>
      <c r="CW1278" s="1233">
        <v>0.19700000000000001</v>
      </c>
      <c r="CZ1278" s="1233">
        <v>0.19700000000000001</v>
      </c>
      <c r="DA1278" s="1233">
        <v>0.17599999999999999</v>
      </c>
      <c r="DD1278" s="1233">
        <v>0.17</v>
      </c>
      <c r="DE1278" s="1233">
        <v>0.17599999999999999</v>
      </c>
      <c r="DH1278" s="49"/>
      <c r="DL1278" s="49"/>
      <c r="DP1278" s="49"/>
    </row>
    <row r="1279" spans="1:128" s="359" customFormat="1" ht="13.8">
      <c r="A1279" s="359" t="s">
        <v>530</v>
      </c>
      <c r="B1279" s="360"/>
      <c r="BH1279" s="428" t="s">
        <v>201</v>
      </c>
      <c r="BI1279" s="360"/>
      <c r="BJ1279" s="360"/>
      <c r="BK1279" s="360"/>
      <c r="BL1279" s="360"/>
      <c r="BM1279" s="360"/>
      <c r="BN1279" s="360"/>
      <c r="BO1279" s="360"/>
      <c r="BP1279" s="360"/>
      <c r="BT1279" s="360"/>
      <c r="BX1279" s="360"/>
      <c r="CB1279" s="360"/>
      <c r="CF1279" s="360"/>
      <c r="CJ1279" s="360"/>
      <c r="CN1279" s="360"/>
      <c r="CR1279" s="360"/>
      <c r="CV1279" s="360"/>
      <c r="CZ1279" s="360"/>
      <c r="DD1279" s="360"/>
      <c r="DH1279" s="360"/>
      <c r="DL1279" s="360"/>
      <c r="DP1279" s="360"/>
      <c r="DT1279" s="744"/>
      <c r="DU1279" s="744"/>
      <c r="DV1279" s="744"/>
      <c r="DW1279" s="20"/>
      <c r="DX1279" s="20"/>
    </row>
    <row r="1280" spans="1:128" s="20" customFormat="1" ht="13.8">
      <c r="B1280" s="49"/>
      <c r="BH1280" s="49"/>
      <c r="BI1280" s="49"/>
      <c r="BJ1280" s="49"/>
      <c r="BK1280" s="65"/>
      <c r="BL1280" s="65"/>
      <c r="BM1280" s="49"/>
      <c r="BN1280" s="49"/>
      <c r="BO1280" s="65"/>
      <c r="BP1280" s="65"/>
      <c r="BT1280" s="49"/>
      <c r="BX1280" s="49"/>
      <c r="CB1280" s="49"/>
      <c r="CF1280" s="49"/>
      <c r="CJ1280" s="49"/>
      <c r="CN1280" s="49"/>
      <c r="CR1280" s="49"/>
      <c r="CV1280" s="49"/>
      <c r="CZ1280" s="49"/>
      <c r="DD1280" s="49"/>
      <c r="DH1280" s="49"/>
      <c r="DL1280" s="49"/>
      <c r="DP1280" s="49"/>
    </row>
    <row r="1281" spans="1:128" s="20" customFormat="1" ht="13.8">
      <c r="A1281" s="21" t="s">
        <v>716</v>
      </c>
      <c r="B1281" s="27"/>
      <c r="C1281" s="21"/>
      <c r="D1281" s="21"/>
      <c r="E1281" s="21"/>
      <c r="F1281" s="21"/>
      <c r="G1281" s="21"/>
      <c r="H1281" s="21"/>
      <c r="I1281" s="21"/>
      <c r="J1281" s="21"/>
      <c r="K1281" s="21"/>
      <c r="L1281" s="21"/>
      <c r="M1281" s="21"/>
      <c r="N1281" s="21"/>
      <c r="O1281" s="21"/>
      <c r="P1281" s="21"/>
      <c r="Q1281" s="21"/>
      <c r="R1281" s="21"/>
      <c r="S1281" s="21"/>
      <c r="T1281" s="21"/>
      <c r="U1281" s="21"/>
      <c r="V1281" s="21"/>
      <c r="W1281" s="21"/>
      <c r="X1281" s="21"/>
      <c r="Y1281" s="21"/>
      <c r="Z1281" s="21"/>
      <c r="AA1281" s="21"/>
      <c r="AB1281" s="21"/>
      <c r="AC1281" s="21"/>
      <c r="AD1281" s="21"/>
      <c r="AE1281" s="21"/>
      <c r="AF1281" s="21"/>
      <c r="AG1281" s="21"/>
      <c r="AH1281" s="21"/>
      <c r="AI1281" s="21"/>
      <c r="AJ1281" s="21"/>
      <c r="AK1281" s="21"/>
      <c r="AL1281" s="21"/>
      <c r="AM1281" s="21"/>
      <c r="AN1281" s="21"/>
      <c r="AO1281" s="21"/>
      <c r="AP1281" s="21"/>
      <c r="AQ1281" s="21"/>
      <c r="AR1281" s="21"/>
      <c r="AS1281" s="21"/>
      <c r="AT1281" s="21"/>
      <c r="AU1281" s="21"/>
      <c r="AV1281" s="21"/>
      <c r="AW1281" s="21"/>
      <c r="AX1281" s="21"/>
      <c r="AY1281" s="21"/>
      <c r="AZ1281" s="21"/>
      <c r="BA1281" s="21"/>
      <c r="BB1281" s="21"/>
      <c r="BC1281" s="21"/>
      <c r="BD1281" s="21"/>
      <c r="BE1281" s="21"/>
      <c r="BF1281" s="21"/>
      <c r="BG1281" s="21"/>
      <c r="BH1281" s="104">
        <f>BH1046</f>
        <v>42503</v>
      </c>
      <c r="BI1281" s="104">
        <f>BI1046</f>
        <v>45603</v>
      </c>
      <c r="BJ1281" s="104">
        <f t="shared" ref="BJ1281:BJ1287" si="1861">BI1281</f>
        <v>45603</v>
      </c>
      <c r="BK1281" s="27"/>
      <c r="BL1281" s="104">
        <f>BL1046</f>
        <v>47038</v>
      </c>
      <c r="BM1281" s="104">
        <f>BM1046</f>
        <v>49284</v>
      </c>
      <c r="BN1281" s="104">
        <f t="shared" ref="BN1281:BN1287" si="1862">BM1281</f>
        <v>49284</v>
      </c>
      <c r="BO1281" s="27"/>
      <c r="BP1281" s="104">
        <f>BP1046</f>
        <v>52051</v>
      </c>
      <c r="BQ1281" s="104">
        <f>BQ1046</f>
        <v>57353</v>
      </c>
      <c r="BR1281" s="104">
        <f t="shared" ref="BR1281:BR1287" si="1863">BQ1281</f>
        <v>57353</v>
      </c>
      <c r="BS1281" s="28"/>
      <c r="BT1281" s="104">
        <f>BT1046</f>
        <v>56464</v>
      </c>
      <c r="BU1281" s="104">
        <f>BU1046</f>
        <v>57927</v>
      </c>
      <c r="BV1281" s="104">
        <f t="shared" ref="BV1281:BV1287" si="1864">BU1281</f>
        <v>57927</v>
      </c>
      <c r="BW1281" s="28"/>
      <c r="BX1281" s="104">
        <f>BX1046</f>
        <v>57908</v>
      </c>
      <c r="BY1281" s="104">
        <f>BY1046</f>
        <v>59075</v>
      </c>
      <c r="BZ1281" s="104">
        <f t="shared" ref="BZ1281:BZ1287" si="1865">BY1281</f>
        <v>59075</v>
      </c>
      <c r="CB1281" s="104">
        <f>CB1046</f>
        <v>59500</v>
      </c>
      <c r="CC1281" s="104">
        <f>CC1046</f>
        <v>59383</v>
      </c>
      <c r="CD1281" s="104">
        <f t="shared" ref="CD1281:CD1287" si="1866">CC1281</f>
        <v>59383</v>
      </c>
      <c r="CF1281" s="104">
        <f>CF1046</f>
        <v>59971</v>
      </c>
      <c r="CG1281" s="104">
        <f>CG1046</f>
        <v>60794</v>
      </c>
      <c r="CH1281" s="104">
        <f t="shared" ref="CH1281:CH1287" si="1867">CG1281</f>
        <v>60794</v>
      </c>
      <c r="CJ1281" s="104">
        <f>CJ1046</f>
        <v>61375</v>
      </c>
      <c r="CK1281" s="104">
        <f>CK1046</f>
        <v>61297</v>
      </c>
      <c r="CL1281" s="104">
        <f t="shared" ref="CL1281:CL1287" si="1868">CK1281</f>
        <v>61297</v>
      </c>
      <c r="CN1281" s="104">
        <f>CN1046</f>
        <v>62576</v>
      </c>
      <c r="CO1281" s="104">
        <f>CO1046</f>
        <v>63676</v>
      </c>
      <c r="CP1281" s="104">
        <f t="shared" ref="CP1281:CP1287" si="1869">CO1281</f>
        <v>63676</v>
      </c>
      <c r="CR1281" s="104">
        <f>CR1046</f>
        <v>61756</v>
      </c>
      <c r="CS1281" s="104">
        <f>CS1046</f>
        <v>66401</v>
      </c>
      <c r="CT1281" s="104">
        <f t="shared" ref="CT1281:CT1287" si="1870">CS1281</f>
        <v>66401</v>
      </c>
      <c r="CV1281" s="104">
        <f>CV1049</f>
        <v>68596</v>
      </c>
      <c r="CW1281" s="104">
        <f>CW1049</f>
        <v>69085</v>
      </c>
      <c r="CX1281" s="104">
        <f t="shared" ref="CX1281:CX1287" si="1871">CW1281</f>
        <v>69085</v>
      </c>
      <c r="CZ1281" s="104">
        <f>CZ1049</f>
        <v>70202</v>
      </c>
      <c r="DA1281" s="104">
        <f>DA1049</f>
        <v>68760</v>
      </c>
      <c r="DB1281" s="104">
        <f t="shared" ref="DB1281:DB1287" si="1872">DA1281</f>
        <v>68760</v>
      </c>
      <c r="DD1281" s="104">
        <f>DD1049</f>
        <v>70712</v>
      </c>
      <c r="DE1281" s="104">
        <f>DE1049</f>
        <v>70445</v>
      </c>
      <c r="DF1281" s="104">
        <f t="shared" ref="DF1281:DF1287" si="1873">DE1281</f>
        <v>70445</v>
      </c>
      <c r="DH1281" s="104">
        <f ca="1">DH1049</f>
        <v>73443.319410450567</v>
      </c>
      <c r="DI1281" s="104">
        <f ca="1">DI1049</f>
        <v>74729.500404853752</v>
      </c>
      <c r="DJ1281" s="104">
        <f ca="1">DJ1049</f>
        <v>74729.500404853752</v>
      </c>
      <c r="DL1281" s="104">
        <f ca="1">DL1049</f>
        <v>76121.931352849206</v>
      </c>
      <c r="DM1281" s="104">
        <f ca="1">DM1049</f>
        <v>76908.233218012116</v>
      </c>
      <c r="DN1281" s="104">
        <f ca="1">DN1049</f>
        <v>76908.233218012116</v>
      </c>
      <c r="DP1281" s="104">
        <f ca="1">DP1049</f>
        <v>77847.087646612039</v>
      </c>
      <c r="DQ1281" s="104">
        <f ca="1">DQ1049</f>
        <v>78828.214539050052</v>
      </c>
      <c r="DR1281" s="104">
        <f ca="1">DR1049</f>
        <v>78828.214539050052</v>
      </c>
      <c r="DW1281" s="28"/>
      <c r="DX1281" s="607"/>
    </row>
    <row r="1282" spans="1:128" s="20" customFormat="1" ht="13.8">
      <c r="A1282" s="20" t="s">
        <v>678</v>
      </c>
      <c r="B1282" s="49"/>
      <c r="BE1282" s="21"/>
      <c r="BF1282" s="21"/>
      <c r="BH1282" s="67">
        <v>253</v>
      </c>
      <c r="BI1282" s="67">
        <v>273</v>
      </c>
      <c r="BJ1282" s="65">
        <f t="shared" si="1861"/>
        <v>273</v>
      </c>
      <c r="BK1282" s="65"/>
      <c r="BL1282" s="67">
        <v>275</v>
      </c>
      <c r="BM1282" s="67">
        <v>249</v>
      </c>
      <c r="BN1282" s="65">
        <f t="shared" si="1862"/>
        <v>249</v>
      </c>
      <c r="BO1282" s="65"/>
      <c r="BP1282" s="67">
        <v>287</v>
      </c>
      <c r="BQ1282" s="67">
        <v>242</v>
      </c>
      <c r="BR1282" s="65">
        <f t="shared" si="1863"/>
        <v>242</v>
      </c>
      <c r="BS1282" s="65"/>
      <c r="BT1282" s="67">
        <v>254</v>
      </c>
      <c r="BU1282" s="67">
        <v>395</v>
      </c>
      <c r="BV1282" s="65">
        <f t="shared" si="1864"/>
        <v>395</v>
      </c>
      <c r="BW1282" s="65"/>
      <c r="BX1282" s="67">
        <v>324</v>
      </c>
      <c r="BY1282" s="67">
        <v>326</v>
      </c>
      <c r="BZ1282" s="65">
        <f t="shared" si="1865"/>
        <v>326</v>
      </c>
      <c r="CA1282" s="65"/>
      <c r="CB1282" s="67">
        <v>306</v>
      </c>
      <c r="CC1282" s="67">
        <v>328</v>
      </c>
      <c r="CD1282" s="65">
        <f t="shared" si="1866"/>
        <v>328</v>
      </c>
      <c r="CE1282" s="65"/>
      <c r="CF1282" s="67">
        <v>328</v>
      </c>
      <c r="CG1282" s="67">
        <v>0</v>
      </c>
      <c r="CH1282" s="65">
        <f t="shared" si="1867"/>
        <v>0</v>
      </c>
      <c r="CI1282" s="65"/>
      <c r="CJ1282" s="67">
        <v>0</v>
      </c>
      <c r="CK1282" s="67">
        <v>0</v>
      </c>
      <c r="CL1282" s="65">
        <f t="shared" si="1868"/>
        <v>0</v>
      </c>
      <c r="CM1282" s="65"/>
      <c r="CN1282" s="67">
        <v>0</v>
      </c>
      <c r="CO1282" s="67">
        <v>0</v>
      </c>
      <c r="CP1282" s="65">
        <f t="shared" si="1869"/>
        <v>0</v>
      </c>
      <c r="CQ1282" s="65"/>
      <c r="CR1282" s="67">
        <v>0</v>
      </c>
      <c r="CS1282" s="67">
        <v>0</v>
      </c>
      <c r="CT1282" s="65">
        <f t="shared" si="1870"/>
        <v>0</v>
      </c>
      <c r="CU1282" s="65"/>
      <c r="CV1282" s="67">
        <v>0</v>
      </c>
      <c r="CW1282" s="67">
        <v>0</v>
      </c>
      <c r="CX1282" s="65">
        <f t="shared" si="1871"/>
        <v>0</v>
      </c>
      <c r="CY1282" s="65"/>
      <c r="CZ1282" s="67">
        <v>0</v>
      </c>
      <c r="DA1282" s="67">
        <v>0</v>
      </c>
      <c r="DB1282" s="65">
        <f t="shared" si="1872"/>
        <v>0</v>
      </c>
      <c r="DC1282" s="65"/>
      <c r="DD1282" s="67">
        <v>0</v>
      </c>
      <c r="DE1282" s="67">
        <v>0</v>
      </c>
      <c r="DF1282" s="65">
        <f t="shared" si="1873"/>
        <v>0</v>
      </c>
      <c r="DG1282" s="65"/>
      <c r="DH1282" s="65">
        <f>DH1310</f>
        <v>0</v>
      </c>
      <c r="DI1282" s="65">
        <f ca="1">DI1310</f>
        <v>0</v>
      </c>
      <c r="DJ1282" s="65">
        <f t="shared" ref="DJ1282:DJ1287" ca="1" si="1874">DI1282</f>
        <v>0</v>
      </c>
      <c r="DK1282" s="65"/>
      <c r="DL1282" s="65">
        <f ca="1">DL1310</f>
        <v>0</v>
      </c>
      <c r="DM1282" s="65">
        <f ca="1">DM1310</f>
        <v>0</v>
      </c>
      <c r="DN1282" s="65">
        <f t="shared" ref="DN1282:DN1287" ca="1" si="1875">DM1282</f>
        <v>0</v>
      </c>
      <c r="DO1282" s="65"/>
      <c r="DP1282" s="65">
        <f ca="1">DP1310</f>
        <v>0</v>
      </c>
      <c r="DQ1282" s="65">
        <f ca="1">DQ1310</f>
        <v>0</v>
      </c>
      <c r="DR1282" s="65">
        <f t="shared" ref="DR1282:DR1287" ca="1" si="1876">DQ1282</f>
        <v>0</v>
      </c>
      <c r="DS1282" s="65"/>
      <c r="DT1282" s="65"/>
      <c r="DU1282" s="65"/>
      <c r="DV1282" s="65"/>
      <c r="DW1282" s="28"/>
      <c r="DX1282" s="573"/>
    </row>
    <row r="1283" spans="1:128" s="20" customFormat="1" ht="13.8">
      <c r="A1283" s="20" t="s">
        <v>679</v>
      </c>
      <c r="B1283" s="49"/>
      <c r="BE1283" s="67"/>
      <c r="BF1283" s="65"/>
      <c r="BH1283" s="67">
        <v>362</v>
      </c>
      <c r="BI1283" s="67">
        <v>381</v>
      </c>
      <c r="BJ1283" s="65">
        <f t="shared" si="1861"/>
        <v>381</v>
      </c>
      <c r="BK1283" s="65"/>
      <c r="BL1283" s="67">
        <v>391</v>
      </c>
      <c r="BM1283" s="67">
        <v>392</v>
      </c>
      <c r="BN1283" s="65">
        <f t="shared" si="1862"/>
        <v>392</v>
      </c>
      <c r="BO1283" s="65"/>
      <c r="BP1283" s="67">
        <v>397</v>
      </c>
      <c r="BQ1283" s="67">
        <v>380</v>
      </c>
      <c r="BR1283" s="65">
        <f t="shared" si="1863"/>
        <v>380</v>
      </c>
      <c r="BS1283" s="65"/>
      <c r="BT1283" s="67">
        <v>290</v>
      </c>
      <c r="BU1283" s="67">
        <v>238</v>
      </c>
      <c r="BV1283" s="65">
        <f t="shared" si="1864"/>
        <v>238</v>
      </c>
      <c r="BW1283" s="65"/>
      <c r="BX1283" s="67">
        <v>175</v>
      </c>
      <c r="BY1283" s="67">
        <v>131</v>
      </c>
      <c r="BZ1283" s="65">
        <f t="shared" si="1865"/>
        <v>131</v>
      </c>
      <c r="CA1283" s="65"/>
      <c r="CB1283" s="67">
        <v>135</v>
      </c>
      <c r="CC1283" s="67">
        <v>132</v>
      </c>
      <c r="CD1283" s="65">
        <f t="shared" si="1866"/>
        <v>132</v>
      </c>
      <c r="CE1283" s="65"/>
      <c r="CF1283" s="67">
        <v>143</v>
      </c>
      <c r="CG1283" s="67">
        <v>108</v>
      </c>
      <c r="CH1283" s="65">
        <f t="shared" si="1867"/>
        <v>108</v>
      </c>
      <c r="CI1283" s="65"/>
      <c r="CJ1283" s="67">
        <v>387</v>
      </c>
      <c r="CK1283" s="67">
        <v>379</v>
      </c>
      <c r="CL1283" s="65">
        <f t="shared" si="1868"/>
        <v>379</v>
      </c>
      <c r="CM1283" s="65"/>
      <c r="CN1283" s="67">
        <v>351</v>
      </c>
      <c r="CO1283" s="67">
        <v>356</v>
      </c>
      <c r="CP1283" s="65">
        <f t="shared" si="1869"/>
        <v>356</v>
      </c>
      <c r="CQ1283" s="65"/>
      <c r="CR1283" s="67">
        <v>386</v>
      </c>
      <c r="CS1283" s="67">
        <v>440</v>
      </c>
      <c r="CT1283" s="65">
        <f t="shared" si="1870"/>
        <v>440</v>
      </c>
      <c r="CU1283" s="65"/>
      <c r="CV1283" s="67">
        <v>453</v>
      </c>
      <c r="CW1283" s="67">
        <v>430</v>
      </c>
      <c r="CX1283" s="65">
        <f t="shared" si="1871"/>
        <v>430</v>
      </c>
      <c r="CY1283" s="65"/>
      <c r="CZ1283" s="67">
        <v>409</v>
      </c>
      <c r="DA1283" s="67">
        <v>426</v>
      </c>
      <c r="DB1283" s="65">
        <f t="shared" si="1872"/>
        <v>426</v>
      </c>
      <c r="DC1283" s="65"/>
      <c r="DD1283" s="67">
        <v>496</v>
      </c>
      <c r="DE1283" s="67">
        <v>546</v>
      </c>
      <c r="DF1283" s="65">
        <f t="shared" si="1873"/>
        <v>546</v>
      </c>
      <c r="DG1283" s="65"/>
      <c r="DH1283" s="65">
        <f>DE1283</f>
        <v>546</v>
      </c>
      <c r="DI1283" s="65">
        <f>DH1283</f>
        <v>546</v>
      </c>
      <c r="DJ1283" s="65">
        <f t="shared" si="1874"/>
        <v>546</v>
      </c>
      <c r="DK1283" s="65"/>
      <c r="DL1283" s="65">
        <f>DI1283</f>
        <v>546</v>
      </c>
      <c r="DM1283" s="65">
        <f>DL1283</f>
        <v>546</v>
      </c>
      <c r="DN1283" s="65">
        <f t="shared" si="1875"/>
        <v>546</v>
      </c>
      <c r="DO1283" s="65"/>
      <c r="DP1283" s="65">
        <f>DM1283</f>
        <v>546</v>
      </c>
      <c r="DQ1283" s="65">
        <f>DP1283</f>
        <v>546</v>
      </c>
      <c r="DR1283" s="65">
        <f t="shared" si="1876"/>
        <v>546</v>
      </c>
      <c r="DS1283" s="65"/>
      <c r="DT1283" s="65"/>
      <c r="DU1283" s="65"/>
      <c r="DV1283" s="65"/>
      <c r="DW1283" s="28"/>
      <c r="DX1283" s="573"/>
    </row>
    <row r="1284" spans="1:128" s="20" customFormat="1" ht="13.8">
      <c r="A1284" s="20" t="s">
        <v>406</v>
      </c>
      <c r="B1284" s="49"/>
      <c r="BE1284" s="67"/>
      <c r="BF1284" s="65"/>
      <c r="BH1284" s="65">
        <f>-BH1044</f>
        <v>-871</v>
      </c>
      <c r="BI1284" s="65">
        <f>-BI1044</f>
        <v>-871</v>
      </c>
      <c r="BJ1284" s="65">
        <f t="shared" si="1861"/>
        <v>-871</v>
      </c>
      <c r="BK1284" s="65"/>
      <c r="BL1284" s="65">
        <f>-BL1044</f>
        <v>-871</v>
      </c>
      <c r="BM1284" s="65">
        <f>-BM1044</f>
        <v>-871</v>
      </c>
      <c r="BN1284" s="65">
        <f t="shared" si="1862"/>
        <v>-871</v>
      </c>
      <c r="BO1284" s="65"/>
      <c r="BP1284" s="65">
        <f>-BP1044</f>
        <v>0</v>
      </c>
      <c r="BQ1284" s="65">
        <f>-BQ1044</f>
        <v>0</v>
      </c>
      <c r="BR1284" s="65">
        <f t="shared" si="1863"/>
        <v>0</v>
      </c>
      <c r="BS1284" s="65"/>
      <c r="BT1284" s="65">
        <f>-BT1044</f>
        <v>0</v>
      </c>
      <c r="BU1284" s="65">
        <f>-BU1044</f>
        <v>0</v>
      </c>
      <c r="BV1284" s="65">
        <f t="shared" si="1864"/>
        <v>0</v>
      </c>
      <c r="BW1284" s="65"/>
      <c r="BX1284" s="65">
        <f>-BX1044</f>
        <v>0</v>
      </c>
      <c r="BY1284" s="65">
        <f>-BY1044</f>
        <v>0</v>
      </c>
      <c r="BZ1284" s="65">
        <f t="shared" si="1865"/>
        <v>0</v>
      </c>
      <c r="CA1284" s="65"/>
      <c r="CB1284" s="65">
        <f>-CB1044</f>
        <v>0</v>
      </c>
      <c r="CC1284" s="65">
        <f>-CC1044</f>
        <v>0</v>
      </c>
      <c r="CD1284" s="65">
        <f t="shared" si="1866"/>
        <v>0</v>
      </c>
      <c r="CE1284" s="65"/>
      <c r="CF1284" s="65">
        <f>-CF1044</f>
        <v>0</v>
      </c>
      <c r="CG1284" s="65">
        <f>-CG1044</f>
        <v>0</v>
      </c>
      <c r="CH1284" s="65">
        <f t="shared" si="1867"/>
        <v>0</v>
      </c>
      <c r="CI1284" s="65"/>
      <c r="CJ1284" s="65">
        <f>-CJ1044</f>
        <v>0</v>
      </c>
      <c r="CK1284" s="65">
        <f>-CK1044</f>
        <v>0</v>
      </c>
      <c r="CL1284" s="65">
        <f t="shared" si="1868"/>
        <v>0</v>
      </c>
      <c r="CM1284" s="65"/>
      <c r="CN1284" s="65">
        <f>-CN1044</f>
        <v>0</v>
      </c>
      <c r="CO1284" s="65">
        <f>-CO1044</f>
        <v>0</v>
      </c>
      <c r="CP1284" s="65">
        <f t="shared" si="1869"/>
        <v>0</v>
      </c>
      <c r="CQ1284" s="65"/>
      <c r="CR1284" s="65">
        <f>-CR1044</f>
        <v>0</v>
      </c>
      <c r="CS1284" s="65">
        <f>-CS1044</f>
        <v>0</v>
      </c>
      <c r="CT1284" s="65">
        <f t="shared" si="1870"/>
        <v>0</v>
      </c>
      <c r="CU1284" s="65"/>
      <c r="CV1284" s="65">
        <f>-CV1044</f>
        <v>0</v>
      </c>
      <c r="CW1284" s="65">
        <f>-CW1044</f>
        <v>0</v>
      </c>
      <c r="CX1284" s="65">
        <f t="shared" si="1871"/>
        <v>0</v>
      </c>
      <c r="CY1284" s="65"/>
      <c r="CZ1284" s="65">
        <f>-CZ1044</f>
        <v>0</v>
      </c>
      <c r="DA1284" s="65">
        <f>-DA1044</f>
        <v>0</v>
      </c>
      <c r="DB1284" s="65">
        <f t="shared" si="1872"/>
        <v>0</v>
      </c>
      <c r="DC1284" s="65"/>
      <c r="DD1284" s="65">
        <f>-DD1044</f>
        <v>0</v>
      </c>
      <c r="DE1284" s="65">
        <f>-DE1044</f>
        <v>0</v>
      </c>
      <c r="DF1284" s="65">
        <f t="shared" si="1873"/>
        <v>0</v>
      </c>
      <c r="DG1284" s="65"/>
      <c r="DH1284" s="65">
        <f>-DH1044</f>
        <v>0</v>
      </c>
      <c r="DI1284" s="65">
        <f>-DI1044</f>
        <v>0</v>
      </c>
      <c r="DJ1284" s="65">
        <f t="shared" si="1874"/>
        <v>0</v>
      </c>
      <c r="DK1284" s="65"/>
      <c r="DL1284" s="65">
        <f>-DL1044</f>
        <v>0</v>
      </c>
      <c r="DM1284" s="65">
        <f>-DM1044</f>
        <v>0</v>
      </c>
      <c r="DN1284" s="65">
        <f t="shared" si="1875"/>
        <v>0</v>
      </c>
      <c r="DO1284" s="65"/>
      <c r="DP1284" s="65">
        <f>-DP1044</f>
        <v>0</v>
      </c>
      <c r="DQ1284" s="65">
        <f>-DQ1044</f>
        <v>0</v>
      </c>
      <c r="DR1284" s="65">
        <f t="shared" si="1876"/>
        <v>0</v>
      </c>
      <c r="DS1284" s="65"/>
      <c r="DT1284" s="65"/>
      <c r="DU1284" s="65"/>
      <c r="DV1284" s="65"/>
      <c r="DW1284" s="28"/>
      <c r="DX1284" s="573"/>
    </row>
    <row r="1285" spans="1:128" s="20" customFormat="1" ht="13.8">
      <c r="A1285" s="20" t="s">
        <v>407</v>
      </c>
      <c r="B1285" s="49"/>
      <c r="BH1285" s="67">
        <v>-105</v>
      </c>
      <c r="BI1285" s="67">
        <v>-90</v>
      </c>
      <c r="BJ1285" s="65">
        <f t="shared" si="1861"/>
        <v>-90</v>
      </c>
      <c r="BK1285" s="65"/>
      <c r="BL1285" s="67">
        <v>-81</v>
      </c>
      <c r="BM1285" s="67">
        <v>-105</v>
      </c>
      <c r="BN1285" s="65">
        <f t="shared" si="1862"/>
        <v>-105</v>
      </c>
      <c r="BO1285" s="65"/>
      <c r="BP1285" s="67">
        <v>-150</v>
      </c>
      <c r="BQ1285" s="67">
        <v>-113</v>
      </c>
      <c r="BR1285" s="65">
        <f t="shared" si="1863"/>
        <v>-113</v>
      </c>
      <c r="BS1285" s="65"/>
      <c r="BT1285" s="67">
        <v>-98</v>
      </c>
      <c r="BU1285" s="67">
        <v>-110</v>
      </c>
      <c r="BV1285" s="65">
        <f t="shared" si="1864"/>
        <v>-110</v>
      </c>
      <c r="BW1285" s="65"/>
      <c r="BX1285" s="67">
        <v>-82</v>
      </c>
      <c r="BY1285" s="67">
        <v>-83</v>
      </c>
      <c r="BZ1285" s="65">
        <f t="shared" si="1865"/>
        <v>-83</v>
      </c>
      <c r="CA1285" s="65"/>
      <c r="CB1285" s="67">
        <v>-91</v>
      </c>
      <c r="CC1285" s="67">
        <v>-99</v>
      </c>
      <c r="CD1285" s="65">
        <f t="shared" si="1866"/>
        <v>-99</v>
      </c>
      <c r="CE1285" s="65"/>
      <c r="CF1285" s="67">
        <v>-139</v>
      </c>
      <c r="CG1285" s="67">
        <v>0</v>
      </c>
      <c r="CH1285" s="65">
        <f t="shared" si="1867"/>
        <v>0</v>
      </c>
      <c r="CI1285" s="65"/>
      <c r="CJ1285" s="67">
        <v>0</v>
      </c>
      <c r="CK1285" s="67">
        <v>0</v>
      </c>
      <c r="CL1285" s="65">
        <f t="shared" si="1868"/>
        <v>0</v>
      </c>
      <c r="CM1285" s="65"/>
      <c r="CN1285" s="67">
        <v>0</v>
      </c>
      <c r="CO1285" s="67">
        <v>0</v>
      </c>
      <c r="CP1285" s="65">
        <f t="shared" si="1869"/>
        <v>0</v>
      </c>
      <c r="CQ1285"/>
      <c r="CR1285" s="67">
        <v>0</v>
      </c>
      <c r="CS1285" s="67">
        <v>0</v>
      </c>
      <c r="CT1285" s="65">
        <f t="shared" si="1870"/>
        <v>0</v>
      </c>
      <c r="CU1285" s="65"/>
      <c r="CV1285" s="67">
        <v>0</v>
      </c>
      <c r="CW1285" s="67">
        <v>0</v>
      </c>
      <c r="CX1285" s="65">
        <f t="shared" si="1871"/>
        <v>0</v>
      </c>
      <c r="CY1285" s="65"/>
      <c r="CZ1285" s="67">
        <v>0</v>
      </c>
      <c r="DA1285" s="67">
        <v>0</v>
      </c>
      <c r="DB1285" s="65">
        <f t="shared" si="1872"/>
        <v>0</v>
      </c>
      <c r="DC1285" s="65"/>
      <c r="DD1285" s="67">
        <v>0</v>
      </c>
      <c r="DE1285" s="67">
        <v>0</v>
      </c>
      <c r="DF1285" s="65">
        <f t="shared" si="1873"/>
        <v>0</v>
      </c>
      <c r="DG1285" s="65"/>
      <c r="DH1285" s="65">
        <f>DE1285*(1+DH$1367)</f>
        <v>0</v>
      </c>
      <c r="DI1285" s="65">
        <f>DH1285*(1+DI$1367)</f>
        <v>0</v>
      </c>
      <c r="DJ1285" s="65">
        <f t="shared" si="1874"/>
        <v>0</v>
      </c>
      <c r="DK1285" s="65"/>
      <c r="DL1285" s="65">
        <f>DI1285*(1+DL$1367)</f>
        <v>0</v>
      </c>
      <c r="DM1285" s="65">
        <f>DL1285*(1+DM$1367)</f>
        <v>0</v>
      </c>
      <c r="DN1285" s="65">
        <f t="shared" si="1875"/>
        <v>0</v>
      </c>
      <c r="DO1285" s="65"/>
      <c r="DP1285" s="65">
        <f>DM1285*(1+DP$1367)</f>
        <v>0</v>
      </c>
      <c r="DQ1285" s="65">
        <f>DP1285*(1+DQ$1367)</f>
        <v>0</v>
      </c>
      <c r="DR1285" s="65">
        <f t="shared" si="1876"/>
        <v>0</v>
      </c>
      <c r="DS1285" s="65"/>
      <c r="DT1285" s="65"/>
      <c r="DU1285" s="65"/>
      <c r="DV1285" s="65"/>
      <c r="DW1285" s="28"/>
      <c r="DX1285" s="573"/>
    </row>
    <row r="1286" spans="1:128" s="20" customFormat="1" ht="13.8">
      <c r="A1286" s="20" t="s">
        <v>408</v>
      </c>
      <c r="B1286" s="49"/>
      <c r="BH1286" s="67">
        <v>-24</v>
      </c>
      <c r="BI1286" s="67">
        <v>-42</v>
      </c>
      <c r="BJ1286" s="65">
        <f t="shared" si="1861"/>
        <v>-42</v>
      </c>
      <c r="BK1286" s="65"/>
      <c r="BL1286" s="67">
        <v>-58</v>
      </c>
      <c r="BM1286" s="67">
        <v>-82</v>
      </c>
      <c r="BN1286" s="65">
        <f t="shared" si="1862"/>
        <v>-82</v>
      </c>
      <c r="BO1286" s="65"/>
      <c r="BP1286" s="67">
        <v>-102</v>
      </c>
      <c r="BQ1286" s="67">
        <v>-105</v>
      </c>
      <c r="BR1286" s="65">
        <f t="shared" si="1863"/>
        <v>-105</v>
      </c>
      <c r="BS1286" s="65"/>
      <c r="BT1286" s="67">
        <v>-99</v>
      </c>
      <c r="BU1286" s="67">
        <v>-129</v>
      </c>
      <c r="BV1286" s="65">
        <f t="shared" si="1864"/>
        <v>-129</v>
      </c>
      <c r="BW1286" s="65"/>
      <c r="BX1286" s="67">
        <v>-115</v>
      </c>
      <c r="BY1286" s="67">
        <v>-144</v>
      </c>
      <c r="BZ1286" s="65">
        <f t="shared" si="1865"/>
        <v>-144</v>
      </c>
      <c r="CA1286" s="65"/>
      <c r="CB1286" s="67">
        <v>-136</v>
      </c>
      <c r="CC1286" s="67">
        <v>-174</v>
      </c>
      <c r="CD1286" s="65">
        <f t="shared" si="1866"/>
        <v>-174</v>
      </c>
      <c r="CE1286" s="65"/>
      <c r="CF1286" s="67">
        <v>-162</v>
      </c>
      <c r="CG1286" s="67">
        <v>-95</v>
      </c>
      <c r="CH1286" s="65">
        <f t="shared" si="1867"/>
        <v>-95</v>
      </c>
      <c r="CI1286" s="65"/>
      <c r="CJ1286" s="67">
        <v>-66</v>
      </c>
      <c r="CK1286" s="67">
        <v>-91</v>
      </c>
      <c r="CL1286" s="65">
        <f t="shared" si="1868"/>
        <v>-91</v>
      </c>
      <c r="CM1286" s="65"/>
      <c r="CN1286" s="67">
        <v>-60</v>
      </c>
      <c r="CO1286" s="67">
        <v>-137</v>
      </c>
      <c r="CP1286" s="65">
        <f t="shared" si="1869"/>
        <v>-137</v>
      </c>
      <c r="CQ1286" s="65"/>
      <c r="CR1286" s="67">
        <v>-56</v>
      </c>
      <c r="CS1286" s="67">
        <v>-567</v>
      </c>
      <c r="CT1286" s="65">
        <f t="shared" si="1870"/>
        <v>-567</v>
      </c>
      <c r="CU1286" s="65"/>
      <c r="CV1286" s="67">
        <v>-549</v>
      </c>
      <c r="CW1286" s="67">
        <v>-573</v>
      </c>
      <c r="CX1286" s="65">
        <f t="shared" si="1871"/>
        <v>-573</v>
      </c>
      <c r="CY1286" s="65"/>
      <c r="CZ1286" s="67">
        <v>-832</v>
      </c>
      <c r="DA1286" s="67">
        <v>-869</v>
      </c>
      <c r="DB1286" s="65">
        <f t="shared" si="1872"/>
        <v>-869</v>
      </c>
      <c r="DC1286" s="65"/>
      <c r="DD1286" s="67">
        <v>-831</v>
      </c>
      <c r="DE1286" s="67">
        <v>-756</v>
      </c>
      <c r="DF1286" s="65">
        <f t="shared" si="1873"/>
        <v>-756</v>
      </c>
      <c r="DG1286" s="65"/>
      <c r="DH1286" s="65">
        <f ca="1">DE1286*(1+DH$1489)</f>
        <v>-761.0054487301436</v>
      </c>
      <c r="DI1286" s="65">
        <f ca="1">DH1286*(1+DI$1489)</f>
        <v>-777.4785444542573</v>
      </c>
      <c r="DJ1286" s="65">
        <f t="shared" ca="1" si="1874"/>
        <v>-777.4785444542573</v>
      </c>
      <c r="DK1286" s="65"/>
      <c r="DL1286" s="65">
        <f ca="1">DI1286*(1+DL$1489)</f>
        <v>-794.75857518631869</v>
      </c>
      <c r="DM1286" s="65">
        <f ca="1">DL1286*(1+DM$1489)</f>
        <v>-813.93968965661975</v>
      </c>
      <c r="DN1286" s="65">
        <f t="shared" ca="1" si="1875"/>
        <v>-813.93968965661975</v>
      </c>
      <c r="DO1286" s="65"/>
      <c r="DP1286" s="65">
        <f ca="1">DM1286*(1+DP$1489)</f>
        <v>-830.23008944545745</v>
      </c>
      <c r="DQ1286" s="65">
        <f ca="1">DP1286*(1+DQ$1489)</f>
        <v>-848.13386985864111</v>
      </c>
      <c r="DR1286" s="65">
        <f t="shared" ca="1" si="1876"/>
        <v>-848.13386985864111</v>
      </c>
      <c r="DS1286" s="65"/>
      <c r="DT1286" s="65"/>
      <c r="DU1286" s="65"/>
      <c r="DV1286" s="65"/>
      <c r="DW1286" s="28"/>
      <c r="DX1286" s="573"/>
    </row>
    <row r="1287" spans="1:128" s="20" customFormat="1" ht="13.8">
      <c r="A1287" s="20" t="s">
        <v>680</v>
      </c>
      <c r="B1287" s="49"/>
      <c r="BH1287" s="67">
        <v>-573</v>
      </c>
      <c r="BI1287" s="67">
        <v>-583</v>
      </c>
      <c r="BJ1287" s="65">
        <f t="shared" si="1861"/>
        <v>-583</v>
      </c>
      <c r="BK1287" s="65"/>
      <c r="BL1287" s="67">
        <v>-727</v>
      </c>
      <c r="BM1287" s="67">
        <v>-794</v>
      </c>
      <c r="BN1287" s="65">
        <f t="shared" si="1862"/>
        <v>-794</v>
      </c>
      <c r="BO1287" s="65"/>
      <c r="BP1287" s="67">
        <v>-951</v>
      </c>
      <c r="BQ1287" s="67">
        <v>-791</v>
      </c>
      <c r="BR1287" s="65">
        <f t="shared" si="1863"/>
        <v>-791</v>
      </c>
      <c r="BS1287" s="65"/>
      <c r="BT1287" s="67">
        <v>-931</v>
      </c>
      <c r="BU1287" s="67">
        <v>-875</v>
      </c>
      <c r="BV1287" s="65">
        <f t="shared" si="1864"/>
        <v>-875</v>
      </c>
      <c r="BW1287" s="65"/>
      <c r="BX1287" s="67">
        <v>-811</v>
      </c>
      <c r="BY1287" s="67">
        <v>-711</v>
      </c>
      <c r="BZ1287" s="65">
        <f t="shared" si="1865"/>
        <v>-711</v>
      </c>
      <c r="CA1287" s="65"/>
      <c r="CB1287" s="67">
        <v>-608</v>
      </c>
      <c r="CC1287" s="67">
        <v>-509</v>
      </c>
      <c r="CD1287" s="65">
        <f t="shared" si="1866"/>
        <v>-509</v>
      </c>
      <c r="CE1287" s="65"/>
      <c r="CF1287" s="67">
        <v>-213</v>
      </c>
      <c r="CG1287" s="67">
        <v>107</v>
      </c>
      <c r="CH1287" s="65">
        <f t="shared" si="1867"/>
        <v>107</v>
      </c>
      <c r="CI1287" s="65"/>
      <c r="CJ1287" s="67">
        <v>-94</v>
      </c>
      <c r="CK1287" s="67">
        <v>-99</v>
      </c>
      <c r="CL1287" s="65">
        <f t="shared" si="1868"/>
        <v>-99</v>
      </c>
      <c r="CM1287" s="65"/>
      <c r="CN1287" s="67">
        <v>-181</v>
      </c>
      <c r="CO1287" s="67">
        <v>-216</v>
      </c>
      <c r="CP1287" s="65">
        <f t="shared" si="1869"/>
        <v>-216</v>
      </c>
      <c r="CQ1287" s="65"/>
      <c r="CR1287" s="67">
        <v>-150</v>
      </c>
      <c r="CS1287" s="67">
        <v>-48</v>
      </c>
      <c r="CT1287" s="65">
        <f t="shared" si="1870"/>
        <v>-48</v>
      </c>
      <c r="CU1287" s="65"/>
      <c r="CV1287" s="67">
        <v>-233</v>
      </c>
      <c r="CW1287" s="67">
        <v>-253</v>
      </c>
      <c r="CX1287" s="65">
        <f t="shared" si="1871"/>
        <v>-253</v>
      </c>
      <c r="CY1287" s="65"/>
      <c r="CZ1287" s="67">
        <v>-225</v>
      </c>
      <c r="DA1287" s="67">
        <v>-278</v>
      </c>
      <c r="DB1287" s="65">
        <f t="shared" si="1872"/>
        <v>-278</v>
      </c>
      <c r="DC1287" s="65"/>
      <c r="DD1287" s="67">
        <v>-266</v>
      </c>
      <c r="DE1287" s="67">
        <v>-226</v>
      </c>
      <c r="DF1287" s="65">
        <f t="shared" si="1873"/>
        <v>-226</v>
      </c>
      <c r="DG1287" s="65"/>
      <c r="DH1287" s="65">
        <f>DE1287*(1+DH1368)</f>
        <v>-230.52</v>
      </c>
      <c r="DI1287" s="65">
        <f>DH1287*(1+DI1368)</f>
        <v>-235.13040000000001</v>
      </c>
      <c r="DJ1287" s="65">
        <f t="shared" si="1874"/>
        <v>-235.13040000000001</v>
      </c>
      <c r="DK1287" s="65"/>
      <c r="DL1287" s="65">
        <f>DI1287*(1+DL1368)</f>
        <v>-239.83300800000001</v>
      </c>
      <c r="DM1287" s="65">
        <f>DL1287*(1+DM1368)</f>
        <v>-244.62966816000002</v>
      </c>
      <c r="DN1287" s="65">
        <f t="shared" si="1875"/>
        <v>-244.62966816000002</v>
      </c>
      <c r="DO1287" s="65"/>
      <c r="DP1287" s="65">
        <f>DM1287*(1+DP1368)</f>
        <v>-249.52226152320003</v>
      </c>
      <c r="DQ1287" s="65">
        <f>DP1287*(1+DQ1368)</f>
        <v>-254.51270675366405</v>
      </c>
      <c r="DR1287" s="65">
        <f t="shared" si="1876"/>
        <v>-254.51270675366405</v>
      </c>
      <c r="DS1287" s="65"/>
      <c r="DT1287" s="65"/>
      <c r="DU1287" s="65"/>
      <c r="DV1287" s="65"/>
      <c r="DW1287" s="28"/>
      <c r="DX1287" s="573"/>
    </row>
    <row r="1288" spans="1:128" s="20" customFormat="1" ht="13.8">
      <c r="A1288" s="21" t="s">
        <v>681</v>
      </c>
      <c r="B1288" s="49"/>
      <c r="BH1288" s="72">
        <f>SUM(BH1281:BH1287)</f>
        <v>41545</v>
      </c>
      <c r="BI1288" s="72">
        <f>SUM(BI1281:BI1287)</f>
        <v>44671</v>
      </c>
      <c r="BJ1288" s="72">
        <f>SUM(BJ1281:BJ1287)</f>
        <v>44671</v>
      </c>
      <c r="BK1288" s="65"/>
      <c r="BL1288" s="72">
        <f>SUM(BL1281:BL1287)</f>
        <v>45967</v>
      </c>
      <c r="BM1288" s="72">
        <f>SUM(BM1281:BM1287)</f>
        <v>48073</v>
      </c>
      <c r="BN1288" s="72">
        <f>SUM(BN1281:BN1287)</f>
        <v>48073</v>
      </c>
      <c r="BO1288" s="65"/>
      <c r="BP1288" s="72">
        <f>SUM(BP1281:BP1287)</f>
        <v>51532</v>
      </c>
      <c r="BQ1288" s="72">
        <f>SUM(BQ1281:BQ1287)</f>
        <v>56966</v>
      </c>
      <c r="BR1288" s="72">
        <f>SUM(BR1281:BR1287)</f>
        <v>56966</v>
      </c>
      <c r="BS1288" s="65"/>
      <c r="BT1288" s="72">
        <f>SUM(BT1281:BT1287)</f>
        <v>55880</v>
      </c>
      <c r="BU1288" s="72">
        <f>SUM(BU1281:BU1287)</f>
        <v>57446</v>
      </c>
      <c r="BV1288" s="72">
        <f>SUM(BV1281:BV1287)</f>
        <v>57446</v>
      </c>
      <c r="BW1288" s="65"/>
      <c r="BX1288" s="72">
        <f>SUM(BX1281:BX1287)</f>
        <v>57399</v>
      </c>
      <c r="BY1288" s="72">
        <f>SUM(BY1281:BY1287)</f>
        <v>58594</v>
      </c>
      <c r="BZ1288" s="72">
        <f>SUM(BZ1281:BZ1287)</f>
        <v>58594</v>
      </c>
      <c r="CA1288" s="65"/>
      <c r="CB1288" s="72">
        <f>SUM(CB1281:CB1287)</f>
        <v>59106</v>
      </c>
      <c r="CC1288" s="72">
        <f>SUM(CC1281:CC1287)</f>
        <v>59061</v>
      </c>
      <c r="CD1288" s="72">
        <f>SUM(CD1281:CD1287)</f>
        <v>59061</v>
      </c>
      <c r="CE1288" s="65"/>
      <c r="CF1288" s="72">
        <f>SUM(CF1281:CF1287)</f>
        <v>59928</v>
      </c>
      <c r="CG1288" s="72">
        <f>SUM(CG1281:CG1287)</f>
        <v>60914</v>
      </c>
      <c r="CH1288" s="72">
        <f>SUM(CH1281:CH1287)</f>
        <v>60914</v>
      </c>
      <c r="CI1288" s="65"/>
      <c r="CJ1288" s="72">
        <f>SUM(CJ1281:CJ1287)</f>
        <v>61602</v>
      </c>
      <c r="CK1288" s="72">
        <f>SUM(CK1281:CK1287)</f>
        <v>61486</v>
      </c>
      <c r="CL1288" s="72">
        <f>SUM(CL1281:CL1287)</f>
        <v>61486</v>
      </c>
      <c r="CM1288" s="65"/>
      <c r="CN1288" s="72">
        <f>SUM(CN1281:CN1287)</f>
        <v>62686</v>
      </c>
      <c r="CO1288" s="72">
        <f>SUM(CO1281:CO1287)</f>
        <v>63679</v>
      </c>
      <c r="CP1288" s="72">
        <f>SUM(CP1281:CP1287)</f>
        <v>63679</v>
      </c>
      <c r="CQ1288" s="65"/>
      <c r="CR1288" s="72">
        <f>SUM(CR1281:CR1287)</f>
        <v>61936</v>
      </c>
      <c r="CS1288" s="72">
        <f>SUM(CS1281:CS1287)</f>
        <v>66226</v>
      </c>
      <c r="CT1288" s="72">
        <f>SUM(CT1281:CT1287)</f>
        <v>66226</v>
      </c>
      <c r="CU1288" s="65"/>
      <c r="CV1288" s="72">
        <f>SUM(CV1281:CV1287)</f>
        <v>68267</v>
      </c>
      <c r="CW1288" s="72">
        <f>SUM(CW1281:CW1287)</f>
        <v>68689</v>
      </c>
      <c r="CX1288" s="72">
        <f>SUM(CX1281:CX1287)</f>
        <v>68689</v>
      </c>
      <c r="CY1288" s="65"/>
      <c r="CZ1288" s="72">
        <f>SUM(CZ1281:CZ1287)</f>
        <v>69554</v>
      </c>
      <c r="DA1288" s="72">
        <f>SUM(DA1281:DA1287)</f>
        <v>68039</v>
      </c>
      <c r="DB1288" s="72">
        <f>SUM(DB1281:DB1287)</f>
        <v>68039</v>
      </c>
      <c r="DC1288" s="65"/>
      <c r="DD1288" s="72">
        <f>SUM(DD1281:DD1287)</f>
        <v>70111</v>
      </c>
      <c r="DE1288" s="72">
        <f>SUM(DE1281:DE1287)</f>
        <v>70009</v>
      </c>
      <c r="DF1288" s="72">
        <f>SUM(DF1281:DF1287)</f>
        <v>70009</v>
      </c>
      <c r="DG1288" s="65"/>
      <c r="DH1288" s="72">
        <f ca="1">SUM(DH1281:DH1287)</f>
        <v>72997.793961720425</v>
      </c>
      <c r="DI1288" s="72">
        <f ca="1">SUM(DI1281:DI1287)</f>
        <v>74262.891460399507</v>
      </c>
      <c r="DJ1288" s="72">
        <f ca="1">SUM(DJ1281:DJ1287)</f>
        <v>74262.891460399507</v>
      </c>
      <c r="DK1288" s="65"/>
      <c r="DL1288" s="72">
        <f ca="1">SUM(DL1281:DL1287)</f>
        <v>75633.339769662882</v>
      </c>
      <c r="DM1288" s="72">
        <f ca="1">SUM(DM1281:DM1287)</f>
        <v>76395.663860195491</v>
      </c>
      <c r="DN1288" s="72">
        <f ca="1">SUM(DN1281:DN1287)</f>
        <v>76395.663860195491</v>
      </c>
      <c r="DO1288" s="65"/>
      <c r="DP1288" s="72">
        <f ca="1">SUM(DP1281:DP1287)</f>
        <v>77313.335295643381</v>
      </c>
      <c r="DQ1288" s="72">
        <f ca="1">SUM(DQ1281:DQ1287)</f>
        <v>78271.567962437737</v>
      </c>
      <c r="DR1288" s="72">
        <f ca="1">SUM(DR1281:DR1287)</f>
        <v>78271.567962437737</v>
      </c>
      <c r="DS1288" s="65"/>
      <c r="DT1288" s="65"/>
      <c r="DU1288" s="65"/>
      <c r="DV1288" s="65"/>
      <c r="DX1288" s="607"/>
    </row>
    <row r="1289" spans="1:128" s="20" customFormat="1" ht="13.8">
      <c r="A1289" s="20" t="s">
        <v>682</v>
      </c>
      <c r="B1289" s="49"/>
      <c r="BH1289" s="67">
        <v>-3717</v>
      </c>
      <c r="BI1289" s="67">
        <v>-3970</v>
      </c>
      <c r="BJ1289" s="65">
        <f t="shared" ref="BJ1289:BJ1299" si="1877">BI1289</f>
        <v>-3970</v>
      </c>
      <c r="BK1289" s="65"/>
      <c r="BL1289" s="67">
        <v>-4126</v>
      </c>
      <c r="BM1289" s="67">
        <v>-3995</v>
      </c>
      <c r="BN1289" s="65">
        <f t="shared" ref="BN1289:BN1299" si="1878">BM1289</f>
        <v>-3995</v>
      </c>
      <c r="BO1289" s="96">
        <f t="shared" ref="BO1289:BO1300" si="1879">BM1289/BL1289-1</f>
        <v>-3.1749878817256438E-2</v>
      </c>
      <c r="BP1289" s="67">
        <v>-4369</v>
      </c>
      <c r="BQ1289" s="67">
        <v>-4109</v>
      </c>
      <c r="BR1289" s="65">
        <f t="shared" ref="BR1289:BR1299" si="1880">BQ1289</f>
        <v>-4109</v>
      </c>
      <c r="BS1289" s="96">
        <f t="shared" ref="BS1289:BS1300" si="1881">BQ1289/BP1289-1</f>
        <v>-5.9510185397116055E-2</v>
      </c>
      <c r="BT1289" s="67">
        <v>-3767</v>
      </c>
      <c r="BU1289" s="67">
        <v>-3913</v>
      </c>
      <c r="BV1289" s="65">
        <f t="shared" ref="BV1289:BV1299" si="1882">BU1289</f>
        <v>-3913</v>
      </c>
      <c r="BW1289" s="96">
        <f t="shared" ref="BW1289:BW1300" si="1883">BU1289/BT1289-1</f>
        <v>3.875763206795857E-2</v>
      </c>
      <c r="BX1289" s="67">
        <v>-3532</v>
      </c>
      <c r="BY1289" s="67">
        <v>-3553</v>
      </c>
      <c r="BZ1289" s="65">
        <f t="shared" ref="BZ1289:BZ1299" si="1884">BY1289</f>
        <v>-3553</v>
      </c>
      <c r="CA1289" s="96">
        <f t="shared" ref="CA1289:CA1300" si="1885">BY1289/BX1289-1</f>
        <v>5.9456398640995722E-3</v>
      </c>
      <c r="CB1289" s="67">
        <v>-3638</v>
      </c>
      <c r="CC1289" s="67">
        <v>-3776</v>
      </c>
      <c r="CD1289" s="65">
        <f t="shared" ref="CD1289:CD1299" si="1886">CC1289</f>
        <v>-3776</v>
      </c>
      <c r="CE1289" s="96">
        <f t="shared" ref="CE1289:CE1300" si="1887">CC1289/CB1289-1</f>
        <v>3.7932930181418412E-2</v>
      </c>
      <c r="CF1289" s="67">
        <v>-3865</v>
      </c>
      <c r="CG1289" s="67">
        <v>-3772</v>
      </c>
      <c r="CH1289" s="65">
        <f t="shared" ref="CH1289:CH1299" si="1888">CG1289</f>
        <v>-3772</v>
      </c>
      <c r="CI1289" s="96">
        <f t="shared" ref="CI1289:CI1300" si="1889">CG1289/CF1289-1</f>
        <v>-2.4062095730918553E-2</v>
      </c>
      <c r="CJ1289" s="67">
        <v>-3620</v>
      </c>
      <c r="CK1289" s="67">
        <v>-3269</v>
      </c>
      <c r="CL1289" s="65">
        <f t="shared" ref="CL1289:CL1299" si="1890">CK1289</f>
        <v>-3269</v>
      </c>
      <c r="CM1289" s="96">
        <f t="shared" ref="CM1289:CM1300" si="1891">CK1289/CJ1289-1</f>
        <v>-9.6961325966850809E-2</v>
      </c>
      <c r="CN1289" s="67">
        <v>-2992</v>
      </c>
      <c r="CO1289" s="67">
        <v>-3091</v>
      </c>
      <c r="CP1289" s="65">
        <f t="shared" ref="CP1289:CP1299" si="1892">CO1289</f>
        <v>-3091</v>
      </c>
      <c r="CQ1289" s="96">
        <f t="shared" ref="CQ1289:CQ1299" si="1893">CO1289/CN1289-1</f>
        <v>3.3088235294117752E-2</v>
      </c>
      <c r="CR1289" s="67">
        <v>-3073</v>
      </c>
      <c r="CS1289" s="67">
        <v>-2914</v>
      </c>
      <c r="CT1289" s="65">
        <f t="shared" ref="CT1289:CT1299" si="1894">CS1289</f>
        <v>-2914</v>
      </c>
      <c r="CU1289" s="96">
        <f>CS1289/CR1289-1</f>
        <v>-5.1740969736413955E-2</v>
      </c>
      <c r="CV1289" s="67">
        <v>-2994</v>
      </c>
      <c r="CW1289" s="67">
        <v>-2977</v>
      </c>
      <c r="CX1289" s="65">
        <f t="shared" ref="CX1289:CX1299" si="1895">CW1289</f>
        <v>-2977</v>
      </c>
      <c r="CY1289" s="96">
        <f>CW1289/CV1289-1</f>
        <v>-5.6780227120908355E-3</v>
      </c>
      <c r="CZ1289" s="67">
        <v>-2936</v>
      </c>
      <c r="DA1289" s="67">
        <v>-4273</v>
      </c>
      <c r="DB1289" s="65">
        <f t="shared" ref="DB1289:DB1299" si="1896">DA1289</f>
        <v>-4273</v>
      </c>
      <c r="DC1289" s="96">
        <f>DA1289/CZ1289-1</f>
        <v>0.4553814713896458</v>
      </c>
      <c r="DD1289" s="67">
        <v>-4117</v>
      </c>
      <c r="DE1289" s="67">
        <v>-4165</v>
      </c>
      <c r="DF1289" s="65">
        <f t="shared" ref="DF1289:DF1299" si="1897">DE1289</f>
        <v>-4165</v>
      </c>
      <c r="DG1289" s="96">
        <f>DE1289/DD1289-1</f>
        <v>1.165897498178281E-2</v>
      </c>
      <c r="DH1289" s="65">
        <f>-DH1317</f>
        <v>-4165</v>
      </c>
      <c r="DI1289" s="65">
        <f>-DI1317</f>
        <v>-4165</v>
      </c>
      <c r="DJ1289" s="65">
        <f t="shared" ref="DJ1289:DJ1297" si="1898">DI1289</f>
        <v>-4165</v>
      </c>
      <c r="DK1289" s="96">
        <f>DI1289/DH1289-1</f>
        <v>0</v>
      </c>
      <c r="DL1289" s="65">
        <f>-DL1317</f>
        <v>-4165</v>
      </c>
      <c r="DM1289" s="65">
        <f>-DM1317</f>
        <v>-4165</v>
      </c>
      <c r="DN1289" s="65">
        <f t="shared" ref="DN1289:DN1297" si="1899">DM1289</f>
        <v>-4165</v>
      </c>
      <c r="DO1289" s="96">
        <f>DM1289/DL1289-1</f>
        <v>0</v>
      </c>
      <c r="DP1289" s="65">
        <f>-DP1317</f>
        <v>-4165</v>
      </c>
      <c r="DQ1289" s="65">
        <f>-DQ1317</f>
        <v>-4165</v>
      </c>
      <c r="DR1289" s="65">
        <f t="shared" ref="DR1289:DR1297" si="1900">DQ1289</f>
        <v>-4165</v>
      </c>
      <c r="DS1289" s="96">
        <f>DQ1289/DP1289-1</f>
        <v>0</v>
      </c>
      <c r="DT1289" s="96"/>
      <c r="DU1289" s="96"/>
      <c r="DV1289" s="96"/>
      <c r="DW1289" s="28"/>
      <c r="DX1289" s="573"/>
    </row>
    <row r="1290" spans="1:128" s="20" customFormat="1" ht="13.8">
      <c r="A1290" s="20" t="s">
        <v>449</v>
      </c>
      <c r="B1290" s="49"/>
      <c r="BH1290" s="67">
        <v>-2075</v>
      </c>
      <c r="BI1290" s="67">
        <v>-2096</v>
      </c>
      <c r="BJ1290" s="65">
        <f t="shared" si="1877"/>
        <v>-2096</v>
      </c>
      <c r="BK1290" s="65"/>
      <c r="BL1290" s="67">
        <v>-2107</v>
      </c>
      <c r="BM1290" s="67">
        <v>-2096</v>
      </c>
      <c r="BN1290" s="65">
        <f t="shared" si="1878"/>
        <v>-2096</v>
      </c>
      <c r="BO1290" s="96">
        <f t="shared" si="1879"/>
        <v>-5.2206929283341585E-3</v>
      </c>
      <c r="BP1290" s="67">
        <v>-2117</v>
      </c>
      <c r="BQ1290" s="67">
        <v>-2093</v>
      </c>
      <c r="BR1290" s="65">
        <f t="shared" si="1880"/>
        <v>-2093</v>
      </c>
      <c r="BS1290" s="96">
        <f t="shared" si="1881"/>
        <v>-1.1336797354747241E-2</v>
      </c>
      <c r="BT1290" s="67">
        <v>-2091</v>
      </c>
      <c r="BU1290" s="67">
        <v>-2103</v>
      </c>
      <c r="BV1290" s="65">
        <f t="shared" si="1882"/>
        <v>-2103</v>
      </c>
      <c r="BW1290" s="96">
        <f t="shared" si="1883"/>
        <v>5.7388809182210565E-3</v>
      </c>
      <c r="BX1290" s="67">
        <v>-2099</v>
      </c>
      <c r="BY1290" s="67">
        <v>-2100</v>
      </c>
      <c r="BZ1290" s="65">
        <f t="shared" si="1884"/>
        <v>-2100</v>
      </c>
      <c r="CA1290" s="96">
        <f t="shared" si="1885"/>
        <v>4.7641734159120652E-4</v>
      </c>
      <c r="CB1290" s="67">
        <v>-1634</v>
      </c>
      <c r="CC1290" s="67">
        <v>-1629</v>
      </c>
      <c r="CD1290" s="65">
        <f t="shared" si="1886"/>
        <v>-1629</v>
      </c>
      <c r="CE1290" s="96">
        <f t="shared" si="1887"/>
        <v>-3.0599755201958789E-3</v>
      </c>
      <c r="CF1290" s="67">
        <v>-1494</v>
      </c>
      <c r="CG1290" s="67">
        <v>-556</v>
      </c>
      <c r="CH1290" s="65">
        <f t="shared" si="1888"/>
        <v>-556</v>
      </c>
      <c r="CI1290" s="96">
        <f t="shared" si="1889"/>
        <v>-0.62784471218206162</v>
      </c>
      <c r="CJ1290" s="67">
        <v>-80</v>
      </c>
      <c r="CK1290" s="67">
        <v>-71</v>
      </c>
      <c r="CL1290" s="65">
        <f t="shared" si="1890"/>
        <v>-71</v>
      </c>
      <c r="CM1290" s="96">
        <f t="shared" si="1891"/>
        <v>-0.11250000000000004</v>
      </c>
      <c r="CN1290" s="67">
        <v>-70</v>
      </c>
      <c r="CO1290" s="67">
        <v>-73</v>
      </c>
      <c r="CP1290" s="65">
        <f t="shared" si="1892"/>
        <v>-73</v>
      </c>
      <c r="CQ1290" s="96">
        <f t="shared" si="1893"/>
        <v>4.2857142857142927E-2</v>
      </c>
      <c r="CR1290" s="67">
        <v>-71</v>
      </c>
      <c r="CS1290" s="67">
        <v>-67</v>
      </c>
      <c r="CT1290" s="65">
        <f t="shared" si="1894"/>
        <v>-67</v>
      </c>
      <c r="CU1290" s="96">
        <f>IFERROR((CS1290/CR1290-1),"na")</f>
        <v>-5.633802816901412E-2</v>
      </c>
      <c r="CV1290" s="67">
        <v>-71</v>
      </c>
      <c r="CW1290" s="67">
        <v>-71</v>
      </c>
      <c r="CX1290" s="65">
        <f t="shared" si="1895"/>
        <v>-71</v>
      </c>
      <c r="CY1290" s="96">
        <f>IFERROR((CW1290/CV1290-1),"na")</f>
        <v>0</v>
      </c>
      <c r="CZ1290" s="67">
        <v>-69</v>
      </c>
      <c r="DA1290" s="67">
        <v>-63</v>
      </c>
      <c r="DB1290" s="65">
        <f t="shared" si="1896"/>
        <v>-63</v>
      </c>
      <c r="DC1290" s="96">
        <f>IFERROR((DA1290/CZ1290-1),"na")</f>
        <v>-8.6956521739130488E-2</v>
      </c>
      <c r="DD1290" s="67">
        <v>-62</v>
      </c>
      <c r="DE1290" s="67">
        <v>-59</v>
      </c>
      <c r="DF1290" s="65">
        <f t="shared" si="1897"/>
        <v>-59</v>
      </c>
      <c r="DG1290" s="96">
        <f>IFERROR((DE1290/DD1290-1),"na")</f>
        <v>-4.8387096774193505E-2</v>
      </c>
      <c r="DH1290" s="65">
        <f>-DH1319</f>
        <v>-59</v>
      </c>
      <c r="DI1290" s="65">
        <f>-DI1319</f>
        <v>-59</v>
      </c>
      <c r="DJ1290" s="65">
        <f t="shared" si="1898"/>
        <v>-59</v>
      </c>
      <c r="DK1290" s="96">
        <f>IFERROR((DI1290/DH1290-1),"na")</f>
        <v>0</v>
      </c>
      <c r="DL1290" s="65">
        <f>-DL1319</f>
        <v>-59</v>
      </c>
      <c r="DM1290" s="65">
        <f>-DM1319</f>
        <v>-59</v>
      </c>
      <c r="DN1290" s="65">
        <f t="shared" si="1899"/>
        <v>-59</v>
      </c>
      <c r="DO1290" s="96">
        <f>IFERROR((DM1290/DL1290-1),"na")</f>
        <v>0</v>
      </c>
      <c r="DP1290" s="65">
        <f>-DP1319</f>
        <v>-59</v>
      </c>
      <c r="DQ1290" s="65">
        <f>-DQ1319</f>
        <v>-59</v>
      </c>
      <c r="DR1290" s="65">
        <f t="shared" si="1900"/>
        <v>-59</v>
      </c>
      <c r="DS1290" s="96">
        <f>IFERROR((DQ1290/DP1290-1),"na")</f>
        <v>0</v>
      </c>
      <c r="DT1290" s="96"/>
      <c r="DU1290" s="96"/>
      <c r="DV1290" s="96"/>
      <c r="DW1290" s="28"/>
      <c r="DX1290" s="573"/>
    </row>
    <row r="1291" spans="1:128" s="20" customFormat="1" ht="13.8">
      <c r="A1291" s="20" t="s">
        <v>1237</v>
      </c>
      <c r="B1291" s="49"/>
      <c r="BH1291" s="67"/>
      <c r="BI1291" s="67"/>
      <c r="BJ1291" s="65"/>
      <c r="BK1291" s="65"/>
      <c r="BL1291" s="67"/>
      <c r="BM1291" s="67"/>
      <c r="BN1291" s="65"/>
      <c r="BO1291" s="96"/>
      <c r="BP1291" s="67"/>
      <c r="BQ1291" s="67"/>
      <c r="BR1291" s="65"/>
      <c r="BS1291" s="96"/>
      <c r="BT1291" s="67"/>
      <c r="BU1291" s="67"/>
      <c r="BV1291" s="65"/>
      <c r="BW1291" s="96"/>
      <c r="BX1291" s="67"/>
      <c r="BY1291" s="67"/>
      <c r="BZ1291" s="65"/>
      <c r="CA1291" s="96"/>
      <c r="CB1291" s="67"/>
      <c r="CC1291" s="67"/>
      <c r="CD1291" s="65"/>
      <c r="CE1291" s="96"/>
      <c r="CF1291" s="67"/>
      <c r="CG1291" s="67"/>
      <c r="CH1291" s="65"/>
      <c r="CI1291" s="96"/>
      <c r="CJ1291" s="67"/>
      <c r="CK1291" s="67"/>
      <c r="CL1291" s="65"/>
      <c r="CM1291" s="96"/>
      <c r="CN1291" s="67"/>
      <c r="CO1291" s="67"/>
      <c r="CP1291" s="65"/>
      <c r="CQ1291" s="96"/>
      <c r="CR1291" s="67"/>
      <c r="CS1291" s="67"/>
      <c r="CT1291" s="65"/>
      <c r="CU1291" s="96"/>
      <c r="CV1291" s="67"/>
      <c r="CW1291" s="67"/>
      <c r="CX1291" s="65"/>
      <c r="CY1291" s="96"/>
      <c r="CZ1291" s="67">
        <v>0</v>
      </c>
      <c r="DA1291" s="67">
        <v>0</v>
      </c>
      <c r="DB1291" s="65">
        <f t="shared" si="1896"/>
        <v>0</v>
      </c>
      <c r="DC1291" s="96"/>
      <c r="DD1291" s="67">
        <v>-422</v>
      </c>
      <c r="DE1291" s="67">
        <v>-379</v>
      </c>
      <c r="DF1291" s="65">
        <f t="shared" si="1897"/>
        <v>-379</v>
      </c>
      <c r="DG1291" s="96">
        <f>IFERROR((DE1291/DD1291-1),"na")</f>
        <v>-0.1018957345971564</v>
      </c>
      <c r="DH1291" s="608">
        <f>DE1291</f>
        <v>-379</v>
      </c>
      <c r="DI1291" s="608">
        <f>DH1291</f>
        <v>-379</v>
      </c>
      <c r="DJ1291" s="65">
        <f t="shared" ref="DJ1291" si="1901">DI1291</f>
        <v>-379</v>
      </c>
      <c r="DK1291" s="96">
        <f>IFERROR((DI1291/DH1291-1),"na")</f>
        <v>0</v>
      </c>
      <c r="DL1291" s="608">
        <f>DI1291</f>
        <v>-379</v>
      </c>
      <c r="DM1291" s="608">
        <f>DL1291</f>
        <v>-379</v>
      </c>
      <c r="DN1291" s="65">
        <f t="shared" ref="DN1291" si="1902">DM1291</f>
        <v>-379</v>
      </c>
      <c r="DO1291" s="96">
        <f>IFERROR((DM1291/DL1291-1),"na")</f>
        <v>0</v>
      </c>
      <c r="DP1291" s="608">
        <f>DM1291</f>
        <v>-379</v>
      </c>
      <c r="DQ1291" s="608">
        <f>DP1291</f>
        <v>-379</v>
      </c>
      <c r="DR1291" s="65">
        <f t="shared" si="1900"/>
        <v>-379</v>
      </c>
      <c r="DS1291" s="96">
        <f>IFERROR((DQ1291/DP1291-1),"na")</f>
        <v>0</v>
      </c>
      <c r="DT1291" s="96"/>
      <c r="DU1291" s="96"/>
      <c r="DV1291" s="96"/>
      <c r="DW1291" s="28"/>
      <c r="DX1291" s="573"/>
    </row>
    <row r="1292" spans="1:128" s="20" customFormat="1" ht="13.8">
      <c r="A1292" s="20" t="s">
        <v>683</v>
      </c>
      <c r="B1292" s="49"/>
      <c r="BH1292" s="67">
        <v>-884</v>
      </c>
      <c r="BI1292" s="67">
        <v>-979</v>
      </c>
      <c r="BJ1292" s="65">
        <f t="shared" si="1877"/>
        <v>-979</v>
      </c>
      <c r="BK1292" s="65"/>
      <c r="BL1292" s="67">
        <v>-1058</v>
      </c>
      <c r="BM1292" s="67">
        <v>-1099</v>
      </c>
      <c r="BN1292" s="65">
        <f t="shared" si="1878"/>
        <v>-1099</v>
      </c>
      <c r="BO1292" s="96">
        <f t="shared" si="1879"/>
        <v>3.8752362948960339E-2</v>
      </c>
      <c r="BP1292" s="67">
        <v>-1197</v>
      </c>
      <c r="BQ1292" s="67">
        <v>-1320</v>
      </c>
      <c r="BR1292" s="65">
        <f t="shared" si="1880"/>
        <v>-1320</v>
      </c>
      <c r="BS1292" s="96">
        <f t="shared" si="1881"/>
        <v>0.10275689223057638</v>
      </c>
      <c r="BT1292" s="67">
        <v>-1078</v>
      </c>
      <c r="BU1292" s="67">
        <v>-1148</v>
      </c>
      <c r="BV1292" s="65">
        <f t="shared" si="1882"/>
        <v>-1148</v>
      </c>
      <c r="BW1292" s="96">
        <f t="shared" si="1883"/>
        <v>6.4935064935064846E-2</v>
      </c>
      <c r="BX1292" s="67">
        <v>-1129</v>
      </c>
      <c r="BY1292" s="67">
        <v>-1149</v>
      </c>
      <c r="BZ1292" s="65">
        <f t="shared" si="1884"/>
        <v>-1149</v>
      </c>
      <c r="CA1292" s="96">
        <f t="shared" si="1885"/>
        <v>1.7714791851195733E-2</v>
      </c>
      <c r="CB1292" s="67">
        <v>-1133</v>
      </c>
      <c r="CC1292" s="67">
        <v>-1077</v>
      </c>
      <c r="CD1292" s="65">
        <f t="shared" si="1886"/>
        <v>-1077</v>
      </c>
      <c r="CE1292" s="96">
        <f t="shared" si="1887"/>
        <v>-4.9426301853486287E-2</v>
      </c>
      <c r="CF1292" s="67">
        <v>-1019</v>
      </c>
      <c r="CG1292" s="67">
        <v>-1178</v>
      </c>
      <c r="CH1292" s="65">
        <f t="shared" si="1888"/>
        <v>-1178</v>
      </c>
      <c r="CI1292" s="96">
        <f t="shared" si="1889"/>
        <v>0.15603532875367998</v>
      </c>
      <c r="CJ1292" s="67">
        <v>-1225</v>
      </c>
      <c r="CK1292" s="67">
        <v>-1316</v>
      </c>
      <c r="CL1292" s="65">
        <f t="shared" si="1890"/>
        <v>-1316</v>
      </c>
      <c r="CM1292" s="96">
        <f t="shared" si="1891"/>
        <v>7.4285714285714288E-2</v>
      </c>
      <c r="CN1292" s="67">
        <v>-1431</v>
      </c>
      <c r="CO1292" s="67">
        <v>-1495</v>
      </c>
      <c r="CP1292" s="65">
        <f t="shared" si="1892"/>
        <v>-1495</v>
      </c>
      <c r="CQ1292" s="96">
        <f t="shared" si="1893"/>
        <v>4.4723969252271178E-2</v>
      </c>
      <c r="CR1292" s="67">
        <v>-1548</v>
      </c>
      <c r="CS1292" s="67">
        <v>-1625</v>
      </c>
      <c r="CT1292" s="65">
        <f t="shared" si="1894"/>
        <v>-1625</v>
      </c>
      <c r="CU1292" s="96">
        <f t="shared" ref="CU1292:CU1300" si="1903">CS1292/CR1292-1</f>
        <v>4.9741602067183477E-2</v>
      </c>
      <c r="CV1292" s="67">
        <v>-1874</v>
      </c>
      <c r="CW1292" s="67">
        <v>-2099</v>
      </c>
      <c r="CX1292" s="65">
        <f t="shared" si="1895"/>
        <v>-2099</v>
      </c>
      <c r="CY1292" s="96">
        <f>CW1292/CV1292-1</f>
        <v>0.12006403415154754</v>
      </c>
      <c r="CZ1292" s="67">
        <v>-2240</v>
      </c>
      <c r="DA1292" s="67">
        <v>-2337</v>
      </c>
      <c r="DB1292" s="65">
        <f t="shared" si="1896"/>
        <v>-2337</v>
      </c>
      <c r="DC1292" s="96">
        <f>DA1292/CZ1292-1</f>
        <v>4.3303571428571441E-2</v>
      </c>
      <c r="DD1292" s="67">
        <v>-2430</v>
      </c>
      <c r="DE1292" s="67">
        <v>-2550</v>
      </c>
      <c r="DF1292" s="65">
        <f t="shared" si="1897"/>
        <v>-2550</v>
      </c>
      <c r="DG1292" s="96">
        <f>DE1292/DD1292-1</f>
        <v>4.9382716049382713E-2</v>
      </c>
      <c r="DH1292" s="65">
        <f t="shared" ref="DH1292:DI1292" si="1904">-DH1323</f>
        <v>-2588.25</v>
      </c>
      <c r="DI1292" s="65">
        <f t="shared" si="1904"/>
        <v>-2627.07375</v>
      </c>
      <c r="DJ1292" s="65">
        <f t="shared" si="1898"/>
        <v>-2627.07375</v>
      </c>
      <c r="DK1292" s="96">
        <f>DI1292/DH1292-1</f>
        <v>1.4999999999999902E-2</v>
      </c>
      <c r="DL1292" s="65">
        <f t="shared" ref="DL1292:DM1292" si="1905">-DL1323</f>
        <v>-2666.4798562499996</v>
      </c>
      <c r="DM1292" s="65">
        <f t="shared" si="1905"/>
        <v>-2706.4770540937493</v>
      </c>
      <c r="DN1292" s="65">
        <f t="shared" si="1899"/>
        <v>-2706.4770540937493</v>
      </c>
      <c r="DO1292" s="96">
        <f>DM1292/DL1292-1</f>
        <v>1.4999999999999902E-2</v>
      </c>
      <c r="DP1292" s="65">
        <f t="shared" ref="DP1292:DQ1292" si="1906">-DP1323</f>
        <v>-2747.0742099051554</v>
      </c>
      <c r="DQ1292" s="65">
        <f t="shared" si="1906"/>
        <v>-2788.2803230537324</v>
      </c>
      <c r="DR1292" s="65">
        <f t="shared" si="1900"/>
        <v>-2788.2803230537324</v>
      </c>
      <c r="DS1292" s="96">
        <f>DQ1292/DP1292-1</f>
        <v>1.4999999999999902E-2</v>
      </c>
      <c r="DT1292" s="96"/>
      <c r="DU1292" s="96"/>
      <c r="DV1292" s="96"/>
      <c r="DW1292" s="28"/>
      <c r="DX1292" s="573"/>
    </row>
    <row r="1293" spans="1:128" s="20" customFormat="1" ht="13.8">
      <c r="A1293" s="20" t="s">
        <v>684</v>
      </c>
      <c r="B1293" s="49"/>
      <c r="BH1293" s="67">
        <v>-1800</v>
      </c>
      <c r="BI1293" s="67">
        <v>-2102</v>
      </c>
      <c r="BJ1293" s="65">
        <f t="shared" si="1877"/>
        <v>-2102</v>
      </c>
      <c r="BK1293" s="65"/>
      <c r="BL1293" s="67">
        <v>-2252</v>
      </c>
      <c r="BM1293" s="67">
        <v>-2401</v>
      </c>
      <c r="BN1293" s="65">
        <f t="shared" si="1878"/>
        <v>-2401</v>
      </c>
      <c r="BO1293" s="96">
        <f t="shared" si="1879"/>
        <v>6.6163410301953718E-2</v>
      </c>
      <c r="BP1293" s="67">
        <v>-2631</v>
      </c>
      <c r="BQ1293" s="67">
        <v>-2832</v>
      </c>
      <c r="BR1293" s="65">
        <f t="shared" si="1880"/>
        <v>-2832</v>
      </c>
      <c r="BS1293" s="96">
        <f t="shared" si="1881"/>
        <v>7.6396807297605562E-2</v>
      </c>
      <c r="BT1293" s="67">
        <v>-2190</v>
      </c>
      <c r="BU1293" s="67">
        <v>-2139</v>
      </c>
      <c r="BV1293" s="65">
        <f t="shared" si="1882"/>
        <v>-2139</v>
      </c>
      <c r="BW1293" s="96">
        <f t="shared" si="1883"/>
        <v>-2.3287671232876672E-2</v>
      </c>
      <c r="BX1293" s="67">
        <v>-1887</v>
      </c>
      <c r="BY1293" s="67">
        <v>-1826</v>
      </c>
      <c r="BZ1293" s="65">
        <f t="shared" si="1884"/>
        <v>-1826</v>
      </c>
      <c r="CA1293" s="96">
        <f t="shared" si="1885"/>
        <v>-3.2326444091149931E-2</v>
      </c>
      <c r="CB1293" s="67">
        <v>-1745</v>
      </c>
      <c r="CC1293" s="67">
        <v>-1421</v>
      </c>
      <c r="CD1293" s="65">
        <f t="shared" si="1886"/>
        <v>-1421</v>
      </c>
      <c r="CE1293" s="96">
        <f t="shared" si="1887"/>
        <v>-0.18567335243553007</v>
      </c>
      <c r="CF1293" s="67">
        <v>-1360</v>
      </c>
      <c r="CG1293" s="67">
        <v>-1322</v>
      </c>
      <c r="CH1293" s="65">
        <f t="shared" si="1888"/>
        <v>-1322</v>
      </c>
      <c r="CI1293" s="96">
        <f t="shared" si="1889"/>
        <v>-2.7941176470588247E-2</v>
      </c>
      <c r="CJ1293" s="67">
        <v>-1263</v>
      </c>
      <c r="CK1293" s="67">
        <v>-1039</v>
      </c>
      <c r="CL1293" s="65">
        <f t="shared" si="1890"/>
        <v>-1039</v>
      </c>
      <c r="CM1293" s="96">
        <f t="shared" si="1891"/>
        <v>-0.17735550277117973</v>
      </c>
      <c r="CN1293" s="67">
        <v>-961</v>
      </c>
      <c r="CO1293" s="67">
        <v>-960</v>
      </c>
      <c r="CP1293" s="65">
        <f t="shared" si="1892"/>
        <v>-960</v>
      </c>
      <c r="CQ1293" s="96">
        <f t="shared" si="1893"/>
        <v>-1.0405827263267886E-3</v>
      </c>
      <c r="CR1293" s="67">
        <v>-924</v>
      </c>
      <c r="CS1293" s="67">
        <v>-896</v>
      </c>
      <c r="CT1293" s="65">
        <f t="shared" si="1894"/>
        <v>-896</v>
      </c>
      <c r="CU1293" s="96">
        <f t="shared" si="1903"/>
        <v>-3.0303030303030276E-2</v>
      </c>
      <c r="CV1293" s="67">
        <v>-868</v>
      </c>
      <c r="CW1293" s="67">
        <v>-913</v>
      </c>
      <c r="CX1293" s="65">
        <f t="shared" si="1895"/>
        <v>-913</v>
      </c>
      <c r="CY1293" s="96">
        <f>CW1293/CV1293-1</f>
        <v>5.1843317972350311E-2</v>
      </c>
      <c r="CZ1293" s="67">
        <v>-902</v>
      </c>
      <c r="DA1293" s="67">
        <v>-1015</v>
      </c>
      <c r="DB1293" s="65">
        <f t="shared" si="1896"/>
        <v>-1015</v>
      </c>
      <c r="DC1293" s="96">
        <f>DA1293/CZ1293-1</f>
        <v>0.12527716186252769</v>
      </c>
      <c r="DD1293" s="67">
        <v>-997</v>
      </c>
      <c r="DE1293" s="67">
        <v>-996</v>
      </c>
      <c r="DF1293" s="65">
        <f t="shared" si="1897"/>
        <v>-996</v>
      </c>
      <c r="DG1293" s="96">
        <f>DE1293/DD1293-1</f>
        <v>-1.0030090270812808E-3</v>
      </c>
      <c r="DH1293" s="65">
        <f>-DH1327</f>
        <v>-944.64499671057035</v>
      </c>
      <c r="DI1293" s="65">
        <f>-DI1327</f>
        <v>-923.40023312303481</v>
      </c>
      <c r="DJ1293" s="65">
        <f t="shared" si="1898"/>
        <v>-923.40023312303481</v>
      </c>
      <c r="DK1293" s="96">
        <f>DI1293/DH1293-1</f>
        <v>-2.2489679891931624E-2</v>
      </c>
      <c r="DL1293" s="65">
        <f>-DL1327</f>
        <v>-886.47141301829788</v>
      </c>
      <c r="DM1293" s="65">
        <f>-DM1327</f>
        <v>-876.84974307557206</v>
      </c>
      <c r="DN1293" s="65">
        <f t="shared" si="1899"/>
        <v>-876.84974307557206</v>
      </c>
      <c r="DO1293" s="96">
        <f>DM1293/DL1293-1</f>
        <v>-1.0853897600561657E-2</v>
      </c>
      <c r="DP1293" s="65">
        <f>-DP1327</f>
        <v>-848.69222196375506</v>
      </c>
      <c r="DQ1293" s="65">
        <f>-DQ1327</f>
        <v>-847.08214488058843</v>
      </c>
      <c r="DR1293" s="65">
        <f t="shared" si="1900"/>
        <v>-847.08214488058843</v>
      </c>
      <c r="DS1293" s="96">
        <f>DQ1293/DP1293-1</f>
        <v>-1.8971271816785595E-3</v>
      </c>
      <c r="DT1293" s="96"/>
      <c r="DU1293" s="96"/>
      <c r="DV1293" s="96"/>
      <c r="DW1293" s="28"/>
      <c r="DX1293" s="573"/>
    </row>
    <row r="1294" spans="1:128" s="20" customFormat="1" ht="13.8">
      <c r="A1294" s="20" t="s">
        <v>451</v>
      </c>
      <c r="B1294" s="49"/>
      <c r="BH1294" s="67">
        <v>-2956</v>
      </c>
      <c r="BI1294" s="67">
        <v>-3361</v>
      </c>
      <c r="BJ1294" s="65">
        <f t="shared" si="1877"/>
        <v>-3361</v>
      </c>
      <c r="BK1294" s="65"/>
      <c r="BL1294" s="67">
        <v>-3565</v>
      </c>
      <c r="BM1294" s="67">
        <v>-3811</v>
      </c>
      <c r="BN1294" s="65">
        <f t="shared" si="1878"/>
        <v>-3811</v>
      </c>
      <c r="BO1294" s="96">
        <f t="shared" si="1879"/>
        <v>6.900420757363257E-2</v>
      </c>
      <c r="BP1294" s="67">
        <v>-4499</v>
      </c>
      <c r="BQ1294" s="67">
        <v>-4734</v>
      </c>
      <c r="BR1294" s="65">
        <f t="shared" si="1880"/>
        <v>-4734</v>
      </c>
      <c r="BS1294" s="96">
        <f t="shared" si="1881"/>
        <v>5.2233829739942284E-2</v>
      </c>
      <c r="BT1294" s="67">
        <v>-4708</v>
      </c>
      <c r="BU1294" s="67">
        <v>-4674</v>
      </c>
      <c r="BV1294" s="65">
        <f t="shared" si="1882"/>
        <v>-4674</v>
      </c>
      <c r="BW1294" s="96">
        <f t="shared" si="1883"/>
        <v>-7.2217502124044541E-3</v>
      </c>
      <c r="BX1294" s="67">
        <v>-3826</v>
      </c>
      <c r="BY1294" s="67">
        <v>-3919</v>
      </c>
      <c r="BZ1294" s="65">
        <f t="shared" si="1884"/>
        <v>-3919</v>
      </c>
      <c r="CA1294" s="96">
        <f t="shared" si="1885"/>
        <v>2.4307370622059565E-2</v>
      </c>
      <c r="CB1294" s="67">
        <v>-2272</v>
      </c>
      <c r="CC1294" s="67">
        <v>-2333</v>
      </c>
      <c r="CD1294" s="65">
        <f t="shared" si="1886"/>
        <v>-2333</v>
      </c>
      <c r="CE1294" s="96">
        <f t="shared" si="1887"/>
        <v>2.6848591549295753E-2</v>
      </c>
      <c r="CF1294" s="67">
        <v>-2501</v>
      </c>
      <c r="CG1294" s="67">
        <v>-2707</v>
      </c>
      <c r="CH1294" s="65">
        <f t="shared" si="1888"/>
        <v>-2707</v>
      </c>
      <c r="CI1294" s="96">
        <f t="shared" si="1889"/>
        <v>8.2367053178728611E-2</v>
      </c>
      <c r="CJ1294" s="67">
        <v>-2313</v>
      </c>
      <c r="CK1294" s="67">
        <v>-2164</v>
      </c>
      <c r="CL1294" s="65">
        <f t="shared" si="1890"/>
        <v>-2164</v>
      </c>
      <c r="CM1294" s="96">
        <f t="shared" si="1891"/>
        <v>-6.4418504107220054E-2</v>
      </c>
      <c r="CN1294" s="67">
        <v>-1854</v>
      </c>
      <c r="CO1294" s="67">
        <v>-1972</v>
      </c>
      <c r="CP1294" s="65">
        <f t="shared" si="1892"/>
        <v>-1972</v>
      </c>
      <c r="CQ1294" s="96">
        <f t="shared" si="1893"/>
        <v>6.3646170442287042E-2</v>
      </c>
      <c r="CR1294" s="67">
        <v>-2018</v>
      </c>
      <c r="CS1294" s="67">
        <v>-2181</v>
      </c>
      <c r="CT1294" s="65">
        <f t="shared" si="1894"/>
        <v>-2181</v>
      </c>
      <c r="CU1294" s="96">
        <f t="shared" si="1903"/>
        <v>8.0773042616451907E-2</v>
      </c>
      <c r="CV1294" s="67">
        <v>-2214</v>
      </c>
      <c r="CW1294" s="67">
        <v>-2321</v>
      </c>
      <c r="CX1294" s="65">
        <f t="shared" si="1895"/>
        <v>-2321</v>
      </c>
      <c r="CY1294" s="96">
        <f>CW1294/CV1294-1</f>
        <v>4.832881662149946E-2</v>
      </c>
      <c r="CZ1294" s="67">
        <v>-1405</v>
      </c>
      <c r="DA1294" s="67">
        <v>-1415</v>
      </c>
      <c r="DB1294" s="65">
        <f t="shared" si="1896"/>
        <v>-1415</v>
      </c>
      <c r="DC1294" s="96">
        <f>DA1294/CZ1294-1</f>
        <v>7.1174377224199059E-3</v>
      </c>
      <c r="DD1294" s="67">
        <v>-1479</v>
      </c>
      <c r="DE1294" s="67">
        <v>-1140</v>
      </c>
      <c r="DF1294" s="65">
        <f t="shared" si="1897"/>
        <v>-1140</v>
      </c>
      <c r="DG1294" s="96">
        <f>DE1294/DD1294-1</f>
        <v>-0.22920892494929002</v>
      </c>
      <c r="DH1294" s="65">
        <f>-DH1351</f>
        <v>-1165.2521999999999</v>
      </c>
      <c r="DI1294" s="65">
        <f>-DI1351</f>
        <v>-1191.548139</v>
      </c>
      <c r="DJ1294" s="65">
        <f t="shared" si="1898"/>
        <v>-1191.548139</v>
      </c>
      <c r="DK1294" s="96">
        <f>DI1294/DH1294-1</f>
        <v>2.256673619667926E-2</v>
      </c>
      <c r="DL1294" s="65">
        <f>-DL1351</f>
        <v>-1228.8952244050001</v>
      </c>
      <c r="DM1294" s="65">
        <f>-DM1351</f>
        <v>-1267.0513484524752</v>
      </c>
      <c r="DN1294" s="65">
        <f t="shared" si="1899"/>
        <v>-1267.0513484524752</v>
      </c>
      <c r="DO1294" s="96">
        <f>DM1294/DL1294-1</f>
        <v>3.1049127126317355E-2</v>
      </c>
      <c r="DP1294" s="65">
        <f>-DP1351</f>
        <v>-1306.0311394919152</v>
      </c>
      <c r="DQ1294" s="65">
        <f>-DQ1351</f>
        <v>-1345.8495572503844</v>
      </c>
      <c r="DR1294" s="65">
        <f t="shared" si="1900"/>
        <v>-1345.8495572503844</v>
      </c>
      <c r="DS1294" s="96">
        <f>DQ1294/DP1294-1</f>
        <v>3.0488107484144544E-2</v>
      </c>
      <c r="DT1294" s="96"/>
      <c r="DU1294" s="96"/>
      <c r="DV1294" s="96"/>
      <c r="DW1294" s="28"/>
      <c r="DX1294" s="573"/>
    </row>
    <row r="1295" spans="1:128" s="20" customFormat="1" ht="13.8">
      <c r="A1295" s="20" t="s">
        <v>685</v>
      </c>
      <c r="B1295" s="49"/>
      <c r="BH1295" s="67">
        <v>-990</v>
      </c>
      <c r="BI1295" s="67">
        <v>-1102</v>
      </c>
      <c r="BJ1295" s="65">
        <f t="shared" si="1877"/>
        <v>-1102</v>
      </c>
      <c r="BK1295" s="65"/>
      <c r="BL1295" s="67">
        <v>-934</v>
      </c>
      <c r="BM1295" s="67">
        <v>-809</v>
      </c>
      <c r="BN1295" s="65">
        <f t="shared" si="1878"/>
        <v>-809</v>
      </c>
      <c r="BO1295" s="96">
        <f t="shared" si="1879"/>
        <v>-0.13383297644539616</v>
      </c>
      <c r="BP1295" s="67">
        <v>-610</v>
      </c>
      <c r="BQ1295" s="67">
        <v>-694</v>
      </c>
      <c r="BR1295" s="65">
        <f t="shared" si="1880"/>
        <v>-694</v>
      </c>
      <c r="BS1295" s="96">
        <f t="shared" si="1881"/>
        <v>0.13770491803278695</v>
      </c>
      <c r="BT1295" s="67">
        <v>-793</v>
      </c>
      <c r="BU1295" s="67">
        <v>-899</v>
      </c>
      <c r="BV1295" s="65">
        <f t="shared" si="1882"/>
        <v>-899</v>
      </c>
      <c r="BW1295" s="96">
        <f t="shared" si="1883"/>
        <v>0.13366960907944514</v>
      </c>
      <c r="BX1295" s="67">
        <v>-902</v>
      </c>
      <c r="BY1295" s="67">
        <v>-946</v>
      </c>
      <c r="BZ1295" s="65">
        <f t="shared" si="1884"/>
        <v>-946</v>
      </c>
      <c r="CA1295" s="96">
        <f t="shared" si="1885"/>
        <v>4.8780487804878092E-2</v>
      </c>
      <c r="CB1295" s="67">
        <v>-869</v>
      </c>
      <c r="CC1295" s="67">
        <v>-1118</v>
      </c>
      <c r="CD1295" s="65">
        <f t="shared" si="1886"/>
        <v>-1118</v>
      </c>
      <c r="CE1295" s="96">
        <f t="shared" si="1887"/>
        <v>0.28653624856156501</v>
      </c>
      <c r="CF1295" s="67">
        <v>-1162</v>
      </c>
      <c r="CG1295" s="67">
        <v>-1376</v>
      </c>
      <c r="CH1295" s="65">
        <f t="shared" si="1888"/>
        <v>-1376</v>
      </c>
      <c r="CI1295" s="96">
        <f t="shared" si="1889"/>
        <v>0.18416523235800342</v>
      </c>
      <c r="CJ1295" s="67">
        <v>-1815</v>
      </c>
      <c r="CK1295" s="67">
        <v>-2128</v>
      </c>
      <c r="CL1295" s="65">
        <f t="shared" si="1890"/>
        <v>-2128</v>
      </c>
      <c r="CM1295" s="96">
        <f t="shared" si="1891"/>
        <v>0.17245179063360871</v>
      </c>
      <c r="CN1295" s="67">
        <v>-2109</v>
      </c>
      <c r="CO1295" s="67">
        <v>-2357</v>
      </c>
      <c r="CP1295" s="65">
        <f t="shared" si="1892"/>
        <v>-2357</v>
      </c>
      <c r="CQ1295" s="96">
        <f t="shared" si="1893"/>
        <v>0.11759127548601223</v>
      </c>
      <c r="CR1295" s="67">
        <v>-2908</v>
      </c>
      <c r="CS1295" s="67">
        <v>-2511</v>
      </c>
      <c r="CT1295" s="65">
        <f t="shared" si="1894"/>
        <v>-2511</v>
      </c>
      <c r="CU1295" s="96">
        <f t="shared" si="1903"/>
        <v>-0.13651994497936726</v>
      </c>
      <c r="CV1295" s="67">
        <v>-2461</v>
      </c>
      <c r="CW1295" s="67">
        <v>-2579</v>
      </c>
      <c r="CX1295" s="65">
        <f t="shared" si="1895"/>
        <v>-2579</v>
      </c>
      <c r="CY1295" s="96">
        <f>CW1295/CV1295-1</f>
        <v>4.7947988622511151E-2</v>
      </c>
      <c r="CZ1295" s="67">
        <v>-2716</v>
      </c>
      <c r="DA1295" s="67">
        <v>-3112</v>
      </c>
      <c r="DB1295" s="65">
        <f t="shared" si="1896"/>
        <v>-3112</v>
      </c>
      <c r="DC1295" s="96">
        <f>DA1295/CZ1295-1</f>
        <v>0.14580265095729006</v>
      </c>
      <c r="DD1295" s="67">
        <v>-3412</v>
      </c>
      <c r="DE1295" s="67">
        <v>-3720</v>
      </c>
      <c r="DF1295" s="65">
        <f t="shared" si="1897"/>
        <v>-3720</v>
      </c>
      <c r="DG1295" s="96">
        <f>DE1295/DD1295-1</f>
        <v>9.0269636576787882E-2</v>
      </c>
      <c r="DH1295" s="65">
        <f ca="1">-DH1361</f>
        <v>-3693.0730238033261</v>
      </c>
      <c r="DI1295" s="65">
        <f ca="1">-DI1361</f>
        <v>-3696.3843357106934</v>
      </c>
      <c r="DJ1295" s="65">
        <f t="shared" ca="1" si="1898"/>
        <v>-3696.3843357106934</v>
      </c>
      <c r="DK1295" s="96">
        <f ca="1">DI1295/DH1295-1</f>
        <v>8.9662779100896373E-4</v>
      </c>
      <c r="DL1295" s="65">
        <f ca="1">-DL1361</f>
        <v>-3686.9868351140067</v>
      </c>
      <c r="DM1295" s="65">
        <f ca="1">-DM1361</f>
        <v>-3715.8900302831312</v>
      </c>
      <c r="DN1295" s="65">
        <f t="shared" ca="1" si="1899"/>
        <v>-3715.8900302831312</v>
      </c>
      <c r="DO1295" s="96">
        <f ca="1">DM1295/DL1295-1</f>
        <v>7.8392455578786269E-3</v>
      </c>
      <c r="DP1295" s="65">
        <f ca="1">-DP1361</f>
        <v>-3740.5231298245794</v>
      </c>
      <c r="DQ1295" s="65">
        <f ca="1">-DQ1361</f>
        <v>-3768.6435383171429</v>
      </c>
      <c r="DR1295" s="65">
        <f t="shared" ca="1" si="1900"/>
        <v>-3768.6435383171429</v>
      </c>
      <c r="DS1295" s="96">
        <f ca="1">DQ1295/DP1295-1</f>
        <v>7.5177742568544037E-3</v>
      </c>
      <c r="DT1295" s="96"/>
      <c r="DU1295" s="96"/>
      <c r="DV1295" s="96"/>
      <c r="DW1295" s="28"/>
      <c r="DX1295" s="573"/>
    </row>
    <row r="1296" spans="1:128" s="20" customFormat="1" ht="13.8">
      <c r="A1296" s="20" t="s">
        <v>450</v>
      </c>
      <c r="B1296" s="49"/>
      <c r="BH1296" s="67">
        <f>-684-1042</f>
        <v>-1726</v>
      </c>
      <c r="BI1296" s="67">
        <f>-453-1059</f>
        <v>-1512</v>
      </c>
      <c r="BJ1296" s="65">
        <f t="shared" si="1877"/>
        <v>-1512</v>
      </c>
      <c r="BK1296" s="65"/>
      <c r="BL1296" s="67">
        <f>-428-984</f>
        <v>-1412</v>
      </c>
      <c r="BM1296" s="67">
        <f>-402-979</f>
        <v>-1381</v>
      </c>
      <c r="BN1296" s="65">
        <f t="shared" si="1878"/>
        <v>-1381</v>
      </c>
      <c r="BO1296" s="96">
        <f t="shared" si="1879"/>
        <v>-2.19546742209632E-2</v>
      </c>
      <c r="BP1296" s="67">
        <f>-401-990</f>
        <v>-1391</v>
      </c>
      <c r="BQ1296" s="67">
        <f>-297-1349</f>
        <v>-1646</v>
      </c>
      <c r="BR1296" s="65">
        <f t="shared" si="1880"/>
        <v>-1646</v>
      </c>
      <c r="BS1296" s="96">
        <f t="shared" si="1881"/>
        <v>0.18332135154565066</v>
      </c>
      <c r="BT1296" s="67">
        <f>-297-1749</f>
        <v>-2046</v>
      </c>
      <c r="BU1296" s="67">
        <f>-297-1752</f>
        <v>-2049</v>
      </c>
      <c r="BV1296" s="65">
        <f t="shared" si="1882"/>
        <v>-2049</v>
      </c>
      <c r="BW1296" s="96">
        <f t="shared" si="1883"/>
        <v>1.4662756598240456E-3</v>
      </c>
      <c r="BX1296" s="67">
        <f>-274-1749</f>
        <v>-2023</v>
      </c>
      <c r="BY1296" s="67">
        <f>-274-1750</f>
        <v>-2024</v>
      </c>
      <c r="BZ1296" s="65">
        <f t="shared" si="1884"/>
        <v>-2024</v>
      </c>
      <c r="CA1296" s="96">
        <f t="shared" si="1885"/>
        <v>4.9431537320820951E-4</v>
      </c>
      <c r="CB1296" s="67">
        <f>-274-1751</f>
        <v>-2025</v>
      </c>
      <c r="CC1296" s="67">
        <f>-270-750</f>
        <v>-1020</v>
      </c>
      <c r="CD1296" s="65">
        <f t="shared" si="1886"/>
        <v>-1020</v>
      </c>
      <c r="CE1296" s="96">
        <f t="shared" si="1887"/>
        <v>-0.49629629629629635</v>
      </c>
      <c r="CF1296" s="67">
        <f>-270-735</f>
        <v>-1005</v>
      </c>
      <c r="CG1296" s="67">
        <f>-336-103</f>
        <v>-439</v>
      </c>
      <c r="CH1296" s="65">
        <f t="shared" si="1888"/>
        <v>-439</v>
      </c>
      <c r="CI1296" s="96">
        <f t="shared" si="1889"/>
        <v>-0.56318407960199002</v>
      </c>
      <c r="CJ1296" s="67">
        <v>-336</v>
      </c>
      <c r="CK1296" s="67">
        <v>-336</v>
      </c>
      <c r="CL1296" s="65">
        <f t="shared" si="1890"/>
        <v>-336</v>
      </c>
      <c r="CM1296" s="96">
        <f t="shared" si="1891"/>
        <v>0</v>
      </c>
      <c r="CN1296" s="67">
        <v>-336</v>
      </c>
      <c r="CO1296" s="67">
        <v>-356</v>
      </c>
      <c r="CP1296" s="65">
        <f t="shared" si="1892"/>
        <v>-356</v>
      </c>
      <c r="CQ1296" s="96">
        <f t="shared" si="1893"/>
        <v>5.9523809523809534E-2</v>
      </c>
      <c r="CR1296" s="67">
        <v>-347</v>
      </c>
      <c r="CS1296" s="67">
        <v>-348</v>
      </c>
      <c r="CT1296" s="65">
        <f t="shared" si="1894"/>
        <v>-348</v>
      </c>
      <c r="CU1296" s="96">
        <f t="shared" si="1903"/>
        <v>2.8818443804035088E-3</v>
      </c>
      <c r="CV1296" s="67">
        <v>-284</v>
      </c>
      <c r="CW1296" s="67">
        <v>-225</v>
      </c>
      <c r="CX1296" s="65">
        <f t="shared" si="1895"/>
        <v>-225</v>
      </c>
      <c r="CY1296" s="96">
        <f>CW1296/CV1296-1</f>
        <v>-0.20774647887323938</v>
      </c>
      <c r="CZ1296" s="67">
        <v>-225</v>
      </c>
      <c r="DA1296" s="67">
        <v>-225</v>
      </c>
      <c r="DB1296" s="65">
        <f t="shared" si="1896"/>
        <v>-225</v>
      </c>
      <c r="DC1296" s="96">
        <f>DA1296/CZ1296-1</f>
        <v>0</v>
      </c>
      <c r="DD1296" s="67">
        <v>-225</v>
      </c>
      <c r="DE1296" s="67">
        <v>-225</v>
      </c>
      <c r="DF1296" s="65">
        <f t="shared" si="1897"/>
        <v>-225</v>
      </c>
      <c r="DG1296" s="96">
        <f>DE1296/DD1296-1</f>
        <v>0</v>
      </c>
      <c r="DH1296" s="65">
        <f>-DH1334</f>
        <v>-228.36575342465753</v>
      </c>
      <c r="DI1296" s="65">
        <f>-DI1334</f>
        <v>-231.80062462000376</v>
      </c>
      <c r="DJ1296" s="65">
        <f t="shared" si="1898"/>
        <v>-231.80062462000376</v>
      </c>
      <c r="DK1296" s="96">
        <f>DI1296/DH1296-1</f>
        <v>1.5041095890411027E-2</v>
      </c>
      <c r="DL1296" s="65">
        <f>-DL1334</f>
        <v>-235.26810793623724</v>
      </c>
      <c r="DM1296" s="65">
        <f>-DM1334</f>
        <v>-238.80679810766173</v>
      </c>
      <c r="DN1296" s="65">
        <f t="shared" si="1899"/>
        <v>-238.80679810766173</v>
      </c>
      <c r="DO1296" s="96">
        <f>DM1296/DL1296-1</f>
        <v>1.5041095890411027E-2</v>
      </c>
      <c r="DP1296" s="65">
        <f>-DP1334</f>
        <v>-242.38890007927665</v>
      </c>
      <c r="DQ1296" s="65">
        <f>-DQ1334</f>
        <v>-246.02473358046581</v>
      </c>
      <c r="DR1296" s="65">
        <f t="shared" si="1900"/>
        <v>-246.02473358046581</v>
      </c>
      <c r="DS1296" s="96">
        <f>DQ1296/DP1296-1</f>
        <v>1.5000000000000124E-2</v>
      </c>
      <c r="DT1296" s="96"/>
      <c r="DU1296" s="96"/>
      <c r="DV1296" s="65"/>
      <c r="DW1296" s="28"/>
      <c r="DX1296" s="573"/>
    </row>
    <row r="1297" spans="1:128" s="20" customFormat="1" ht="13.8">
      <c r="A1297" s="20" t="s">
        <v>686</v>
      </c>
      <c r="B1297" s="49"/>
      <c r="BH1297" s="67">
        <v>-526</v>
      </c>
      <c r="BI1297" s="67">
        <v>-376</v>
      </c>
      <c r="BJ1297" s="65">
        <f t="shared" si="1877"/>
        <v>-376</v>
      </c>
      <c r="BK1297" s="65"/>
      <c r="BL1297" s="67">
        <v>-145</v>
      </c>
      <c r="BM1297" s="67">
        <v>-240</v>
      </c>
      <c r="BN1297" s="65">
        <f t="shared" si="1878"/>
        <v>-240</v>
      </c>
      <c r="BO1297" s="96">
        <f t="shared" si="1879"/>
        <v>0.65517241379310343</v>
      </c>
      <c r="BP1297" s="67">
        <v>-374</v>
      </c>
      <c r="BQ1297" s="67">
        <v>-479</v>
      </c>
      <c r="BR1297" s="65">
        <f t="shared" si="1880"/>
        <v>-479</v>
      </c>
      <c r="BS1297" s="96">
        <f t="shared" si="1881"/>
        <v>0.28074866310160429</v>
      </c>
      <c r="BT1297" s="67">
        <v>-600</v>
      </c>
      <c r="BU1297" s="67">
        <v>-700</v>
      </c>
      <c r="BV1297" s="65">
        <f t="shared" si="1882"/>
        <v>-700</v>
      </c>
      <c r="BW1297" s="96">
        <f t="shared" si="1883"/>
        <v>0.16666666666666674</v>
      </c>
      <c r="BX1297" s="67">
        <v>-696</v>
      </c>
      <c r="BY1297" s="67">
        <v>-719</v>
      </c>
      <c r="BZ1297" s="65">
        <f t="shared" si="1884"/>
        <v>-719</v>
      </c>
      <c r="CA1297" s="96">
        <f t="shared" si="1885"/>
        <v>3.3045977011494143E-2</v>
      </c>
      <c r="CB1297" s="67">
        <v>-686</v>
      </c>
      <c r="CC1297" s="67">
        <v>-609</v>
      </c>
      <c r="CD1297" s="65">
        <f t="shared" si="1886"/>
        <v>-609</v>
      </c>
      <c r="CE1297" s="96">
        <f t="shared" si="1887"/>
        <v>-0.11224489795918369</v>
      </c>
      <c r="CF1297" s="67">
        <v>-42</v>
      </c>
      <c r="CG1297" s="67">
        <v>-1</v>
      </c>
      <c r="CH1297" s="65">
        <f t="shared" si="1888"/>
        <v>-1</v>
      </c>
      <c r="CI1297" s="96">
        <f t="shared" si="1889"/>
        <v>-0.97619047619047616</v>
      </c>
      <c r="CJ1297" s="67">
        <v>0</v>
      </c>
      <c r="CK1297" s="67">
        <v>-43</v>
      </c>
      <c r="CL1297" s="65">
        <f t="shared" si="1890"/>
        <v>-43</v>
      </c>
      <c r="CM1297" s="96"/>
      <c r="CN1297" s="67">
        <v>-42</v>
      </c>
      <c r="CO1297" s="67">
        <v>-36</v>
      </c>
      <c r="CP1297" s="65">
        <f t="shared" si="1892"/>
        <v>-36</v>
      </c>
      <c r="CQ1297" s="96"/>
      <c r="CR1297" s="67">
        <v>-32</v>
      </c>
      <c r="CS1297" s="67">
        <v>-11</v>
      </c>
      <c r="CT1297" s="65">
        <f t="shared" si="1894"/>
        <v>-11</v>
      </c>
      <c r="CU1297" s="96">
        <f>IFERROR(CS1297/CR1297-1,0)</f>
        <v>-0.65625</v>
      </c>
      <c r="CV1297" s="67">
        <v>-39</v>
      </c>
      <c r="CW1297" s="67">
        <v>-272</v>
      </c>
      <c r="CX1297" s="65">
        <f t="shared" si="1895"/>
        <v>-272</v>
      </c>
      <c r="CY1297" s="96">
        <f>IFERROR(CW1297/CV1297-1,0)</f>
        <v>5.9743589743589745</v>
      </c>
      <c r="CZ1297" s="67">
        <v>-282</v>
      </c>
      <c r="DA1297" s="67">
        <v>-210</v>
      </c>
      <c r="DB1297" s="65">
        <f t="shared" si="1896"/>
        <v>-210</v>
      </c>
      <c r="DC1297" s="96">
        <f>IFERROR(DA1297/CZ1297-1,0)</f>
        <v>-0.25531914893617025</v>
      </c>
      <c r="DD1297" s="67">
        <v>-304</v>
      </c>
      <c r="DE1297" s="67">
        <v>-25</v>
      </c>
      <c r="DF1297" s="65">
        <f t="shared" si="1897"/>
        <v>-25</v>
      </c>
      <c r="DG1297" s="96">
        <f>IFERROR(DE1297/DD1297-1,0)</f>
        <v>-0.91776315789473684</v>
      </c>
      <c r="DH1297" s="65">
        <f ca="1">IF(-DH1338&gt;0,"0",-DH1338)</f>
        <v>-103.1201474006365</v>
      </c>
      <c r="DI1297" s="65">
        <f ca="1">IF(-DI1338&gt;0,"0",-DI1338)</f>
        <v>-158.25770389375819</v>
      </c>
      <c r="DJ1297" s="65">
        <f t="shared" ca="1" si="1898"/>
        <v>-158.25770389375819</v>
      </c>
      <c r="DK1297" s="96">
        <f ca="1">IFERROR(DI1297/DH1297-1,0)</f>
        <v>0.53469237470059472</v>
      </c>
      <c r="DL1297" s="65">
        <f ca="1">IF(-DL1338&gt;0,"0",-DL1338)</f>
        <v>-242.51134507986006</v>
      </c>
      <c r="DM1297" s="65">
        <f ca="1">IF(-DM1338&gt;0,"0",-DM1338)</f>
        <v>-247.98446508499072</v>
      </c>
      <c r="DN1297" s="65">
        <f t="shared" ca="1" si="1899"/>
        <v>-247.98446508499072</v>
      </c>
      <c r="DO1297" s="96">
        <f ca="1">IFERROR(DM1297/DL1297-1,0)</f>
        <v>2.2568511189974716E-2</v>
      </c>
      <c r="DP1297" s="65">
        <f ca="1">IF(-DP1338&gt;0,"0",-DP1338)</f>
        <v>-252.6489981616908</v>
      </c>
      <c r="DQ1297" s="65">
        <f ca="1">IF(-DQ1338&gt;0,"0",-DQ1338)</f>
        <v>-257.97388938470294</v>
      </c>
      <c r="DR1297" s="65">
        <f t="shared" ca="1" si="1900"/>
        <v>-257.97388938470294</v>
      </c>
      <c r="DS1297" s="96">
        <f ca="1">IFERROR(DQ1297/DP1297-1,0)</f>
        <v>2.1076241195321588E-2</v>
      </c>
      <c r="DT1297" s="96"/>
      <c r="DU1297" s="96"/>
      <c r="DV1297" s="96"/>
      <c r="DW1297" s="28"/>
      <c r="DX1297" s="573"/>
    </row>
    <row r="1298" spans="1:128" s="20" customFormat="1" ht="13.8">
      <c r="A1298" s="20" t="s">
        <v>1071</v>
      </c>
      <c r="B1298" s="49"/>
      <c r="BH1298" s="67"/>
      <c r="BI1298" s="67"/>
      <c r="BJ1298" s="65"/>
      <c r="BK1298" s="65"/>
      <c r="BL1298" s="67"/>
      <c r="BM1298" s="67"/>
      <c r="BN1298" s="65"/>
      <c r="BO1298" s="96"/>
      <c r="BP1298" s="67"/>
      <c r="BQ1298" s="67"/>
      <c r="BR1298" s="65"/>
      <c r="BS1298" s="96"/>
      <c r="BT1298" s="67"/>
      <c r="BU1298" s="67"/>
      <c r="BV1298" s="65"/>
      <c r="BW1298" s="96"/>
      <c r="BX1298" s="67"/>
      <c r="BY1298" s="67"/>
      <c r="BZ1298" s="65"/>
      <c r="CA1298" s="96"/>
      <c r="CB1298" s="67"/>
      <c r="CC1298" s="67"/>
      <c r="CD1298" s="65"/>
      <c r="CE1298" s="96"/>
      <c r="CF1298" s="67"/>
      <c r="CG1298" s="67"/>
      <c r="CH1298" s="65"/>
      <c r="CI1298" s="96"/>
      <c r="CJ1298" s="67">
        <f>-1254-48</f>
        <v>-1302</v>
      </c>
      <c r="CK1298" s="67">
        <f>-1149-45</f>
        <v>-1194</v>
      </c>
      <c r="CL1298" s="65">
        <f>CK1298</f>
        <v>-1194</v>
      </c>
      <c r="CM1298" s="96">
        <f t="shared" si="1891"/>
        <v>-8.2949308755760343E-2</v>
      </c>
      <c r="CN1298" s="67">
        <f>-1254-45</f>
        <v>-1299</v>
      </c>
      <c r="CO1298" s="67">
        <f>-1360-47</f>
        <v>-1407</v>
      </c>
      <c r="CP1298" s="65">
        <f t="shared" ref="CP1298" si="1907">CO1298</f>
        <v>-1407</v>
      </c>
      <c r="CQ1298" s="96">
        <f t="shared" si="1893"/>
        <v>8.3140877598152363E-2</v>
      </c>
      <c r="CR1298" s="67">
        <f>-1432-45</f>
        <v>-1477</v>
      </c>
      <c r="CS1298" s="67">
        <f>-1385-43</f>
        <v>-1428</v>
      </c>
      <c r="CT1298" s="65">
        <f t="shared" si="1894"/>
        <v>-1428</v>
      </c>
      <c r="CU1298" s="96">
        <f>IFERROR(CS1298/CR1298-1,0)</f>
        <v>-3.3175355450236976E-2</v>
      </c>
      <c r="CV1298" s="67">
        <f>-45-973</f>
        <v>-1018</v>
      </c>
      <c r="CW1298" s="67">
        <f>-46-925</f>
        <v>-971</v>
      </c>
      <c r="CX1298" s="65">
        <f t="shared" si="1895"/>
        <v>-971</v>
      </c>
      <c r="CY1298" s="96">
        <f>IFERROR(CW1298/CV1298-1,0)</f>
        <v>-4.6168958742632604E-2</v>
      </c>
      <c r="CZ1298" s="67">
        <f>-45-1168</f>
        <v>-1213</v>
      </c>
      <c r="DA1298" s="67">
        <f>-52-1032</f>
        <v>-1084</v>
      </c>
      <c r="DB1298" s="65">
        <f t="shared" si="1896"/>
        <v>-1084</v>
      </c>
      <c r="DC1298" s="96">
        <f>IFERROR(DA1298/CZ1298-1,0)</f>
        <v>-0.1063478977741138</v>
      </c>
      <c r="DD1298" s="67">
        <f>-52-1175</f>
        <v>-1227</v>
      </c>
      <c r="DE1298" s="67">
        <f>-51-923</f>
        <v>-974</v>
      </c>
      <c r="DF1298" s="65">
        <f t="shared" si="1897"/>
        <v>-974</v>
      </c>
      <c r="DG1298" s="96">
        <f>IFERROR(DE1298/DD1298-1,0)</f>
        <v>-0.20619396903015486</v>
      </c>
      <c r="DH1298" s="65">
        <f>-DH1358</f>
        <v>-978.87</v>
      </c>
      <c r="DI1298" s="65">
        <f t="shared" ref="DI1298:DJ1298" si="1908">-DI1358</f>
        <v>-983.76435000000004</v>
      </c>
      <c r="DJ1298" s="65">
        <f t="shared" si="1908"/>
        <v>-983.76435000000004</v>
      </c>
      <c r="DK1298" s="96">
        <f>IFERROR(DI1298/DH1298-1,0)</f>
        <v>5.0000000000001155E-3</v>
      </c>
      <c r="DL1298" s="65">
        <f>-DL1358</f>
        <v>-988.68317175000004</v>
      </c>
      <c r="DM1298" s="65">
        <f t="shared" ref="DM1298:DN1298" si="1909">-DM1358</f>
        <v>-993.62658760875001</v>
      </c>
      <c r="DN1298" s="65">
        <f t="shared" si="1909"/>
        <v>-993.62658760875001</v>
      </c>
      <c r="DO1298" s="96">
        <f>IFERROR(DM1298/DL1298-1,0)</f>
        <v>4.9999999999998934E-3</v>
      </c>
      <c r="DP1298" s="65">
        <f>-DP1358</f>
        <v>-998.59472054679372</v>
      </c>
      <c r="DQ1298" s="65">
        <f t="shared" ref="DQ1298:DR1298" si="1910">-DQ1358</f>
        <v>-1003.5876941495277</v>
      </c>
      <c r="DR1298" s="65">
        <f t="shared" si="1910"/>
        <v>-1003.5876941495277</v>
      </c>
      <c r="DS1298" s="96">
        <f>IFERROR(DQ1298/DP1298-1,0)</f>
        <v>4.9999999999998934E-3</v>
      </c>
      <c r="DT1298" s="96"/>
      <c r="DU1298" s="96"/>
      <c r="DV1298" s="96"/>
      <c r="DW1298" s="28"/>
      <c r="DX1298" s="573"/>
    </row>
    <row r="1299" spans="1:128" s="20" customFormat="1" ht="13.8">
      <c r="A1299" s="20" t="s">
        <v>687</v>
      </c>
      <c r="B1299" s="49"/>
      <c r="BH1299" s="67">
        <v>-496</v>
      </c>
      <c r="BI1299" s="67">
        <v>-394</v>
      </c>
      <c r="BJ1299" s="65">
        <f t="shared" si="1877"/>
        <v>-394</v>
      </c>
      <c r="BK1299" s="65"/>
      <c r="BL1299" s="67">
        <v>-348</v>
      </c>
      <c r="BM1299" s="67">
        <v>-465</v>
      </c>
      <c r="BN1299" s="65">
        <f t="shared" si="1878"/>
        <v>-465</v>
      </c>
      <c r="BO1299" s="96">
        <f t="shared" si="1879"/>
        <v>0.3362068965517242</v>
      </c>
      <c r="BP1299" s="67">
        <v>-608</v>
      </c>
      <c r="BQ1299" s="67">
        <v>-533</v>
      </c>
      <c r="BR1299" s="65">
        <f t="shared" si="1880"/>
        <v>-533</v>
      </c>
      <c r="BS1299" s="96">
        <f t="shared" si="1881"/>
        <v>-0.12335526315789469</v>
      </c>
      <c r="BT1299" s="67">
        <v>-505</v>
      </c>
      <c r="BU1299" s="67">
        <v>-554</v>
      </c>
      <c r="BV1299" s="65">
        <f t="shared" si="1882"/>
        <v>-554</v>
      </c>
      <c r="BW1299" s="96">
        <f t="shared" si="1883"/>
        <v>9.7029702970297116E-2</v>
      </c>
      <c r="BX1299" s="67">
        <v>-1088</v>
      </c>
      <c r="BY1299" s="67">
        <v>-1022</v>
      </c>
      <c r="BZ1299" s="65">
        <f t="shared" si="1884"/>
        <v>-1022</v>
      </c>
      <c r="CA1299" s="96">
        <f t="shared" si="1885"/>
        <v>-6.0661764705882359E-2</v>
      </c>
      <c r="CB1299" s="67">
        <v>-1397</v>
      </c>
      <c r="CC1299" s="67">
        <v>-1387</v>
      </c>
      <c r="CD1299" s="65">
        <f t="shared" si="1886"/>
        <v>-1387</v>
      </c>
      <c r="CE1299" s="96">
        <f t="shared" si="1887"/>
        <v>-7.1581961345741352E-3</v>
      </c>
      <c r="CF1299" s="67">
        <v>-1952</v>
      </c>
      <c r="CG1299" s="67">
        <v>-2208</v>
      </c>
      <c r="CH1299" s="65">
        <f t="shared" si="1888"/>
        <v>-2208</v>
      </c>
      <c r="CI1299" s="96">
        <f t="shared" si="1889"/>
        <v>0.13114754098360648</v>
      </c>
      <c r="CJ1299" s="67">
        <f>-13271-SUM(CJ1289:CJ1298)</f>
        <v>-1317</v>
      </c>
      <c r="CK1299" s="67">
        <f>-12784-SUM(CK1289:CK1298)</f>
        <v>-1224</v>
      </c>
      <c r="CL1299" s="65">
        <f t="shared" si="1890"/>
        <v>-1224</v>
      </c>
      <c r="CM1299" s="96">
        <f t="shared" si="1891"/>
        <v>-7.0615034168564961E-2</v>
      </c>
      <c r="CN1299" s="67">
        <f>-11900-SUM(CN1289:CN1298)</f>
        <v>-806</v>
      </c>
      <c r="CO1299" s="67">
        <f>-12320-SUM(CO1289:CO1298)</f>
        <v>-573</v>
      </c>
      <c r="CP1299" s="65">
        <f t="shared" si="1892"/>
        <v>-573</v>
      </c>
      <c r="CQ1299" s="96">
        <f t="shared" si="1893"/>
        <v>-0.28908188585607941</v>
      </c>
      <c r="CR1299" s="67">
        <f>-11425-SUM(CR1289:CR1298)</f>
        <v>973</v>
      </c>
      <c r="CS1299" s="67">
        <f>-10354-SUM(CS1289:CS1298)</f>
        <v>1627</v>
      </c>
      <c r="CT1299" s="65">
        <f t="shared" si="1894"/>
        <v>1627</v>
      </c>
      <c r="CU1299" s="96">
        <f t="shared" si="1903"/>
        <v>0.67214799588900309</v>
      </c>
      <c r="CV1299" s="67">
        <f>-10887-SUM(CV1289:CV1298)</f>
        <v>936</v>
      </c>
      <c r="CW1299" s="67">
        <f>-10895-SUM(CW1289:CW1298)</f>
        <v>1533</v>
      </c>
      <c r="CX1299" s="65">
        <f t="shared" si="1895"/>
        <v>1533</v>
      </c>
      <c r="CY1299" s="96">
        <f>CW1299/CV1299-1</f>
        <v>0.63782051282051277</v>
      </c>
      <c r="CZ1299" s="67">
        <f>-11142-SUM(CZ1289:CZ1298)</f>
        <v>846</v>
      </c>
      <c r="DA1299" s="67">
        <f>-13570-SUM(DA1289:DA1298)</f>
        <v>164</v>
      </c>
      <c r="DB1299" s="65">
        <f t="shared" si="1896"/>
        <v>164</v>
      </c>
      <c r="DC1299" s="96">
        <f>DA1299/CZ1299-1</f>
        <v>-0.80614657210401885</v>
      </c>
      <c r="DD1299" s="67">
        <f>-14882-SUM(DD1289:DD1298)</f>
        <v>-207</v>
      </c>
      <c r="DE1299" s="67">
        <f>-14825-SUM(DE1289:DE1298)</f>
        <v>-592</v>
      </c>
      <c r="DF1299" s="65">
        <f t="shared" si="1897"/>
        <v>-592</v>
      </c>
      <c r="DG1299" s="96">
        <f>DE1299/DD1299-1</f>
        <v>1.8599033816425119</v>
      </c>
      <c r="DH1299" s="65">
        <f>DE1299*(1+DH1372)</f>
        <v>-603.84</v>
      </c>
      <c r="DI1299" s="65">
        <f>DH1299*(1+DI1372)</f>
        <v>-615.91680000000008</v>
      </c>
      <c r="DJ1299" s="65">
        <f t="shared" ref="DJ1299" si="1911">DI1299</f>
        <v>-615.91680000000008</v>
      </c>
      <c r="DK1299" s="96">
        <f>DI1299/DH1299-1</f>
        <v>2.0000000000000018E-2</v>
      </c>
      <c r="DL1299" s="65">
        <f>DI1299*(1+DL1372)</f>
        <v>-628.23513600000013</v>
      </c>
      <c r="DM1299" s="65">
        <f>DL1299*(1+DM1372)</f>
        <v>-640.79983872000014</v>
      </c>
      <c r="DN1299" s="65">
        <f t="shared" ref="DN1299" si="1912">DM1299</f>
        <v>-640.79983872000014</v>
      </c>
      <c r="DO1299" s="96">
        <f>DM1299/DL1299-1</f>
        <v>2.0000000000000018E-2</v>
      </c>
      <c r="DP1299" s="65">
        <f>DM1299*(1+DP1372)</f>
        <v>-653.61583549440013</v>
      </c>
      <c r="DQ1299" s="65">
        <f>DP1299*(1+DQ1372)</f>
        <v>-666.68815220428814</v>
      </c>
      <c r="DR1299" s="65">
        <f t="shared" ref="DR1299" si="1913">DQ1299</f>
        <v>-666.68815220428814</v>
      </c>
      <c r="DS1299" s="96">
        <f>DQ1299/DP1299-1</f>
        <v>2.0000000000000018E-2</v>
      </c>
      <c r="DT1299" s="96"/>
      <c r="DU1299" s="96"/>
      <c r="DV1299" s="65"/>
      <c r="DW1299" s="28"/>
      <c r="DX1299" s="573"/>
    </row>
    <row r="1300" spans="1:128" s="20" customFormat="1" ht="13.8">
      <c r="A1300" s="21" t="s">
        <v>232</v>
      </c>
      <c r="B1300" s="49"/>
      <c r="BH1300" s="72">
        <f>SUM(BH1289:BH1299)</f>
        <v>-15170</v>
      </c>
      <c r="BI1300" s="72">
        <f>SUM(BI1289:BI1299)</f>
        <v>-15892</v>
      </c>
      <c r="BJ1300" s="72">
        <f>SUM(BJ1289:BJ1299)</f>
        <v>-15892</v>
      </c>
      <c r="BK1300" s="65"/>
      <c r="BL1300" s="72">
        <f>SUM(BL1289:BL1299)</f>
        <v>-15947</v>
      </c>
      <c r="BM1300" s="72">
        <f>SUM(BM1289:BM1299)</f>
        <v>-16297</v>
      </c>
      <c r="BN1300" s="72">
        <f>SUM(BN1289:BN1299)</f>
        <v>-16297</v>
      </c>
      <c r="BO1300" s="96">
        <f t="shared" si="1879"/>
        <v>2.1947701762086824E-2</v>
      </c>
      <c r="BP1300" s="72">
        <f>SUM(BP1289:BP1299)</f>
        <v>-17796</v>
      </c>
      <c r="BQ1300" s="72">
        <f>SUM(BQ1289:BQ1299)</f>
        <v>-18440</v>
      </c>
      <c r="BR1300" s="72">
        <f>SUM(BR1289:BR1299)</f>
        <v>-18440</v>
      </c>
      <c r="BS1300" s="96">
        <f t="shared" si="1881"/>
        <v>3.6187907394920282E-2</v>
      </c>
      <c r="BT1300" s="72">
        <f>SUM(BT1289:BT1299)</f>
        <v>-17778</v>
      </c>
      <c r="BU1300" s="72">
        <f>SUM(BU1289:BU1299)</f>
        <v>-18179</v>
      </c>
      <c r="BV1300" s="72">
        <f>SUM(BV1289:BV1299)</f>
        <v>-18179</v>
      </c>
      <c r="BW1300" s="96">
        <f t="shared" si="1883"/>
        <v>2.2555968050399278E-2</v>
      </c>
      <c r="BX1300" s="72">
        <f>SUM(BX1289:BX1299)</f>
        <v>-17182</v>
      </c>
      <c r="BY1300" s="72">
        <f>SUM(BY1289:BY1299)</f>
        <v>-17258</v>
      </c>
      <c r="BZ1300" s="72">
        <f>SUM(BZ1289:BZ1299)</f>
        <v>-17258</v>
      </c>
      <c r="CA1300" s="96">
        <f t="shared" si="1885"/>
        <v>4.4232336165754838E-3</v>
      </c>
      <c r="CB1300" s="72">
        <f>SUM(CB1289:CB1299)</f>
        <v>-15399</v>
      </c>
      <c r="CC1300" s="72">
        <f>SUM(CC1289:CC1299)</f>
        <v>-14370</v>
      </c>
      <c r="CD1300" s="72">
        <f>SUM(CD1289:CD1299)</f>
        <v>-14370</v>
      </c>
      <c r="CE1300" s="96">
        <f t="shared" si="1887"/>
        <v>-6.6822520942918406E-2</v>
      </c>
      <c r="CF1300" s="72">
        <f>SUM(CF1289:CF1299)</f>
        <v>-14400</v>
      </c>
      <c r="CG1300" s="72">
        <f>SUM(CG1289:CG1299)</f>
        <v>-13559</v>
      </c>
      <c r="CH1300" s="72">
        <f>SUM(CH1289:CH1299)</f>
        <v>-13559</v>
      </c>
      <c r="CI1300" s="96">
        <f t="shared" si="1889"/>
        <v>-5.8402777777777803E-2</v>
      </c>
      <c r="CJ1300" s="72">
        <f>SUM(CJ1289:CJ1299)</f>
        <v>-13271</v>
      </c>
      <c r="CK1300" s="72">
        <f>SUM(CK1289:CK1299)</f>
        <v>-12784</v>
      </c>
      <c r="CL1300" s="72">
        <f>SUM(CL1289:CL1299)</f>
        <v>-12784</v>
      </c>
      <c r="CM1300" s="96">
        <f t="shared" si="1891"/>
        <v>-3.6696556401175529E-2</v>
      </c>
      <c r="CN1300" s="72">
        <f>SUM(CN1289:CN1299)</f>
        <v>-11900</v>
      </c>
      <c r="CO1300" s="72">
        <f>SUM(CO1289:CO1299)</f>
        <v>-12320</v>
      </c>
      <c r="CP1300" s="72">
        <f>SUM(CP1289:CP1299)</f>
        <v>-12320</v>
      </c>
      <c r="CQ1300" s="96">
        <f t="shared" ref="CQ1300" si="1914">CO1300/CN1300-1</f>
        <v>3.529411764705892E-2</v>
      </c>
      <c r="CR1300" s="72">
        <f>SUM(CR1289:CR1299)</f>
        <v>-11425</v>
      </c>
      <c r="CS1300" s="72">
        <f>SUM(CS1289:CS1299)</f>
        <v>-10354</v>
      </c>
      <c r="CT1300" s="72">
        <f>SUM(CT1289:CT1299)</f>
        <v>-10354</v>
      </c>
      <c r="CU1300" s="96">
        <f t="shared" si="1903"/>
        <v>-9.3741794310722049E-2</v>
      </c>
      <c r="CV1300" s="72">
        <f>SUM(CV1289:CV1299)</f>
        <v>-10887</v>
      </c>
      <c r="CW1300" s="72">
        <f>SUM(CW1289:CW1299)</f>
        <v>-10895</v>
      </c>
      <c r="CX1300" s="72">
        <f>SUM(CX1289:CX1299)</f>
        <v>-10895</v>
      </c>
      <c r="CY1300" s="96">
        <f>CW1300/CV1300-1</f>
        <v>7.3482134656011056E-4</v>
      </c>
      <c r="CZ1300" s="72">
        <f>SUM(CZ1289:CZ1299)</f>
        <v>-11142</v>
      </c>
      <c r="DA1300" s="72">
        <f>SUM(DA1289:DA1299)</f>
        <v>-13570</v>
      </c>
      <c r="DB1300" s="72">
        <f>SUM(DB1289:DB1299)</f>
        <v>-13570</v>
      </c>
      <c r="DC1300" s="96">
        <f>DA1300/CZ1300-1</f>
        <v>0.21791419852809191</v>
      </c>
      <c r="DD1300" s="72">
        <f>SUM(DD1289:DD1299)</f>
        <v>-14882</v>
      </c>
      <c r="DE1300" s="72">
        <f>SUM(DE1289:DE1299)</f>
        <v>-14825</v>
      </c>
      <c r="DF1300" s="72">
        <f>SUM(DF1289:DF1299)</f>
        <v>-14825</v>
      </c>
      <c r="DG1300" s="96">
        <f>DE1300/DD1300-1</f>
        <v>-3.8301303588227364E-3</v>
      </c>
      <c r="DH1300" s="72">
        <f ca="1">SUM(DH1289:DH1299)</f>
        <v>-14908.416121339191</v>
      </c>
      <c r="DI1300" s="72">
        <f ca="1">SUM(DI1289:DI1299)</f>
        <v>-15031.14593634749</v>
      </c>
      <c r="DJ1300" s="72">
        <f ca="1">SUM(DJ1289:DJ1299)</f>
        <v>-15031.14593634749</v>
      </c>
      <c r="DK1300" s="96">
        <f ca="1">DI1300/DH1300-1</f>
        <v>8.2322504288452336E-3</v>
      </c>
      <c r="DL1300" s="72">
        <f ca="1">SUM(DL1289:DL1299)</f>
        <v>-15166.531089553402</v>
      </c>
      <c r="DM1300" s="72">
        <f ca="1">SUM(DM1289:DM1299)</f>
        <v>-15290.485865426332</v>
      </c>
      <c r="DN1300" s="72">
        <f ca="1">SUM(DN1289:DN1299)</f>
        <v>-15290.485865426332</v>
      </c>
      <c r="DO1300" s="96">
        <f ca="1">DM1300/DL1300-1</f>
        <v>8.1729154241676483E-3</v>
      </c>
      <c r="DP1300" s="72">
        <f ca="1">SUM(DP1289:DP1299)</f>
        <v>-15392.569155467567</v>
      </c>
      <c r="DQ1300" s="72">
        <f ca="1">SUM(DQ1289:DQ1299)</f>
        <v>-15527.130032820831</v>
      </c>
      <c r="DR1300" s="72">
        <f ca="1">SUM(DR1289:DR1299)</f>
        <v>-15527.130032820831</v>
      </c>
      <c r="DS1300" s="96">
        <f ca="1">DQ1300/DP1300-1</f>
        <v>8.7419374890687074E-3</v>
      </c>
      <c r="DT1300" s="96"/>
      <c r="DU1300" s="96"/>
      <c r="DV1300" s="96"/>
      <c r="DW1300" s="28"/>
      <c r="DX1300" s="607"/>
    </row>
    <row r="1301" spans="1:128" s="20" customFormat="1" ht="13.8">
      <c r="A1301" s="21" t="s">
        <v>751</v>
      </c>
      <c r="B1301" s="49"/>
      <c r="BH1301" s="72">
        <f>+BH1288+BH1300</f>
        <v>26375</v>
      </c>
      <c r="BI1301" s="72">
        <f>+BI1288+BI1300</f>
        <v>28779</v>
      </c>
      <c r="BJ1301" s="72">
        <f>+BJ1288+BJ1300</f>
        <v>28779</v>
      </c>
      <c r="BK1301" s="65"/>
      <c r="BL1301" s="72">
        <f>+BL1288+BL1300</f>
        <v>30020</v>
      </c>
      <c r="BM1301" s="72">
        <f>+BM1288+BM1300</f>
        <v>31776</v>
      </c>
      <c r="BN1301" s="72">
        <f>+BN1288+BN1300</f>
        <v>31776</v>
      </c>
      <c r="BO1301" s="65"/>
      <c r="BP1301" s="72">
        <f>+BP1288+BP1300</f>
        <v>33736</v>
      </c>
      <c r="BQ1301" s="72">
        <f>+BQ1288+BQ1300</f>
        <v>38526</v>
      </c>
      <c r="BR1301" s="72">
        <f>+BR1288+BR1300</f>
        <v>38526</v>
      </c>
      <c r="BS1301" s="96">
        <f>BR1301/BN1301-1</f>
        <v>0.2124244712990937</v>
      </c>
      <c r="BT1301" s="72">
        <f>+BT1288+BT1300</f>
        <v>38102</v>
      </c>
      <c r="BU1301" s="72">
        <f>+BU1288+BU1300</f>
        <v>39267</v>
      </c>
      <c r="BV1301" s="72">
        <f>+BV1288+BV1300</f>
        <v>39267</v>
      </c>
      <c r="BW1301" s="96">
        <f>BV1301/BR1301-1</f>
        <v>1.9233764211182169E-2</v>
      </c>
      <c r="BX1301" s="72">
        <f>+BX1288+BX1300</f>
        <v>40217</v>
      </c>
      <c r="BY1301" s="72">
        <f>+BY1288+BY1300</f>
        <v>41336</v>
      </c>
      <c r="BZ1301" s="72">
        <f>+BZ1288+BZ1300</f>
        <v>41336</v>
      </c>
      <c r="CA1301" s="96">
        <f>BZ1301/BV1301-1</f>
        <v>5.2690554409555057E-2</v>
      </c>
      <c r="CB1301" s="72">
        <f>+CB1288+CB1300</f>
        <v>43707</v>
      </c>
      <c r="CC1301" s="72">
        <f>+CC1288+CC1300</f>
        <v>44691</v>
      </c>
      <c r="CD1301" s="72">
        <f>+CD1288+CD1300</f>
        <v>44691</v>
      </c>
      <c r="CE1301" s="96">
        <f>CD1301/BZ1301-1</f>
        <v>8.1164118443971311E-2</v>
      </c>
      <c r="CF1301" s="72">
        <f>+CF1288+CF1300</f>
        <v>45528</v>
      </c>
      <c r="CG1301" s="72">
        <f>+CG1288+CG1300</f>
        <v>47355</v>
      </c>
      <c r="CH1301" s="72">
        <f>+CH1288+CH1300</f>
        <v>47355</v>
      </c>
      <c r="CI1301" s="96">
        <f>CH1301/CD1301-1</f>
        <v>5.960931731221053E-2</v>
      </c>
      <c r="CJ1301" s="72">
        <f>+CJ1288+CJ1300</f>
        <v>48331</v>
      </c>
      <c r="CK1301" s="72">
        <f>+CK1288+CK1300</f>
        <v>48702</v>
      </c>
      <c r="CL1301" s="72">
        <f>+CL1288+CL1300</f>
        <v>48702</v>
      </c>
      <c r="CM1301" s="96">
        <f>CL1301/CH1301-1</f>
        <v>2.8444726005701693E-2</v>
      </c>
      <c r="CN1301" s="72">
        <f>+CN1288+CN1300</f>
        <v>50786</v>
      </c>
      <c r="CO1301" s="72">
        <f>+CO1288+CO1300</f>
        <v>51359</v>
      </c>
      <c r="CP1301" s="72">
        <f>+CP1288+CP1300</f>
        <v>51359</v>
      </c>
      <c r="CQ1301" s="96">
        <f>CP1301/CL1301-1</f>
        <v>5.4556281056219458E-2</v>
      </c>
      <c r="CR1301" s="72">
        <f>+CR1288+CR1300</f>
        <v>50511</v>
      </c>
      <c r="CS1301" s="72">
        <f>+CS1288+CS1300</f>
        <v>55872</v>
      </c>
      <c r="CT1301" s="72">
        <f>+CT1288+CT1300</f>
        <v>55872</v>
      </c>
      <c r="CU1301" s="96">
        <f>CT1301/CP1301-1</f>
        <v>8.7871648591288709E-2</v>
      </c>
      <c r="CV1301" s="72">
        <f>+CV1288+CV1300</f>
        <v>57380</v>
      </c>
      <c r="CW1301" s="72">
        <f>+CW1288+CW1300</f>
        <v>57794</v>
      </c>
      <c r="CX1301" s="72">
        <f>+CX1288+CX1300</f>
        <v>57794</v>
      </c>
      <c r="CY1301" s="96">
        <f>CX1301/CT1301-1</f>
        <v>3.4400057273768603E-2</v>
      </c>
      <c r="CZ1301" s="72">
        <f>+CZ1288+CZ1300</f>
        <v>58412</v>
      </c>
      <c r="DA1301" s="72">
        <f>+DA1288+DA1300</f>
        <v>54469</v>
      </c>
      <c r="DB1301" s="72">
        <f>+DB1288+DB1300</f>
        <v>54469</v>
      </c>
      <c r="DC1301" s="96">
        <f>DB1301/CX1301-1</f>
        <v>-5.7531923729106871E-2</v>
      </c>
      <c r="DD1301" s="72">
        <f>+DD1288+DD1300</f>
        <v>55229</v>
      </c>
      <c r="DE1301" s="72">
        <f>+DE1288+DE1300</f>
        <v>55184</v>
      </c>
      <c r="DF1301" s="72">
        <f>+DF1288+DF1300</f>
        <v>55184</v>
      </c>
      <c r="DG1301" s="96">
        <f>DF1301/DB1301-1</f>
        <v>1.3126732636912664E-2</v>
      </c>
      <c r="DH1301" s="72">
        <f ca="1">+DH1288+DH1300</f>
        <v>58089.377840381232</v>
      </c>
      <c r="DI1301" s="72">
        <f ca="1">+DI1288+DI1300</f>
        <v>59231.745524052021</v>
      </c>
      <c r="DJ1301" s="72">
        <f ca="1">+DJ1288+DJ1300</f>
        <v>59231.745524052021</v>
      </c>
      <c r="DK1301" s="96">
        <f ca="1">DJ1301/DF1301-1</f>
        <v>7.334998412677618E-2</v>
      </c>
      <c r="DL1301" s="72">
        <f ca="1">+DL1288+DL1300</f>
        <v>60466.808680109476</v>
      </c>
      <c r="DM1301" s="72">
        <f ca="1">+DM1288+DM1300</f>
        <v>61105.177994769161</v>
      </c>
      <c r="DN1301" s="72">
        <f ca="1">+DN1288+DN1300</f>
        <v>61105.177994769161</v>
      </c>
      <c r="DO1301" s="96">
        <f ca="1">DN1301/DJ1301-1</f>
        <v>3.1628858041274466E-2</v>
      </c>
      <c r="DP1301" s="72">
        <f ca="1">+DP1288+DP1300</f>
        <v>61920.766140175816</v>
      </c>
      <c r="DQ1301" s="72">
        <f ca="1">+DQ1288+DQ1300</f>
        <v>62744.437929616906</v>
      </c>
      <c r="DR1301" s="72">
        <f ca="1">+DR1288+DR1300</f>
        <v>62744.437929616906</v>
      </c>
      <c r="DS1301" s="96">
        <f ca="1">DR1301/DN1301-1</f>
        <v>2.6826858028104805E-2</v>
      </c>
      <c r="DT1301" s="96"/>
      <c r="DU1301" s="96"/>
      <c r="DV1301" s="96"/>
      <c r="DX1301" s="607"/>
    </row>
    <row r="1302" spans="1:128" s="20" customFormat="1" ht="13.8">
      <c r="A1302" s="20" t="s">
        <v>688</v>
      </c>
      <c r="B1302" s="49"/>
      <c r="BF1302" s="28"/>
      <c r="BH1302" s="65">
        <f>BH1390</f>
        <v>4368</v>
      </c>
      <c r="BI1302" s="65">
        <f>BI1390</f>
        <v>5479</v>
      </c>
      <c r="BJ1302" s="65">
        <f>BI1302</f>
        <v>5479</v>
      </c>
      <c r="BK1302" s="65"/>
      <c r="BL1302" s="65">
        <f>BL1390</f>
        <v>6450</v>
      </c>
      <c r="BM1302" s="65">
        <f>BM1390</f>
        <v>6004</v>
      </c>
      <c r="BN1302" s="65">
        <f>BM1302</f>
        <v>6004</v>
      </c>
      <c r="BO1302" s="65"/>
      <c r="BP1302" s="65">
        <f>BP1390</f>
        <v>7453</v>
      </c>
      <c r="BQ1302" s="65">
        <f>BQ1390</f>
        <v>7423</v>
      </c>
      <c r="BR1302" s="65">
        <f>BQ1302</f>
        <v>7423</v>
      </c>
      <c r="BS1302" s="65"/>
      <c r="BT1302" s="65">
        <f>BT1390</f>
        <v>7427</v>
      </c>
      <c r="BU1302" s="65">
        <f>BU1390</f>
        <v>9493</v>
      </c>
      <c r="BV1302" s="65">
        <f>BU1302</f>
        <v>9493</v>
      </c>
      <c r="BW1302" s="65"/>
      <c r="BX1302" s="65">
        <f>BX1390</f>
        <v>8300</v>
      </c>
      <c r="BY1302" s="65">
        <f>BY1390</f>
        <v>8452</v>
      </c>
      <c r="BZ1302" s="65">
        <f>BY1302</f>
        <v>8452</v>
      </c>
      <c r="CA1302" s="65"/>
      <c r="CB1302" s="65">
        <f>CB1390</f>
        <v>7870</v>
      </c>
      <c r="CC1302" s="65">
        <f>CC1390</f>
        <v>7917</v>
      </c>
      <c r="CD1302" s="65">
        <f>CC1302</f>
        <v>7917</v>
      </c>
      <c r="CE1302" s="65"/>
      <c r="CF1302" s="65">
        <f>CF1390</f>
        <v>8039</v>
      </c>
      <c r="CG1302" s="65">
        <f>CG1390</f>
        <v>8171</v>
      </c>
      <c r="CH1302" s="65">
        <f>CG1302</f>
        <v>8171</v>
      </c>
      <c r="CI1302" s="65"/>
      <c r="CJ1302" s="65">
        <f>CJ1390</f>
        <v>8430</v>
      </c>
      <c r="CK1302" s="65">
        <f>CK1390</f>
        <v>8196</v>
      </c>
      <c r="CL1302" s="65">
        <f>CK1302</f>
        <v>8196</v>
      </c>
      <c r="CM1302" s="65"/>
      <c r="CN1302" s="65">
        <f>CN1390</f>
        <v>8045</v>
      </c>
      <c r="CO1302" s="65">
        <f>CO1390</f>
        <v>8506</v>
      </c>
      <c r="CP1302" s="65">
        <f>CO1302</f>
        <v>8506</v>
      </c>
      <c r="CQ1302" s="65"/>
      <c r="CR1302" s="65">
        <f>CR1390</f>
        <v>7582</v>
      </c>
      <c r="CS1302" s="65">
        <f>CS1390</f>
        <v>7705</v>
      </c>
      <c r="CT1302" s="65">
        <f>CS1302</f>
        <v>7705</v>
      </c>
      <c r="CU1302" s="65"/>
      <c r="CV1302" s="65">
        <f>CV1390</f>
        <v>8184</v>
      </c>
      <c r="CW1302" s="65">
        <f>CW1390</f>
        <v>8232</v>
      </c>
      <c r="CX1302" s="65">
        <f>CW1302</f>
        <v>8232</v>
      </c>
      <c r="CY1302" s="65"/>
      <c r="CZ1302" s="65">
        <f>CZ1390</f>
        <v>8297</v>
      </c>
      <c r="DA1302" s="65">
        <f>DA1390</f>
        <v>8207</v>
      </c>
      <c r="DB1302" s="65">
        <f>DA1302</f>
        <v>8207</v>
      </c>
      <c r="DC1302" s="65"/>
      <c r="DD1302" s="65">
        <f>DD1390</f>
        <v>7443</v>
      </c>
      <c r="DE1302" s="65">
        <f>DE1390</f>
        <v>7357</v>
      </c>
      <c r="DF1302" s="65">
        <f>DE1302</f>
        <v>7357</v>
      </c>
      <c r="DG1302" s="65"/>
      <c r="DH1302" s="65">
        <f>DH1390</f>
        <v>7452</v>
      </c>
      <c r="DI1302" s="65">
        <f>DI1390</f>
        <v>7452</v>
      </c>
      <c r="DJ1302" s="65">
        <f>DI1302</f>
        <v>7452</v>
      </c>
      <c r="DK1302" s="65"/>
      <c r="DL1302" s="65">
        <f>DL1390</f>
        <v>7452</v>
      </c>
      <c r="DM1302" s="65">
        <f>DM1390</f>
        <v>7452</v>
      </c>
      <c r="DN1302" s="65">
        <f>DM1302</f>
        <v>7452</v>
      </c>
      <c r="DO1302" s="65"/>
      <c r="DP1302" s="65">
        <f>DP1390</f>
        <v>7452</v>
      </c>
      <c r="DQ1302" s="65">
        <f>DQ1390</f>
        <v>7452</v>
      </c>
      <c r="DR1302" s="65">
        <f>DQ1302</f>
        <v>7452</v>
      </c>
      <c r="DS1302" s="65"/>
      <c r="DT1302" s="65"/>
      <c r="DU1302" s="65"/>
      <c r="DV1302" s="65"/>
    </row>
    <row r="1303" spans="1:128" s="20" customFormat="1" ht="13.8">
      <c r="A1303" s="20" t="s">
        <v>689</v>
      </c>
      <c r="B1303" s="49"/>
      <c r="BF1303" s="28"/>
      <c r="BH1303" s="67">
        <v>-17</v>
      </c>
      <c r="BI1303" s="67">
        <v>-78</v>
      </c>
      <c r="BJ1303" s="65">
        <f>BI1303</f>
        <v>-78</v>
      </c>
      <c r="BK1303" s="65"/>
      <c r="BL1303" s="67">
        <v>-42</v>
      </c>
      <c r="BM1303" s="67">
        <v>-50</v>
      </c>
      <c r="BN1303" s="65">
        <f>BM1303</f>
        <v>-50</v>
      </c>
      <c r="BO1303" s="65"/>
      <c r="BP1303" s="67">
        <v>-101</v>
      </c>
      <c r="BQ1303" s="67">
        <v>-465</v>
      </c>
      <c r="BR1303" s="65">
        <f>BQ1303</f>
        <v>-465</v>
      </c>
      <c r="BS1303" s="65"/>
      <c r="BT1303" s="67">
        <v>-467</v>
      </c>
      <c r="BU1303" s="67">
        <v>-475</v>
      </c>
      <c r="BV1303" s="65">
        <f>BU1303</f>
        <v>-475</v>
      </c>
      <c r="BW1303" s="65"/>
      <c r="BX1303" s="67">
        <v>-426</v>
      </c>
      <c r="BY1303" s="67">
        <v>-464</v>
      </c>
      <c r="BZ1303" s="65">
        <f>BY1303</f>
        <v>-464</v>
      </c>
      <c r="CA1303" s="65"/>
      <c r="CB1303" s="67">
        <v>-452</v>
      </c>
      <c r="CC1303" s="67">
        <v>-390</v>
      </c>
      <c r="CD1303" s="65">
        <f>CC1303</f>
        <v>-390</v>
      </c>
      <c r="CE1303" s="65"/>
      <c r="CF1303" s="67">
        <v>-492</v>
      </c>
      <c r="CG1303" s="67">
        <v>-305</v>
      </c>
      <c r="CH1303" s="65">
        <f>CG1303</f>
        <v>-305</v>
      </c>
      <c r="CI1303" s="65"/>
      <c r="CJ1303" s="67">
        <v>-466</v>
      </c>
      <c r="CK1303" s="67">
        <v>-417</v>
      </c>
      <c r="CL1303" s="65">
        <f>CK1303</f>
        <v>-417</v>
      </c>
      <c r="CM1303" s="65"/>
      <c r="CN1303" s="67">
        <v>-400</v>
      </c>
      <c r="CO1303" s="67">
        <v>-392</v>
      </c>
      <c r="CP1303" s="65">
        <f>CO1303</f>
        <v>-392</v>
      </c>
      <c r="CQ1303" s="65"/>
      <c r="CR1303" s="67">
        <v>-92</v>
      </c>
      <c r="CS1303" s="67">
        <v>-19</v>
      </c>
      <c r="CT1303" s="65">
        <f>CS1303</f>
        <v>-19</v>
      </c>
      <c r="CU1303" s="65"/>
      <c r="CV1303" s="67">
        <v>-12</v>
      </c>
      <c r="CW1303" s="67">
        <v>0</v>
      </c>
      <c r="CX1303" s="65">
        <f>CW1303</f>
        <v>0</v>
      </c>
      <c r="CY1303" s="65"/>
      <c r="CZ1303" s="67">
        <v>0</v>
      </c>
      <c r="DA1303" s="67">
        <v>0</v>
      </c>
      <c r="DB1303" s="65">
        <f>DA1303</f>
        <v>0</v>
      </c>
      <c r="DC1303" s="65"/>
      <c r="DD1303" s="67">
        <v>0</v>
      </c>
      <c r="DE1303" s="67">
        <v>0</v>
      </c>
      <c r="DF1303" s="65">
        <f>DE1303</f>
        <v>0</v>
      </c>
      <c r="DG1303" s="65"/>
      <c r="DH1303" s="65">
        <f>DE1303</f>
        <v>0</v>
      </c>
      <c r="DI1303" s="65">
        <f>DH1303</f>
        <v>0</v>
      </c>
      <c r="DJ1303" s="65">
        <f>DI1303</f>
        <v>0</v>
      </c>
      <c r="DK1303" s="65"/>
      <c r="DL1303" s="65">
        <f>DI1303</f>
        <v>0</v>
      </c>
      <c r="DM1303" s="65">
        <f>DL1303</f>
        <v>0</v>
      </c>
      <c r="DN1303" s="65">
        <f>DM1303</f>
        <v>0</v>
      </c>
      <c r="DO1303" s="65"/>
      <c r="DP1303" s="65">
        <f>DM1303</f>
        <v>0</v>
      </c>
      <c r="DQ1303" s="65">
        <f>DP1303</f>
        <v>0</v>
      </c>
      <c r="DR1303" s="65">
        <f>DQ1303</f>
        <v>0</v>
      </c>
      <c r="DS1303" s="65"/>
      <c r="DT1303" s="65"/>
      <c r="DU1303" s="65"/>
      <c r="DV1303" s="65"/>
    </row>
    <row r="1304" spans="1:128" s="20" customFormat="1" ht="13.8">
      <c r="A1304" s="20" t="s">
        <v>194</v>
      </c>
      <c r="B1304" s="49"/>
      <c r="BF1304" s="28"/>
      <c r="BH1304" s="67">
        <v>-597</v>
      </c>
      <c r="BI1304" s="67">
        <v>-683</v>
      </c>
      <c r="BJ1304" s="65">
        <f>BI1304</f>
        <v>-683</v>
      </c>
      <c r="BK1304" s="65"/>
      <c r="BL1304" s="67">
        <v>0</v>
      </c>
      <c r="BM1304" s="67">
        <v>0</v>
      </c>
      <c r="BN1304" s="65">
        <f>BM1304</f>
        <v>0</v>
      </c>
      <c r="BO1304" s="65"/>
      <c r="BP1304" s="67">
        <v>0</v>
      </c>
      <c r="BQ1304" s="67">
        <v>0</v>
      </c>
      <c r="BR1304" s="65">
        <f>BQ1304</f>
        <v>0</v>
      </c>
      <c r="BS1304" s="65"/>
      <c r="BT1304" s="67">
        <v>0</v>
      </c>
      <c r="BU1304" s="67">
        <v>0</v>
      </c>
      <c r="BV1304" s="65">
        <f>BU1304</f>
        <v>0</v>
      </c>
      <c r="BW1304" s="65"/>
      <c r="BX1304" s="67">
        <v>0</v>
      </c>
      <c r="BY1304" s="67">
        <v>0</v>
      </c>
      <c r="BZ1304" s="65">
        <f>BY1304</f>
        <v>0</v>
      </c>
      <c r="CA1304" s="65"/>
      <c r="CB1304" s="67">
        <v>0</v>
      </c>
      <c r="CC1304" s="67">
        <v>0</v>
      </c>
      <c r="CD1304" s="65">
        <f>CC1304</f>
        <v>0</v>
      </c>
      <c r="CE1304" s="65"/>
      <c r="CF1304" s="67">
        <v>0</v>
      </c>
      <c r="CG1304" s="67">
        <v>0</v>
      </c>
      <c r="CH1304" s="65">
        <f>CG1304</f>
        <v>0</v>
      </c>
      <c r="CI1304" s="65"/>
      <c r="CJ1304" s="67">
        <v>0</v>
      </c>
      <c r="CK1304" s="67">
        <v>0</v>
      </c>
      <c r="CL1304" s="65">
        <f>CK1304</f>
        <v>0</v>
      </c>
      <c r="CM1304" s="65"/>
      <c r="CN1304" s="67">
        <v>0</v>
      </c>
      <c r="CO1304" s="67">
        <v>0</v>
      </c>
      <c r="CP1304" s="65">
        <f>CO1304</f>
        <v>0</v>
      </c>
      <c r="CQ1304" s="65"/>
      <c r="CR1304" s="67">
        <v>0</v>
      </c>
      <c r="CS1304" s="67">
        <v>0</v>
      </c>
      <c r="CT1304" s="65">
        <f>CS1304</f>
        <v>0</v>
      </c>
      <c r="CU1304" s="65"/>
      <c r="CV1304" s="67">
        <v>0</v>
      </c>
      <c r="CW1304" s="67">
        <v>0</v>
      </c>
      <c r="CX1304" s="65">
        <f>CW1304</f>
        <v>0</v>
      </c>
      <c r="CY1304" s="65"/>
      <c r="CZ1304" s="67">
        <v>0</v>
      </c>
      <c r="DA1304" s="67">
        <v>0</v>
      </c>
      <c r="DB1304" s="65">
        <f>DA1304</f>
        <v>0</v>
      </c>
      <c r="DC1304" s="65"/>
      <c r="DD1304" s="67">
        <v>0</v>
      </c>
      <c r="DE1304" s="67">
        <v>0</v>
      </c>
      <c r="DF1304" s="65">
        <f>DE1304</f>
        <v>0</v>
      </c>
      <c r="DG1304" s="65"/>
      <c r="DH1304" s="65">
        <f>DH1397-DH1395</f>
        <v>0</v>
      </c>
      <c r="DI1304" s="65">
        <f>DI1397-DI1395</f>
        <v>0</v>
      </c>
      <c r="DJ1304" s="65">
        <f>DI1304</f>
        <v>0</v>
      </c>
      <c r="DK1304" s="65"/>
      <c r="DL1304" s="65">
        <f>DL1397-DL1395</f>
        <v>0</v>
      </c>
      <c r="DM1304" s="65">
        <f>DM1397-DM1395</f>
        <v>0</v>
      </c>
      <c r="DN1304" s="65">
        <f>DM1304</f>
        <v>0</v>
      </c>
      <c r="DO1304" s="65"/>
      <c r="DP1304" s="65">
        <f>DP1397-DP1395</f>
        <v>0</v>
      </c>
      <c r="DQ1304" s="65">
        <f>DQ1397-DQ1395</f>
        <v>0</v>
      </c>
      <c r="DR1304" s="65">
        <f>DQ1304</f>
        <v>0</v>
      </c>
      <c r="DS1304" s="65"/>
      <c r="DT1304" s="65"/>
      <c r="DU1304" s="65"/>
      <c r="DV1304" s="65"/>
    </row>
    <row r="1305" spans="1:128" s="20" customFormat="1" ht="13.8">
      <c r="A1305" s="20" t="s">
        <v>690</v>
      </c>
      <c r="B1305" s="49"/>
      <c r="BH1305" s="65">
        <f>BH1395</f>
        <v>1611</v>
      </c>
      <c r="BI1305" s="65">
        <f>BI1395</f>
        <v>1683</v>
      </c>
      <c r="BJ1305" s="65">
        <f>BI1305</f>
        <v>1683</v>
      </c>
      <c r="BK1305" s="65"/>
      <c r="BL1305" s="65">
        <f>BL1395</f>
        <v>871</v>
      </c>
      <c r="BM1305" s="65">
        <f>BM1395</f>
        <v>871</v>
      </c>
      <c r="BN1305" s="65">
        <f>BM1305</f>
        <v>871</v>
      </c>
      <c r="BO1305" s="65"/>
      <c r="BP1305" s="65">
        <f>BP1395</f>
        <v>0</v>
      </c>
      <c r="BQ1305" s="65">
        <f>BQ1395</f>
        <v>0</v>
      </c>
      <c r="BR1305" s="65">
        <f>BQ1305</f>
        <v>0</v>
      </c>
      <c r="BS1305" s="65"/>
      <c r="BT1305" s="65">
        <f>BT1395</f>
        <v>0</v>
      </c>
      <c r="BU1305" s="65">
        <f>BU1395</f>
        <v>0</v>
      </c>
      <c r="BV1305" s="65">
        <f>BU1305</f>
        <v>0</v>
      </c>
      <c r="BW1305" s="65"/>
      <c r="BX1305" s="65">
        <f>BX1395</f>
        <v>0</v>
      </c>
      <c r="BY1305" s="65">
        <f>BY1395</f>
        <v>0</v>
      </c>
      <c r="BZ1305" s="65">
        <f>BY1305</f>
        <v>0</v>
      </c>
      <c r="CA1305" s="65"/>
      <c r="CB1305" s="65">
        <f>CB1395</f>
        <v>0</v>
      </c>
      <c r="CC1305" s="65">
        <f>CC1395</f>
        <v>0</v>
      </c>
      <c r="CD1305" s="65">
        <f>CC1305</f>
        <v>0</v>
      </c>
      <c r="CE1305" s="65"/>
      <c r="CF1305" s="65">
        <f>CF1395</f>
        <v>0</v>
      </c>
      <c r="CG1305" s="65">
        <f>CG1395</f>
        <v>0</v>
      </c>
      <c r="CH1305" s="65">
        <f>CG1305</f>
        <v>0</v>
      </c>
      <c r="CI1305" s="65"/>
      <c r="CJ1305" s="65">
        <f>CJ1395</f>
        <v>0</v>
      </c>
      <c r="CK1305" s="65">
        <f>CK1395</f>
        <v>0</v>
      </c>
      <c r="CL1305" s="65">
        <f>CK1305</f>
        <v>0</v>
      </c>
      <c r="CM1305" s="65"/>
      <c r="CN1305" s="65">
        <f>CN1395</f>
        <v>0</v>
      </c>
      <c r="CO1305" s="65">
        <f>CO1395</f>
        <v>0</v>
      </c>
      <c r="CP1305" s="65">
        <f>CO1305</f>
        <v>0</v>
      </c>
      <c r="CQ1305" s="65"/>
      <c r="CR1305" s="65">
        <f>CR1395</f>
        <v>0</v>
      </c>
      <c r="CS1305" s="65">
        <f>CS1395</f>
        <v>0</v>
      </c>
      <c r="CT1305" s="65">
        <f>CS1305</f>
        <v>0</v>
      </c>
      <c r="CU1305" s="65"/>
      <c r="CV1305" s="65">
        <f>CV1395</f>
        <v>0</v>
      </c>
      <c r="CW1305" s="65">
        <f>CW1395</f>
        <v>0</v>
      </c>
      <c r="CX1305" s="65">
        <f>CW1305</f>
        <v>0</v>
      </c>
      <c r="CY1305" s="65"/>
      <c r="CZ1305" s="65">
        <f>CZ1395</f>
        <v>0</v>
      </c>
      <c r="DA1305" s="65">
        <f>DA1395</f>
        <v>0</v>
      </c>
      <c r="DB1305" s="65">
        <f>DA1305</f>
        <v>0</v>
      </c>
      <c r="DC1305" s="65"/>
      <c r="DD1305" s="65">
        <f>DD1395</f>
        <v>0</v>
      </c>
      <c r="DE1305" s="65">
        <f>DE1395</f>
        <v>0</v>
      </c>
      <c r="DF1305" s="65">
        <f>DE1305</f>
        <v>0</v>
      </c>
      <c r="DG1305" s="65"/>
      <c r="DH1305" s="65">
        <f>DH1395</f>
        <v>0</v>
      </c>
      <c r="DI1305" s="65">
        <f>DI1395</f>
        <v>0</v>
      </c>
      <c r="DJ1305" s="65">
        <f>DI1305</f>
        <v>0</v>
      </c>
      <c r="DK1305" s="65"/>
      <c r="DL1305" s="65">
        <f>DL1395</f>
        <v>0</v>
      </c>
      <c r="DM1305" s="65">
        <f>DM1395</f>
        <v>0</v>
      </c>
      <c r="DN1305" s="65">
        <f>DM1305</f>
        <v>0</v>
      </c>
      <c r="DO1305" s="65"/>
      <c r="DP1305" s="65">
        <f>DP1395</f>
        <v>0</v>
      </c>
      <c r="DQ1305" s="65">
        <f>DQ1395</f>
        <v>0</v>
      </c>
      <c r="DR1305" s="65">
        <f>DQ1305</f>
        <v>0</v>
      </c>
      <c r="DS1305" s="65"/>
      <c r="DT1305" s="65"/>
      <c r="DU1305" s="65"/>
      <c r="DV1305" s="65"/>
    </row>
    <row r="1306" spans="1:128" s="20" customFormat="1" ht="13.8">
      <c r="A1306" s="21" t="s">
        <v>691</v>
      </c>
      <c r="B1306" s="49"/>
      <c r="BH1306" s="72">
        <f>SUM(BH1302:BH1305)</f>
        <v>5365</v>
      </c>
      <c r="BI1306" s="72">
        <f>SUM(BI1302:BI1305)</f>
        <v>6401</v>
      </c>
      <c r="BJ1306" s="72">
        <f>SUM(BJ1302:BJ1305)</f>
        <v>6401</v>
      </c>
      <c r="BK1306" s="65"/>
      <c r="BL1306" s="72">
        <f>SUM(BL1302:BL1305)</f>
        <v>7279</v>
      </c>
      <c r="BM1306" s="72">
        <f>SUM(BM1302:BM1305)</f>
        <v>6825</v>
      </c>
      <c r="BN1306" s="72">
        <f>SUM(BN1302:BN1305)</f>
        <v>6825</v>
      </c>
      <c r="BO1306" s="65"/>
      <c r="BP1306" s="72">
        <f>SUM(BP1302:BP1305)</f>
        <v>7352</v>
      </c>
      <c r="BQ1306" s="72">
        <f>SUM(BQ1302:BQ1305)</f>
        <v>6958</v>
      </c>
      <c r="BR1306" s="72">
        <f>SUM(BR1302:BR1305)</f>
        <v>6958</v>
      </c>
      <c r="BS1306" s="65"/>
      <c r="BT1306" s="72">
        <f>SUM(BT1302:BT1305)</f>
        <v>6960</v>
      </c>
      <c r="BU1306" s="72">
        <f>SUM(BU1302:BU1305)</f>
        <v>9018</v>
      </c>
      <c r="BV1306" s="72">
        <f>SUM(BV1302:BV1305)</f>
        <v>9018</v>
      </c>
      <c r="BW1306" s="65"/>
      <c r="BX1306" s="72">
        <f>SUM(BX1302:BX1305)</f>
        <v>7874</v>
      </c>
      <c r="BY1306" s="72">
        <f>SUM(BY1302:BY1305)</f>
        <v>7988</v>
      </c>
      <c r="BZ1306" s="72">
        <f>SUM(BZ1302:BZ1305)</f>
        <v>7988</v>
      </c>
      <c r="CA1306" s="65"/>
      <c r="CB1306" s="72">
        <f>SUM(CB1302:CB1305)</f>
        <v>7418</v>
      </c>
      <c r="CC1306" s="72">
        <f>SUM(CC1302:CC1305)</f>
        <v>7527</v>
      </c>
      <c r="CD1306" s="72">
        <f>SUM(CD1302:CD1305)</f>
        <v>7527</v>
      </c>
      <c r="CE1306" s="65"/>
      <c r="CF1306" s="72">
        <f>SUM(CF1302:CF1305)</f>
        <v>7547</v>
      </c>
      <c r="CG1306" s="72">
        <f>SUM(CG1302:CG1305)</f>
        <v>7866</v>
      </c>
      <c r="CH1306" s="72">
        <f>SUM(CH1302:CH1305)</f>
        <v>7866</v>
      </c>
      <c r="CI1306" s="65"/>
      <c r="CJ1306" s="72">
        <f>SUM(CJ1302:CJ1305)</f>
        <v>7964</v>
      </c>
      <c r="CK1306" s="72">
        <f>SUM(CK1302:CK1305)</f>
        <v>7779</v>
      </c>
      <c r="CL1306" s="72">
        <f>SUM(CL1302:CL1305)</f>
        <v>7779</v>
      </c>
      <c r="CM1306" s="65"/>
      <c r="CN1306" s="72">
        <f>SUM(CN1302:CN1305)</f>
        <v>7645</v>
      </c>
      <c r="CO1306" s="72">
        <f>SUM(CO1302:CO1305)</f>
        <v>8114</v>
      </c>
      <c r="CP1306" s="72">
        <f>SUM(CP1302:CP1305)</f>
        <v>8114</v>
      </c>
      <c r="CQ1306" s="65"/>
      <c r="CR1306" s="72">
        <f>SUM(CR1302:CR1305)</f>
        <v>7490</v>
      </c>
      <c r="CS1306" s="72">
        <f>SUM(CS1302:CS1305)</f>
        <v>7686</v>
      </c>
      <c r="CT1306" s="72">
        <f>SUM(CT1302:CT1305)</f>
        <v>7686</v>
      </c>
      <c r="CU1306" s="65"/>
      <c r="CV1306" s="72">
        <f>SUM(CV1302:CV1305)</f>
        <v>8172</v>
      </c>
      <c r="CW1306" s="72">
        <f>SUM(CW1302:CW1305)</f>
        <v>8232</v>
      </c>
      <c r="CX1306" s="72">
        <f>SUM(CX1302:CX1305)</f>
        <v>8232</v>
      </c>
      <c r="CY1306" s="65"/>
      <c r="CZ1306" s="72">
        <f>SUM(CZ1302:CZ1305)</f>
        <v>8297</v>
      </c>
      <c r="DA1306" s="72">
        <f>SUM(DA1302:DA1305)</f>
        <v>8207</v>
      </c>
      <c r="DB1306" s="72">
        <f>SUM(DB1302:DB1305)</f>
        <v>8207</v>
      </c>
      <c r="DC1306" s="65"/>
      <c r="DD1306" s="72">
        <f>SUM(DD1302:DD1305)</f>
        <v>7443</v>
      </c>
      <c r="DE1306" s="72">
        <f>SUM(DE1302:DE1305)</f>
        <v>7357</v>
      </c>
      <c r="DF1306" s="72">
        <f>SUM(DF1302:DF1305)</f>
        <v>7357</v>
      </c>
      <c r="DG1306" s="65"/>
      <c r="DH1306" s="72">
        <f>SUM(DH1302:DH1305)</f>
        <v>7452</v>
      </c>
      <c r="DI1306" s="72">
        <f>SUM(DI1302:DI1305)</f>
        <v>7452</v>
      </c>
      <c r="DJ1306" s="72">
        <f>SUM(DJ1302:DJ1305)</f>
        <v>7452</v>
      </c>
      <c r="DK1306" s="65"/>
      <c r="DL1306" s="72">
        <f>SUM(DL1302:DL1305)</f>
        <v>7452</v>
      </c>
      <c r="DM1306" s="72">
        <f>SUM(DM1302:DM1305)</f>
        <v>7452</v>
      </c>
      <c r="DN1306" s="72">
        <f>SUM(DN1302:DN1305)</f>
        <v>7452</v>
      </c>
      <c r="DO1306" s="65"/>
      <c r="DP1306" s="72">
        <f>SUM(DP1302:DP1305)</f>
        <v>7452</v>
      </c>
      <c r="DQ1306" s="72">
        <f>SUM(DQ1302:DQ1305)</f>
        <v>7452</v>
      </c>
      <c r="DR1306" s="72">
        <f>SUM(DR1302:DR1305)</f>
        <v>7452</v>
      </c>
      <c r="DS1306" s="65"/>
      <c r="DT1306" s="65"/>
      <c r="DU1306" s="65"/>
      <c r="DV1306" s="65"/>
    </row>
    <row r="1307" spans="1:128" s="20" customFormat="1" ht="13.8">
      <c r="A1307" s="21" t="s">
        <v>160</v>
      </c>
      <c r="B1307" s="49"/>
      <c r="BH1307" s="72">
        <f>+BH1306+BH1301</f>
        <v>31740</v>
      </c>
      <c r="BI1307" s="72">
        <f>+BI1306+BI1301</f>
        <v>35180</v>
      </c>
      <c r="BJ1307" s="72">
        <f>+BJ1306+BJ1301</f>
        <v>35180</v>
      </c>
      <c r="BK1307" s="65"/>
      <c r="BL1307" s="72">
        <f>+BL1306+BL1301</f>
        <v>37299</v>
      </c>
      <c r="BM1307" s="72">
        <f>+BM1306+BM1301</f>
        <v>38601</v>
      </c>
      <c r="BN1307" s="72">
        <f>+BN1306+BN1301</f>
        <v>38601</v>
      </c>
      <c r="BO1307" s="65"/>
      <c r="BP1307" s="72">
        <f>+BP1306+BP1301</f>
        <v>41088</v>
      </c>
      <c r="BQ1307" s="72">
        <f>+BQ1306+BQ1301</f>
        <v>45484</v>
      </c>
      <c r="BR1307" s="72">
        <f>+BR1306+BR1301</f>
        <v>45484</v>
      </c>
      <c r="BS1307" s="65"/>
      <c r="BT1307" s="72">
        <f>+BT1306+BT1301</f>
        <v>45062</v>
      </c>
      <c r="BU1307" s="72">
        <f>+BU1306+BU1301</f>
        <v>48285</v>
      </c>
      <c r="BV1307" s="72">
        <f>+BV1306+BV1301</f>
        <v>48285</v>
      </c>
      <c r="BW1307" s="65"/>
      <c r="BX1307" s="72">
        <f>+BX1306+BX1301</f>
        <v>48091</v>
      </c>
      <c r="BY1307" s="72">
        <f>+BY1306+BY1301</f>
        <v>49324</v>
      </c>
      <c r="BZ1307" s="72">
        <f>+BZ1306+BZ1301</f>
        <v>49324</v>
      </c>
      <c r="CA1307" s="65"/>
      <c r="CB1307" s="72">
        <f>+CB1306+CB1301</f>
        <v>51125</v>
      </c>
      <c r="CC1307" s="72">
        <f>+CC1306+CC1301</f>
        <v>52218</v>
      </c>
      <c r="CD1307" s="72">
        <f>+CD1306+CD1301</f>
        <v>52218</v>
      </c>
      <c r="CE1307" s="65"/>
      <c r="CF1307" s="72">
        <f>+CF1306+CF1301</f>
        <v>53075</v>
      </c>
      <c r="CG1307" s="72">
        <f>+CG1306+CG1301</f>
        <v>55221</v>
      </c>
      <c r="CH1307" s="72">
        <f>+CH1306+CH1301</f>
        <v>55221</v>
      </c>
      <c r="CI1307" s="65"/>
      <c r="CJ1307" s="72">
        <f>+CJ1306+CJ1301</f>
        <v>56295</v>
      </c>
      <c r="CK1307" s="72">
        <f>+CK1306+CK1301</f>
        <v>56481</v>
      </c>
      <c r="CL1307" s="72">
        <f>+CL1306+CL1301</f>
        <v>56481</v>
      </c>
      <c r="CM1307" s="65"/>
      <c r="CN1307" s="72">
        <f>+CN1306+CN1301</f>
        <v>58431</v>
      </c>
      <c r="CO1307" s="72">
        <f>+CO1306+CO1301</f>
        <v>59473</v>
      </c>
      <c r="CP1307" s="72">
        <f>+CP1306+CP1301</f>
        <v>59473</v>
      </c>
      <c r="CQ1307" s="65"/>
      <c r="CR1307" s="72">
        <f>+CR1306+CR1301</f>
        <v>58001</v>
      </c>
      <c r="CS1307" s="72">
        <f>+CS1306+CS1301</f>
        <v>63558</v>
      </c>
      <c r="CT1307" s="72">
        <f>+CT1306+CT1301</f>
        <v>63558</v>
      </c>
      <c r="CU1307" s="65"/>
      <c r="CV1307" s="72">
        <f>+CV1306+CV1301</f>
        <v>65552</v>
      </c>
      <c r="CW1307" s="72">
        <f>+CW1306+CW1301</f>
        <v>66026</v>
      </c>
      <c r="CX1307" s="72">
        <f>+CX1306+CX1301</f>
        <v>66026</v>
      </c>
      <c r="CY1307" s="65"/>
      <c r="CZ1307" s="72">
        <f>+CZ1306+CZ1301</f>
        <v>66709</v>
      </c>
      <c r="DA1307" s="72">
        <f>+DA1306+DA1301</f>
        <v>62676</v>
      </c>
      <c r="DB1307" s="72">
        <f>+DB1306+DB1301</f>
        <v>62676</v>
      </c>
      <c r="DC1307" s="65"/>
      <c r="DD1307" s="72">
        <f>+DD1306+DD1301</f>
        <v>62672</v>
      </c>
      <c r="DE1307" s="72">
        <f>+DE1306+DE1301</f>
        <v>62541</v>
      </c>
      <c r="DF1307" s="72">
        <f>+DF1306+DF1301</f>
        <v>62541</v>
      </c>
      <c r="DG1307" s="65"/>
      <c r="DH1307" s="72">
        <f ca="1">+DH1306+DH1301</f>
        <v>65541.377840381232</v>
      </c>
      <c r="DI1307" s="72">
        <f ca="1">+DI1306+DI1301</f>
        <v>66683.745524052021</v>
      </c>
      <c r="DJ1307" s="72">
        <f ca="1">+DJ1306+DJ1301</f>
        <v>66683.745524052021</v>
      </c>
      <c r="DK1307" s="65"/>
      <c r="DL1307" s="72">
        <f ca="1">+DL1306+DL1301</f>
        <v>67918.808680109476</v>
      </c>
      <c r="DM1307" s="72">
        <f ca="1">+DM1306+DM1301</f>
        <v>68557.177994769154</v>
      </c>
      <c r="DN1307" s="72">
        <f ca="1">+DN1306+DN1301</f>
        <v>68557.177994769154</v>
      </c>
      <c r="DO1307" s="65"/>
      <c r="DP1307" s="72">
        <f ca="1">+DP1306+DP1301</f>
        <v>69372.766140175809</v>
      </c>
      <c r="DQ1307" s="72">
        <f ca="1">+DQ1306+DQ1301</f>
        <v>70196.437929616906</v>
      </c>
      <c r="DR1307" s="72">
        <f ca="1">+DR1306+DR1301</f>
        <v>70196.437929616906</v>
      </c>
      <c r="DS1307" s="65"/>
      <c r="DT1307" s="65"/>
      <c r="DU1307" s="65"/>
      <c r="DV1307" s="65"/>
    </row>
    <row r="1308" spans="1:128" s="20" customFormat="1" ht="13.8">
      <c r="A1308" s="20" t="s">
        <v>531</v>
      </c>
      <c r="B1308" s="49"/>
      <c r="BH1308" s="67">
        <v>6062</v>
      </c>
      <c r="BI1308" s="67">
        <v>6190</v>
      </c>
      <c r="BJ1308" s="65">
        <f>BI1308</f>
        <v>6190</v>
      </c>
      <c r="BK1308" s="65"/>
      <c r="BL1308" s="67">
        <v>6335</v>
      </c>
      <c r="BM1308" s="67">
        <v>7138</v>
      </c>
      <c r="BN1308" s="65">
        <f>BM1308</f>
        <v>7138</v>
      </c>
      <c r="BO1308" s="65"/>
      <c r="BP1308" s="67">
        <v>7716</v>
      </c>
      <c r="BQ1308" s="67">
        <v>7951</v>
      </c>
      <c r="BR1308" s="65">
        <f>BQ1308</f>
        <v>7951</v>
      </c>
      <c r="BS1308" s="65"/>
      <c r="BT1308" s="67">
        <v>8076</v>
      </c>
      <c r="BU1308" s="67">
        <v>10328</v>
      </c>
      <c r="BV1308" s="65">
        <f>BU1308</f>
        <v>10328</v>
      </c>
      <c r="BW1308" s="65"/>
      <c r="BX1308" s="67">
        <v>9648</v>
      </c>
      <c r="BY1308" s="67">
        <v>8669</v>
      </c>
      <c r="BZ1308" s="65">
        <f>BY1308</f>
        <v>8669</v>
      </c>
      <c r="CA1308" s="65"/>
      <c r="CB1308" s="67">
        <v>8040</v>
      </c>
      <c r="CC1308" s="67">
        <v>7291</v>
      </c>
      <c r="CD1308" s="65">
        <f>CC1308</f>
        <v>7291</v>
      </c>
      <c r="CE1308" s="65"/>
      <c r="CF1308" s="67">
        <v>7569</v>
      </c>
      <c r="CG1308" s="67">
        <v>8549</v>
      </c>
      <c r="CH1308" s="65">
        <f>CG1308</f>
        <v>8549</v>
      </c>
      <c r="CI1308" s="65"/>
      <c r="CJ1308" s="67">
        <v>13112</v>
      </c>
      <c r="CK1308" s="67">
        <v>13957</v>
      </c>
      <c r="CL1308" s="65">
        <f>CK1308</f>
        <v>13957</v>
      </c>
      <c r="CM1308" s="65"/>
      <c r="CN1308" s="67">
        <v>16464</v>
      </c>
      <c r="CO1308" s="67">
        <v>17125</v>
      </c>
      <c r="CP1308" s="65">
        <f>CO1308</f>
        <v>17125</v>
      </c>
      <c r="CQ1308" s="65"/>
      <c r="CR1308" s="67">
        <v>14780</v>
      </c>
      <c r="CS1308" s="67">
        <v>19277</v>
      </c>
      <c r="CT1308" s="65">
        <f>CS1308</f>
        <v>19277</v>
      </c>
      <c r="CU1308" s="65"/>
      <c r="CV1308" s="67">
        <v>24068</v>
      </c>
      <c r="CW1308" s="67">
        <v>24959</v>
      </c>
      <c r="CX1308" s="65">
        <f>CW1308</f>
        <v>24959</v>
      </c>
      <c r="CY1308" s="65"/>
      <c r="CZ1308" s="67">
        <v>28223</v>
      </c>
      <c r="DA1308" s="67">
        <v>29189</v>
      </c>
      <c r="DB1308" s="65">
        <f>DA1308</f>
        <v>29189</v>
      </c>
      <c r="DC1308" s="65"/>
      <c r="DD1308" s="67">
        <v>32831</v>
      </c>
      <c r="DE1308" s="67">
        <v>33810</v>
      </c>
      <c r="DF1308" s="65">
        <f>DE1308</f>
        <v>33810</v>
      </c>
      <c r="DG1308" s="65"/>
      <c r="DH1308" s="65">
        <f ca="1">DH1255*DH1407</f>
        <v>34474.970120930928</v>
      </c>
      <c r="DI1308" s="65">
        <f ca="1">DI1255*DI1407</f>
        <v>35174.868807250365</v>
      </c>
      <c r="DJ1308" s="65">
        <f ca="1">DI1308</f>
        <v>35174.868807250365</v>
      </c>
      <c r="DK1308" s="65"/>
      <c r="DL1308" s="65">
        <f ca="1">DL1255*DL1407</f>
        <v>35691.508124564207</v>
      </c>
      <c r="DM1308" s="65">
        <f ca="1">DM1255*DM1407</f>
        <v>36342.273669400922</v>
      </c>
      <c r="DN1308" s="65">
        <f ca="1">DM1308</f>
        <v>36342.273669400922</v>
      </c>
      <c r="DO1308" s="65"/>
      <c r="DP1308" s="65">
        <f ca="1">DP1255*DP1407</f>
        <v>37187.166322161254</v>
      </c>
      <c r="DQ1308" s="65">
        <f ca="1">DQ1255*DQ1407</f>
        <v>37808.179133253463</v>
      </c>
      <c r="DR1308" s="65">
        <f ca="1">DQ1308</f>
        <v>37808.179133253463</v>
      </c>
      <c r="DS1308" s="65"/>
      <c r="DT1308" s="65"/>
      <c r="DU1308" s="65"/>
      <c r="DV1308" s="65"/>
    </row>
    <row r="1309" spans="1:128" s="20" customFormat="1" ht="13.8">
      <c r="B1309" s="49"/>
      <c r="BH1309" s="65"/>
      <c r="BI1309" s="67"/>
      <c r="BJ1309" s="65"/>
      <c r="BK1309" s="65"/>
      <c r="BL1309" s="65"/>
      <c r="BM1309" s="67"/>
      <c r="BN1309" s="65">
        <f>(BN1307+BN1308)/1000</f>
        <v>45.738999999999997</v>
      </c>
      <c r="BO1309" s="65"/>
      <c r="BP1309" s="65"/>
      <c r="BQ1309" s="67"/>
      <c r="BR1309" s="65">
        <f>(BR1307+BR1308)/1000</f>
        <v>53.435000000000002</v>
      </c>
      <c r="BS1309" s="65"/>
      <c r="BT1309" s="65"/>
      <c r="BU1309" s="65"/>
      <c r="BV1309" s="65"/>
      <c r="BW1309" s="65"/>
      <c r="BX1309" s="65"/>
      <c r="BY1309" s="65"/>
      <c r="BZ1309" s="65"/>
      <c r="CA1309" s="65"/>
      <c r="CB1309" s="65"/>
      <c r="CC1309" s="65"/>
      <c r="CD1309" s="65"/>
      <c r="CE1309" s="65"/>
      <c r="CF1309" s="65"/>
      <c r="CG1309" s="65"/>
      <c r="CH1309" s="65"/>
      <c r="CI1309" s="65"/>
      <c r="CJ1309" s="65"/>
      <c r="CK1309" s="65"/>
      <c r="CL1309" s="65"/>
      <c r="CM1309" s="65"/>
      <c r="CN1309" s="65"/>
      <c r="CO1309" s="65"/>
      <c r="CP1309" s="65"/>
      <c r="CQ1309" s="65"/>
      <c r="CR1309" s="65"/>
      <c r="CS1309" s="65"/>
      <c r="CT1309" s="65"/>
      <c r="CU1309" s="65"/>
      <c r="CV1309" s="65"/>
      <c r="CW1309" s="65"/>
      <c r="CX1309" s="65"/>
      <c r="CY1309" s="65"/>
      <c r="CZ1309" s="65"/>
      <c r="DA1309" s="65"/>
      <c r="DB1309" s="65"/>
      <c r="DC1309" s="65"/>
      <c r="DD1309" s="65"/>
      <c r="DE1309" s="65"/>
      <c r="DF1309" s="65"/>
      <c r="DG1309" s="65"/>
      <c r="DH1309" s="65"/>
      <c r="DI1309" s="65"/>
      <c r="DJ1309" s="65"/>
      <c r="DK1309" s="65"/>
      <c r="DL1309" s="65"/>
      <c r="DM1309" s="65"/>
      <c r="DN1309" s="65"/>
      <c r="DO1309" s="65"/>
      <c r="DP1309" s="65"/>
      <c r="DQ1309" s="65"/>
      <c r="DR1309" s="65"/>
      <c r="DS1309" s="65"/>
      <c r="DT1309" s="65"/>
      <c r="DU1309" s="65"/>
      <c r="DV1309" s="65"/>
    </row>
    <row r="1310" spans="1:128" s="20" customFormat="1" ht="13.8">
      <c r="A1310" s="20" t="s">
        <v>633</v>
      </c>
      <c r="B1310" s="49"/>
      <c r="BH1310" s="65">
        <f>BH1282</f>
        <v>253</v>
      </c>
      <c r="BI1310" s="65">
        <f>BI1282</f>
        <v>273</v>
      </c>
      <c r="BJ1310" s="65">
        <f>BI1310</f>
        <v>273</v>
      </c>
      <c r="BK1310" s="65"/>
      <c r="BL1310" s="65">
        <f>BL1282</f>
        <v>275</v>
      </c>
      <c r="BM1310" s="65">
        <f>BM1282</f>
        <v>249</v>
      </c>
      <c r="BN1310" s="65">
        <f>BM1310</f>
        <v>249</v>
      </c>
      <c r="BO1310" s="65"/>
      <c r="BP1310" s="65">
        <f>BP1282</f>
        <v>287</v>
      </c>
      <c r="BQ1310" s="65">
        <f>BQ1282</f>
        <v>242</v>
      </c>
      <c r="BR1310" s="65">
        <f>BQ1310</f>
        <v>242</v>
      </c>
      <c r="BS1310" s="65"/>
      <c r="BT1310" s="65">
        <f>BT1282</f>
        <v>254</v>
      </c>
      <c r="BU1310" s="65">
        <f>BU1282</f>
        <v>395</v>
      </c>
      <c r="BV1310" s="65">
        <f>BU1310</f>
        <v>395</v>
      </c>
      <c r="BW1310" s="65"/>
      <c r="BX1310" s="65">
        <f>BX1282</f>
        <v>324</v>
      </c>
      <c r="BY1310" s="65">
        <f>BY1282</f>
        <v>326</v>
      </c>
      <c r="BZ1310" s="65">
        <f>BY1310</f>
        <v>326</v>
      </c>
      <c r="CA1310" s="65"/>
      <c r="CB1310" s="65">
        <f>CB1282</f>
        <v>306</v>
      </c>
      <c r="CC1310" s="65">
        <f>CC1282</f>
        <v>328</v>
      </c>
      <c r="CD1310" s="65">
        <f>CC1310</f>
        <v>328</v>
      </c>
      <c r="CE1310" s="65"/>
      <c r="CF1310" s="65">
        <f>CF1282</f>
        <v>328</v>
      </c>
      <c r="CG1310" s="65">
        <f>CG1282</f>
        <v>0</v>
      </c>
      <c r="CH1310" s="65">
        <f>CG1310</f>
        <v>0</v>
      </c>
      <c r="CI1310" s="65"/>
      <c r="CJ1310" s="65">
        <f>CJ1282</f>
        <v>0</v>
      </c>
      <c r="CK1310" s="65">
        <f>CK1282</f>
        <v>0</v>
      </c>
      <c r="CL1310" s="65">
        <f>CK1310</f>
        <v>0</v>
      </c>
      <c r="CM1310" s="65"/>
      <c r="CN1310" s="65">
        <f>CN1282</f>
        <v>0</v>
      </c>
      <c r="CO1310" s="65">
        <f>CO1282</f>
        <v>0</v>
      </c>
      <c r="CP1310" s="65">
        <f>CO1310</f>
        <v>0</v>
      </c>
      <c r="CQ1310" s="65"/>
      <c r="CR1310" s="65">
        <f>CR1282</f>
        <v>0</v>
      </c>
      <c r="CS1310" s="65">
        <f>CS1282</f>
        <v>0</v>
      </c>
      <c r="CT1310" s="65">
        <f>CS1310</f>
        <v>0</v>
      </c>
      <c r="CU1310" s="65"/>
      <c r="CV1310" s="65">
        <f>CV1282</f>
        <v>0</v>
      </c>
      <c r="CW1310" s="65">
        <f>CW1282</f>
        <v>0</v>
      </c>
      <c r="CX1310" s="65">
        <f>CW1310</f>
        <v>0</v>
      </c>
      <c r="CY1310" s="65"/>
      <c r="CZ1310" s="65">
        <f>CZ1282</f>
        <v>0</v>
      </c>
      <c r="DA1310" s="65">
        <f>DA1282</f>
        <v>0</v>
      </c>
      <c r="DB1310" s="65">
        <f>DA1310</f>
        <v>0</v>
      </c>
      <c r="DC1310" s="65"/>
      <c r="DD1310" s="65">
        <f>DD1282</f>
        <v>0</v>
      </c>
      <c r="DE1310" s="65">
        <f>DE1282</f>
        <v>0</v>
      </c>
      <c r="DF1310" s="65">
        <f>DE1310</f>
        <v>0</v>
      </c>
      <c r="DG1310" s="65"/>
      <c r="DH1310" s="65">
        <f>+DH1311*DH1312</f>
        <v>0</v>
      </c>
      <c r="DI1310" s="65">
        <f ca="1">+DI1311*DI1312</f>
        <v>0</v>
      </c>
      <c r="DJ1310" s="65">
        <f ca="1">DI1310</f>
        <v>0</v>
      </c>
      <c r="DK1310" s="65"/>
      <c r="DL1310" s="65">
        <f ca="1">+DL1311*DL1312</f>
        <v>0</v>
      </c>
      <c r="DM1310" s="65">
        <f ca="1">+DM1311*DM1312</f>
        <v>0</v>
      </c>
      <c r="DN1310" s="65">
        <f ca="1">DM1310</f>
        <v>0</v>
      </c>
      <c r="DO1310" s="65"/>
      <c r="DP1310" s="65">
        <f ca="1">+DP1311*DP1312</f>
        <v>0</v>
      </c>
      <c r="DQ1310" s="65">
        <f ca="1">+DQ1311*DQ1312</f>
        <v>0</v>
      </c>
      <c r="DR1310" s="65">
        <f ca="1">DQ1310</f>
        <v>0</v>
      </c>
      <c r="DS1310" s="65"/>
      <c r="DT1310" s="65"/>
      <c r="DU1310" s="65"/>
      <c r="DV1310" s="65"/>
    </row>
    <row r="1311" spans="1:128" s="20" customFormat="1" ht="13.8">
      <c r="A1311" s="20" t="s">
        <v>519</v>
      </c>
      <c r="B1311" s="49"/>
      <c r="BH1311" s="65">
        <f>BH1065</f>
        <v>23589</v>
      </c>
      <c r="BI1311" s="65">
        <f>BI1065</f>
        <v>23641</v>
      </c>
      <c r="BJ1311" s="65">
        <f>BJ1065</f>
        <v>23641</v>
      </c>
      <c r="BK1311" s="65"/>
      <c r="BL1311" s="65">
        <f>BL1065</f>
        <v>23529</v>
      </c>
      <c r="BM1311" s="65">
        <f>BM1065</f>
        <v>24031</v>
      </c>
      <c r="BN1311" s="65">
        <f>BN1065</f>
        <v>24031</v>
      </c>
      <c r="BO1311" s="65"/>
      <c r="BP1311" s="65">
        <f>BP1065</f>
        <v>24152</v>
      </c>
      <c r="BQ1311" s="65">
        <f>BQ1065</f>
        <v>28367</v>
      </c>
      <c r="BR1311" s="65">
        <f>BR1065</f>
        <v>28367</v>
      </c>
      <c r="BS1311" s="65"/>
      <c r="BT1311" s="65">
        <f>BT1065</f>
        <v>28625</v>
      </c>
      <c r="BU1311" s="65">
        <f>BU1065</f>
        <v>28765</v>
      </c>
      <c r="BV1311" s="65">
        <f>BV1065</f>
        <v>28765</v>
      </c>
      <c r="BW1311" s="65"/>
      <c r="BX1311" s="65">
        <f>BX1065</f>
        <v>29036</v>
      </c>
      <c r="BY1311" s="65">
        <f>BY1065</f>
        <v>29088</v>
      </c>
      <c r="BZ1311" s="65">
        <f>BZ1065</f>
        <v>29088</v>
      </c>
      <c r="CA1311" s="65"/>
      <c r="CB1311" s="65">
        <f>CB1065</f>
        <v>27933</v>
      </c>
      <c r="CC1311" s="65">
        <f>CC1065</f>
        <v>27205</v>
      </c>
      <c r="CD1311" s="65">
        <f>CD1065</f>
        <v>27205</v>
      </c>
      <c r="CE1311" s="65"/>
      <c r="CF1311" s="65">
        <f>CF1065</f>
        <v>26048</v>
      </c>
      <c r="CG1311" s="65">
        <f>CG1065</f>
        <v>26490</v>
      </c>
      <c r="CH1311" s="65">
        <f>CH1065</f>
        <v>26490</v>
      </c>
      <c r="CI1311" s="65"/>
      <c r="CJ1311" s="65">
        <f>CJ1065</f>
        <v>26440</v>
      </c>
      <c r="CK1311" s="65">
        <f>CK1065</f>
        <v>26531</v>
      </c>
      <c r="CL1311" s="65">
        <f>CL1065</f>
        <v>26531</v>
      </c>
      <c r="CM1311" s="65"/>
      <c r="CN1311" s="65">
        <f>CN1065</f>
        <v>26615</v>
      </c>
      <c r="CO1311" s="65">
        <f>CO1065</f>
        <v>25984</v>
      </c>
      <c r="CP1311" s="65">
        <f>CP1065</f>
        <v>25984</v>
      </c>
      <c r="CQ1311" s="65"/>
      <c r="CR1311" s="65">
        <f>CR1065</f>
        <v>25091</v>
      </c>
      <c r="CS1311" s="65">
        <f>CS1065</f>
        <v>28797</v>
      </c>
      <c r="CT1311" s="65">
        <f>CT1065</f>
        <v>28797</v>
      </c>
      <c r="CU1311" s="65"/>
      <c r="CV1311" s="65">
        <f>CV1065</f>
        <v>29054</v>
      </c>
      <c r="CW1311" s="65">
        <f>CW1065</f>
        <v>29082</v>
      </c>
      <c r="CX1311" s="65">
        <f>CX1065</f>
        <v>29082</v>
      </c>
      <c r="CY1311" s="65"/>
      <c r="CZ1311" s="65">
        <f>CZ1065</f>
        <v>29033</v>
      </c>
      <c r="DA1311" s="65">
        <f>DA1065</f>
        <v>28182</v>
      </c>
      <c r="DB1311" s="65">
        <f>DB1065</f>
        <v>28182</v>
      </c>
      <c r="DC1311" s="65"/>
      <c r="DD1311" s="65">
        <f>DD1065</f>
        <v>27860</v>
      </c>
      <c r="DE1311" s="65">
        <f>DE1065</f>
        <v>28191</v>
      </c>
      <c r="DF1311" s="65">
        <f>DF1065</f>
        <v>28191</v>
      </c>
      <c r="DG1311" s="65"/>
      <c r="DH1311" s="65">
        <f>DH1065</f>
        <v>28962.087524819999</v>
      </c>
      <c r="DI1311" s="65">
        <f ca="1">DI1065</f>
        <v>28991.049612344817</v>
      </c>
      <c r="DJ1311" s="65">
        <f ca="1">DJ1065</f>
        <v>28991.049612344821</v>
      </c>
      <c r="DK1311" s="65"/>
      <c r="DL1311" s="65">
        <f ca="1">DL1065</f>
        <v>29020.040661957162</v>
      </c>
      <c r="DM1311" s="65">
        <f ca="1">DM1065</f>
        <v>28533.688814196255</v>
      </c>
      <c r="DN1311" s="65">
        <f ca="1">DN1065</f>
        <v>28533.688814196255</v>
      </c>
      <c r="DO1311" s="65"/>
      <c r="DP1311" s="65">
        <f ca="1">DP1065</f>
        <v>28082.622426217698</v>
      </c>
      <c r="DQ1311" s="65">
        <f ca="1">DQ1065</f>
        <v>27569.298113075227</v>
      </c>
      <c r="DR1311" s="65">
        <f ca="1">DR1065</f>
        <v>27569.298113075227</v>
      </c>
      <c r="DS1311" s="65"/>
      <c r="DT1311" s="65"/>
      <c r="DU1311" s="65"/>
      <c r="DV1311" s="65"/>
    </row>
    <row r="1312" spans="1:128" s="335" customFormat="1" ht="13.8">
      <c r="A1312" s="335" t="s">
        <v>692</v>
      </c>
      <c r="B1312" s="336"/>
      <c r="BH1312" s="345">
        <f>+BH1310/BH1311</f>
        <v>1.0725338081309085E-2</v>
      </c>
      <c r="BI1312" s="345">
        <f>+BI1310/BI1311</f>
        <v>1.1547734867391397E-2</v>
      </c>
      <c r="BJ1312" s="345">
        <f>+BJ1310/BJ1311</f>
        <v>1.1547734867391397E-2</v>
      </c>
      <c r="BK1312" s="380"/>
      <c r="BL1312" s="345">
        <f>+BL1310/BL1311</f>
        <v>1.168770453482936E-2</v>
      </c>
      <c r="BM1312" s="345">
        <f>+BM1310/BM1311</f>
        <v>1.0361616245682661E-2</v>
      </c>
      <c r="BN1312" s="345">
        <f>+BN1310/BN1311</f>
        <v>1.0361616245682661E-2</v>
      </c>
      <c r="BO1312" s="380"/>
      <c r="BP1312" s="345">
        <f>+BP1310/BP1311</f>
        <v>1.1883073865518384E-2</v>
      </c>
      <c r="BQ1312" s="345">
        <f>+BQ1310/BQ1311</f>
        <v>8.5310395882539566E-3</v>
      </c>
      <c r="BR1312" s="345">
        <f>+BR1310/BR1311</f>
        <v>8.5310395882539566E-3</v>
      </c>
      <c r="BS1312" s="380"/>
      <c r="BT1312" s="345">
        <f>+BT1310/BT1311</f>
        <v>8.8733624454148466E-3</v>
      </c>
      <c r="BU1312" s="345">
        <f>+BU1310/BU1311</f>
        <v>1.3731965930818704E-2</v>
      </c>
      <c r="BV1312" s="345">
        <f>+BV1310/BV1311</f>
        <v>1.3731965930818704E-2</v>
      </c>
      <c r="BW1312" s="380"/>
      <c r="BX1312" s="345">
        <f>+BX1310/BX1311</f>
        <v>1.1158561785369886E-2</v>
      </c>
      <c r="BY1312" s="345">
        <f>+BY1310/BY1311</f>
        <v>1.1207370737073707E-2</v>
      </c>
      <c r="BZ1312" s="345">
        <f>+BZ1310/BZ1311</f>
        <v>1.1207370737073707E-2</v>
      </c>
      <c r="CA1312" s="380"/>
      <c r="CB1312" s="345">
        <f>+CB1310/CB1311</f>
        <v>1.0954784663301471E-2</v>
      </c>
      <c r="CC1312" s="345">
        <f>+CC1310/CC1311</f>
        <v>1.2056607241315935E-2</v>
      </c>
      <c r="CD1312" s="345">
        <f>+CD1310/CD1311</f>
        <v>1.2056607241315935E-2</v>
      </c>
      <c r="CE1312" s="380"/>
      <c r="CF1312" s="345">
        <f>+CF1310/CF1311</f>
        <v>1.2592137592137592E-2</v>
      </c>
      <c r="CG1312" s="345">
        <f>+CG1310/CG1311</f>
        <v>0</v>
      </c>
      <c r="CH1312" s="345">
        <f>+CH1310/CH1311</f>
        <v>0</v>
      </c>
      <c r="CI1312" s="380"/>
      <c r="CJ1312" s="345">
        <f>+CJ1310/CJ1311</f>
        <v>0</v>
      </c>
      <c r="CK1312" s="345">
        <f>+CK1310/CK1311</f>
        <v>0</v>
      </c>
      <c r="CL1312" s="345">
        <f>+CL1310/CL1311</f>
        <v>0</v>
      </c>
      <c r="CM1312" s="380"/>
      <c r="CN1312" s="345">
        <f>+CN1310/CN1311</f>
        <v>0</v>
      </c>
      <c r="CO1312" s="345">
        <f>+CO1310/CO1311</f>
        <v>0</v>
      </c>
      <c r="CP1312" s="345">
        <f>+CP1310/CP1311</f>
        <v>0</v>
      </c>
      <c r="CQ1312" s="380"/>
      <c r="CR1312" s="345">
        <f>+CR1310/CR1311</f>
        <v>0</v>
      </c>
      <c r="CS1312" s="345">
        <f>+CS1310/CS1311</f>
        <v>0</v>
      </c>
      <c r="CT1312" s="345">
        <f>+CT1310/CT1311</f>
        <v>0</v>
      </c>
      <c r="CU1312" s="380"/>
      <c r="CV1312" s="345">
        <f>+CV1310/CV1311</f>
        <v>0</v>
      </c>
      <c r="CW1312" s="345">
        <f>+CW1310/CW1311</f>
        <v>0</v>
      </c>
      <c r="CX1312" s="345">
        <f>+CX1310/CX1311</f>
        <v>0</v>
      </c>
      <c r="CY1312" s="380"/>
      <c r="CZ1312" s="345">
        <f>+CZ1310/CZ1311</f>
        <v>0</v>
      </c>
      <c r="DA1312" s="345">
        <f>+DA1310/DA1311</f>
        <v>0</v>
      </c>
      <c r="DB1312" s="345">
        <f>+DB1310/DB1311</f>
        <v>0</v>
      </c>
      <c r="DC1312" s="380"/>
      <c r="DD1312" s="345">
        <f>+DD1310/DD1311</f>
        <v>0</v>
      </c>
      <c r="DE1312" s="345">
        <f>+DE1310/DE1311</f>
        <v>0</v>
      </c>
      <c r="DF1312" s="345">
        <f>+DF1310/DF1311</f>
        <v>0</v>
      </c>
      <c r="DG1312" s="380"/>
      <c r="DH1312" s="346">
        <f>DE1312</f>
        <v>0</v>
      </c>
      <c r="DI1312" s="346">
        <f>DH1312</f>
        <v>0</v>
      </c>
      <c r="DJ1312" s="345">
        <f ca="1">+DJ1310/DJ1311</f>
        <v>0</v>
      </c>
      <c r="DK1312" s="380"/>
      <c r="DL1312" s="346">
        <f>DI1312</f>
        <v>0</v>
      </c>
      <c r="DM1312" s="346">
        <f>DL1312</f>
        <v>0</v>
      </c>
      <c r="DN1312" s="345">
        <f ca="1">+DN1310/DN1311</f>
        <v>0</v>
      </c>
      <c r="DO1312" s="380"/>
      <c r="DP1312" s="346">
        <f>DM1312</f>
        <v>0</v>
      </c>
      <c r="DQ1312" s="346">
        <f>DP1312</f>
        <v>0</v>
      </c>
      <c r="DR1312" s="345">
        <f ca="1">+DR1310/DR1311</f>
        <v>0</v>
      </c>
      <c r="DS1312" s="380"/>
      <c r="DT1312" s="380"/>
      <c r="DU1312" s="380"/>
      <c r="DV1312" s="380"/>
      <c r="DW1312" s="20"/>
      <c r="DX1312" s="20"/>
    </row>
    <row r="1313" spans="1:128" s="20" customFormat="1" ht="13.8">
      <c r="A1313" s="21"/>
      <c r="B1313" s="49"/>
      <c r="BH1313" s="65"/>
      <c r="BI1313" s="65"/>
      <c r="BJ1313" s="65"/>
      <c r="BK1313" s="65"/>
      <c r="BL1313" s="65"/>
      <c r="BM1313" s="65"/>
      <c r="BN1313" s="65"/>
      <c r="BO1313" s="65"/>
      <c r="BP1313" s="65"/>
      <c r="BQ1313" s="65"/>
      <c r="BR1313" s="65"/>
      <c r="BS1313" s="65"/>
      <c r="BT1313" s="65"/>
      <c r="BU1313" s="65"/>
      <c r="BV1313" s="65"/>
      <c r="BW1313" s="65"/>
      <c r="BX1313" s="65"/>
      <c r="BY1313" s="65"/>
      <c r="BZ1313" s="65"/>
      <c r="CA1313" s="65"/>
      <c r="CB1313" s="65"/>
      <c r="CC1313" s="65"/>
      <c r="CD1313" s="65"/>
      <c r="CE1313" s="65"/>
      <c r="CF1313" s="65"/>
      <c r="CG1313" s="65"/>
      <c r="CH1313" s="65"/>
      <c r="CI1313" s="65"/>
      <c r="CJ1313" s="65"/>
      <c r="CK1313" s="65"/>
      <c r="CL1313" s="65"/>
      <c r="CM1313" s="65"/>
      <c r="CN1313" s="65"/>
      <c r="CO1313" s="65"/>
      <c r="CP1313" s="65"/>
      <c r="CQ1313" s="65"/>
      <c r="CR1313" s="65"/>
      <c r="CS1313" s="65"/>
      <c r="CT1313" s="65"/>
      <c r="CU1313" s="65"/>
      <c r="CV1313" s="65"/>
      <c r="CW1313" s="65"/>
      <c r="CX1313" s="65"/>
      <c r="CY1313" s="65"/>
      <c r="CZ1313" s="65"/>
      <c r="DA1313" s="65"/>
      <c r="DB1313" s="65"/>
      <c r="DC1313" s="65"/>
      <c r="DD1313" s="65"/>
      <c r="DE1313" s="65"/>
      <c r="DF1313" s="65"/>
      <c r="DG1313" s="65"/>
      <c r="DH1313" s="65"/>
      <c r="DI1313" s="65"/>
      <c r="DJ1313" s="65"/>
      <c r="DK1313" s="65"/>
      <c r="DL1313" s="65"/>
      <c r="DM1313" s="65"/>
      <c r="DN1313" s="65"/>
      <c r="DO1313" s="65"/>
      <c r="DP1313" s="65"/>
      <c r="DQ1313" s="65"/>
      <c r="DR1313" s="65"/>
      <c r="DS1313" s="65"/>
      <c r="DT1313" s="65"/>
      <c r="DU1313" s="65"/>
      <c r="DV1313" s="65"/>
    </row>
    <row r="1314" spans="1:128" s="20" customFormat="1" ht="13.8">
      <c r="A1314" s="20" t="s">
        <v>693</v>
      </c>
      <c r="B1314" s="49"/>
      <c r="BH1314" s="65">
        <f>+BH399</f>
        <v>7142</v>
      </c>
      <c r="BI1314" s="65">
        <f>+BI399</f>
        <v>7690</v>
      </c>
      <c r="BJ1314" s="65">
        <f>+BJ399</f>
        <v>7690</v>
      </c>
      <c r="BK1314" s="65"/>
      <c r="BL1314" s="65">
        <f>+BL399</f>
        <v>7969</v>
      </c>
      <c r="BM1314" s="65">
        <f>+BM399</f>
        <v>7950</v>
      </c>
      <c r="BN1314" s="65">
        <f>+BN399</f>
        <v>7950</v>
      </c>
      <c r="BO1314" s="65"/>
      <c r="BP1314" s="65">
        <f>+BP399</f>
        <v>8384</v>
      </c>
      <c r="BQ1314" s="65">
        <f>+BQ399</f>
        <v>8312</v>
      </c>
      <c r="BR1314" s="65">
        <f>+BR399</f>
        <v>8312</v>
      </c>
      <c r="BS1314" s="65"/>
      <c r="BT1314" s="65">
        <f>+BT399</f>
        <v>7585</v>
      </c>
      <c r="BU1314" s="65">
        <f>+BU399</f>
        <v>7672</v>
      </c>
      <c r="BV1314" s="65">
        <f>+BV399</f>
        <v>7672</v>
      </c>
      <c r="BW1314" s="65"/>
      <c r="BX1314" s="65">
        <f>+BX399</f>
        <v>7053</v>
      </c>
      <c r="BY1314" s="65">
        <f>+BY399</f>
        <v>6970</v>
      </c>
      <c r="BZ1314" s="65">
        <f>+BZ399</f>
        <v>6970</v>
      </c>
      <c r="CA1314" s="65"/>
      <c r="CB1314" s="65">
        <f>+CB399</f>
        <v>5338</v>
      </c>
      <c r="CC1314" s="65">
        <f>+CC399</f>
        <v>4930</v>
      </c>
      <c r="CD1314" s="65">
        <f>+CD399</f>
        <v>4930</v>
      </c>
      <c r="CE1314" s="65"/>
      <c r="CF1314" s="65">
        <f>+CF399</f>
        <v>5017</v>
      </c>
      <c r="CG1314" s="65">
        <f>+CG399</f>
        <v>4861</v>
      </c>
      <c r="CH1314" s="65">
        <f>+CH399</f>
        <v>4861</v>
      </c>
      <c r="CI1314" s="65"/>
      <c r="CJ1314" s="65">
        <f>+CJ399</f>
        <v>4957</v>
      </c>
      <c r="CK1314" s="65">
        <f>+CK399</f>
        <v>4379</v>
      </c>
      <c r="CL1314" s="65">
        <f>+CL399</f>
        <v>4379</v>
      </c>
      <c r="CM1314" s="65"/>
      <c r="CN1314" s="65">
        <f>+CN399</f>
        <v>4024</v>
      </c>
      <c r="CO1314" s="65">
        <f>+CO399</f>
        <v>4124</v>
      </c>
      <c r="CP1314" s="65">
        <f>+CP399</f>
        <v>4124</v>
      </c>
      <c r="CQ1314" s="65"/>
      <c r="CR1314" s="65">
        <f>+CR399</f>
        <v>4068</v>
      </c>
      <c r="CS1314" s="65">
        <f>+CS399</f>
        <v>3877</v>
      </c>
      <c r="CT1314" s="65">
        <f>+CT399</f>
        <v>3877</v>
      </c>
      <c r="CU1314" s="65"/>
      <c r="CV1314" s="65">
        <f>+CV399</f>
        <v>4037</v>
      </c>
      <c r="CW1314" s="65">
        <f>+CW399</f>
        <v>4058</v>
      </c>
      <c r="CX1314" s="65">
        <f>+CX399</f>
        <v>4058</v>
      </c>
      <c r="CY1314" s="65"/>
      <c r="CZ1314" s="65">
        <f>+CZ399</f>
        <v>3998</v>
      </c>
      <c r="DA1314" s="65">
        <f>+DA399</f>
        <v>5511</v>
      </c>
      <c r="DB1314" s="65">
        <f>+DB399</f>
        <v>5511</v>
      </c>
      <c r="DC1314" s="65"/>
      <c r="DD1314" s="65">
        <f>+DD399</f>
        <v>5865</v>
      </c>
      <c r="DE1314" s="65">
        <f>+DE399</f>
        <v>5765</v>
      </c>
      <c r="DF1314" s="65">
        <f>+DF399</f>
        <v>5765</v>
      </c>
      <c r="DG1314" s="65"/>
      <c r="DH1314" s="65">
        <f>+DH399</f>
        <v>5713.4903129657232</v>
      </c>
      <c r="DI1314" s="65">
        <f>+DI399</f>
        <v>5692.1815591264176</v>
      </c>
      <c r="DJ1314" s="65">
        <f>+DJ399</f>
        <v>5692.1815591264176</v>
      </c>
      <c r="DK1314" s="65"/>
      <c r="DL1314" s="65">
        <f>+DL399</f>
        <v>5655.1415076358226</v>
      </c>
      <c r="DM1314" s="65">
        <f>+DM399</f>
        <v>5645.4908567595348</v>
      </c>
      <c r="DN1314" s="65">
        <f>+DN399</f>
        <v>5645.4908567595348</v>
      </c>
      <c r="DO1314" s="65"/>
      <c r="DP1314" s="65">
        <f>+DP399</f>
        <v>5617.2485238371401</v>
      </c>
      <c r="DQ1314" s="65">
        <f>+DQ399</f>
        <v>5615.6335971242042</v>
      </c>
      <c r="DR1314" s="65">
        <f>+DR399</f>
        <v>5615.6335971242042</v>
      </c>
      <c r="DS1314" s="65"/>
      <c r="DT1314" s="65"/>
      <c r="DU1314" s="65"/>
      <c r="DV1314" s="65"/>
    </row>
    <row r="1315" spans="1:128" s="20" customFormat="1" ht="13.8">
      <c r="A1315" s="20" t="s">
        <v>694</v>
      </c>
      <c r="B1315" s="49"/>
      <c r="BH1315" s="65">
        <f>+BH397</f>
        <v>1857</v>
      </c>
      <c r="BI1315" s="65">
        <f>+BI397</f>
        <v>2170</v>
      </c>
      <c r="BJ1315" s="65">
        <f>+BJ397</f>
        <v>2170</v>
      </c>
      <c r="BK1315" s="65"/>
      <c r="BL1315" s="65">
        <f>+BL397</f>
        <v>2332</v>
      </c>
      <c r="BM1315" s="65">
        <f>+BM397</f>
        <v>2533</v>
      </c>
      <c r="BN1315" s="65">
        <f>+BN397</f>
        <v>2533</v>
      </c>
      <c r="BO1315" s="65"/>
      <c r="BP1315" s="65">
        <f>+BP397</f>
        <v>2689</v>
      </c>
      <c r="BQ1315" s="65">
        <f>+BQ397</f>
        <v>2893</v>
      </c>
      <c r="BR1315" s="65">
        <f>+BR397</f>
        <v>2893</v>
      </c>
      <c r="BS1315" s="65"/>
      <c r="BT1315" s="65">
        <f>+BT397</f>
        <v>2249</v>
      </c>
      <c r="BU1315" s="65">
        <f>+BU397</f>
        <v>2202</v>
      </c>
      <c r="BV1315" s="65">
        <f>+BV397</f>
        <v>2202</v>
      </c>
      <c r="BW1315" s="65"/>
      <c r="BX1315" s="65">
        <f>+BX397</f>
        <v>1917</v>
      </c>
      <c r="BY1315" s="65">
        <f>+BY397</f>
        <v>1856</v>
      </c>
      <c r="BZ1315" s="65">
        <f>+BZ397</f>
        <v>1856</v>
      </c>
      <c r="CA1315" s="65"/>
      <c r="CB1315" s="65">
        <f>+CB397</f>
        <v>1775</v>
      </c>
      <c r="CC1315" s="65">
        <f>+CC397</f>
        <v>1421</v>
      </c>
      <c r="CD1315" s="65">
        <f>+CD397</f>
        <v>1421</v>
      </c>
      <c r="CE1315" s="65"/>
      <c r="CF1315" s="65">
        <f>+CF397</f>
        <v>1368</v>
      </c>
      <c r="CG1315" s="65">
        <f>+CG397</f>
        <v>1323</v>
      </c>
      <c r="CH1315" s="65">
        <f>+CH397</f>
        <v>1323</v>
      </c>
      <c r="CI1315" s="65"/>
      <c r="CJ1315" s="65">
        <f>+CJ397</f>
        <v>1263</v>
      </c>
      <c r="CK1315" s="65">
        <f>+CK397</f>
        <v>1039</v>
      </c>
      <c r="CL1315" s="65">
        <f>+CL397</f>
        <v>1039</v>
      </c>
      <c r="CM1315" s="65"/>
      <c r="CN1315" s="65">
        <f>+CN397</f>
        <v>961</v>
      </c>
      <c r="CO1315" s="65">
        <f>+CO397</f>
        <v>960</v>
      </c>
      <c r="CP1315" s="65">
        <f>+CP397</f>
        <v>960</v>
      </c>
      <c r="CQ1315" s="65"/>
      <c r="CR1315" s="65">
        <f>+CR397</f>
        <v>924</v>
      </c>
      <c r="CS1315" s="65">
        <f>+CS397</f>
        <v>896</v>
      </c>
      <c r="CT1315" s="65">
        <f>+CT397</f>
        <v>896</v>
      </c>
      <c r="CU1315" s="65"/>
      <c r="CV1315" s="65">
        <f>+CV397</f>
        <v>877</v>
      </c>
      <c r="CW1315" s="65">
        <f>+CW397</f>
        <v>919</v>
      </c>
      <c r="CX1315" s="65">
        <f>+CX397</f>
        <v>919</v>
      </c>
      <c r="CY1315" s="65"/>
      <c r="CZ1315" s="65">
        <f>+CZ397</f>
        <v>905</v>
      </c>
      <c r="DA1315" s="65">
        <f>+DA397</f>
        <v>1020</v>
      </c>
      <c r="DB1315" s="65">
        <f>+DB397</f>
        <v>1020</v>
      </c>
      <c r="DC1315" s="65"/>
      <c r="DD1315" s="65">
        <f>+DD397</f>
        <v>1001</v>
      </c>
      <c r="DE1315" s="65">
        <f>+DE397</f>
        <v>999</v>
      </c>
      <c r="DF1315" s="65">
        <f>+DF397</f>
        <v>999</v>
      </c>
      <c r="DG1315" s="65"/>
      <c r="DH1315" s="65">
        <f>+DH397</f>
        <v>947.49031296572275</v>
      </c>
      <c r="DI1315" s="65">
        <f>+DI397</f>
        <v>926.18155912641748</v>
      </c>
      <c r="DJ1315" s="65">
        <f>+DJ397</f>
        <v>926.18155912641748</v>
      </c>
      <c r="DK1315" s="65"/>
      <c r="DL1315" s="65">
        <f>+DL397</f>
        <v>889.1415076358229</v>
      </c>
      <c r="DM1315" s="65">
        <f>+DM397</f>
        <v>879.49085675953472</v>
      </c>
      <c r="DN1315" s="65">
        <f>+DN397</f>
        <v>879.49085675953472</v>
      </c>
      <c r="DO1315" s="65"/>
      <c r="DP1315" s="65">
        <f>+DP397</f>
        <v>851.24852383713994</v>
      </c>
      <c r="DQ1315" s="65">
        <f>+DQ397</f>
        <v>849.6335971242047</v>
      </c>
      <c r="DR1315" s="65">
        <f>+DR397</f>
        <v>849.6335971242047</v>
      </c>
      <c r="DS1315" s="65"/>
      <c r="DT1315" s="65"/>
      <c r="DU1315" s="65"/>
      <c r="DV1315" s="65"/>
    </row>
    <row r="1316" spans="1:128" s="20" customFormat="1" ht="13.8">
      <c r="A1316" s="20" t="s">
        <v>695</v>
      </c>
      <c r="B1316" s="49"/>
      <c r="BH1316" s="65">
        <f>+BH1314-BH1315</f>
        <v>5285</v>
      </c>
      <c r="BI1316" s="65">
        <f>+BI1314-BI1315</f>
        <v>5520</v>
      </c>
      <c r="BJ1316" s="65">
        <f>+BJ1314-BJ1315</f>
        <v>5520</v>
      </c>
      <c r="BK1316" s="65"/>
      <c r="BL1316" s="65">
        <f>+BL1314-BL1315</f>
        <v>5637</v>
      </c>
      <c r="BM1316" s="65">
        <f>+BM1314-BM1315</f>
        <v>5417</v>
      </c>
      <c r="BN1316" s="65">
        <f>+BN1314-BN1315</f>
        <v>5417</v>
      </c>
      <c r="BO1316" s="65"/>
      <c r="BP1316" s="65">
        <f>+BP1314-BP1315</f>
        <v>5695</v>
      </c>
      <c r="BQ1316" s="65">
        <f>+BQ1314-BQ1315</f>
        <v>5419</v>
      </c>
      <c r="BR1316" s="65">
        <f>+BR1314-BR1315</f>
        <v>5419</v>
      </c>
      <c r="BS1316" s="65"/>
      <c r="BT1316" s="65">
        <f>+BT1314-BT1315</f>
        <v>5336</v>
      </c>
      <c r="BU1316" s="65">
        <f>+BU1314-BU1315</f>
        <v>5470</v>
      </c>
      <c r="BV1316" s="65">
        <f>+BV1314-BV1315</f>
        <v>5470</v>
      </c>
      <c r="BW1316" s="65"/>
      <c r="BX1316" s="65">
        <f>+BX1314-BX1315</f>
        <v>5136</v>
      </c>
      <c r="BY1316" s="65">
        <f>+BY1314-BY1315</f>
        <v>5114</v>
      </c>
      <c r="BZ1316" s="65">
        <f>+BZ1314-BZ1315</f>
        <v>5114</v>
      </c>
      <c r="CA1316" s="65"/>
      <c r="CB1316" s="65">
        <f>+CB1314-CB1315</f>
        <v>3563</v>
      </c>
      <c r="CC1316" s="65">
        <f>+CC1314-CC1315</f>
        <v>3509</v>
      </c>
      <c r="CD1316" s="65">
        <f>+CD1314-CD1315</f>
        <v>3509</v>
      </c>
      <c r="CE1316" s="65"/>
      <c r="CF1316" s="65">
        <f>+CF1314-CF1315</f>
        <v>3649</v>
      </c>
      <c r="CG1316" s="65">
        <f>+CG1314-CG1315</f>
        <v>3538</v>
      </c>
      <c r="CH1316" s="65">
        <f>+CH1314-CH1315</f>
        <v>3538</v>
      </c>
      <c r="CI1316" s="65"/>
      <c r="CJ1316" s="65">
        <f>+CJ1314-CJ1315</f>
        <v>3694</v>
      </c>
      <c r="CK1316" s="65">
        <f>+CK1314-CK1315</f>
        <v>3340</v>
      </c>
      <c r="CL1316" s="65">
        <f>+CL1314-CL1315</f>
        <v>3340</v>
      </c>
      <c r="CM1316" s="65"/>
      <c r="CN1316" s="65">
        <f>+CN1314-CN1315</f>
        <v>3063</v>
      </c>
      <c r="CO1316" s="65">
        <f>+CO1314-CO1315</f>
        <v>3164</v>
      </c>
      <c r="CP1316" s="65">
        <f>+CP1314-CP1315</f>
        <v>3164</v>
      </c>
      <c r="CQ1316" s="65"/>
      <c r="CR1316" s="65">
        <f>+CR1314-CR1315</f>
        <v>3144</v>
      </c>
      <c r="CS1316" s="65">
        <f>+CS1314-CS1315</f>
        <v>2981</v>
      </c>
      <c r="CT1316" s="65">
        <f>+CT1314-CT1315</f>
        <v>2981</v>
      </c>
      <c r="CU1316" s="65"/>
      <c r="CV1316" s="65">
        <f>+CV1314-CV1315</f>
        <v>3160</v>
      </c>
      <c r="CW1316" s="65">
        <f>+CW1314-CW1315</f>
        <v>3139</v>
      </c>
      <c r="CX1316" s="65">
        <f>+CX1314-CX1315</f>
        <v>3139</v>
      </c>
      <c r="CY1316" s="65"/>
      <c r="CZ1316" s="65">
        <f>+CZ1314-CZ1315</f>
        <v>3093</v>
      </c>
      <c r="DA1316" s="65">
        <f>+DA1314-DA1315</f>
        <v>4491</v>
      </c>
      <c r="DB1316" s="65">
        <f>+DB1314-DB1315</f>
        <v>4491</v>
      </c>
      <c r="DC1316" s="65"/>
      <c r="DD1316" s="65">
        <f>+DD1314-DD1315</f>
        <v>4864</v>
      </c>
      <c r="DE1316" s="65">
        <f>+DE1314-DE1315</f>
        <v>4766</v>
      </c>
      <c r="DF1316" s="65">
        <f>+DF1314-DF1315</f>
        <v>4766</v>
      </c>
      <c r="DG1316" s="65"/>
      <c r="DH1316" s="65">
        <f>+DH1314-DH1315</f>
        <v>4766</v>
      </c>
      <c r="DI1316" s="65">
        <f>+DI1314-DI1315</f>
        <v>4766</v>
      </c>
      <c r="DJ1316" s="65">
        <f>DI1316</f>
        <v>4766</v>
      </c>
      <c r="DK1316" s="65"/>
      <c r="DL1316" s="65">
        <f>+DL1314-DL1315</f>
        <v>4766</v>
      </c>
      <c r="DM1316" s="65">
        <f>+DM1314-DM1315</f>
        <v>4766</v>
      </c>
      <c r="DN1316" s="65">
        <f>DM1316</f>
        <v>4766</v>
      </c>
      <c r="DO1316" s="65"/>
      <c r="DP1316" s="65">
        <f>+DP1314-DP1315</f>
        <v>4766</v>
      </c>
      <c r="DQ1316" s="65">
        <f>+DQ1314-DQ1315</f>
        <v>4766</v>
      </c>
      <c r="DR1316" s="65">
        <f>DQ1316</f>
        <v>4766</v>
      </c>
      <c r="DS1316" s="65"/>
      <c r="DT1316" s="65"/>
      <c r="DU1316" s="65"/>
      <c r="DV1316" s="65"/>
    </row>
    <row r="1317" spans="1:128" s="20" customFormat="1" ht="13.8">
      <c r="A1317" s="20" t="s">
        <v>696</v>
      </c>
      <c r="B1317" s="49"/>
      <c r="BH1317" s="65">
        <f>-BH1289</f>
        <v>3717</v>
      </c>
      <c r="BI1317" s="65">
        <f>-BI1289</f>
        <v>3970</v>
      </c>
      <c r="BJ1317" s="65">
        <f>-BJ1289</f>
        <v>3970</v>
      </c>
      <c r="BK1317" s="65"/>
      <c r="BL1317" s="65">
        <f>-BL1289</f>
        <v>4126</v>
      </c>
      <c r="BM1317" s="65">
        <f>-BM1289</f>
        <v>3995</v>
      </c>
      <c r="BN1317" s="65">
        <f>-BN1289</f>
        <v>3995</v>
      </c>
      <c r="BO1317" s="65"/>
      <c r="BP1317" s="65">
        <f>-BP1289</f>
        <v>4369</v>
      </c>
      <c r="BQ1317" s="65">
        <f>-BQ1289</f>
        <v>4109</v>
      </c>
      <c r="BR1317" s="65">
        <f>-BR1289</f>
        <v>4109</v>
      </c>
      <c r="BS1317" s="65"/>
      <c r="BT1317" s="65">
        <f>-BT1289</f>
        <v>3767</v>
      </c>
      <c r="BU1317" s="65">
        <f>-BU1289</f>
        <v>3913</v>
      </c>
      <c r="BV1317" s="65">
        <f>-BV1289</f>
        <v>3913</v>
      </c>
      <c r="BW1317" s="65"/>
      <c r="BX1317" s="65">
        <f>-BX1289</f>
        <v>3532</v>
      </c>
      <c r="BY1317" s="65">
        <f>-BY1289</f>
        <v>3553</v>
      </c>
      <c r="BZ1317" s="65">
        <f>-BZ1289</f>
        <v>3553</v>
      </c>
      <c r="CA1317" s="65"/>
      <c r="CB1317" s="65">
        <f>-CB1289</f>
        <v>3638</v>
      </c>
      <c r="CC1317" s="65">
        <f>-CC1289</f>
        <v>3776</v>
      </c>
      <c r="CD1317" s="65">
        <f>-CD1289</f>
        <v>3776</v>
      </c>
      <c r="CE1317" s="65"/>
      <c r="CF1317" s="65">
        <f>-CF1289</f>
        <v>3865</v>
      </c>
      <c r="CG1317" s="65">
        <f>-CG1289</f>
        <v>3772</v>
      </c>
      <c r="CH1317" s="65">
        <f>-CH1289</f>
        <v>3772</v>
      </c>
      <c r="CI1317" s="65"/>
      <c r="CJ1317" s="65">
        <f>-CJ1289</f>
        <v>3620</v>
      </c>
      <c r="CK1317" s="65">
        <f>-CK1289</f>
        <v>3269</v>
      </c>
      <c r="CL1317" s="65">
        <f>-CL1289</f>
        <v>3269</v>
      </c>
      <c r="CM1317" s="65"/>
      <c r="CN1317" s="65">
        <f>-CN1289</f>
        <v>2992</v>
      </c>
      <c r="CO1317" s="65">
        <f>-CO1289</f>
        <v>3091</v>
      </c>
      <c r="CP1317" s="65">
        <f>-CP1289</f>
        <v>3091</v>
      </c>
      <c r="CQ1317" s="65"/>
      <c r="CR1317" s="65">
        <f>-CR1289</f>
        <v>3073</v>
      </c>
      <c r="CS1317" s="65">
        <f>-CS1289</f>
        <v>2914</v>
      </c>
      <c r="CT1317" s="65">
        <f>-CT1289</f>
        <v>2914</v>
      </c>
      <c r="CU1317" s="65"/>
      <c r="CV1317" s="65">
        <f>-CV1289</f>
        <v>2994</v>
      </c>
      <c r="CW1317" s="65">
        <f>-CW1289</f>
        <v>2977</v>
      </c>
      <c r="CX1317" s="65">
        <f>-CX1289</f>
        <v>2977</v>
      </c>
      <c r="CY1317" s="65"/>
      <c r="CZ1317" s="65">
        <f>-CZ1289</f>
        <v>2936</v>
      </c>
      <c r="DA1317" s="65">
        <f>-DA1289</f>
        <v>4273</v>
      </c>
      <c r="DB1317" s="65">
        <f>-DB1289</f>
        <v>4273</v>
      </c>
      <c r="DC1317" s="65"/>
      <c r="DD1317" s="65">
        <f>-DD1289</f>
        <v>4117</v>
      </c>
      <c r="DE1317" s="65">
        <f>-DE1289</f>
        <v>4165</v>
      </c>
      <c r="DF1317" s="65">
        <f>-DF1289</f>
        <v>4165</v>
      </c>
      <c r="DG1317" s="65"/>
      <c r="DH1317" s="65">
        <f>+DH1318*DH1316</f>
        <v>4165</v>
      </c>
      <c r="DI1317" s="65">
        <f>+DI1318*DI1316</f>
        <v>4165</v>
      </c>
      <c r="DJ1317" s="65">
        <f>DI1317</f>
        <v>4165</v>
      </c>
      <c r="DK1317" s="65"/>
      <c r="DL1317" s="65">
        <f>+DL1318*DL1316</f>
        <v>4165</v>
      </c>
      <c r="DM1317" s="65">
        <f>+DM1318*DM1316</f>
        <v>4165</v>
      </c>
      <c r="DN1317" s="65">
        <f>DM1317</f>
        <v>4165</v>
      </c>
      <c r="DO1317" s="65"/>
      <c r="DP1317" s="65">
        <f>+DP1318*DP1316</f>
        <v>4165</v>
      </c>
      <c r="DQ1317" s="65">
        <f>+DQ1318*DQ1316</f>
        <v>4165</v>
      </c>
      <c r="DR1317" s="65">
        <f>DQ1317</f>
        <v>4165</v>
      </c>
      <c r="DS1317" s="65"/>
      <c r="DT1317" s="65"/>
      <c r="DU1317" s="65"/>
      <c r="DV1317" s="65"/>
    </row>
    <row r="1318" spans="1:128" s="335" customFormat="1" ht="13.8">
      <c r="A1318" s="335" t="s">
        <v>286</v>
      </c>
      <c r="B1318" s="336"/>
      <c r="BH1318" s="345">
        <f>BH1317/BH1316</f>
        <v>0.70331125827814567</v>
      </c>
      <c r="BI1318" s="345">
        <f>BI1317/BI1316</f>
        <v>0.71920289855072461</v>
      </c>
      <c r="BJ1318" s="345">
        <f>BJ1317/BJ1316</f>
        <v>0.71920289855072461</v>
      </c>
      <c r="BK1318" s="380"/>
      <c r="BL1318" s="345">
        <f>BL1317/BL1316</f>
        <v>0.73194961859144936</v>
      </c>
      <c r="BM1318" s="345">
        <f>BM1317/BM1316</f>
        <v>0.7374930773490862</v>
      </c>
      <c r="BN1318" s="345">
        <f>BN1317/BN1316</f>
        <v>0.7374930773490862</v>
      </c>
      <c r="BO1318" s="380"/>
      <c r="BP1318" s="345">
        <f>BP1317/BP1316</f>
        <v>0.76716417910447765</v>
      </c>
      <c r="BQ1318" s="345">
        <f>BQ1317/BQ1316</f>
        <v>0.758257981177339</v>
      </c>
      <c r="BR1318" s="345">
        <f>BR1317/BR1316</f>
        <v>0.758257981177339</v>
      </c>
      <c r="BS1318" s="380"/>
      <c r="BT1318" s="345">
        <f>BT1317/BT1316</f>
        <v>0.70595952023988007</v>
      </c>
      <c r="BU1318" s="345">
        <f>BU1317/BU1316</f>
        <v>0.71535648994515544</v>
      </c>
      <c r="BV1318" s="345">
        <f>BV1317/BV1316</f>
        <v>0.71535648994515544</v>
      </c>
      <c r="BW1318" s="380"/>
      <c r="BX1318" s="345">
        <f>BX1317/BX1316</f>
        <v>0.68769470404984423</v>
      </c>
      <c r="BY1318" s="345">
        <f>BY1317/BY1316</f>
        <v>0.69475948377004304</v>
      </c>
      <c r="BZ1318" s="345">
        <f>BZ1317/BZ1316</f>
        <v>0.69475948377004304</v>
      </c>
      <c r="CA1318" s="380"/>
      <c r="CB1318" s="345">
        <f>CB1317/CB1316</f>
        <v>1.0210496772382824</v>
      </c>
      <c r="CC1318" s="345">
        <f>CC1317/CC1316</f>
        <v>1.0760900541464804</v>
      </c>
      <c r="CD1318" s="345">
        <f>CD1317/CD1316</f>
        <v>1.0760900541464804</v>
      </c>
      <c r="CE1318" s="380"/>
      <c r="CF1318" s="345">
        <f>CF1317/CF1316</f>
        <v>1.0591942998081667</v>
      </c>
      <c r="CG1318" s="345">
        <f>CG1317/CG1316</f>
        <v>1.0661390616167326</v>
      </c>
      <c r="CH1318" s="345">
        <f>CH1317/CH1316</f>
        <v>1.0661390616167326</v>
      </c>
      <c r="CI1318" s="380"/>
      <c r="CJ1318" s="345">
        <f>CJ1317/CJ1316</f>
        <v>0.97996751488900924</v>
      </c>
      <c r="CK1318" s="345">
        <f>CK1317/CK1316</f>
        <v>0.97874251497005993</v>
      </c>
      <c r="CL1318" s="345">
        <f>CL1317/CL1316</f>
        <v>0.97874251497005993</v>
      </c>
      <c r="CM1318" s="380"/>
      <c r="CN1318" s="345">
        <f>CN1317/CN1316</f>
        <v>0.97682011100228539</v>
      </c>
      <c r="CO1318" s="345">
        <f>CO1317/CO1316</f>
        <v>0.9769279393173198</v>
      </c>
      <c r="CP1318" s="345">
        <f>CP1317/CP1316</f>
        <v>0.9769279393173198</v>
      </c>
      <c r="CQ1318" s="380"/>
      <c r="CR1318" s="345">
        <f>CR1317/CR1316</f>
        <v>0.9774173027989822</v>
      </c>
      <c r="CS1318" s="345">
        <f>CS1317/CS1316</f>
        <v>0.97752432069775241</v>
      </c>
      <c r="CT1318" s="345">
        <f>CT1317/CT1316</f>
        <v>0.97752432069775241</v>
      </c>
      <c r="CU1318" s="380"/>
      <c r="CV1318" s="345">
        <f>CV1317/CV1316</f>
        <v>0.9474683544303798</v>
      </c>
      <c r="CW1318" s="345">
        <f>CW1317/CW1316</f>
        <v>0.94839120739088878</v>
      </c>
      <c r="CX1318" s="345">
        <f>CX1317/CX1316</f>
        <v>0.94839120739088878</v>
      </c>
      <c r="CY1318" s="380"/>
      <c r="CZ1318" s="345">
        <f>CZ1317/CZ1316</f>
        <v>0.94924021985127705</v>
      </c>
      <c r="DA1318" s="345">
        <f>DA1317/DA1316</f>
        <v>0.95145847250055671</v>
      </c>
      <c r="DB1318" s="345">
        <f>DB1317/DB1316</f>
        <v>0.95145847250055671</v>
      </c>
      <c r="DC1318" s="380"/>
      <c r="DD1318" s="345">
        <f>DD1317/DD1316</f>
        <v>0.84642269736842102</v>
      </c>
      <c r="DE1318" s="345">
        <f>DE1317/DE1316</f>
        <v>0.87389844733529165</v>
      </c>
      <c r="DF1318" s="345">
        <f>DF1317/DF1316</f>
        <v>0.87389844733529165</v>
      </c>
      <c r="DG1318" s="380"/>
      <c r="DH1318" s="346">
        <f>DE1318</f>
        <v>0.87389844733529165</v>
      </c>
      <c r="DI1318" s="346">
        <f>DH1318</f>
        <v>0.87389844733529165</v>
      </c>
      <c r="DJ1318" s="345">
        <f>DJ1317/DJ1316</f>
        <v>0.87389844733529165</v>
      </c>
      <c r="DK1318" s="380"/>
      <c r="DL1318" s="346">
        <f>DI1318</f>
        <v>0.87389844733529165</v>
      </c>
      <c r="DM1318" s="346">
        <f>DL1318</f>
        <v>0.87389844733529165</v>
      </c>
      <c r="DN1318" s="345">
        <f>DN1317/DN1316</f>
        <v>0.87389844733529165</v>
      </c>
      <c r="DO1318" s="380"/>
      <c r="DP1318" s="346">
        <f>DM1318</f>
        <v>0.87389844733529165</v>
      </c>
      <c r="DQ1318" s="346">
        <f>DP1318</f>
        <v>0.87389844733529165</v>
      </c>
      <c r="DR1318" s="345">
        <f>DR1317/DR1316</f>
        <v>0.87389844733529165</v>
      </c>
      <c r="DS1318" s="380"/>
      <c r="DT1318" s="380"/>
      <c r="DU1318" s="380"/>
      <c r="DV1318" s="380"/>
      <c r="DW1318" s="20"/>
      <c r="DX1318" s="20"/>
    </row>
    <row r="1319" spans="1:128" s="20" customFormat="1" ht="13.8">
      <c r="A1319" s="20" t="s">
        <v>697</v>
      </c>
      <c r="B1319" s="49"/>
      <c r="BH1319" s="65">
        <f>-BH1290</f>
        <v>2075</v>
      </c>
      <c r="BI1319" s="65">
        <f>-BI1290</f>
        <v>2096</v>
      </c>
      <c r="BJ1319" s="65">
        <f>-BJ1290</f>
        <v>2096</v>
      </c>
      <c r="BK1319" s="65"/>
      <c r="BL1319" s="65">
        <f>-BL1290</f>
        <v>2107</v>
      </c>
      <c r="BM1319" s="65">
        <f>-BM1290</f>
        <v>2096</v>
      </c>
      <c r="BN1319" s="65">
        <f>-BN1290</f>
        <v>2096</v>
      </c>
      <c r="BO1319" s="65"/>
      <c r="BP1319" s="65">
        <f>-BP1290</f>
        <v>2117</v>
      </c>
      <c r="BQ1319" s="65">
        <f>-BQ1290</f>
        <v>2093</v>
      </c>
      <c r="BR1319" s="65">
        <f>-BR1290</f>
        <v>2093</v>
      </c>
      <c r="BS1319" s="65"/>
      <c r="BT1319" s="65">
        <f>-BT1290</f>
        <v>2091</v>
      </c>
      <c r="BU1319" s="65">
        <f>-BU1290</f>
        <v>2103</v>
      </c>
      <c r="BV1319" s="65">
        <f>-BV1290</f>
        <v>2103</v>
      </c>
      <c r="BW1319" s="65"/>
      <c r="BX1319" s="65">
        <f>-BX1290</f>
        <v>2099</v>
      </c>
      <c r="BY1319" s="65">
        <f>-BY1290</f>
        <v>2100</v>
      </c>
      <c r="BZ1319" s="65">
        <f>-BZ1290</f>
        <v>2100</v>
      </c>
      <c r="CA1319" s="65"/>
      <c r="CB1319" s="65">
        <f>-CB1290</f>
        <v>1634</v>
      </c>
      <c r="CC1319" s="65">
        <f>-CC1290</f>
        <v>1629</v>
      </c>
      <c r="CD1319" s="65">
        <f>-CD1290</f>
        <v>1629</v>
      </c>
      <c r="CE1319" s="65"/>
      <c r="CF1319" s="65">
        <f>-CF1290</f>
        <v>1494</v>
      </c>
      <c r="CG1319" s="65">
        <f>-CG1290</f>
        <v>556</v>
      </c>
      <c r="CH1319" s="65">
        <f>-CH1290</f>
        <v>556</v>
      </c>
      <c r="CI1319" s="65"/>
      <c r="CJ1319" s="65">
        <f>-CJ1290</f>
        <v>80</v>
      </c>
      <c r="CK1319" s="65">
        <f>-CK1290</f>
        <v>71</v>
      </c>
      <c r="CL1319" s="65">
        <f>-CL1290</f>
        <v>71</v>
      </c>
      <c r="CM1319" s="65"/>
      <c r="CN1319" s="65">
        <f>-CN1290</f>
        <v>70</v>
      </c>
      <c r="CO1319" s="65">
        <f>-CO1290</f>
        <v>73</v>
      </c>
      <c r="CP1319" s="65">
        <f>-CP1290</f>
        <v>73</v>
      </c>
      <c r="CQ1319" s="65"/>
      <c r="CR1319" s="65">
        <f>-CR1290</f>
        <v>71</v>
      </c>
      <c r="CS1319" s="65">
        <f>-CS1290</f>
        <v>67</v>
      </c>
      <c r="CT1319" s="65">
        <f>-CT1290</f>
        <v>67</v>
      </c>
      <c r="CU1319" s="65"/>
      <c r="CV1319" s="65">
        <f>-CV1290</f>
        <v>71</v>
      </c>
      <c r="CW1319" s="65">
        <f>-CW1290</f>
        <v>71</v>
      </c>
      <c r="CX1319" s="65">
        <f>-CX1290</f>
        <v>71</v>
      </c>
      <c r="CY1319" s="65"/>
      <c r="CZ1319" s="65">
        <f>-CZ1290</f>
        <v>69</v>
      </c>
      <c r="DA1319" s="65">
        <f>-DA1290</f>
        <v>63</v>
      </c>
      <c r="DB1319" s="65">
        <f>-DB1290</f>
        <v>63</v>
      </c>
      <c r="DC1319" s="65"/>
      <c r="DD1319" s="65">
        <f>-DD1290</f>
        <v>62</v>
      </c>
      <c r="DE1319" s="65">
        <f>-DE1290</f>
        <v>59</v>
      </c>
      <c r="DF1319" s="65">
        <f>-DF1290</f>
        <v>59</v>
      </c>
      <c r="DG1319" s="65"/>
      <c r="DH1319" s="65">
        <f>+DH1320*DH1316</f>
        <v>59</v>
      </c>
      <c r="DI1319" s="65">
        <f>+DI1320*DI1316</f>
        <v>59</v>
      </c>
      <c r="DJ1319" s="65">
        <f>DI1319</f>
        <v>59</v>
      </c>
      <c r="DK1319" s="65"/>
      <c r="DL1319" s="65">
        <f>+DL1320*DL1316</f>
        <v>59</v>
      </c>
      <c r="DM1319" s="65">
        <f>+DM1320*DM1316</f>
        <v>59</v>
      </c>
      <c r="DN1319" s="65">
        <f>DM1319</f>
        <v>59</v>
      </c>
      <c r="DO1319" s="65"/>
      <c r="DP1319" s="65">
        <f>+DP1320*DP1316</f>
        <v>59</v>
      </c>
      <c r="DQ1319" s="65">
        <f>+DQ1320*DQ1316</f>
        <v>59</v>
      </c>
      <c r="DR1319" s="65">
        <f>DQ1319</f>
        <v>59</v>
      </c>
      <c r="DS1319" s="65"/>
      <c r="DT1319" s="65"/>
      <c r="DU1319" s="65"/>
      <c r="DV1319" s="65"/>
    </row>
    <row r="1320" spans="1:128" s="335" customFormat="1" ht="13.8">
      <c r="A1320" s="335" t="s">
        <v>286</v>
      </c>
      <c r="B1320" s="336"/>
      <c r="BH1320" s="345">
        <f>BH1319/BH1316</f>
        <v>0.39262062440870388</v>
      </c>
      <c r="BI1320" s="345">
        <f>BI1319/BI1316</f>
        <v>0.37971014492753624</v>
      </c>
      <c r="BJ1320" s="345">
        <f>BJ1319/BJ1316</f>
        <v>0.37971014492753624</v>
      </c>
      <c r="BK1320" s="380"/>
      <c r="BL1320" s="345">
        <f>BL1319/BL1316</f>
        <v>0.3737803796345574</v>
      </c>
      <c r="BM1320" s="345">
        <f>BM1319/BM1316</f>
        <v>0.38693003507476464</v>
      </c>
      <c r="BN1320" s="345">
        <f>BN1319/BN1316</f>
        <v>0.38693003507476464</v>
      </c>
      <c r="BO1320" s="380"/>
      <c r="BP1320" s="345">
        <f>BP1319/BP1316</f>
        <v>0.37172958735733097</v>
      </c>
      <c r="BQ1320" s="345">
        <f>BQ1319/BQ1316</f>
        <v>0.38623362243956449</v>
      </c>
      <c r="BR1320" s="345">
        <f>BR1319/BR1316</f>
        <v>0.38623362243956449</v>
      </c>
      <c r="BS1320" s="380"/>
      <c r="BT1320" s="345">
        <f>BT1319/BT1316</f>
        <v>0.39186656671664166</v>
      </c>
      <c r="BU1320" s="345">
        <f>BU1319/BU1316</f>
        <v>0.38446069469835464</v>
      </c>
      <c r="BV1320" s="345">
        <f>BV1319/BV1316</f>
        <v>0.38446069469835464</v>
      </c>
      <c r="BW1320" s="380"/>
      <c r="BX1320" s="345">
        <f>BX1319/BX1316</f>
        <v>0.40868380062305298</v>
      </c>
      <c r="BY1320" s="345">
        <f>BY1319/BY1316</f>
        <v>0.41063746578021121</v>
      </c>
      <c r="BZ1320" s="345">
        <f>BZ1319/BZ1316</f>
        <v>0.41063746578021121</v>
      </c>
      <c r="CA1320" s="380"/>
      <c r="CB1320" s="345">
        <f>CB1319/CB1316</f>
        <v>0.45860230143137803</v>
      </c>
      <c r="CC1320" s="345">
        <f>CC1319/CC1316</f>
        <v>0.46423482473639216</v>
      </c>
      <c r="CD1320" s="345">
        <f>CD1319/CD1316</f>
        <v>0.46423482473639216</v>
      </c>
      <c r="CE1320" s="380"/>
      <c r="CF1320" s="345">
        <f>CF1319/CF1316</f>
        <v>0.40942724033981914</v>
      </c>
      <c r="CG1320" s="345">
        <f>CG1319/CG1316</f>
        <v>0.15715093273035613</v>
      </c>
      <c r="CH1320" s="345">
        <f>CH1319/CH1316</f>
        <v>0.15715093273035613</v>
      </c>
      <c r="CI1320" s="380"/>
      <c r="CJ1320" s="345">
        <f>CJ1319/CJ1316</f>
        <v>2.1656740660530589E-2</v>
      </c>
      <c r="CK1320" s="345">
        <f>CK1319/CK1316</f>
        <v>2.1257485029940119E-2</v>
      </c>
      <c r="CL1320" s="345">
        <f>CL1319/CL1316</f>
        <v>2.1257485029940119E-2</v>
      </c>
      <c r="CM1320" s="380"/>
      <c r="CN1320" s="345">
        <f>CN1319/CN1316</f>
        <v>2.2853411687887692E-2</v>
      </c>
      <c r="CO1320" s="345">
        <f>CO1319/CO1316</f>
        <v>2.307206068268015E-2</v>
      </c>
      <c r="CP1320" s="345">
        <f>CP1319/CP1316</f>
        <v>2.307206068268015E-2</v>
      </c>
      <c r="CQ1320" s="380"/>
      <c r="CR1320" s="345">
        <f>CR1319/CR1316</f>
        <v>2.2582697201017812E-2</v>
      </c>
      <c r="CS1320" s="345">
        <f>CS1319/CS1316</f>
        <v>2.2475679302247569E-2</v>
      </c>
      <c r="CT1320" s="345">
        <f>CT1319/CT1316</f>
        <v>2.2475679302247569E-2</v>
      </c>
      <c r="CU1320" s="380"/>
      <c r="CV1320" s="345">
        <f>CV1319/CV1316</f>
        <v>2.2468354430379745E-2</v>
      </c>
      <c r="CW1320" s="345">
        <f>CW1319/CW1316</f>
        <v>2.2618668365721569E-2</v>
      </c>
      <c r="CX1320" s="345">
        <f>CX1319/CX1316</f>
        <v>2.2618668365721569E-2</v>
      </c>
      <c r="CY1320" s="380"/>
      <c r="CZ1320" s="345">
        <f>CZ1319/CZ1316</f>
        <v>2.2308438409311349E-2</v>
      </c>
      <c r="DA1320" s="345">
        <f>DA1319/DA1316</f>
        <v>1.4028056112224449E-2</v>
      </c>
      <c r="DB1320" s="345">
        <f>DB1319/DB1316</f>
        <v>1.4028056112224449E-2</v>
      </c>
      <c r="DC1320" s="380"/>
      <c r="DD1320" s="345">
        <f>DD1319/DD1316</f>
        <v>1.2746710526315789E-2</v>
      </c>
      <c r="DE1320" s="345">
        <f>DE1319/DE1316</f>
        <v>1.2379353755770038E-2</v>
      </c>
      <c r="DF1320" s="345">
        <f>DF1319/DF1316</f>
        <v>1.2379353755770038E-2</v>
      </c>
      <c r="DG1320" s="380"/>
      <c r="DH1320" s="346">
        <f>DE1320</f>
        <v>1.2379353755770038E-2</v>
      </c>
      <c r="DI1320" s="346">
        <f>DH1320</f>
        <v>1.2379353755770038E-2</v>
      </c>
      <c r="DJ1320" s="345">
        <f>DJ1319/DJ1314</f>
        <v>1.0365094540142315E-2</v>
      </c>
      <c r="DK1320" s="380"/>
      <c r="DL1320" s="346">
        <f>DI1320</f>
        <v>1.2379353755770038E-2</v>
      </c>
      <c r="DM1320" s="346">
        <f>DL1320</f>
        <v>1.2379353755770038E-2</v>
      </c>
      <c r="DN1320" s="345">
        <f>DN1319/DN1314</f>
        <v>1.0450818449091513E-2</v>
      </c>
      <c r="DO1320" s="380"/>
      <c r="DP1320" s="346">
        <f>DM1320</f>
        <v>1.2379353755770038E-2</v>
      </c>
      <c r="DQ1320" s="346">
        <f>DP1320</f>
        <v>1.2379353755770038E-2</v>
      </c>
      <c r="DR1320" s="345">
        <f>DR1319/DR1314</f>
        <v>1.0506383470284495E-2</v>
      </c>
      <c r="DS1320" s="380"/>
      <c r="DT1320" s="380"/>
      <c r="DU1320" s="380"/>
      <c r="DV1320" s="380"/>
      <c r="DW1320" s="20"/>
      <c r="DX1320" s="20"/>
    </row>
    <row r="1321" spans="1:128" s="20" customFormat="1" ht="13.8">
      <c r="A1321" s="21"/>
      <c r="B1321" s="49"/>
      <c r="BH1321" s="65"/>
      <c r="BI1321" s="65"/>
      <c r="BJ1321" s="65"/>
      <c r="BK1321" s="65"/>
      <c r="BL1321" s="65"/>
      <c r="BM1321" s="65"/>
      <c r="BN1321" s="65"/>
      <c r="BO1321" s="65"/>
      <c r="BP1321" s="65"/>
      <c r="BQ1321" s="65"/>
      <c r="BR1321" s="65"/>
      <c r="BS1321" s="65"/>
      <c r="BT1321" s="65"/>
      <c r="BU1321" s="65"/>
      <c r="BV1321" s="65"/>
      <c r="BW1321" s="65"/>
      <c r="BX1321" s="65"/>
      <c r="BY1321" s="65"/>
      <c r="BZ1321" s="65"/>
      <c r="CA1321" s="65"/>
      <c r="CB1321" s="65"/>
      <c r="CC1321" s="65"/>
      <c r="CD1321" s="65"/>
      <c r="CE1321" s="65"/>
      <c r="CF1321" s="65"/>
      <c r="CG1321" s="65"/>
      <c r="CH1321" s="65"/>
      <c r="CI1321" s="65"/>
      <c r="CJ1321" s="65"/>
      <c r="CK1321" s="65"/>
      <c r="CL1321" s="65"/>
      <c r="CM1321" s="65"/>
      <c r="CN1321" s="65"/>
      <c r="CO1321" s="65"/>
      <c r="CP1321" s="65"/>
      <c r="CQ1321" s="65"/>
      <c r="CR1321" s="65"/>
      <c r="CS1321" s="65"/>
      <c r="CT1321" s="65"/>
      <c r="CU1321" s="65"/>
      <c r="CV1321" s="65"/>
      <c r="CW1321" s="65"/>
      <c r="CX1321" s="65"/>
      <c r="CY1321" s="65"/>
      <c r="CZ1321" s="65"/>
      <c r="DA1321" s="65"/>
      <c r="DB1321" s="65"/>
      <c r="DC1321" s="65"/>
      <c r="DD1321" s="65"/>
      <c r="DE1321" s="65"/>
      <c r="DF1321" s="65"/>
      <c r="DG1321" s="65"/>
      <c r="DH1321" s="65"/>
      <c r="DI1321" s="65"/>
      <c r="DJ1321" s="65"/>
      <c r="DK1321" s="65"/>
      <c r="DL1321" s="65"/>
      <c r="DM1321" s="65"/>
      <c r="DN1321" s="65"/>
      <c r="DO1321" s="65"/>
      <c r="DP1321" s="65"/>
      <c r="DQ1321" s="65"/>
      <c r="DR1321" s="65"/>
      <c r="DS1321" s="65"/>
      <c r="DT1321" s="65"/>
      <c r="DU1321" s="65"/>
      <c r="DV1321" s="65"/>
    </row>
    <row r="1322" spans="1:128" s="20" customFormat="1" ht="13.8">
      <c r="A1322" s="20" t="s">
        <v>1174</v>
      </c>
      <c r="B1322" s="49"/>
      <c r="BH1322" s="65">
        <f>BH152</f>
        <v>869</v>
      </c>
      <c r="BI1322" s="65">
        <f>BI152</f>
        <v>942</v>
      </c>
      <c r="BJ1322" s="65">
        <f>BJ152</f>
        <v>942</v>
      </c>
      <c r="BK1322" s="65"/>
      <c r="BL1322" s="65">
        <f>BL152</f>
        <v>1000</v>
      </c>
      <c r="BM1322" s="65">
        <f>BM152</f>
        <v>1043</v>
      </c>
      <c r="BN1322" s="65">
        <f>BN152</f>
        <v>1043</v>
      </c>
      <c r="BO1322" s="65"/>
      <c r="BP1322" s="65">
        <f>BP152</f>
        <v>1127</v>
      </c>
      <c r="BQ1322" s="65">
        <f>BQ152</f>
        <v>1253</v>
      </c>
      <c r="BR1322" s="65">
        <f>BR152</f>
        <v>1253</v>
      </c>
      <c r="BS1322" s="65"/>
      <c r="BT1322" s="65">
        <f>BT152</f>
        <v>1013</v>
      </c>
      <c r="BU1322" s="65">
        <f>BU152</f>
        <v>1064</v>
      </c>
      <c r="BV1322" s="65">
        <f>BV152</f>
        <v>1064</v>
      </c>
      <c r="BW1322" s="65"/>
      <c r="BX1322" s="65">
        <f>BX152</f>
        <v>1040</v>
      </c>
      <c r="BY1322" s="65">
        <f>BY152</f>
        <v>1058</v>
      </c>
      <c r="BZ1322" s="65">
        <f>BZ152</f>
        <v>1058</v>
      </c>
      <c r="CA1322" s="65"/>
      <c r="CB1322" s="65">
        <f>CB152</f>
        <v>1044</v>
      </c>
      <c r="CC1322" s="65">
        <f>CC152</f>
        <v>997</v>
      </c>
      <c r="CD1322" s="65">
        <f>CD152</f>
        <v>997</v>
      </c>
      <c r="CE1322" s="65"/>
      <c r="CF1322" s="65">
        <f>CF152</f>
        <v>947</v>
      </c>
      <c r="CG1322" s="65">
        <f>CG152</f>
        <v>870</v>
      </c>
      <c r="CH1322" s="65">
        <f>CH152</f>
        <v>870</v>
      </c>
      <c r="CI1322" s="65"/>
      <c r="CJ1322" s="65">
        <f>CJ152</f>
        <v>1158</v>
      </c>
      <c r="CK1322" s="65">
        <f>CK152</f>
        <v>1262</v>
      </c>
      <c r="CL1322" s="65">
        <f>CL152</f>
        <v>1262</v>
      </c>
      <c r="CM1322" s="65"/>
      <c r="CN1322" s="65">
        <f>CN152</f>
        <v>1378</v>
      </c>
      <c r="CO1322" s="65">
        <f>CO152</f>
        <v>1434</v>
      </c>
      <c r="CP1322" s="65">
        <f>CP152</f>
        <v>1434</v>
      </c>
      <c r="CQ1322" s="65"/>
      <c r="CR1322" s="65">
        <f>CR152</f>
        <v>1482</v>
      </c>
      <c r="CS1322" s="65">
        <f>CS152</f>
        <v>2882</v>
      </c>
      <c r="CT1322" s="65">
        <f>CT152</f>
        <v>2882</v>
      </c>
      <c r="CU1322" s="65"/>
      <c r="CV1322" s="65">
        <f>CV152</f>
        <v>3165</v>
      </c>
      <c r="CW1322" s="65">
        <f>CW152</f>
        <v>3475</v>
      </c>
      <c r="CX1322" s="65">
        <f>CX152</f>
        <v>3475</v>
      </c>
      <c r="CY1322" s="65"/>
      <c r="CZ1322" s="65">
        <f>CZ152</f>
        <v>3642</v>
      </c>
      <c r="DA1322" s="65">
        <f>DA152</f>
        <v>4237</v>
      </c>
      <c r="DB1322" s="65">
        <f>DB152</f>
        <v>4237</v>
      </c>
      <c r="DC1322" s="65"/>
      <c r="DD1322" s="65">
        <f>DD152</f>
        <v>4335</v>
      </c>
      <c r="DE1322" s="65">
        <f>DE152</f>
        <v>4500</v>
      </c>
      <c r="DF1322" s="65">
        <f>DF152</f>
        <v>4500</v>
      </c>
      <c r="DG1322" s="65"/>
      <c r="DH1322" s="65">
        <f>DH152</f>
        <v>4567.5</v>
      </c>
      <c r="DI1322" s="65">
        <f>DI152</f>
        <v>4636.0124999999998</v>
      </c>
      <c r="DJ1322" s="65">
        <f>DJ152</f>
        <v>4636.0124999999998</v>
      </c>
      <c r="DK1322" s="65"/>
      <c r="DL1322" s="65">
        <f>DL152</f>
        <v>4705.5526874999996</v>
      </c>
      <c r="DM1322" s="65">
        <f>DM152</f>
        <v>4776.1359778124988</v>
      </c>
      <c r="DN1322" s="65">
        <f>DN152</f>
        <v>4776.1359778124988</v>
      </c>
      <c r="DO1322" s="65"/>
      <c r="DP1322" s="65">
        <f>DP152</f>
        <v>4847.7780174796862</v>
      </c>
      <c r="DQ1322" s="65">
        <f>DQ152</f>
        <v>4920.4946877418806</v>
      </c>
      <c r="DR1322" s="65">
        <f>DR152</f>
        <v>4920.4946877418806</v>
      </c>
      <c r="DS1322" s="65"/>
      <c r="DT1322" s="65"/>
      <c r="DU1322" s="65"/>
      <c r="DV1322" s="65"/>
    </row>
    <row r="1323" spans="1:128" s="20" customFormat="1" ht="13.8">
      <c r="A1323" s="20" t="s">
        <v>699</v>
      </c>
      <c r="B1323" s="49"/>
      <c r="BH1323" s="65">
        <f t="shared" ref="BH1323:BJ1323" si="1915">-BH1292</f>
        <v>884</v>
      </c>
      <c r="BI1323" s="65">
        <f t="shared" si="1915"/>
        <v>979</v>
      </c>
      <c r="BJ1323" s="65">
        <f t="shared" si="1915"/>
        <v>979</v>
      </c>
      <c r="BK1323" s="65"/>
      <c r="BL1323" s="65">
        <f t="shared" ref="BL1323:BN1323" si="1916">-BL1292</f>
        <v>1058</v>
      </c>
      <c r="BM1323" s="65">
        <f t="shared" si="1916"/>
        <v>1099</v>
      </c>
      <c r="BN1323" s="65">
        <f t="shared" si="1916"/>
        <v>1099</v>
      </c>
      <c r="BO1323" s="65"/>
      <c r="BP1323" s="65">
        <f t="shared" ref="BP1323:BR1323" si="1917">-BP1292</f>
        <v>1197</v>
      </c>
      <c r="BQ1323" s="65">
        <f t="shared" si="1917"/>
        <v>1320</v>
      </c>
      <c r="BR1323" s="65">
        <f t="shared" si="1917"/>
        <v>1320</v>
      </c>
      <c r="BS1323" s="65"/>
      <c r="BT1323" s="65">
        <f t="shared" ref="BT1323:BV1323" si="1918">-BT1292</f>
        <v>1078</v>
      </c>
      <c r="BU1323" s="65">
        <f t="shared" si="1918"/>
        <v>1148</v>
      </c>
      <c r="BV1323" s="65">
        <f t="shared" si="1918"/>
        <v>1148</v>
      </c>
      <c r="BW1323" s="65"/>
      <c r="BX1323" s="65">
        <f t="shared" ref="BX1323:BZ1323" si="1919">-BX1292</f>
        <v>1129</v>
      </c>
      <c r="BY1323" s="65">
        <f t="shared" si="1919"/>
        <v>1149</v>
      </c>
      <c r="BZ1323" s="65">
        <f t="shared" si="1919"/>
        <v>1149</v>
      </c>
      <c r="CA1323" s="65"/>
      <c r="CB1323" s="65">
        <f t="shared" ref="CB1323:CD1323" si="1920">-CB1292</f>
        <v>1133</v>
      </c>
      <c r="CC1323" s="65">
        <f t="shared" si="1920"/>
        <v>1077</v>
      </c>
      <c r="CD1323" s="65">
        <f t="shared" si="1920"/>
        <v>1077</v>
      </c>
      <c r="CE1323" s="65"/>
      <c r="CF1323" s="65">
        <f t="shared" ref="CF1323:CH1323" si="1921">-CF1292</f>
        <v>1019</v>
      </c>
      <c r="CG1323" s="65">
        <f t="shared" si="1921"/>
        <v>1178</v>
      </c>
      <c r="CH1323" s="65">
        <f t="shared" si="1921"/>
        <v>1178</v>
      </c>
      <c r="CI1323" s="65"/>
      <c r="CJ1323" s="65">
        <f t="shared" ref="CJ1323:CL1323" si="1922">-CJ1292</f>
        <v>1225</v>
      </c>
      <c r="CK1323" s="65">
        <f t="shared" si="1922"/>
        <v>1316</v>
      </c>
      <c r="CL1323" s="65">
        <f t="shared" si="1922"/>
        <v>1316</v>
      </c>
      <c r="CM1323" s="65"/>
      <c r="CN1323" s="65">
        <f t="shared" ref="CN1323:CP1323" si="1923">-CN1292</f>
        <v>1431</v>
      </c>
      <c r="CO1323" s="65">
        <f t="shared" si="1923"/>
        <v>1495</v>
      </c>
      <c r="CP1323" s="65">
        <f t="shared" si="1923"/>
        <v>1495</v>
      </c>
      <c r="CQ1323" s="65"/>
      <c r="CR1323" s="65">
        <f t="shared" ref="CR1323:CT1323" si="1924">-CR1292</f>
        <v>1548</v>
      </c>
      <c r="CS1323" s="65">
        <f t="shared" si="1924"/>
        <v>1625</v>
      </c>
      <c r="CT1323" s="65">
        <f t="shared" si="1924"/>
        <v>1625</v>
      </c>
      <c r="CU1323" s="65"/>
      <c r="CV1323" s="65">
        <f>-CV1292</f>
        <v>1874</v>
      </c>
      <c r="CW1323" s="65">
        <f t="shared" ref="CW1323:CX1323" si="1925">-CW1292</f>
        <v>2099</v>
      </c>
      <c r="CX1323" s="65">
        <f t="shared" si="1925"/>
        <v>2099</v>
      </c>
      <c r="CY1323" s="65"/>
      <c r="CZ1323" s="65">
        <f>-CZ1292</f>
        <v>2240</v>
      </c>
      <c r="DA1323" s="65">
        <f t="shared" ref="DA1323:DB1323" si="1926">-DA1292</f>
        <v>2337</v>
      </c>
      <c r="DB1323" s="65">
        <f t="shared" si="1926"/>
        <v>2337</v>
      </c>
      <c r="DC1323" s="65"/>
      <c r="DD1323" s="65">
        <f>-DD1292</f>
        <v>2430</v>
      </c>
      <c r="DE1323" s="65">
        <f t="shared" ref="DE1323:DF1323" si="1927">-DE1292</f>
        <v>2550</v>
      </c>
      <c r="DF1323" s="65">
        <f t="shared" si="1927"/>
        <v>2550</v>
      </c>
      <c r="DG1323" s="65"/>
      <c r="DH1323" s="65">
        <f>+DH1324*DH1322</f>
        <v>2588.25</v>
      </c>
      <c r="DI1323" s="65">
        <f>+DI1324*DI1322</f>
        <v>2627.07375</v>
      </c>
      <c r="DJ1323" s="65">
        <f>DI1323</f>
        <v>2627.07375</v>
      </c>
      <c r="DK1323" s="65"/>
      <c r="DL1323" s="65">
        <f>+DL1324*DL1322</f>
        <v>2666.4798562499996</v>
      </c>
      <c r="DM1323" s="65">
        <f>+DM1324*DM1322</f>
        <v>2706.4770540937493</v>
      </c>
      <c r="DN1323" s="65">
        <f>DM1323</f>
        <v>2706.4770540937493</v>
      </c>
      <c r="DO1323" s="65"/>
      <c r="DP1323" s="65">
        <f>+DP1324*DP1322</f>
        <v>2747.0742099051554</v>
      </c>
      <c r="DQ1323" s="65">
        <f>+DQ1324*DQ1322</f>
        <v>2788.2803230537324</v>
      </c>
      <c r="DR1323" s="65">
        <f>DQ1323</f>
        <v>2788.2803230537324</v>
      </c>
      <c r="DS1323" s="65"/>
      <c r="DT1323" s="65"/>
      <c r="DU1323" s="65"/>
      <c r="DV1323" s="65"/>
    </row>
    <row r="1324" spans="1:128" s="335" customFormat="1" ht="13.8">
      <c r="A1324" s="335" t="s">
        <v>286</v>
      </c>
      <c r="B1324" s="336"/>
      <c r="BH1324" s="345">
        <f t="shared" ref="BH1324:BJ1324" si="1928">BH1323/BH1322</f>
        <v>1.0172612197928654</v>
      </c>
      <c r="BI1324" s="345">
        <f t="shared" si="1928"/>
        <v>1.0392781316348196</v>
      </c>
      <c r="BJ1324" s="345">
        <f t="shared" si="1928"/>
        <v>1.0392781316348196</v>
      </c>
      <c r="BK1324" s="380"/>
      <c r="BL1324" s="345">
        <f t="shared" ref="BL1324:BN1324" si="1929">BL1323/BL1322</f>
        <v>1.0580000000000001</v>
      </c>
      <c r="BM1324" s="345">
        <f t="shared" si="1929"/>
        <v>1.0536912751677852</v>
      </c>
      <c r="BN1324" s="345">
        <f t="shared" si="1929"/>
        <v>1.0536912751677852</v>
      </c>
      <c r="BO1324" s="380"/>
      <c r="BP1324" s="345">
        <f t="shared" ref="BP1324:BR1324" si="1930">BP1323/BP1322</f>
        <v>1.0621118012422359</v>
      </c>
      <c r="BQ1324" s="345">
        <f t="shared" si="1930"/>
        <v>1.0534716679968077</v>
      </c>
      <c r="BR1324" s="345">
        <f t="shared" si="1930"/>
        <v>1.0534716679968077</v>
      </c>
      <c r="BS1324" s="380"/>
      <c r="BT1324" s="345">
        <f t="shared" ref="BT1324:BV1324" si="1931">BT1323/BT1322</f>
        <v>1.0641658440276407</v>
      </c>
      <c r="BU1324" s="345">
        <f t="shared" si="1931"/>
        <v>1.0789473684210527</v>
      </c>
      <c r="BV1324" s="345">
        <f t="shared" si="1931"/>
        <v>1.0789473684210527</v>
      </c>
      <c r="BW1324" s="380"/>
      <c r="BX1324" s="345">
        <f t="shared" ref="BX1324:BZ1324" si="1932">BX1323/BX1322</f>
        <v>1.085576923076923</v>
      </c>
      <c r="BY1324" s="345">
        <f t="shared" si="1932"/>
        <v>1.0860113421550095</v>
      </c>
      <c r="BZ1324" s="345">
        <f t="shared" si="1932"/>
        <v>1.0860113421550095</v>
      </c>
      <c r="CA1324" s="380"/>
      <c r="CB1324" s="345">
        <f t="shared" ref="CB1324:CD1324" si="1933">CB1323/CB1322</f>
        <v>1.0852490421455938</v>
      </c>
      <c r="CC1324" s="345">
        <f t="shared" si="1933"/>
        <v>1.0802407221664996</v>
      </c>
      <c r="CD1324" s="345">
        <f t="shared" si="1933"/>
        <v>1.0802407221664996</v>
      </c>
      <c r="CE1324" s="380"/>
      <c r="CF1324" s="345">
        <f t="shared" ref="CF1324:CH1324" si="1934">CF1323/CF1322</f>
        <v>1.0760295670538542</v>
      </c>
      <c r="CG1324" s="345">
        <f t="shared" si="1934"/>
        <v>1.3540229885057471</v>
      </c>
      <c r="CH1324" s="345">
        <f t="shared" si="1934"/>
        <v>1.3540229885057471</v>
      </c>
      <c r="CI1324" s="380"/>
      <c r="CJ1324" s="345">
        <f t="shared" ref="CJ1324:CL1324" si="1935">CJ1323/CJ1322</f>
        <v>1.0578583765112262</v>
      </c>
      <c r="CK1324" s="345">
        <f t="shared" si="1935"/>
        <v>1.0427892234548335</v>
      </c>
      <c r="CL1324" s="345">
        <f t="shared" si="1935"/>
        <v>1.0427892234548335</v>
      </c>
      <c r="CM1324" s="380"/>
      <c r="CN1324" s="345">
        <f t="shared" ref="CN1324:CP1324" si="1936">CN1323/CN1322</f>
        <v>1.0384615384615385</v>
      </c>
      <c r="CO1324" s="345">
        <f t="shared" si="1936"/>
        <v>1.0425383542538353</v>
      </c>
      <c r="CP1324" s="345">
        <f t="shared" si="1936"/>
        <v>1.0425383542538353</v>
      </c>
      <c r="CQ1324" s="380"/>
      <c r="CR1324" s="345">
        <f t="shared" ref="CR1324:CT1324" si="1937">CR1323/CR1322</f>
        <v>1.0445344129554657</v>
      </c>
      <c r="CS1324" s="345">
        <f t="shared" si="1937"/>
        <v>0.56384455239417075</v>
      </c>
      <c r="CT1324" s="345">
        <f t="shared" si="1937"/>
        <v>0.56384455239417075</v>
      </c>
      <c r="CU1324" s="380"/>
      <c r="CV1324" s="345">
        <f>CV1323/CV1322</f>
        <v>0.59210110584518172</v>
      </c>
      <c r="CW1324" s="345">
        <f t="shared" ref="CW1324:CX1324" si="1938">CW1323/CW1322</f>
        <v>0.60402877697841728</v>
      </c>
      <c r="CX1324" s="345">
        <f t="shared" si="1938"/>
        <v>0.60402877697841728</v>
      </c>
      <c r="CY1324" s="380"/>
      <c r="CZ1324" s="345">
        <f>CZ1323/CZ1322</f>
        <v>0.61504667764964305</v>
      </c>
      <c r="DA1324" s="345">
        <f t="shared" ref="DA1324:DB1324" si="1939">DA1323/DA1322</f>
        <v>0.55156950672645744</v>
      </c>
      <c r="DB1324" s="345">
        <f t="shared" si="1939"/>
        <v>0.55156950672645744</v>
      </c>
      <c r="DC1324" s="380"/>
      <c r="DD1324" s="345">
        <f>DD1323/DD1322</f>
        <v>0.56055363321799312</v>
      </c>
      <c r="DE1324" s="345">
        <f t="shared" ref="DE1324:DF1324" si="1940">DE1323/DE1322</f>
        <v>0.56666666666666665</v>
      </c>
      <c r="DF1324" s="345">
        <f t="shared" si="1940"/>
        <v>0.56666666666666665</v>
      </c>
      <c r="DG1324" s="380"/>
      <c r="DH1324" s="346">
        <f>DE1324</f>
        <v>0.56666666666666665</v>
      </c>
      <c r="DI1324" s="346">
        <f>DH1324</f>
        <v>0.56666666666666665</v>
      </c>
      <c r="DJ1324" s="345">
        <f>DJ1323/DJ1322</f>
        <v>0.56666666666666665</v>
      </c>
      <c r="DK1324" s="380"/>
      <c r="DL1324" s="346">
        <f>DI1324</f>
        <v>0.56666666666666665</v>
      </c>
      <c r="DM1324" s="346">
        <f>DL1324</f>
        <v>0.56666666666666665</v>
      </c>
      <c r="DN1324" s="345">
        <f>DN1323/DN1322</f>
        <v>0.56666666666666665</v>
      </c>
      <c r="DO1324" s="380"/>
      <c r="DP1324" s="346">
        <f>DM1324</f>
        <v>0.56666666666666665</v>
      </c>
      <c r="DQ1324" s="346">
        <f>DP1324</f>
        <v>0.56666666666666665</v>
      </c>
      <c r="DR1324" s="345">
        <f>DR1323/DR1322</f>
        <v>0.56666666666666665</v>
      </c>
      <c r="DS1324" s="380"/>
      <c r="DT1324" s="380"/>
      <c r="DU1324" s="380"/>
      <c r="DV1324" s="380"/>
      <c r="DW1324" s="20"/>
      <c r="DX1324" s="20"/>
    </row>
    <row r="1325" spans="1:128" s="20" customFormat="1" ht="13.8">
      <c r="A1325" s="21"/>
      <c r="B1325" s="49"/>
      <c r="BH1325" s="65"/>
      <c r="BI1325" s="65"/>
      <c r="BJ1325" s="65"/>
      <c r="BK1325" s="65"/>
      <c r="BL1325" s="65"/>
      <c r="BM1325" s="65"/>
      <c r="BN1325" s="65"/>
      <c r="BO1325" s="65"/>
      <c r="BP1325" s="65"/>
      <c r="BQ1325" s="65"/>
      <c r="BR1325" s="65"/>
      <c r="BS1325" s="65"/>
      <c r="BT1325" s="65"/>
      <c r="BU1325" s="65"/>
      <c r="BV1325" s="65"/>
      <c r="BW1325" s="65"/>
      <c r="BX1325" s="65"/>
      <c r="BY1325" s="65"/>
      <c r="BZ1325" s="65"/>
      <c r="CA1325" s="65"/>
      <c r="CB1325" s="65"/>
      <c r="CC1325" s="65"/>
      <c r="CD1325" s="65"/>
      <c r="CE1325" s="65"/>
      <c r="CF1325" s="65"/>
      <c r="CG1325" s="65"/>
      <c r="CH1325" s="65"/>
      <c r="CI1325" s="65"/>
      <c r="CJ1325" s="65"/>
      <c r="CK1325" s="65"/>
      <c r="CL1325" s="65"/>
      <c r="CM1325" s="65"/>
      <c r="CN1325" s="65"/>
      <c r="CO1325" s="65"/>
      <c r="CP1325" s="65"/>
      <c r="CQ1325" s="65"/>
      <c r="CR1325" s="65"/>
      <c r="CS1325" s="65"/>
      <c r="CT1325" s="65"/>
      <c r="CU1325" s="65"/>
      <c r="CV1325" s="65"/>
      <c r="CW1325" s="65"/>
      <c r="CX1325" s="65"/>
      <c r="CY1325" s="65"/>
      <c r="CZ1325" s="65"/>
      <c r="DA1325" s="65"/>
      <c r="DB1325" s="65"/>
      <c r="DC1325" s="65"/>
      <c r="DD1325" s="65"/>
      <c r="DE1325" s="65"/>
      <c r="DF1325" s="65"/>
      <c r="DG1325" s="65"/>
      <c r="DH1325" s="65"/>
      <c r="DI1325" s="65"/>
      <c r="DJ1325" s="65"/>
      <c r="DK1325" s="65"/>
      <c r="DL1325" s="65"/>
      <c r="DM1325" s="65"/>
      <c r="DN1325" s="65"/>
      <c r="DO1325" s="65"/>
      <c r="DP1325" s="65"/>
      <c r="DQ1325" s="65"/>
      <c r="DR1325" s="65"/>
      <c r="DS1325" s="65"/>
      <c r="DT1325" s="65"/>
      <c r="DU1325" s="65"/>
      <c r="DV1325" s="65"/>
    </row>
    <row r="1326" spans="1:128" s="20" customFormat="1" ht="13.8">
      <c r="A1326" s="20" t="s">
        <v>698</v>
      </c>
      <c r="B1326" s="49"/>
      <c r="BH1326" s="65">
        <f>BH413</f>
        <v>1857</v>
      </c>
      <c r="BI1326" s="65">
        <f>BI413</f>
        <v>2170</v>
      </c>
      <c r="BJ1326" s="65">
        <f>BJ413</f>
        <v>2170</v>
      </c>
      <c r="BK1326" s="65"/>
      <c r="BL1326" s="65">
        <f>BL413</f>
        <v>2332</v>
      </c>
      <c r="BM1326" s="65">
        <f>BM413</f>
        <v>2533</v>
      </c>
      <c r="BN1326" s="65">
        <f>BN413</f>
        <v>2533</v>
      </c>
      <c r="BO1326" s="65"/>
      <c r="BP1326" s="65">
        <f>BP413</f>
        <v>2689</v>
      </c>
      <c r="BQ1326" s="65">
        <f>BQ413</f>
        <v>2893</v>
      </c>
      <c r="BR1326" s="65">
        <f>BR413</f>
        <v>2893</v>
      </c>
      <c r="BS1326" s="65"/>
      <c r="BT1326" s="65">
        <f>BT413</f>
        <v>2249</v>
      </c>
      <c r="BU1326" s="65">
        <f>BU413</f>
        <v>2202</v>
      </c>
      <c r="BV1326" s="65">
        <f>BV413</f>
        <v>2202</v>
      </c>
      <c r="BW1326" s="65"/>
      <c r="BX1326" s="65">
        <f>BX413</f>
        <v>1917</v>
      </c>
      <c r="BY1326" s="65">
        <f>BY413</f>
        <v>1856</v>
      </c>
      <c r="BZ1326" s="65">
        <f>BZ413</f>
        <v>1856</v>
      </c>
      <c r="CA1326" s="65"/>
      <c r="CB1326" s="65">
        <f>CB413</f>
        <v>1775</v>
      </c>
      <c r="CC1326" s="65">
        <f>CC413</f>
        <v>1421</v>
      </c>
      <c r="CD1326" s="65">
        <f>CD413</f>
        <v>1421</v>
      </c>
      <c r="CE1326" s="65"/>
      <c r="CF1326" s="65">
        <f>CF413</f>
        <v>1368</v>
      </c>
      <c r="CG1326" s="65">
        <f>CG413</f>
        <v>1323</v>
      </c>
      <c r="CH1326" s="65">
        <f>CH413</f>
        <v>1323</v>
      </c>
      <c r="CI1326" s="65"/>
      <c r="CJ1326" s="65">
        <f>CJ413</f>
        <v>1263</v>
      </c>
      <c r="CK1326" s="65">
        <f>CK413</f>
        <v>1039</v>
      </c>
      <c r="CL1326" s="65">
        <f>CL413</f>
        <v>1039</v>
      </c>
      <c r="CM1326" s="65"/>
      <c r="CN1326" s="65">
        <f>CN413</f>
        <v>961</v>
      </c>
      <c r="CO1326" s="65">
        <f>CO413</f>
        <v>960</v>
      </c>
      <c r="CP1326" s="65">
        <f>CP413</f>
        <v>960</v>
      </c>
      <c r="CQ1326" s="65"/>
      <c r="CR1326" s="65">
        <f>CR413</f>
        <v>924</v>
      </c>
      <c r="CS1326" s="65">
        <f>CS413</f>
        <v>896</v>
      </c>
      <c r="CT1326" s="65">
        <f>CT413</f>
        <v>896</v>
      </c>
      <c r="CU1326" s="65"/>
      <c r="CV1326" s="65">
        <f>CV413</f>
        <v>877</v>
      </c>
      <c r="CW1326" s="65">
        <f>CW413</f>
        <v>919</v>
      </c>
      <c r="CX1326" s="65">
        <f>CX413</f>
        <v>919</v>
      </c>
      <c r="CY1326" s="65"/>
      <c r="CZ1326" s="65">
        <f>CZ413</f>
        <v>905</v>
      </c>
      <c r="DA1326" s="65">
        <f>DA413</f>
        <v>1020</v>
      </c>
      <c r="DB1326" s="65">
        <f>DB413</f>
        <v>1020</v>
      </c>
      <c r="DC1326" s="65"/>
      <c r="DD1326" s="65">
        <f>DD413</f>
        <v>1001</v>
      </c>
      <c r="DE1326" s="65">
        <f>DE413</f>
        <v>999</v>
      </c>
      <c r="DF1326" s="65">
        <f>DF413</f>
        <v>999</v>
      </c>
      <c r="DG1326" s="65"/>
      <c r="DH1326" s="65">
        <f>DH413</f>
        <v>947.49031296572275</v>
      </c>
      <c r="DI1326" s="65">
        <f>DI413</f>
        <v>926.18155912641748</v>
      </c>
      <c r="DJ1326" s="65">
        <f>DJ413</f>
        <v>926.1815591264176</v>
      </c>
      <c r="DK1326" s="65"/>
      <c r="DL1326" s="65">
        <f>DL413</f>
        <v>889.1415076358229</v>
      </c>
      <c r="DM1326" s="65">
        <f>DM413</f>
        <v>879.49085675953472</v>
      </c>
      <c r="DN1326" s="65">
        <f>DN413</f>
        <v>879.49085675953461</v>
      </c>
      <c r="DO1326" s="65"/>
      <c r="DP1326" s="65">
        <f>DP413</f>
        <v>851.24852383713994</v>
      </c>
      <c r="DQ1326" s="65">
        <f>DQ413</f>
        <v>849.6335971242047</v>
      </c>
      <c r="DR1326" s="65">
        <f>DR413</f>
        <v>849.6335971242047</v>
      </c>
      <c r="DS1326" s="65"/>
      <c r="DT1326" s="65"/>
      <c r="DU1326" s="65"/>
      <c r="DV1326" s="65"/>
    </row>
    <row r="1327" spans="1:128" s="20" customFormat="1" ht="13.8">
      <c r="A1327" s="20" t="s">
        <v>699</v>
      </c>
      <c r="B1327" s="49"/>
      <c r="BH1327" s="65">
        <f>-BH1293</f>
        <v>1800</v>
      </c>
      <c r="BI1327" s="65">
        <f>-BI1293</f>
        <v>2102</v>
      </c>
      <c r="BJ1327" s="65">
        <f>-BJ1293</f>
        <v>2102</v>
      </c>
      <c r="BK1327" s="65"/>
      <c r="BL1327" s="65">
        <f>-BL1293</f>
        <v>2252</v>
      </c>
      <c r="BM1327" s="65">
        <f>-BM1293</f>
        <v>2401</v>
      </c>
      <c r="BN1327" s="65">
        <f>-BN1293</f>
        <v>2401</v>
      </c>
      <c r="BO1327" s="65"/>
      <c r="BP1327" s="65">
        <f>-BP1293</f>
        <v>2631</v>
      </c>
      <c r="BQ1327" s="65">
        <f>-BQ1293</f>
        <v>2832</v>
      </c>
      <c r="BR1327" s="65">
        <f>-BR1293</f>
        <v>2832</v>
      </c>
      <c r="BS1327" s="65"/>
      <c r="BT1327" s="65">
        <f>-BT1293</f>
        <v>2190</v>
      </c>
      <c r="BU1327" s="65">
        <f>-BU1293</f>
        <v>2139</v>
      </c>
      <c r="BV1327" s="65">
        <f>-BV1293</f>
        <v>2139</v>
      </c>
      <c r="BW1327" s="65"/>
      <c r="BX1327" s="65">
        <f>-BX1293</f>
        <v>1887</v>
      </c>
      <c r="BY1327" s="65">
        <f>-BY1293</f>
        <v>1826</v>
      </c>
      <c r="BZ1327" s="65">
        <f>-BZ1293</f>
        <v>1826</v>
      </c>
      <c r="CA1327" s="65"/>
      <c r="CB1327" s="65">
        <f>-CB1293</f>
        <v>1745</v>
      </c>
      <c r="CC1327" s="65">
        <f>-CC1293</f>
        <v>1421</v>
      </c>
      <c r="CD1327" s="65">
        <f>-CD1293</f>
        <v>1421</v>
      </c>
      <c r="CE1327" s="65"/>
      <c r="CF1327" s="65">
        <f>-CF1293</f>
        <v>1360</v>
      </c>
      <c r="CG1327" s="65">
        <f>-CG1293</f>
        <v>1322</v>
      </c>
      <c r="CH1327" s="65">
        <f>-CH1293</f>
        <v>1322</v>
      </c>
      <c r="CI1327" s="65"/>
      <c r="CJ1327" s="65">
        <f>-CJ1293</f>
        <v>1263</v>
      </c>
      <c r="CK1327" s="65">
        <f>-CK1293</f>
        <v>1039</v>
      </c>
      <c r="CL1327" s="65">
        <f>-CL1293</f>
        <v>1039</v>
      </c>
      <c r="CM1327" s="65"/>
      <c r="CN1327" s="65">
        <f>-CN1293</f>
        <v>961</v>
      </c>
      <c r="CO1327" s="65">
        <f>-CO1293</f>
        <v>960</v>
      </c>
      <c r="CP1327" s="65">
        <f>-CP1293</f>
        <v>960</v>
      </c>
      <c r="CQ1327" s="65"/>
      <c r="CR1327" s="65">
        <f>-CR1293</f>
        <v>924</v>
      </c>
      <c r="CS1327" s="65">
        <f>-CS1293</f>
        <v>896</v>
      </c>
      <c r="CT1327" s="65">
        <f>-CT1293</f>
        <v>896</v>
      </c>
      <c r="CU1327" s="65"/>
      <c r="CV1327" s="65">
        <f>-CV1293</f>
        <v>868</v>
      </c>
      <c r="CW1327" s="65">
        <f>-CW1293</f>
        <v>913</v>
      </c>
      <c r="CX1327" s="65">
        <f>-CX1293</f>
        <v>913</v>
      </c>
      <c r="CY1327" s="65"/>
      <c r="CZ1327" s="65">
        <f>-CZ1293</f>
        <v>902</v>
      </c>
      <c r="DA1327" s="65">
        <f>-DA1293</f>
        <v>1015</v>
      </c>
      <c r="DB1327" s="65">
        <f>-DB1293</f>
        <v>1015</v>
      </c>
      <c r="DC1327" s="65"/>
      <c r="DD1327" s="65">
        <f>-DD1293</f>
        <v>997</v>
      </c>
      <c r="DE1327" s="65">
        <f>-DE1293</f>
        <v>996</v>
      </c>
      <c r="DF1327" s="65">
        <f>-DF1293</f>
        <v>996</v>
      </c>
      <c r="DG1327" s="65"/>
      <c r="DH1327" s="65">
        <f>+DH1328*DH1326</f>
        <v>944.64499671057035</v>
      </c>
      <c r="DI1327" s="65">
        <f>+DI1328*DI1326</f>
        <v>923.40023312303481</v>
      </c>
      <c r="DJ1327" s="65">
        <f>DI1327</f>
        <v>923.40023312303481</v>
      </c>
      <c r="DK1327" s="65"/>
      <c r="DL1327" s="65">
        <f>+DL1328*DL1326</f>
        <v>886.47141301829788</v>
      </c>
      <c r="DM1327" s="65">
        <f>+DM1328*DM1326</f>
        <v>876.84974307557206</v>
      </c>
      <c r="DN1327" s="65">
        <f>DM1327</f>
        <v>876.84974307557206</v>
      </c>
      <c r="DO1327" s="65"/>
      <c r="DP1327" s="65">
        <f>+DP1328*DP1326</f>
        <v>848.69222196375506</v>
      </c>
      <c r="DQ1327" s="65">
        <f>+DQ1328*DQ1326</f>
        <v>847.08214488058843</v>
      </c>
      <c r="DR1327" s="65">
        <f>DQ1327</f>
        <v>847.08214488058843</v>
      </c>
      <c r="DS1327" s="65"/>
      <c r="DT1327" s="65"/>
      <c r="DU1327" s="65"/>
      <c r="DV1327" s="65"/>
    </row>
    <row r="1328" spans="1:128" s="335" customFormat="1" ht="13.8">
      <c r="A1328" s="335" t="s">
        <v>286</v>
      </c>
      <c r="B1328" s="336"/>
      <c r="BH1328" s="345">
        <f>BH1327/BH1326</f>
        <v>0.96930533117932149</v>
      </c>
      <c r="BI1328" s="345">
        <f>BI1327/BI1326</f>
        <v>0.96866359447004613</v>
      </c>
      <c r="BJ1328" s="345">
        <f>BJ1327/BJ1326</f>
        <v>0.96866359447004613</v>
      </c>
      <c r="BK1328" s="380"/>
      <c r="BL1328" s="345">
        <f>BL1327/BL1326</f>
        <v>0.96569468267581471</v>
      </c>
      <c r="BM1328" s="345">
        <f>BM1327/BM1326</f>
        <v>0.94788787998420843</v>
      </c>
      <c r="BN1328" s="345">
        <f>BN1327/BN1326</f>
        <v>0.94788787998420843</v>
      </c>
      <c r="BO1328" s="380"/>
      <c r="BP1328" s="345">
        <f>BP1327/BP1326</f>
        <v>0.9784306433618446</v>
      </c>
      <c r="BQ1328" s="345">
        <f>BQ1327/BQ1326</f>
        <v>0.97891462150017283</v>
      </c>
      <c r="BR1328" s="345">
        <f>BR1327/BR1326</f>
        <v>0.97891462150017283</v>
      </c>
      <c r="BS1328" s="380"/>
      <c r="BT1328" s="345">
        <f>BT1327/BT1326</f>
        <v>0.97376611827478876</v>
      </c>
      <c r="BU1328" s="345">
        <f>BU1327/BU1326</f>
        <v>0.97138964577656672</v>
      </c>
      <c r="BV1328" s="345">
        <f>BV1327/BV1326</f>
        <v>0.97138964577656672</v>
      </c>
      <c r="BW1328" s="380"/>
      <c r="BX1328" s="345">
        <f>BX1327/BX1326</f>
        <v>0.98435054773082942</v>
      </c>
      <c r="BY1328" s="345">
        <f>BY1327/BY1326</f>
        <v>0.98383620689655171</v>
      </c>
      <c r="BZ1328" s="345">
        <f>BZ1327/BZ1326</f>
        <v>0.98383620689655171</v>
      </c>
      <c r="CA1328" s="380"/>
      <c r="CB1328" s="345">
        <f>CB1327/CB1326</f>
        <v>0.9830985915492958</v>
      </c>
      <c r="CC1328" s="345">
        <f>CC1327/CC1326</f>
        <v>1</v>
      </c>
      <c r="CD1328" s="345">
        <f>CD1327/CD1326</f>
        <v>1</v>
      </c>
      <c r="CE1328" s="380"/>
      <c r="CF1328" s="345">
        <f>CF1327/CF1326</f>
        <v>0.99415204678362568</v>
      </c>
      <c r="CG1328" s="345">
        <f>CG1327/CG1326</f>
        <v>0.99924414210128498</v>
      </c>
      <c r="CH1328" s="345">
        <f>CH1327/CH1326</f>
        <v>0.99924414210128498</v>
      </c>
      <c r="CI1328" s="380"/>
      <c r="CJ1328" s="345">
        <f>CJ1327/CJ1326</f>
        <v>1</v>
      </c>
      <c r="CK1328" s="345">
        <f>CK1327/CK1326</f>
        <v>1</v>
      </c>
      <c r="CL1328" s="345">
        <f>CL1327/CL1326</f>
        <v>1</v>
      </c>
      <c r="CM1328" s="380"/>
      <c r="CN1328" s="345">
        <f>CN1327/CN1326</f>
        <v>1</v>
      </c>
      <c r="CO1328" s="345">
        <f>CO1327/CO1326</f>
        <v>1</v>
      </c>
      <c r="CP1328" s="345">
        <f>CP1327/CP1326</f>
        <v>1</v>
      </c>
      <c r="CQ1328" s="380"/>
      <c r="CR1328" s="345">
        <f>CR1327/CR1326</f>
        <v>1</v>
      </c>
      <c r="CS1328" s="345">
        <f>CS1327/CS1326</f>
        <v>1</v>
      </c>
      <c r="CT1328" s="345">
        <f>CT1327/CT1326</f>
        <v>1</v>
      </c>
      <c r="CU1328" s="380"/>
      <c r="CV1328" s="345">
        <f>CV1327/CV1326</f>
        <v>0.98973774230330669</v>
      </c>
      <c r="CW1328" s="345">
        <f>CW1327/CW1326</f>
        <v>0.9934711643090316</v>
      </c>
      <c r="CX1328" s="345">
        <f>CX1327/CX1326</f>
        <v>0.9934711643090316</v>
      </c>
      <c r="CY1328" s="380"/>
      <c r="CZ1328" s="345">
        <f>CZ1327/CZ1326</f>
        <v>0.99668508287292823</v>
      </c>
      <c r="DA1328" s="345">
        <f>DA1327/DA1326</f>
        <v>0.99509803921568629</v>
      </c>
      <c r="DB1328" s="345">
        <f>DB1327/DB1326</f>
        <v>0.99509803921568629</v>
      </c>
      <c r="DC1328" s="380"/>
      <c r="DD1328" s="345">
        <f>DD1327/DD1326</f>
        <v>0.99600399600399603</v>
      </c>
      <c r="DE1328" s="345">
        <f>DE1327/DE1326</f>
        <v>0.99699699699699695</v>
      </c>
      <c r="DF1328" s="345">
        <f>DF1327/DF1326</f>
        <v>0.99699699699699695</v>
      </c>
      <c r="DG1328" s="380"/>
      <c r="DH1328" s="346">
        <f>DE1328</f>
        <v>0.99699699699699695</v>
      </c>
      <c r="DI1328" s="346">
        <f>DH1328</f>
        <v>0.99699699699699695</v>
      </c>
      <c r="DJ1328" s="345">
        <f>DJ1327/DJ1326</f>
        <v>0.99699699699699684</v>
      </c>
      <c r="DK1328" s="380"/>
      <c r="DL1328" s="346">
        <f>DI1328</f>
        <v>0.99699699699699695</v>
      </c>
      <c r="DM1328" s="346">
        <f>DL1328</f>
        <v>0.99699699699699695</v>
      </c>
      <c r="DN1328" s="345">
        <f>DN1327/DN1326</f>
        <v>0.99699699699699706</v>
      </c>
      <c r="DO1328" s="380"/>
      <c r="DP1328" s="346">
        <f>DM1328</f>
        <v>0.99699699699699695</v>
      </c>
      <c r="DQ1328" s="346">
        <f>DP1328</f>
        <v>0.99699699699699695</v>
      </c>
      <c r="DR1328" s="345">
        <f>DR1327/DR1326</f>
        <v>0.99699699699699695</v>
      </c>
      <c r="DS1328" s="380"/>
      <c r="DT1328" s="380"/>
      <c r="DU1328" s="380"/>
      <c r="DV1328" s="380"/>
      <c r="DW1328" s="20"/>
      <c r="DX1328" s="20"/>
    </row>
    <row r="1329" spans="1:128" s="20" customFormat="1" ht="13.8">
      <c r="A1329" s="21"/>
      <c r="B1329" s="49"/>
      <c r="BH1329" s="65"/>
      <c r="BI1329" s="65"/>
      <c r="BJ1329" s="65"/>
      <c r="BK1329" s="65"/>
      <c r="BL1329" s="65"/>
      <c r="BM1329" s="65"/>
      <c r="BN1329" s="65"/>
      <c r="BO1329" s="65"/>
      <c r="BP1329" s="65"/>
      <c r="BQ1329" s="65"/>
      <c r="BR1329" s="65"/>
      <c r="BS1329" s="65"/>
      <c r="BT1329" s="65"/>
      <c r="BU1329" s="65"/>
      <c r="BV1329" s="65"/>
      <c r="BW1329" s="65"/>
      <c r="BX1329" s="65"/>
      <c r="BY1329" s="65"/>
      <c r="BZ1329" s="65"/>
      <c r="CA1329" s="65"/>
      <c r="CB1329" s="65"/>
      <c r="CC1329" s="65"/>
      <c r="CD1329" s="65"/>
      <c r="CE1329" s="65"/>
      <c r="CF1329" s="65"/>
      <c r="CG1329" s="65"/>
      <c r="CH1329" s="65"/>
      <c r="CI1329" s="65"/>
      <c r="CJ1329" s="65"/>
      <c r="CK1329" s="65"/>
      <c r="CL1329" s="65"/>
      <c r="CM1329" s="65"/>
      <c r="CN1329" s="65"/>
      <c r="CO1329" s="65"/>
      <c r="CP1329" s="65"/>
      <c r="CQ1329" s="65"/>
      <c r="CR1329" s="65"/>
      <c r="CS1329" s="65"/>
      <c r="CT1329" s="65"/>
      <c r="CU1329" s="65"/>
      <c r="CV1329" s="65"/>
      <c r="CW1329" s="65"/>
      <c r="CX1329" s="65"/>
      <c r="CY1329" s="65"/>
      <c r="CZ1329" s="65"/>
      <c r="DA1329" s="65"/>
      <c r="DB1329" s="65"/>
      <c r="DC1329" s="65"/>
      <c r="DD1329" s="65"/>
      <c r="DE1329" s="65"/>
      <c r="DF1329" s="65"/>
      <c r="DG1329" s="65"/>
      <c r="DH1329" s="65"/>
      <c r="DI1329" s="65"/>
      <c r="DJ1329" s="65"/>
      <c r="DK1329" s="65"/>
      <c r="DL1329" s="65"/>
      <c r="DM1329" s="65"/>
      <c r="DN1329" s="65"/>
      <c r="DO1329" s="65"/>
      <c r="DP1329" s="65"/>
      <c r="DQ1329" s="65"/>
      <c r="DR1329" s="65"/>
      <c r="DS1329" s="65"/>
      <c r="DT1329" s="65"/>
      <c r="DU1329" s="65"/>
      <c r="DV1329" s="65"/>
    </row>
    <row r="1330" spans="1:128" s="20" customFormat="1" ht="13.8">
      <c r="A1330" s="20" t="s">
        <v>368</v>
      </c>
      <c r="B1330" s="49"/>
      <c r="BH1330" s="65"/>
      <c r="BI1330" s="65"/>
      <c r="BJ1330" s="65"/>
      <c r="BK1330" s="65"/>
      <c r="BL1330" s="65"/>
      <c r="BM1330" s="65"/>
      <c r="BN1330" s="65"/>
      <c r="BO1330" s="65"/>
      <c r="BP1330" s="65"/>
      <c r="BQ1330" s="65"/>
      <c r="BR1330" s="65"/>
      <c r="BS1330" s="65"/>
      <c r="BT1330" s="65"/>
      <c r="BU1330" s="65"/>
      <c r="BV1330" s="65"/>
      <c r="BW1330" s="65"/>
      <c r="BX1330" s="65"/>
      <c r="BY1330" s="65"/>
      <c r="BZ1330" s="65"/>
      <c r="CA1330" s="65"/>
      <c r="CB1330" s="65"/>
      <c r="CC1330" s="65"/>
      <c r="CD1330" s="65"/>
      <c r="CE1330" s="65"/>
      <c r="CF1330" s="65"/>
      <c r="CG1330" s="65"/>
      <c r="CH1330" s="65"/>
      <c r="CI1330" s="65"/>
      <c r="CJ1330" s="65"/>
      <c r="CK1330" s="65"/>
      <c r="CL1330" s="65"/>
      <c r="CM1330" s="65"/>
      <c r="CN1330" s="65"/>
      <c r="CO1330" s="65"/>
      <c r="CP1330" s="65"/>
      <c r="CQ1330" s="65"/>
      <c r="CR1330" s="65"/>
      <c r="CS1330" s="65"/>
      <c r="CT1330" s="65"/>
      <c r="CU1330" s="65"/>
      <c r="CV1330" s="65"/>
      <c r="CW1330" s="65"/>
      <c r="CX1330" s="65"/>
      <c r="CY1330" s="65"/>
      <c r="CZ1330" s="65"/>
      <c r="DA1330" s="65"/>
      <c r="DB1330" s="65"/>
      <c r="DC1330" s="65"/>
      <c r="DD1330" s="65"/>
      <c r="DE1330" s="65"/>
      <c r="DF1330" s="65"/>
      <c r="DG1330" s="65"/>
      <c r="DH1330" s="65"/>
      <c r="DI1330" s="65"/>
      <c r="DJ1330" s="65"/>
      <c r="DK1330" s="65"/>
      <c r="DL1330" s="65"/>
      <c r="DM1330" s="65"/>
      <c r="DN1330" s="65"/>
      <c r="DO1330" s="65"/>
      <c r="DP1330" s="65"/>
      <c r="DQ1330" s="65"/>
      <c r="DR1330" s="65"/>
      <c r="DS1330" s="65"/>
      <c r="DT1330" s="65"/>
      <c r="DU1330" s="65"/>
      <c r="DV1330" s="65"/>
    </row>
    <row r="1331" spans="1:128" s="20" customFormat="1" ht="13.8">
      <c r="A1331" s="20" t="s">
        <v>310</v>
      </c>
      <c r="B1331" s="49"/>
      <c r="BH1331" s="67">
        <f>327+721</f>
        <v>1048</v>
      </c>
      <c r="BI1331" s="65">
        <f>BH1334</f>
        <v>1726</v>
      </c>
      <c r="BJ1331" s="65">
        <f>BH1331</f>
        <v>1048</v>
      </c>
      <c r="BK1331" s="65"/>
      <c r="BL1331" s="65">
        <f>BI1334</f>
        <v>1512</v>
      </c>
      <c r="BM1331" s="65">
        <f>BL1334</f>
        <v>1412</v>
      </c>
      <c r="BN1331" s="65">
        <f>BL1331</f>
        <v>1512</v>
      </c>
      <c r="BO1331" s="65"/>
      <c r="BP1331" s="65">
        <f>BM1334</f>
        <v>1381</v>
      </c>
      <c r="BQ1331" s="65">
        <f>BP1334</f>
        <v>1391</v>
      </c>
      <c r="BR1331" s="65">
        <f>BP1331</f>
        <v>1381</v>
      </c>
      <c r="BS1331" s="65"/>
      <c r="BT1331" s="65">
        <f>BQ1334</f>
        <v>1646</v>
      </c>
      <c r="BU1331" s="65">
        <f>BT1334</f>
        <v>2046</v>
      </c>
      <c r="BV1331" s="65">
        <f>BT1331</f>
        <v>1646</v>
      </c>
      <c r="BW1331" s="65"/>
      <c r="BX1331" s="65">
        <f>BU1334</f>
        <v>2049</v>
      </c>
      <c r="BY1331" s="65">
        <f>BX1334</f>
        <v>2023</v>
      </c>
      <c r="BZ1331" s="65">
        <f>BX1331</f>
        <v>2049</v>
      </c>
      <c r="CA1331" s="65"/>
      <c r="CB1331" s="65">
        <f>BY1334</f>
        <v>2024</v>
      </c>
      <c r="CC1331" s="65">
        <f>CB1334</f>
        <v>2025</v>
      </c>
      <c r="CD1331" s="65">
        <f>CB1331</f>
        <v>2024</v>
      </c>
      <c r="CE1331" s="65"/>
      <c r="CF1331" s="65">
        <f>CC1334</f>
        <v>1020</v>
      </c>
      <c r="CG1331" s="65">
        <f>CF1334</f>
        <v>1005</v>
      </c>
      <c r="CH1331" s="65">
        <f>CF1331</f>
        <v>1020</v>
      </c>
      <c r="CI1331" s="65"/>
      <c r="CJ1331" s="65">
        <f>CG1334</f>
        <v>439</v>
      </c>
      <c r="CK1331" s="65">
        <f>CJ1334</f>
        <v>336</v>
      </c>
      <c r="CL1331" s="65">
        <f>CJ1331</f>
        <v>439</v>
      </c>
      <c r="CM1331" s="65"/>
      <c r="CN1331" s="65">
        <f>CK1334</f>
        <v>336</v>
      </c>
      <c r="CO1331" s="65">
        <f>CN1334</f>
        <v>336</v>
      </c>
      <c r="CP1331" s="65">
        <f>CN1331</f>
        <v>336</v>
      </c>
      <c r="CQ1331" s="65"/>
      <c r="CR1331" s="65">
        <f>CO1334</f>
        <v>356</v>
      </c>
      <c r="CS1331" s="65">
        <f>CR1334</f>
        <v>347</v>
      </c>
      <c r="CT1331" s="65">
        <f>CR1331</f>
        <v>356</v>
      </c>
      <c r="CU1331" s="65"/>
      <c r="CV1331" s="65">
        <f>CS1334</f>
        <v>348</v>
      </c>
      <c r="CW1331" s="65">
        <f>CV1334</f>
        <v>284</v>
      </c>
      <c r="CX1331" s="65">
        <f>CV1331</f>
        <v>348</v>
      </c>
      <c r="CY1331" s="65"/>
      <c r="CZ1331" s="65">
        <f>CW1334</f>
        <v>225</v>
      </c>
      <c r="DA1331" s="65">
        <f>CZ1334</f>
        <v>225</v>
      </c>
      <c r="DB1331" s="65">
        <f>CZ1331</f>
        <v>225</v>
      </c>
      <c r="DC1331" s="65"/>
      <c r="DD1331" s="65">
        <f>DA1334</f>
        <v>225</v>
      </c>
      <c r="DE1331" s="65">
        <f>DD1334</f>
        <v>225</v>
      </c>
      <c r="DF1331" s="65">
        <f>DD1331</f>
        <v>225</v>
      </c>
      <c r="DG1331" s="65"/>
      <c r="DH1331" s="65">
        <f>DE1334</f>
        <v>225</v>
      </c>
      <c r="DI1331" s="65">
        <f>DH1334</f>
        <v>228.36575342465753</v>
      </c>
      <c r="DJ1331" s="65">
        <f>DH1331</f>
        <v>225</v>
      </c>
      <c r="DK1331" s="65"/>
      <c r="DL1331" s="65">
        <f>DI1334</f>
        <v>231.80062462000376</v>
      </c>
      <c r="DM1331" s="65">
        <f>DL1334</f>
        <v>235.26810793623724</v>
      </c>
      <c r="DN1331" s="65">
        <f>DL1331</f>
        <v>231.80062462000376</v>
      </c>
      <c r="DO1331" s="65"/>
      <c r="DP1331" s="65">
        <f>DM1334</f>
        <v>238.80679810766173</v>
      </c>
      <c r="DQ1331" s="65">
        <f>DP1334</f>
        <v>242.38890007927665</v>
      </c>
      <c r="DR1331" s="65">
        <f>DP1331</f>
        <v>238.80679810766173</v>
      </c>
      <c r="DS1331" s="65"/>
      <c r="DT1331" s="65"/>
      <c r="DU1331" s="65"/>
      <c r="DV1331" s="65"/>
    </row>
    <row r="1332" spans="1:128" s="20" customFormat="1" ht="13.8">
      <c r="A1332" s="20" t="s">
        <v>965</v>
      </c>
      <c r="B1332" s="49"/>
      <c r="BH1332" s="65">
        <f>+BH1334-BH1333-BH1331</f>
        <v>678</v>
      </c>
      <c r="BI1332" s="65">
        <f>+BI1334-BI1333-BI1331</f>
        <v>-214</v>
      </c>
      <c r="BJ1332" s="65">
        <f>+BI1332+BH1332</f>
        <v>464</v>
      </c>
      <c r="BK1332" s="65"/>
      <c r="BL1332" s="65">
        <f>+BL1334-BL1333-BL1331</f>
        <v>-100</v>
      </c>
      <c r="BM1332" s="65">
        <f>+BM1334-BM1333-BM1331</f>
        <v>-31</v>
      </c>
      <c r="BN1332" s="65">
        <f>+BM1332+BL1332</f>
        <v>-131</v>
      </c>
      <c r="BO1332" s="65"/>
      <c r="BP1332" s="65">
        <f>+BP1334-BP1333-BP1331</f>
        <v>10</v>
      </c>
      <c r="BQ1332" s="65">
        <f>+BQ1334-BQ1333-BQ1331</f>
        <v>-145</v>
      </c>
      <c r="BR1332" s="65">
        <f>+BQ1332+BP1332</f>
        <v>-135</v>
      </c>
      <c r="BS1332" s="65"/>
      <c r="BT1332" s="65">
        <f>+BT1334-BT1333-BT1331</f>
        <v>0</v>
      </c>
      <c r="BU1332" s="65">
        <f>+BU1334-BU1333-BU1331</f>
        <v>3</v>
      </c>
      <c r="BV1332" s="65">
        <f>+BU1332+BT1332</f>
        <v>3</v>
      </c>
      <c r="BW1332" s="65"/>
      <c r="BX1332" s="65">
        <f>+BX1334-BX1333-BX1331</f>
        <v>-26</v>
      </c>
      <c r="BY1332" s="65">
        <f>+BY1334-BY1333-BY1331</f>
        <v>1</v>
      </c>
      <c r="BZ1332" s="65">
        <f>+BY1332+BX1332</f>
        <v>-25</v>
      </c>
      <c r="CA1332" s="65"/>
      <c r="CB1332" s="65">
        <f>+CB1334-CB1333-CB1331</f>
        <v>1</v>
      </c>
      <c r="CC1332" s="65">
        <f>+CC1334-CC1333-CC1331</f>
        <v>-1005</v>
      </c>
      <c r="CD1332" s="65">
        <f>+CC1332+CB1332</f>
        <v>-1004</v>
      </c>
      <c r="CE1332" s="65"/>
      <c r="CF1332" s="65">
        <f>+CF1334-CF1333-CF1331</f>
        <v>-15</v>
      </c>
      <c r="CG1332" s="65">
        <f>+CG1334-CG1333-CG1331</f>
        <v>-566</v>
      </c>
      <c r="CH1332" s="65">
        <f>+CG1332+CF1332</f>
        <v>-581</v>
      </c>
      <c r="CI1332" s="65"/>
      <c r="CJ1332" s="65">
        <f>+CJ1334-CJ1333-CJ1331</f>
        <v>-103</v>
      </c>
      <c r="CK1332" s="65">
        <f>+CK1334-CK1333-CK1331</f>
        <v>0</v>
      </c>
      <c r="CL1332" s="65">
        <f>+CK1332+CJ1332</f>
        <v>-103</v>
      </c>
      <c r="CM1332" s="65"/>
      <c r="CN1332" s="65">
        <f>+CN1334-CN1333-CN1331</f>
        <v>0</v>
      </c>
      <c r="CO1332" s="65">
        <f>+CO1334-CO1333-CO1331</f>
        <v>20</v>
      </c>
      <c r="CP1332" s="65">
        <f>+CO1332+CN1332</f>
        <v>20</v>
      </c>
      <c r="CQ1332" s="65"/>
      <c r="CR1332" s="65">
        <f>+CR1334-CR1333-CR1331</f>
        <v>-9</v>
      </c>
      <c r="CS1332" s="65">
        <f>+CS1334-CS1333-CS1331</f>
        <v>1</v>
      </c>
      <c r="CT1332" s="65">
        <f>+CS1332+CR1332</f>
        <v>-8</v>
      </c>
      <c r="CU1332" s="65"/>
      <c r="CV1332" s="65">
        <f>+CV1334-CV1333-CV1331</f>
        <v>-64</v>
      </c>
      <c r="CW1332" s="65">
        <f>+CW1334-CW1333-CW1331</f>
        <v>-59</v>
      </c>
      <c r="CX1332" s="65">
        <f>+CW1332+CV1332</f>
        <v>-123</v>
      </c>
      <c r="CY1332" s="65"/>
      <c r="CZ1332" s="65">
        <f>+CZ1334-CZ1333-CZ1331</f>
        <v>0</v>
      </c>
      <c r="DA1332" s="65">
        <f>+DA1334-DA1333-DA1331</f>
        <v>0</v>
      </c>
      <c r="DB1332" s="65">
        <f>+DA1332+CZ1332</f>
        <v>0</v>
      </c>
      <c r="DC1332" s="65"/>
      <c r="DD1332" s="65">
        <f>+DD1334-DD1333-DD1331</f>
        <v>0</v>
      </c>
      <c r="DE1332" s="65">
        <f>+DE1334-DE1333-DE1331</f>
        <v>0</v>
      </c>
      <c r="DF1332" s="65">
        <f>+DE1332+DD1332</f>
        <v>0</v>
      </c>
      <c r="DG1332" s="65"/>
      <c r="DH1332" s="65">
        <f>+DH1331*DH1335*(DH$3/DH$4)</f>
        <v>3.3657534246575342</v>
      </c>
      <c r="DI1332" s="65">
        <f>+DI1331*DI1335*(DI$3/DI$4)</f>
        <v>3.434871195346219</v>
      </c>
      <c r="DJ1332" s="65">
        <f>+DI1332+DH1332</f>
        <v>6.8006246200037532</v>
      </c>
      <c r="DK1332" s="65"/>
      <c r="DL1332" s="65">
        <f>+DL1331*DL1335*(DL$3/DL$4)</f>
        <v>3.4674833162334808</v>
      </c>
      <c r="DM1332" s="65">
        <f>+DM1331*DM1335*(DM$3/DM$4)</f>
        <v>3.5386901714244998</v>
      </c>
      <c r="DN1332" s="65">
        <f>+DM1332+DL1332</f>
        <v>7.0061734876579802</v>
      </c>
      <c r="DO1332" s="65"/>
      <c r="DP1332" s="65">
        <f>+DP1331*DP1335*(DP$3/DP$4)</f>
        <v>3.5821019716149261</v>
      </c>
      <c r="DQ1332" s="65">
        <f>+DQ1331*DQ1335*(DQ$3/DQ$4)</f>
        <v>3.6358335011891496</v>
      </c>
      <c r="DR1332" s="65">
        <f>+DQ1332+DP1332</f>
        <v>7.2179354728040757</v>
      </c>
      <c r="DS1332" s="65"/>
      <c r="DT1332" s="65"/>
      <c r="DU1332" s="65"/>
      <c r="DV1332" s="65"/>
    </row>
    <row r="1333" spans="1:128" s="20" customFormat="1" ht="13.8">
      <c r="A1333" s="325" t="s">
        <v>369</v>
      </c>
      <c r="B1333" s="324"/>
      <c r="C1333" s="325"/>
      <c r="D1333" s="325"/>
      <c r="E1333" s="325"/>
      <c r="F1333" s="325"/>
      <c r="G1333" s="325"/>
      <c r="H1333" s="325"/>
      <c r="I1333" s="325"/>
      <c r="J1333" s="325"/>
      <c r="K1333" s="325"/>
      <c r="L1333" s="325"/>
      <c r="M1333" s="325"/>
      <c r="N1333" s="325"/>
      <c r="O1333" s="325"/>
      <c r="P1333" s="325"/>
      <c r="Q1333" s="325"/>
      <c r="R1333" s="325"/>
      <c r="S1333" s="325"/>
      <c r="T1333" s="325"/>
      <c r="U1333" s="325"/>
      <c r="V1333" s="325"/>
      <c r="W1333" s="325"/>
      <c r="X1333" s="325"/>
      <c r="Y1333" s="325"/>
      <c r="Z1333" s="325"/>
      <c r="AA1333" s="325"/>
      <c r="AB1333" s="325"/>
      <c r="AC1333" s="325"/>
      <c r="AD1333" s="325"/>
      <c r="AE1333" s="325"/>
      <c r="AF1333" s="325"/>
      <c r="AG1333" s="325"/>
      <c r="AH1333" s="325"/>
      <c r="AI1333" s="325"/>
      <c r="AJ1333" s="325"/>
      <c r="AK1333" s="325"/>
      <c r="AL1333" s="325"/>
      <c r="AM1333" s="325"/>
      <c r="AN1333" s="325"/>
      <c r="AO1333" s="325"/>
      <c r="AP1333" s="325"/>
      <c r="AQ1333" s="325"/>
      <c r="AR1333" s="325"/>
      <c r="AS1333" s="325"/>
      <c r="AT1333" s="325"/>
      <c r="AU1333" s="325"/>
      <c r="AV1333" s="325"/>
      <c r="AW1333" s="325"/>
      <c r="AX1333" s="325"/>
      <c r="AY1333" s="325"/>
      <c r="AZ1333" s="325"/>
      <c r="BA1333" s="325"/>
      <c r="BB1333" s="325"/>
      <c r="BC1333" s="325"/>
      <c r="BD1333" s="325"/>
      <c r="BE1333" s="325"/>
      <c r="BF1333" s="325"/>
      <c r="BG1333" s="325"/>
      <c r="BH1333" s="327">
        <v>0</v>
      </c>
      <c r="BI1333" s="327">
        <v>0</v>
      </c>
      <c r="BJ1333" s="326">
        <f>+BI1333+BH1333</f>
        <v>0</v>
      </c>
      <c r="BK1333" s="326"/>
      <c r="BL1333" s="327">
        <v>0</v>
      </c>
      <c r="BM1333" s="327">
        <v>0</v>
      </c>
      <c r="BN1333" s="326">
        <f>+BM1333+BL1333</f>
        <v>0</v>
      </c>
      <c r="BO1333" s="326"/>
      <c r="BP1333" s="327">
        <v>0</v>
      </c>
      <c r="BQ1333" s="327">
        <v>400</v>
      </c>
      <c r="BR1333" s="326">
        <f>+BQ1333+BP1333</f>
        <v>400</v>
      </c>
      <c r="BS1333" s="326"/>
      <c r="BT1333" s="327">
        <v>400</v>
      </c>
      <c r="BU1333" s="327">
        <v>0</v>
      </c>
      <c r="BV1333" s="326">
        <f>+BU1333+BT1333</f>
        <v>400</v>
      </c>
      <c r="BW1333" s="326"/>
      <c r="BX1333" s="599">
        <v>0</v>
      </c>
      <c r="BY1333" s="599">
        <v>0</v>
      </c>
      <c r="BZ1333" s="326">
        <f>+BY1333+BX1333</f>
        <v>0</v>
      </c>
      <c r="CA1333" s="326"/>
      <c r="CB1333" s="599">
        <v>0</v>
      </c>
      <c r="CC1333" s="599">
        <v>0</v>
      </c>
      <c r="CD1333" s="326">
        <f>+CC1333+CB1333</f>
        <v>0</v>
      </c>
      <c r="CE1333" s="326"/>
      <c r="CF1333" s="599">
        <v>0</v>
      </c>
      <c r="CG1333" s="599">
        <v>0</v>
      </c>
      <c r="CH1333" s="326">
        <f>+CG1333+CF1333</f>
        <v>0</v>
      </c>
      <c r="CI1333" s="326"/>
      <c r="CJ1333" s="599">
        <v>0</v>
      </c>
      <c r="CK1333" s="599">
        <v>0</v>
      </c>
      <c r="CL1333" s="326">
        <f>+CK1333+CJ1333</f>
        <v>0</v>
      </c>
      <c r="CM1333" s="326"/>
      <c r="CN1333" s="599">
        <v>0</v>
      </c>
      <c r="CO1333" s="599">
        <v>0</v>
      </c>
      <c r="CP1333" s="326">
        <f>+CO1333+CN1333</f>
        <v>0</v>
      </c>
      <c r="CQ1333" s="326"/>
      <c r="CR1333" s="599">
        <v>0</v>
      </c>
      <c r="CS1333" s="599">
        <v>0</v>
      </c>
      <c r="CT1333" s="326">
        <f>+CS1333+CR1333</f>
        <v>0</v>
      </c>
      <c r="CU1333" s="326"/>
      <c r="CV1333" s="599">
        <v>0</v>
      </c>
      <c r="CW1333" s="599">
        <v>0</v>
      </c>
      <c r="CX1333" s="326">
        <f>+CW1333+CV1333</f>
        <v>0</v>
      </c>
      <c r="CY1333" s="326"/>
      <c r="CZ1333" s="599">
        <v>0</v>
      </c>
      <c r="DA1333" s="599">
        <v>0</v>
      </c>
      <c r="DB1333" s="326">
        <f>+DA1333+CZ1333</f>
        <v>0</v>
      </c>
      <c r="DC1333" s="326"/>
      <c r="DD1333" s="599">
        <v>0</v>
      </c>
      <c r="DE1333" s="599">
        <v>0</v>
      </c>
      <c r="DF1333" s="326">
        <f>+DE1333+DD1333</f>
        <v>0</v>
      </c>
      <c r="DG1333" s="326"/>
      <c r="DH1333" s="429">
        <v>0</v>
      </c>
      <c r="DI1333" s="429">
        <v>0</v>
      </c>
      <c r="DJ1333" s="326">
        <f>+DI1333+DH1333</f>
        <v>0</v>
      </c>
      <c r="DK1333" s="326"/>
      <c r="DL1333" s="429">
        <v>0</v>
      </c>
      <c r="DM1333" s="429">
        <v>0</v>
      </c>
      <c r="DN1333" s="326">
        <f>+DM1333+DL1333</f>
        <v>0</v>
      </c>
      <c r="DO1333" s="326"/>
      <c r="DP1333" s="429">
        <v>0</v>
      </c>
      <c r="DQ1333" s="429">
        <v>0</v>
      </c>
      <c r="DR1333" s="326">
        <f>+DQ1333+DP1333</f>
        <v>0</v>
      </c>
      <c r="DS1333" s="326"/>
      <c r="DT1333" s="326"/>
      <c r="DU1333" s="326"/>
      <c r="DV1333" s="326"/>
      <c r="DW1333" s="442"/>
    </row>
    <row r="1334" spans="1:128" s="20" customFormat="1" ht="13.8">
      <c r="A1334" s="20" t="s">
        <v>502</v>
      </c>
      <c r="B1334" s="49"/>
      <c r="BH1334" s="65">
        <f>-BH1296</f>
        <v>1726</v>
      </c>
      <c r="BI1334" s="65">
        <f>-BI1296</f>
        <v>1512</v>
      </c>
      <c r="BJ1334" s="65">
        <f>SUM(BJ1331:BJ1333)</f>
        <v>1512</v>
      </c>
      <c r="BK1334" s="65"/>
      <c r="BL1334" s="65">
        <f>-BL1296</f>
        <v>1412</v>
      </c>
      <c r="BM1334" s="65">
        <f>-BM1296</f>
        <v>1381</v>
      </c>
      <c r="BN1334" s="65">
        <f>SUM(BN1331:BN1333)</f>
        <v>1381</v>
      </c>
      <c r="BO1334" s="65"/>
      <c r="BP1334" s="65">
        <f>-BP1296</f>
        <v>1391</v>
      </c>
      <c r="BQ1334" s="65">
        <f>-BQ1296</f>
        <v>1646</v>
      </c>
      <c r="BR1334" s="65">
        <f>SUM(BR1331:BR1333)</f>
        <v>1646</v>
      </c>
      <c r="BS1334" s="65"/>
      <c r="BT1334" s="65">
        <f>-BT1296</f>
        <v>2046</v>
      </c>
      <c r="BU1334" s="65">
        <f>-BU1296</f>
        <v>2049</v>
      </c>
      <c r="BV1334" s="65">
        <f>SUM(BV1331:BV1333)</f>
        <v>2049</v>
      </c>
      <c r="BW1334" s="65"/>
      <c r="BX1334" s="65">
        <f>-BX1296</f>
        <v>2023</v>
      </c>
      <c r="BY1334" s="65">
        <f>-BY1296</f>
        <v>2024</v>
      </c>
      <c r="BZ1334" s="65">
        <f>SUM(BZ1331:BZ1333)</f>
        <v>2024</v>
      </c>
      <c r="CA1334" s="65"/>
      <c r="CB1334" s="65">
        <f>-CB1296</f>
        <v>2025</v>
      </c>
      <c r="CC1334" s="65">
        <f>-CC1296</f>
        <v>1020</v>
      </c>
      <c r="CD1334" s="65">
        <f>SUM(CD1331:CD1333)</f>
        <v>1020</v>
      </c>
      <c r="CE1334" s="65"/>
      <c r="CF1334" s="65">
        <f>-CF1296</f>
        <v>1005</v>
      </c>
      <c r="CG1334" s="65">
        <f>-CG1296</f>
        <v>439</v>
      </c>
      <c r="CH1334" s="65">
        <f>SUM(CH1331:CH1333)</f>
        <v>439</v>
      </c>
      <c r="CI1334" s="65"/>
      <c r="CJ1334" s="65">
        <f>-CJ1296</f>
        <v>336</v>
      </c>
      <c r="CK1334" s="65">
        <f>-CK1296</f>
        <v>336</v>
      </c>
      <c r="CL1334" s="65">
        <f>SUM(CL1331:CL1333)</f>
        <v>336</v>
      </c>
      <c r="CM1334" s="65"/>
      <c r="CN1334" s="65">
        <f>-CN1296</f>
        <v>336</v>
      </c>
      <c r="CO1334" s="65">
        <f>-CO1296</f>
        <v>356</v>
      </c>
      <c r="CP1334" s="65">
        <f>SUM(CP1331:CP1333)</f>
        <v>356</v>
      </c>
      <c r="CQ1334" s="65"/>
      <c r="CR1334" s="65">
        <f>-CR1296</f>
        <v>347</v>
      </c>
      <c r="CS1334" s="65">
        <f>-CS1296</f>
        <v>348</v>
      </c>
      <c r="CT1334" s="65">
        <f>SUM(CT1331:CT1333)</f>
        <v>348</v>
      </c>
      <c r="CU1334" s="65"/>
      <c r="CV1334" s="65">
        <f>-CV1296</f>
        <v>284</v>
      </c>
      <c r="CW1334" s="65">
        <f>-CW1296</f>
        <v>225</v>
      </c>
      <c r="CX1334" s="65">
        <f>SUM(CX1331:CX1333)</f>
        <v>225</v>
      </c>
      <c r="CY1334" s="65"/>
      <c r="CZ1334" s="65">
        <f>-CZ1296</f>
        <v>225</v>
      </c>
      <c r="DA1334" s="65">
        <f>-DA1296</f>
        <v>225</v>
      </c>
      <c r="DB1334" s="65">
        <f>SUM(DB1331:DB1333)</f>
        <v>225</v>
      </c>
      <c r="DC1334" s="65"/>
      <c r="DD1334" s="65">
        <f>-DD1296</f>
        <v>225</v>
      </c>
      <c r="DE1334" s="65">
        <f>-DE1296</f>
        <v>225</v>
      </c>
      <c r="DF1334" s="65">
        <f>SUM(DF1331:DF1333)</f>
        <v>225</v>
      </c>
      <c r="DG1334" s="65"/>
      <c r="DH1334" s="65">
        <f>SUM(DH1331:DH1333)</f>
        <v>228.36575342465753</v>
      </c>
      <c r="DI1334" s="65">
        <f>SUM(DI1331:DI1333)</f>
        <v>231.80062462000376</v>
      </c>
      <c r="DJ1334" s="65">
        <f>SUM(DJ1331:DJ1333)</f>
        <v>231.80062462000376</v>
      </c>
      <c r="DK1334" s="65"/>
      <c r="DL1334" s="65">
        <f>SUM(DL1331:DL1333)</f>
        <v>235.26810793623724</v>
      </c>
      <c r="DM1334" s="65">
        <f>SUM(DM1331:DM1333)</f>
        <v>238.80679810766173</v>
      </c>
      <c r="DN1334" s="65">
        <f>SUM(DN1331:DN1333)</f>
        <v>238.80679810766173</v>
      </c>
      <c r="DO1334" s="65"/>
      <c r="DP1334" s="65">
        <f>SUM(DP1331:DP1333)</f>
        <v>242.38890007927665</v>
      </c>
      <c r="DQ1334" s="65">
        <f>SUM(DQ1331:DQ1333)</f>
        <v>246.02473358046581</v>
      </c>
      <c r="DR1334" s="65">
        <f>SUM(DR1331:DR1333)</f>
        <v>246.02473358046581</v>
      </c>
      <c r="DS1334" s="65"/>
      <c r="DT1334" s="65"/>
      <c r="DU1334" s="65"/>
      <c r="DV1334" s="65"/>
    </row>
    <row r="1335" spans="1:128" s="20" customFormat="1" ht="13.8">
      <c r="A1335" s="335" t="s">
        <v>45</v>
      </c>
      <c r="B1335" s="336"/>
      <c r="C1335" s="335"/>
      <c r="D1335" s="335"/>
      <c r="E1335" s="335"/>
      <c r="F1335" s="335"/>
      <c r="G1335" s="335"/>
      <c r="H1335" s="335"/>
      <c r="I1335" s="335"/>
      <c r="J1335" s="335"/>
      <c r="K1335" s="335"/>
      <c r="L1335" s="335"/>
      <c r="M1335" s="335"/>
      <c r="N1335" s="335"/>
      <c r="O1335" s="335"/>
      <c r="P1335" s="335"/>
      <c r="Q1335" s="335"/>
      <c r="R1335" s="335"/>
      <c r="S1335" s="335"/>
      <c r="T1335" s="335"/>
      <c r="U1335" s="335"/>
      <c r="V1335" s="335"/>
      <c r="W1335" s="335"/>
      <c r="X1335" s="335"/>
      <c r="Y1335" s="335"/>
      <c r="Z1335" s="335"/>
      <c r="AA1335" s="335"/>
      <c r="AB1335" s="335"/>
      <c r="AC1335" s="335"/>
      <c r="AD1335" s="335"/>
      <c r="AE1335" s="335"/>
      <c r="AF1335" s="335"/>
      <c r="AG1335" s="335"/>
      <c r="AH1335" s="335"/>
      <c r="AI1335" s="335"/>
      <c r="AJ1335" s="335"/>
      <c r="AK1335" s="335"/>
      <c r="AL1335" s="335"/>
      <c r="AM1335" s="335"/>
      <c r="AN1335" s="335"/>
      <c r="AO1335" s="335"/>
      <c r="AP1335" s="335"/>
      <c r="AQ1335" s="335"/>
      <c r="AR1335" s="335"/>
      <c r="AS1335" s="335"/>
      <c r="AT1335" s="335"/>
      <c r="AU1335" s="335"/>
      <c r="AV1335" s="335"/>
      <c r="AW1335" s="335"/>
      <c r="AX1335" s="335"/>
      <c r="AY1335" s="335"/>
      <c r="AZ1335" s="335"/>
      <c r="BA1335" s="335"/>
      <c r="BB1335" s="335"/>
      <c r="BC1335" s="335"/>
      <c r="BD1335" s="335"/>
      <c r="BE1335" s="335"/>
      <c r="BF1335" s="335"/>
      <c r="BG1335" s="335"/>
      <c r="BH1335" s="345">
        <f>+BH1332*(BH$4/BH$3)/BH1331</f>
        <v>1.2974477812264071</v>
      </c>
      <c r="BI1335" s="345">
        <f>+BI1332*(BI$4/BI$3)/BI1331</f>
        <v>-0.24729467038985875</v>
      </c>
      <c r="BJ1335" s="345">
        <f>+BJ1332*(BJ$4/BJ$3)/BJ1331</f>
        <v>0.44274809160305345</v>
      </c>
      <c r="BK1335" s="380"/>
      <c r="BL1335" s="345">
        <f>+BL1332*(BL$4/BL$3)/BL1331</f>
        <v>-0.13263852549566835</v>
      </c>
      <c r="BM1335" s="345">
        <f>+BM1332*(BM$4/BM$3)/BM1331</f>
        <v>-4.3789377544544032E-2</v>
      </c>
      <c r="BN1335" s="345">
        <f>+BN1332*(BN$4/BN$3)/BN1331</f>
        <v>-8.6640211640211642E-2</v>
      </c>
      <c r="BO1335" s="380"/>
      <c r="BP1335" s="345">
        <f>+BP1332*(BP$4/BP$3)/BP1331</f>
        <v>1.4522045658903009E-2</v>
      </c>
      <c r="BQ1335" s="345">
        <f>+BQ1332*(BQ$4/BQ$3)/BQ1331</f>
        <v>-0.2079134797075658</v>
      </c>
      <c r="BR1335" s="345">
        <f>+BR1332*(BR$4/BR$3)/BR1331</f>
        <v>-9.7755249818971754E-2</v>
      </c>
      <c r="BS1335" s="380"/>
      <c r="BT1335" s="345">
        <f>+BT1332*(BT$4/BT$3)/BT1331</f>
        <v>0</v>
      </c>
      <c r="BU1335" s="345">
        <f>+BU1332*(BU$4/BU$3)/BU1331</f>
        <v>2.9325513196480938E-3</v>
      </c>
      <c r="BV1335" s="345">
        <f>+BV1332*(BV$4/BV$3)/BV1331</f>
        <v>1.8226002430133657E-3</v>
      </c>
      <c r="BW1335" s="380"/>
      <c r="BX1335" s="345">
        <f>+BX1332*(BX$4/BX$3)/BX1331</f>
        <v>-2.5447953705640382E-2</v>
      </c>
      <c r="BY1335" s="345">
        <f>+BY1332*(BY$4/BY$3)/BY1331</f>
        <v>9.8592956951343703E-4</v>
      </c>
      <c r="BZ1335" s="345">
        <f>+BZ1332*(BZ$4/BZ$3)/BZ1331</f>
        <v>-1.2201073694485115E-2</v>
      </c>
      <c r="CA1335" s="380"/>
      <c r="CB1335" s="345">
        <f>+CB1332*(CB$4/CB$3)/CB1331</f>
        <v>9.9085696911783874E-4</v>
      </c>
      <c r="CC1335" s="345">
        <f>+CC1332*(CC$4/CC$3)/CC1331</f>
        <v>-0.98988059097348713</v>
      </c>
      <c r="CD1335" s="345">
        <f>+CD1332*(CD$4/CD$3)/CD1331</f>
        <v>-0.49604743083003955</v>
      </c>
      <c r="CE1335" s="380"/>
      <c r="CF1335" s="345">
        <f>+CF1332*(CF$4/CF$3)/CF1331</f>
        <v>-2.9492566257272142E-2</v>
      </c>
      <c r="CG1335" s="345">
        <f>+CG1332*(CG$4/CG$3)/CG1331</f>
        <v>-1.1232906505722753</v>
      </c>
      <c r="CH1335" s="345">
        <f>+CH1332*(CH$4/CH$3)/CH1331</f>
        <v>-0.56960784313725488</v>
      </c>
      <c r="CI1335" s="380"/>
      <c r="CJ1335" s="345">
        <f>+CJ1332*(CJ$4/CJ$3)/CJ1331</f>
        <v>-0.46924829157175396</v>
      </c>
      <c r="CK1335" s="345">
        <f>+CK1332*(CK$4/CK$3)/CK1331</f>
        <v>0</v>
      </c>
      <c r="CL1335" s="345">
        <f>+CL1332*(CL$4/CL$3)/CL1331</f>
        <v>-0.23462414578587698</v>
      </c>
      <c r="CM1335" s="380"/>
      <c r="CN1335" s="345">
        <f>+CN1332*(CN$4/CN$3)/CN1331</f>
        <v>0</v>
      </c>
      <c r="CO1335" s="345">
        <f>+CO1332*(CO$4/CO$3)/CO1331</f>
        <v>0.11872235232890971</v>
      </c>
      <c r="CP1335" s="345">
        <f>+CP1332*(CP$4/CP$3)/CP1331</f>
        <v>5.9523809523809521E-2</v>
      </c>
      <c r="CQ1335" s="380"/>
      <c r="CR1335" s="345">
        <f>+CR1332*(CR$4/CR$3)/CR1331</f>
        <v>-5.0700703790591425E-2</v>
      </c>
      <c r="CS1335" s="345">
        <f>+CS1332*(CS$4/CS$3)/CS1331</f>
        <v>5.7479409773074442E-3</v>
      </c>
      <c r="CT1335" s="345">
        <f>+CT1332*(CT$4/CT$3)/CT1331</f>
        <v>-2.247191011235955E-2</v>
      </c>
      <c r="CU1335" s="380"/>
      <c r="CV1335" s="345">
        <f>+CV1332*(CV$4/CV$3)/CV1331</f>
        <v>-0.36882657572312744</v>
      </c>
      <c r="CW1335" s="345">
        <f>+CW1332*(CW$4/CW$3)/CW1331</f>
        <v>-0.41435773108596941</v>
      </c>
      <c r="CX1335" s="345">
        <f>+CX1332*(CX$4/CX$3)/CX1331</f>
        <v>-0.35344827586206895</v>
      </c>
      <c r="CY1335" s="380"/>
      <c r="CZ1335" s="345">
        <f>+CZ1332*(CZ$4/CZ$3)/CZ1331</f>
        <v>0</v>
      </c>
      <c r="DA1335" s="345">
        <f>+DA1332*(DA$4/DA$3)/DA1331</f>
        <v>0</v>
      </c>
      <c r="DB1335" s="345">
        <f>+DB1332*(DB$4/DB$3)/DB1331</f>
        <v>0</v>
      </c>
      <c r="DC1335" s="380"/>
      <c r="DD1335" s="345">
        <f>+DD1332*(DD$4/DD$3)/DD1331</f>
        <v>0</v>
      </c>
      <c r="DE1335" s="345">
        <f>+DE1332*(DE$4/DE$3)/DE1331</f>
        <v>0</v>
      </c>
      <c r="DF1335" s="345">
        <f>+DF1332*(DF$4/DF$3)/DF1331</f>
        <v>0</v>
      </c>
      <c r="DG1335" s="380"/>
      <c r="DH1335" s="346">
        <v>0.03</v>
      </c>
      <c r="DI1335" s="346">
        <v>0.03</v>
      </c>
      <c r="DJ1335" s="345">
        <f>+DJ1332*(DJ$4/DJ$3)/DJ1331</f>
        <v>3.0224998311127793E-2</v>
      </c>
      <c r="DK1335" s="380"/>
      <c r="DL1335" s="346">
        <v>0.03</v>
      </c>
      <c r="DM1335" s="346">
        <v>0.03</v>
      </c>
      <c r="DN1335" s="345">
        <f>+DN1332*(DN$4/DN$3)/DN1331</f>
        <v>3.022499831112779E-2</v>
      </c>
      <c r="DO1335" s="380"/>
      <c r="DP1335" s="346">
        <v>0.03</v>
      </c>
      <c r="DQ1335" s="346">
        <v>0.03</v>
      </c>
      <c r="DR1335" s="345">
        <f>+DR1332*(DR$4/DR$3)/DR1331</f>
        <v>3.0224999999999998E-2</v>
      </c>
      <c r="DS1335" s="380"/>
      <c r="DT1335" s="380"/>
      <c r="DU1335" s="380"/>
      <c r="DV1335" s="380"/>
    </row>
    <row r="1336" spans="1:128" s="20" customFormat="1" ht="13.8">
      <c r="A1336" s="20" t="s">
        <v>370</v>
      </c>
      <c r="B1336" s="49"/>
      <c r="BH1336" s="100">
        <f>BH1334/BH1407</f>
        <v>5.3505775275743839E-3</v>
      </c>
      <c r="BI1336" s="100">
        <f>BI1334/BI1407</f>
        <v>4.4566931454762503E-3</v>
      </c>
      <c r="BJ1336" s="100">
        <f>BJ1334/BJ1407</f>
        <v>4.4566931454762503E-3</v>
      </c>
      <c r="BK1336" s="65"/>
      <c r="BL1336" s="100">
        <f>BL1334/BL1407</f>
        <v>3.9141764151466429E-3</v>
      </c>
      <c r="BM1336" s="100">
        <f>BM1334/BM1407</f>
        <v>3.8198872013033534E-3</v>
      </c>
      <c r="BN1336" s="100">
        <f>BN1334/BN1407</f>
        <v>3.8198872013033534E-3</v>
      </c>
      <c r="BO1336" s="65"/>
      <c r="BP1336" s="100">
        <f>BP1334/BP1407</f>
        <v>3.5955881022480827E-3</v>
      </c>
      <c r="BQ1336" s="100">
        <f>BQ1334/BQ1407</f>
        <v>4.0951691434229741E-3</v>
      </c>
      <c r="BR1336" s="100">
        <f>BR1334/BR1407</f>
        <v>4.0951691434229741E-3</v>
      </c>
      <c r="BS1336" s="65"/>
      <c r="BT1336" s="100">
        <f>BT1334/BT1407</f>
        <v>5.2686469156784732E-3</v>
      </c>
      <c r="BU1336" s="100">
        <f>BU1334/BU1407</f>
        <v>5.0149052087463475E-3</v>
      </c>
      <c r="BV1336" s="100">
        <f>BV1334/BV1407</f>
        <v>5.0149052087463475E-3</v>
      </c>
      <c r="BW1336" s="65"/>
      <c r="BX1336" s="100">
        <f>BX1334/BX1407</f>
        <v>5.0952045133991538E-3</v>
      </c>
      <c r="BY1336" s="100">
        <f>BY1334/BY1407</f>
        <v>5.1749750072229766E-3</v>
      </c>
      <c r="BZ1336" s="100">
        <f>BZ1334/BZ1407</f>
        <v>5.1749750072229766E-3</v>
      </c>
      <c r="CA1336" s="65"/>
      <c r="CB1336" s="100">
        <f>CB1334/CB1407</f>
        <v>5.1165176349307817E-3</v>
      </c>
      <c r="CC1336" s="100">
        <f>CC1334/CC1407</f>
        <v>2.6098971393480374E-3</v>
      </c>
      <c r="CD1336" s="100">
        <f>CD1334/CD1407</f>
        <v>2.6098971393480374E-3</v>
      </c>
      <c r="CE1336" s="65"/>
      <c r="CF1336" s="100">
        <f>CF1334/CF1407</f>
        <v>2.5360152009508163E-3</v>
      </c>
      <c r="CG1336" s="100">
        <f>CG1334/CG1407</f>
        <v>1.0528562623362857E-3</v>
      </c>
      <c r="CH1336" s="100">
        <f>CH1334/CH1407</f>
        <v>1.0528562623362857E-3</v>
      </c>
      <c r="CI1336" s="65"/>
      <c r="CJ1336" s="100">
        <f>CJ1334/CJ1407</f>
        <v>7.4830962201455635E-4</v>
      </c>
      <c r="CK1336" s="100">
        <f>CK1334/CK1407</f>
        <v>7.8251634900229161E-4</v>
      </c>
      <c r="CL1336" s="100">
        <f>CL1334/CL1407</f>
        <v>7.8251634900229161E-4</v>
      </c>
      <c r="CM1336" s="65"/>
      <c r="CN1336" s="100">
        <f>CN1334/CN1407</f>
        <v>8.2319448459695324E-4</v>
      </c>
      <c r="CO1336" s="100">
        <f>CO1334/CO1407</f>
        <v>8.5559235350384291E-4</v>
      </c>
      <c r="CP1336" s="100">
        <f>CP1334/CP1407</f>
        <v>8.5559235350384291E-4</v>
      </c>
      <c r="CQ1336" s="65"/>
      <c r="CR1336" s="100">
        <f>CR1334/CR1407</f>
        <v>7.9240026489461304E-4</v>
      </c>
      <c r="CS1336" s="100">
        <f>CS1334/CS1407</f>
        <v>7.6530948851815848E-4</v>
      </c>
      <c r="CT1336" s="100">
        <f>CT1334/CT1407</f>
        <v>7.6530948851815848E-4</v>
      </c>
      <c r="CU1336" s="65"/>
      <c r="CV1336" s="100">
        <f>CV1334/CV1407</f>
        <v>6.5210299484614763E-4</v>
      </c>
      <c r="CW1336" s="100">
        <f>CW1334/CW1407</f>
        <v>5.1923835809907989E-4</v>
      </c>
      <c r="CX1336" s="100">
        <f>CX1334/CX1407</f>
        <v>5.1923835809907989E-4</v>
      </c>
      <c r="CY1336" s="65"/>
      <c r="CZ1336" s="100">
        <f>CZ1334/CZ1407</f>
        <v>5.1989583598095106E-4</v>
      </c>
      <c r="DA1336" s="100">
        <f>DA1334/DA1407</f>
        <v>5.0382684478998262E-4</v>
      </c>
      <c r="DB1336" s="100">
        <f>DB1334/DB1407</f>
        <v>5.0382684478998262E-4</v>
      </c>
      <c r="DC1336" s="65"/>
      <c r="DD1336" s="100">
        <f>DD1334/DD1407</f>
        <v>4.7974515937134192E-4</v>
      </c>
      <c r="DE1336" s="100">
        <f>DE1334/DE1407</f>
        <v>4.9068034465387408E-4</v>
      </c>
      <c r="DF1336" s="100">
        <f>DF1334/DF1407</f>
        <v>4.9068034465387408E-4</v>
      </c>
      <c r="DG1336" s="65"/>
      <c r="DH1336" s="100">
        <f ca="1">DH1334/DH1407</f>
        <v>4.8841432359944537E-4</v>
      </c>
      <c r="DI1336" s="100">
        <f ca="1">DI1334/DI1407</f>
        <v>4.8589611861866067E-4</v>
      </c>
      <c r="DJ1336" s="100">
        <f ca="1">DJ1334/DJ1407</f>
        <v>4.8589611861866067E-4</v>
      </c>
      <c r="DK1336" s="65"/>
      <c r="DL1336" s="100">
        <f ca="1">DL1334/DL1407</f>
        <v>4.860259691381326E-4</v>
      </c>
      <c r="DM1336" s="100">
        <f ca="1">DM1334/DM1407</f>
        <v>4.8450236972558044E-4</v>
      </c>
      <c r="DN1336" s="100">
        <f ca="1">DN1334/DN1407</f>
        <v>4.8450236972558044E-4</v>
      </c>
      <c r="DO1336" s="65"/>
      <c r="DP1336" s="100">
        <f ca="1">DP1334/DP1407</f>
        <v>4.8059688993028454E-4</v>
      </c>
      <c r="DQ1336" s="100">
        <f ca="1">DQ1334/DQ1407</f>
        <v>4.797934585268717E-4</v>
      </c>
      <c r="DR1336" s="100">
        <f ca="1">DR1334/DR1407</f>
        <v>4.797934585268717E-4</v>
      </c>
      <c r="DS1336" s="65"/>
      <c r="DT1336" s="65"/>
      <c r="DU1336" s="65"/>
      <c r="DV1336" s="65"/>
    </row>
    <row r="1337" spans="1:128" s="20" customFormat="1" ht="13.8">
      <c r="A1337" s="21"/>
      <c r="B1337" s="49"/>
      <c r="BH1337" s="65"/>
      <c r="BI1337" s="65"/>
      <c r="BJ1337" s="65"/>
      <c r="BK1337" s="65"/>
      <c r="BL1337" s="65"/>
      <c r="BM1337" s="65"/>
      <c r="BN1337" s="65"/>
      <c r="BO1337" s="65"/>
      <c r="BP1337" s="65"/>
      <c r="BQ1337" s="65"/>
      <c r="BR1337" s="65"/>
      <c r="BS1337" s="65"/>
      <c r="BT1337" s="65"/>
      <c r="BU1337" s="65"/>
      <c r="BV1337" s="65"/>
      <c r="BW1337" s="65"/>
      <c r="BX1337" s="65"/>
      <c r="BY1337" s="65"/>
      <c r="BZ1337" s="65"/>
      <c r="CA1337" s="65"/>
      <c r="CB1337" s="65"/>
      <c r="CC1337" s="65"/>
      <c r="CD1337" s="65"/>
      <c r="CE1337" s="65"/>
      <c r="CF1337" s="65"/>
      <c r="CG1337" s="65"/>
      <c r="CH1337" s="65"/>
      <c r="CI1337" s="65"/>
      <c r="CJ1337" s="65"/>
      <c r="CK1337" s="65"/>
      <c r="CL1337" s="65"/>
      <c r="CM1337" s="65"/>
      <c r="CN1337" s="65"/>
      <c r="CO1337" s="65"/>
      <c r="CP1337" s="65"/>
      <c r="CQ1337" s="65"/>
      <c r="CR1337" s="65"/>
      <c r="CS1337" s="65"/>
      <c r="CT1337" s="65"/>
      <c r="CU1337" s="65"/>
      <c r="CV1337" s="65"/>
      <c r="CW1337" s="65"/>
      <c r="CX1337" s="65"/>
      <c r="CY1337" s="65"/>
      <c r="CZ1337" s="65"/>
      <c r="DA1337" s="65"/>
      <c r="DB1337" s="65"/>
      <c r="DC1337" s="65"/>
      <c r="DD1337" s="65"/>
      <c r="DE1337" s="65"/>
      <c r="DF1337" s="65"/>
      <c r="DG1337" s="65"/>
      <c r="DH1337" s="65"/>
      <c r="DI1337" s="65"/>
      <c r="DJ1337" s="65"/>
      <c r="DK1337" s="65"/>
      <c r="DL1337" s="65"/>
      <c r="DM1337" s="65"/>
      <c r="DN1337" s="65"/>
      <c r="DO1337" s="65"/>
      <c r="DP1337" s="65"/>
      <c r="DQ1337" s="65"/>
      <c r="DR1337" s="65"/>
      <c r="DS1337" s="65"/>
      <c r="DT1337" s="65"/>
      <c r="DU1337" s="65"/>
      <c r="DV1337" s="65"/>
    </row>
    <row r="1338" spans="1:128" s="20" customFormat="1" ht="13.8">
      <c r="A1338" s="20" t="s">
        <v>371</v>
      </c>
      <c r="B1338" s="49"/>
      <c r="BH1338" s="65">
        <f>-BH1297</f>
        <v>526</v>
      </c>
      <c r="BI1338" s="65">
        <f>-BI1297</f>
        <v>376</v>
      </c>
      <c r="BJ1338" s="65">
        <f>-BJ1297</f>
        <v>376</v>
      </c>
      <c r="BK1338" s="65"/>
      <c r="BL1338" s="65">
        <f>-BL1297</f>
        <v>145</v>
      </c>
      <c r="BM1338" s="65">
        <f>-BM1297</f>
        <v>240</v>
      </c>
      <c r="BN1338" s="65">
        <f>-BN1297</f>
        <v>240</v>
      </c>
      <c r="BO1338" s="65"/>
      <c r="BP1338" s="65">
        <f>-BP1297</f>
        <v>374</v>
      </c>
      <c r="BQ1338" s="65">
        <f>-BQ1297</f>
        <v>479</v>
      </c>
      <c r="BR1338" s="65">
        <f>-BR1297</f>
        <v>479</v>
      </c>
      <c r="BS1338" s="65"/>
      <c r="BT1338" s="65">
        <f>-BT1297</f>
        <v>600</v>
      </c>
      <c r="BU1338" s="65">
        <f>-BU1297</f>
        <v>700</v>
      </c>
      <c r="BV1338" s="65">
        <f>-BV1297</f>
        <v>700</v>
      </c>
      <c r="BW1338" s="65"/>
      <c r="BX1338" s="65">
        <f>-BX1297</f>
        <v>696</v>
      </c>
      <c r="BY1338" s="65">
        <f>-BY1297</f>
        <v>719</v>
      </c>
      <c r="BZ1338" s="65">
        <f>-BZ1297</f>
        <v>719</v>
      </c>
      <c r="CA1338" s="65"/>
      <c r="CB1338" s="65">
        <f>-CB1297</f>
        <v>686</v>
      </c>
      <c r="CC1338" s="65">
        <f>-CC1297</f>
        <v>609</v>
      </c>
      <c r="CD1338" s="65">
        <f>-CD1297</f>
        <v>609</v>
      </c>
      <c r="CE1338" s="65"/>
      <c r="CF1338" s="65">
        <f>-CF1297</f>
        <v>42</v>
      </c>
      <c r="CG1338" s="65">
        <f>-CG1297</f>
        <v>1</v>
      </c>
      <c r="CH1338" s="65">
        <f>-CH1297</f>
        <v>1</v>
      </c>
      <c r="CI1338" s="65"/>
      <c r="CJ1338" s="65">
        <f>-CJ1297</f>
        <v>0</v>
      </c>
      <c r="CK1338" s="65">
        <f>-CK1297</f>
        <v>43</v>
      </c>
      <c r="CL1338" s="65">
        <f>-CL1297</f>
        <v>43</v>
      </c>
      <c r="CM1338" s="65"/>
      <c r="CN1338" s="65">
        <f>-CN1297</f>
        <v>42</v>
      </c>
      <c r="CO1338" s="65">
        <f>-CO1297</f>
        <v>36</v>
      </c>
      <c r="CP1338" s="65">
        <f>-CP1297</f>
        <v>36</v>
      </c>
      <c r="CQ1338" s="65"/>
      <c r="CR1338" s="65">
        <f>-CR1297</f>
        <v>32</v>
      </c>
      <c r="CS1338" s="65">
        <f>-CS1297</f>
        <v>11</v>
      </c>
      <c r="CT1338" s="65">
        <f>-CT1297</f>
        <v>11</v>
      </c>
      <c r="CU1338" s="65"/>
      <c r="CV1338" s="65">
        <f>-CV1297</f>
        <v>39</v>
      </c>
      <c r="CW1338" s="65">
        <f>-CW1297</f>
        <v>272</v>
      </c>
      <c r="CX1338" s="65">
        <f>-CX1297</f>
        <v>272</v>
      </c>
      <c r="CY1338" s="65"/>
      <c r="CZ1338" s="65">
        <f>-CZ1297</f>
        <v>282</v>
      </c>
      <c r="DA1338" s="65">
        <f>-DA1297</f>
        <v>210</v>
      </c>
      <c r="DB1338" s="65">
        <f>-DB1297</f>
        <v>210</v>
      </c>
      <c r="DC1338" s="65"/>
      <c r="DD1338" s="65">
        <f>-DD1297</f>
        <v>304</v>
      </c>
      <c r="DE1338" s="65">
        <f>-DE1297</f>
        <v>25</v>
      </c>
      <c r="DF1338" s="65">
        <f>-DF1297</f>
        <v>25</v>
      </c>
      <c r="DG1338" s="65"/>
      <c r="DH1338" s="65">
        <f ca="1">+DH1339*0.7</f>
        <v>103.1201474006365</v>
      </c>
      <c r="DI1338" s="65">
        <f ca="1">+DI1339*0.7</f>
        <v>158.25770389375819</v>
      </c>
      <c r="DJ1338" s="65">
        <f ca="1">-DJ1297</f>
        <v>158.25770389375819</v>
      </c>
      <c r="DK1338" s="65"/>
      <c r="DL1338" s="65">
        <f ca="1">+DL1339*0.7</f>
        <v>242.51134507986006</v>
      </c>
      <c r="DM1338" s="65">
        <f ca="1">+DM1339*0.7</f>
        <v>247.98446508499072</v>
      </c>
      <c r="DN1338" s="65">
        <f ca="1">-DN1297</f>
        <v>247.98446508499072</v>
      </c>
      <c r="DO1338" s="65"/>
      <c r="DP1338" s="65">
        <f ca="1">+DP1339*0.7</f>
        <v>252.6489981616908</v>
      </c>
      <c r="DQ1338" s="65">
        <f ca="1">+DQ1339*0.7</f>
        <v>257.97388938470294</v>
      </c>
      <c r="DR1338" s="65">
        <f ca="1">-DR1297</f>
        <v>257.97388938470294</v>
      </c>
      <c r="DS1338" s="65"/>
      <c r="DT1338" s="65"/>
      <c r="DU1338" s="65"/>
      <c r="DV1338" s="65"/>
    </row>
    <row r="1339" spans="1:128" s="20" customFormat="1" ht="13.8">
      <c r="A1339" s="20" t="s">
        <v>372</v>
      </c>
      <c r="B1339" s="49"/>
      <c r="BH1339" s="65">
        <f>+BH1338/0.7</f>
        <v>751.42857142857144</v>
      </c>
      <c r="BI1339" s="65">
        <f>+BI1338/0.7</f>
        <v>537.14285714285722</v>
      </c>
      <c r="BJ1339" s="65">
        <f>+BJ1338/0.7</f>
        <v>537.14285714285722</v>
      </c>
      <c r="BK1339" s="65"/>
      <c r="BL1339" s="65">
        <f>+BL1338/0.7</f>
        <v>207.14285714285717</v>
      </c>
      <c r="BM1339" s="65">
        <f>+BM1338/0.7</f>
        <v>342.85714285714289</v>
      </c>
      <c r="BN1339" s="65">
        <f>+BN1338/0.7</f>
        <v>342.85714285714289</v>
      </c>
      <c r="BO1339" s="65"/>
      <c r="BP1339" s="65">
        <f>+BP1338/0.7</f>
        <v>534.28571428571433</v>
      </c>
      <c r="BQ1339" s="65">
        <f>+BQ1338/0.7</f>
        <v>684.28571428571433</v>
      </c>
      <c r="BR1339" s="65">
        <f>+BR1338/0.7</f>
        <v>684.28571428571433</v>
      </c>
      <c r="BS1339" s="65"/>
      <c r="BT1339" s="65">
        <f>+BT1338/0.7</f>
        <v>857.14285714285722</v>
      </c>
      <c r="BU1339" s="65">
        <f>+BU1338/0.7</f>
        <v>1000.0000000000001</v>
      </c>
      <c r="BV1339" s="65">
        <f>+BV1338/0.7</f>
        <v>1000.0000000000001</v>
      </c>
      <c r="BW1339" s="65"/>
      <c r="BX1339" s="65">
        <f>+BX1338/0.7</f>
        <v>994.28571428571433</v>
      </c>
      <c r="BY1339" s="65">
        <f>+BY1338/0.7</f>
        <v>1027.1428571428571</v>
      </c>
      <c r="BZ1339" s="65">
        <f>+BZ1338/0.7</f>
        <v>1027.1428571428571</v>
      </c>
      <c r="CA1339" s="65"/>
      <c r="CB1339" s="65">
        <f>+CB1338/0.7</f>
        <v>980.00000000000011</v>
      </c>
      <c r="CC1339" s="65">
        <f>+CC1338/0.7</f>
        <v>870</v>
      </c>
      <c r="CD1339" s="65">
        <f>+CD1338/0.7</f>
        <v>870</v>
      </c>
      <c r="CE1339" s="65"/>
      <c r="CF1339" s="65">
        <f>+CF1338/0.7</f>
        <v>60.000000000000007</v>
      </c>
      <c r="CG1339" s="65">
        <f>+CG1338/0.7</f>
        <v>1.4285714285714286</v>
      </c>
      <c r="CH1339" s="65">
        <f>+CH1338/0.7</f>
        <v>1.4285714285714286</v>
      </c>
      <c r="CI1339" s="65"/>
      <c r="CJ1339" s="65">
        <f>+CJ1338/0.7</f>
        <v>0</v>
      </c>
      <c r="CK1339" s="65">
        <f>+CK1338/0.7</f>
        <v>61.428571428571431</v>
      </c>
      <c r="CL1339" s="65">
        <f>+CL1338/0.7</f>
        <v>61.428571428571431</v>
      </c>
      <c r="CM1339" s="65"/>
      <c r="CN1339" s="65">
        <f>+CN1338/0.7</f>
        <v>60.000000000000007</v>
      </c>
      <c r="CO1339" s="65">
        <f>+CO1338/0.7</f>
        <v>51.428571428571431</v>
      </c>
      <c r="CP1339" s="65">
        <f>+CP1338/0.7</f>
        <v>51.428571428571431</v>
      </c>
      <c r="CQ1339" s="65"/>
      <c r="CR1339" s="65">
        <f>+CR1338/0.7</f>
        <v>45.714285714285715</v>
      </c>
      <c r="CS1339" s="65">
        <f>+CS1338/0.7</f>
        <v>15.714285714285715</v>
      </c>
      <c r="CT1339" s="65">
        <f>+CT1338/0.7</f>
        <v>15.714285714285715</v>
      </c>
      <c r="CU1339" s="65"/>
      <c r="CV1339" s="65">
        <f>+CV1338/0.7</f>
        <v>55.714285714285715</v>
      </c>
      <c r="CW1339" s="65">
        <f>+CW1338/0.7</f>
        <v>388.57142857142861</v>
      </c>
      <c r="CX1339" s="65">
        <f>+CX1338/0.7</f>
        <v>388.57142857142861</v>
      </c>
      <c r="CY1339" s="65"/>
      <c r="CZ1339" s="65">
        <f>+CZ1338/0.7</f>
        <v>402.85714285714289</v>
      </c>
      <c r="DA1339" s="65">
        <f>+DA1338/0.7</f>
        <v>300</v>
      </c>
      <c r="DB1339" s="65">
        <f>+DB1338/0.7</f>
        <v>300</v>
      </c>
      <c r="DC1339" s="65"/>
      <c r="DD1339" s="65">
        <f>+DD1338/0.7</f>
        <v>434.28571428571433</v>
      </c>
      <c r="DE1339" s="65">
        <f>+DE1338/0.7</f>
        <v>35.714285714285715</v>
      </c>
      <c r="DF1339" s="65">
        <f>+DF1338/0.7</f>
        <v>35.714285714285715</v>
      </c>
      <c r="DG1339" s="65"/>
      <c r="DH1339" s="65">
        <f ca="1">+DH1341-DH1340</f>
        <v>147.31449628662358</v>
      </c>
      <c r="DI1339" s="65">
        <f ca="1">+DI1341-DI1340</f>
        <v>226.0824341339403</v>
      </c>
      <c r="DJ1339" s="65">
        <f ca="1">+DJ1338/0.7</f>
        <v>226.0824341339403</v>
      </c>
      <c r="DK1339" s="65"/>
      <c r="DL1339" s="65">
        <f ca="1">+DL1341-DL1340</f>
        <v>346.44477868551439</v>
      </c>
      <c r="DM1339" s="65">
        <f ca="1">+DM1341-DM1340</f>
        <v>354.26352154998676</v>
      </c>
      <c r="DN1339" s="65">
        <f ca="1">+DN1338/0.7</f>
        <v>354.26352154998676</v>
      </c>
      <c r="DO1339" s="65"/>
      <c r="DP1339" s="65">
        <f ca="1">+DP1341-DP1340</f>
        <v>360.92714023098688</v>
      </c>
      <c r="DQ1339" s="65">
        <f ca="1">+DQ1341-DQ1340</f>
        <v>368.53412769243278</v>
      </c>
      <c r="DR1339" s="65">
        <f ca="1">+DR1338/0.7</f>
        <v>368.53412769243278</v>
      </c>
      <c r="DS1339" s="65"/>
      <c r="DT1339" s="65"/>
      <c r="DU1339" s="65"/>
      <c r="DV1339" s="65"/>
    </row>
    <row r="1340" spans="1:128" s="20" customFormat="1" ht="13.8">
      <c r="A1340" s="20" t="s">
        <v>245</v>
      </c>
      <c r="B1340" s="49"/>
      <c r="BH1340" s="65">
        <f>-BH244</f>
        <v>2769</v>
      </c>
      <c r="BI1340" s="65">
        <f>-BI244</f>
        <v>2887</v>
      </c>
      <c r="BJ1340" s="65">
        <f>-BJ244</f>
        <v>2887</v>
      </c>
      <c r="BK1340" s="65"/>
      <c r="BL1340" s="65">
        <f>-BL244</f>
        <v>2843</v>
      </c>
      <c r="BM1340" s="65">
        <f>-BM244</f>
        <v>2757</v>
      </c>
      <c r="BN1340" s="65">
        <f>-BN244</f>
        <v>2757</v>
      </c>
      <c r="BO1340" s="65"/>
      <c r="BP1340" s="65">
        <f>-BP244</f>
        <v>2914</v>
      </c>
      <c r="BQ1340" s="65">
        <f>-BQ244</f>
        <v>2956</v>
      </c>
      <c r="BR1340" s="65">
        <f>-BR244</f>
        <v>2956</v>
      </c>
      <c r="BS1340" s="65"/>
      <c r="BT1340" s="65">
        <f>-BT244</f>
        <v>2862</v>
      </c>
      <c r="BU1340" s="65">
        <f>-BU244</f>
        <v>2876</v>
      </c>
      <c r="BV1340" s="65">
        <f>-BV244</f>
        <v>2876</v>
      </c>
      <c r="BW1340" s="65"/>
      <c r="BX1340" s="65">
        <f>-BX244</f>
        <v>2785</v>
      </c>
      <c r="BY1340" s="65">
        <f>-BY244</f>
        <v>2662</v>
      </c>
      <c r="BZ1340" s="65">
        <f>-BZ244</f>
        <v>2662</v>
      </c>
      <c r="CA1340" s="65"/>
      <c r="CB1340" s="65">
        <f>-CB244</f>
        <v>2579</v>
      </c>
      <c r="CC1340" s="65">
        <f>-CC244</f>
        <v>2523</v>
      </c>
      <c r="CD1340" s="65">
        <f>-CD244</f>
        <v>2523</v>
      </c>
      <c r="CE1340" s="65"/>
      <c r="CF1340" s="65">
        <f>-CF244</f>
        <v>3378</v>
      </c>
      <c r="CG1340" s="65">
        <f>-CG244</f>
        <v>3376</v>
      </c>
      <c r="CH1340" s="65">
        <f>-CH244</f>
        <v>3376</v>
      </c>
      <c r="CI1340" s="65"/>
      <c r="CJ1340" s="65">
        <f>-CJ244</f>
        <v>4501</v>
      </c>
      <c r="CK1340" s="65">
        <f>-CK244</f>
        <v>5008</v>
      </c>
      <c r="CL1340" s="65">
        <f>-CL244</f>
        <v>5008</v>
      </c>
      <c r="CM1340" s="65"/>
      <c r="CN1340" s="65">
        <f>-CN244</f>
        <v>4285</v>
      </c>
      <c r="CO1340" s="65">
        <f>-CO244</f>
        <v>4195</v>
      </c>
      <c r="CP1340" s="65">
        <f>-CP244</f>
        <v>4195</v>
      </c>
      <c r="CQ1340" s="65"/>
      <c r="CR1340" s="65">
        <f>-CR244</f>
        <v>3757</v>
      </c>
      <c r="CS1340" s="65">
        <f>-CS244</f>
        <v>3853</v>
      </c>
      <c r="CT1340" s="65">
        <f>-CT244</f>
        <v>3853</v>
      </c>
      <c r="CU1340" s="65"/>
      <c r="CV1340" s="65">
        <f>-CV244</f>
        <v>4040</v>
      </c>
      <c r="CW1340" s="65">
        <f>-CW244</f>
        <v>4032</v>
      </c>
      <c r="CX1340" s="65">
        <f>-CX244</f>
        <v>4032</v>
      </c>
      <c r="CY1340" s="65"/>
      <c r="CZ1340" s="65">
        <f>-CZ244</f>
        <v>4046</v>
      </c>
      <c r="DA1340" s="65">
        <f>-DA244</f>
        <v>4247</v>
      </c>
      <c r="DB1340" s="65">
        <f>-DB244</f>
        <v>4247</v>
      </c>
      <c r="DC1340" s="65"/>
      <c r="DD1340" s="65">
        <f>-DD244</f>
        <v>4280</v>
      </c>
      <c r="DE1340" s="65">
        <f>-DE244</f>
        <v>4379</v>
      </c>
      <c r="DF1340" s="65">
        <f>-DF244</f>
        <v>4379</v>
      </c>
      <c r="DG1340" s="65"/>
      <c r="DH1340" s="65">
        <f ca="1">-DH244</f>
        <v>4289.2434126777534</v>
      </c>
      <c r="DI1340" s="65">
        <f ca="1">-DI244</f>
        <v>4300.2811190356451</v>
      </c>
      <c r="DJ1340" s="65">
        <f ca="1">-DJ244</f>
        <v>4300.2811190356451</v>
      </c>
      <c r="DK1340" s="65"/>
      <c r="DL1340" s="65">
        <f ca="1">-DL244</f>
        <v>4268.9561170466886</v>
      </c>
      <c r="DM1340" s="65">
        <f ca="1">-DM244</f>
        <v>4365.3001009437703</v>
      </c>
      <c r="DN1340" s="65">
        <f ca="1">-DN244</f>
        <v>4365.3001009437703</v>
      </c>
      <c r="DO1340" s="65"/>
      <c r="DP1340" s="65">
        <f ca="1">-DP244</f>
        <v>4447.4104327485975</v>
      </c>
      <c r="DQ1340" s="65">
        <f ca="1">-DQ244</f>
        <v>4541.1451277238084</v>
      </c>
      <c r="DR1340" s="65">
        <f ca="1">-DR244</f>
        <v>4541.1451277238084</v>
      </c>
      <c r="DS1340" s="65"/>
      <c r="DT1340" s="65"/>
      <c r="DU1340" s="65"/>
      <c r="DV1340" s="65"/>
    </row>
    <row r="1341" spans="1:128" s="20" customFormat="1" ht="13.8">
      <c r="A1341" s="21" t="s">
        <v>177</v>
      </c>
      <c r="B1341" s="49"/>
      <c r="BH1341" s="72">
        <f>+BH1339+BH1340</f>
        <v>3520.4285714285716</v>
      </c>
      <c r="BI1341" s="72">
        <f>+BI1339+BI1340</f>
        <v>3424.1428571428573</v>
      </c>
      <c r="BJ1341" s="72">
        <f>+BJ1339+BJ1340</f>
        <v>3424.1428571428573</v>
      </c>
      <c r="BK1341" s="65"/>
      <c r="BL1341" s="72">
        <f>+BL1339+BL1340</f>
        <v>3050.1428571428573</v>
      </c>
      <c r="BM1341" s="72">
        <f>+BM1339+BM1340</f>
        <v>3099.8571428571431</v>
      </c>
      <c r="BN1341" s="72">
        <f>+BN1339+BN1340</f>
        <v>3099.8571428571431</v>
      </c>
      <c r="BO1341" s="65"/>
      <c r="BP1341" s="72">
        <f>+BP1339+BP1340</f>
        <v>3448.2857142857142</v>
      </c>
      <c r="BQ1341" s="72">
        <f>+BQ1339+BQ1340</f>
        <v>3640.2857142857142</v>
      </c>
      <c r="BR1341" s="72">
        <f>+BR1339+BR1340</f>
        <v>3640.2857142857142</v>
      </c>
      <c r="BS1341" s="65"/>
      <c r="BT1341" s="72">
        <f>+BT1339+BT1340</f>
        <v>3719.1428571428573</v>
      </c>
      <c r="BU1341" s="72">
        <f>+BU1339+BU1340</f>
        <v>3876</v>
      </c>
      <c r="BV1341" s="72">
        <f>+BV1339+BV1340</f>
        <v>3876</v>
      </c>
      <c r="BW1341" s="65"/>
      <c r="BX1341" s="72">
        <f>+BX1339+BX1340</f>
        <v>3779.2857142857142</v>
      </c>
      <c r="BY1341" s="72">
        <f>+BY1339+BY1340</f>
        <v>3689.1428571428569</v>
      </c>
      <c r="BZ1341" s="72">
        <f>+BZ1339+BZ1340</f>
        <v>3689.1428571428569</v>
      </c>
      <c r="CA1341" s="65"/>
      <c r="CB1341" s="72">
        <f>+CB1339+CB1340</f>
        <v>3559</v>
      </c>
      <c r="CC1341" s="72">
        <f>+CC1339+CC1340</f>
        <v>3393</v>
      </c>
      <c r="CD1341" s="72">
        <f>+CD1339+CD1340</f>
        <v>3393</v>
      </c>
      <c r="CE1341" s="65"/>
      <c r="CF1341" s="72">
        <f>+CF1339+CF1340</f>
        <v>3438</v>
      </c>
      <c r="CG1341" s="72">
        <f>+CG1339+CG1340</f>
        <v>3377.4285714285716</v>
      </c>
      <c r="CH1341" s="72">
        <f>+CH1339+CH1340</f>
        <v>3377.4285714285716</v>
      </c>
      <c r="CI1341" s="65"/>
      <c r="CJ1341" s="72">
        <f>+CJ1339+CJ1340</f>
        <v>4501</v>
      </c>
      <c r="CK1341" s="72">
        <f>+CK1339+CK1340</f>
        <v>5069.4285714285716</v>
      </c>
      <c r="CL1341" s="72">
        <f>+CL1339+CL1340</f>
        <v>5069.4285714285716</v>
      </c>
      <c r="CM1341" s="65"/>
      <c r="CN1341" s="72">
        <f>+CN1339+CN1340</f>
        <v>4345</v>
      </c>
      <c r="CO1341" s="72">
        <f>+CO1339+CO1340</f>
        <v>4246.4285714285716</v>
      </c>
      <c r="CP1341" s="72">
        <f>+CP1339+CP1340</f>
        <v>4246.4285714285716</v>
      </c>
      <c r="CQ1341" s="65"/>
      <c r="CR1341" s="72">
        <f>+CR1339+CR1340</f>
        <v>3802.7142857142858</v>
      </c>
      <c r="CS1341" s="72">
        <f>+CS1339+CS1340</f>
        <v>3868.7142857142858</v>
      </c>
      <c r="CT1341" s="72">
        <f>+CT1339+CT1340</f>
        <v>3868.7142857142858</v>
      </c>
      <c r="CU1341" s="65"/>
      <c r="CV1341" s="72">
        <f>+CV1339+CV1340</f>
        <v>4095.7142857142858</v>
      </c>
      <c r="CW1341" s="72">
        <f>+CW1339+CW1340</f>
        <v>4420.5714285714284</v>
      </c>
      <c r="CX1341" s="72">
        <f>+CX1339+CX1340</f>
        <v>4420.5714285714284</v>
      </c>
      <c r="CY1341" s="65"/>
      <c r="CZ1341" s="72">
        <f>+CZ1339+CZ1340</f>
        <v>4448.8571428571431</v>
      </c>
      <c r="DA1341" s="72">
        <f>+DA1339+DA1340</f>
        <v>4547</v>
      </c>
      <c r="DB1341" s="72">
        <f>+DB1339+DB1340</f>
        <v>4547</v>
      </c>
      <c r="DC1341" s="65"/>
      <c r="DD1341" s="72">
        <f>+DD1339+DD1340</f>
        <v>4714.2857142857147</v>
      </c>
      <c r="DE1341" s="72">
        <f>+DE1339+DE1340</f>
        <v>4414.7142857142853</v>
      </c>
      <c r="DF1341" s="72">
        <f>+DF1339+DF1340</f>
        <v>4414.7142857142853</v>
      </c>
      <c r="DG1341" s="65"/>
      <c r="DH1341" s="72">
        <f ca="1">+DH1342*DH1343</f>
        <v>4436.557908964377</v>
      </c>
      <c r="DI1341" s="72">
        <f ca="1">+DI1342*DI1343</f>
        <v>4526.3635531695854</v>
      </c>
      <c r="DJ1341" s="72">
        <f ca="1">+DJ1339+DJ1340</f>
        <v>4526.3635531695854</v>
      </c>
      <c r="DK1341" s="65"/>
      <c r="DL1341" s="72">
        <f ca="1">+DL1342*DL1343</f>
        <v>4615.400895732203</v>
      </c>
      <c r="DM1341" s="72">
        <f ca="1">+DM1342*DM1343</f>
        <v>4719.5636224937571</v>
      </c>
      <c r="DN1341" s="72">
        <f ca="1">+DN1339+DN1340</f>
        <v>4719.5636224937571</v>
      </c>
      <c r="DO1341" s="65"/>
      <c r="DP1341" s="72">
        <f ca="1">+DP1342*DP1343</f>
        <v>4808.3375729795844</v>
      </c>
      <c r="DQ1341" s="72">
        <f ca="1">+DQ1342*DQ1343</f>
        <v>4909.6792554162412</v>
      </c>
      <c r="DR1341" s="72">
        <f ca="1">+DR1339+DR1340</f>
        <v>4909.6792554162412</v>
      </c>
      <c r="DS1341" s="65"/>
      <c r="DT1341" s="65"/>
      <c r="DU1341" s="65"/>
      <c r="DV1341" s="65"/>
    </row>
    <row r="1342" spans="1:128" s="20" customFormat="1" ht="13.8">
      <c r="A1342" s="20" t="s">
        <v>535</v>
      </c>
      <c r="B1342" s="49"/>
      <c r="BH1342" s="65">
        <f>BH1402</f>
        <v>274978</v>
      </c>
      <c r="BI1342" s="65">
        <f>BI1402</f>
        <v>287651</v>
      </c>
      <c r="BJ1342" s="65">
        <f>BJ1402</f>
        <v>287651</v>
      </c>
      <c r="BK1342" s="65"/>
      <c r="BL1342" s="65">
        <f>BL1402</f>
        <v>305328</v>
      </c>
      <c r="BM1342" s="65">
        <f>BM1402</f>
        <v>308885</v>
      </c>
      <c r="BN1342" s="65">
        <f>BN1402</f>
        <v>308885</v>
      </c>
      <c r="BO1342" s="65"/>
      <c r="BP1342" s="65">
        <f>BP1402</f>
        <v>339697</v>
      </c>
      <c r="BQ1342" s="65">
        <f>BQ1402</f>
        <v>349751</v>
      </c>
      <c r="BR1342" s="65">
        <f>BR1402</f>
        <v>349751</v>
      </c>
      <c r="BS1342" s="65"/>
      <c r="BT1342" s="65">
        <f>BT1402</f>
        <v>334308</v>
      </c>
      <c r="BU1342" s="65">
        <f>BU1402</f>
        <v>352033</v>
      </c>
      <c r="BV1342" s="65">
        <f>BV1402</f>
        <v>352033</v>
      </c>
      <c r="BW1342" s="65"/>
      <c r="BX1342" s="65">
        <f>BX1402</f>
        <v>341809</v>
      </c>
      <c r="BY1342" s="65">
        <f>BY1402</f>
        <v>336834</v>
      </c>
      <c r="BZ1342" s="65">
        <f>BZ1402</f>
        <v>336834</v>
      </c>
      <c r="CA1342" s="65"/>
      <c r="CB1342" s="65">
        <f>CB1402</f>
        <v>342822</v>
      </c>
      <c r="CC1342" s="65">
        <f>CC1402</f>
        <v>337580</v>
      </c>
      <c r="CD1342" s="65">
        <f>CD1402</f>
        <v>337580</v>
      </c>
      <c r="CE1342" s="65"/>
      <c r="CF1342" s="65">
        <f>CF1402</f>
        <v>345523</v>
      </c>
      <c r="CG1342" s="65">
        <f>CG1402</f>
        <v>358106</v>
      </c>
      <c r="CH1342" s="65">
        <f>CH1402</f>
        <v>358106</v>
      </c>
      <c r="CI1342" s="65"/>
      <c r="CJ1342" s="65">
        <f>CJ1402</f>
        <v>385997</v>
      </c>
      <c r="CK1342" s="65">
        <f>CK1402</f>
        <v>360037</v>
      </c>
      <c r="CL1342" s="65">
        <f>CL1402</f>
        <v>360037</v>
      </c>
      <c r="CM1342" s="65"/>
      <c r="CN1342" s="65">
        <f>CN1402</f>
        <v>341862</v>
      </c>
      <c r="CO1342" s="65">
        <f>CO1402</f>
        <v>342498</v>
      </c>
      <c r="CP1342" s="65">
        <f>CP1402</f>
        <v>342498</v>
      </c>
      <c r="CQ1342" s="65"/>
      <c r="CR1342" s="65">
        <f>CR1402</f>
        <v>348817</v>
      </c>
      <c r="CS1342" s="65">
        <f>CS1402</f>
        <v>359442</v>
      </c>
      <c r="CT1342" s="65">
        <f>CT1402</f>
        <v>359442</v>
      </c>
      <c r="CU1342" s="65"/>
      <c r="CV1342" s="65">
        <f>CV1402</f>
        <v>345294</v>
      </c>
      <c r="CW1342" s="65">
        <f>CW1402</f>
        <v>349041</v>
      </c>
      <c r="CX1342" s="65">
        <f>CX1402</f>
        <v>349041</v>
      </c>
      <c r="CY1342" s="65"/>
      <c r="CZ1342" s="65">
        <f>CZ1402</f>
        <v>348447</v>
      </c>
      <c r="DA1342" s="65">
        <f>DA1402</f>
        <v>361185</v>
      </c>
      <c r="DB1342" s="65">
        <f>DB1402</f>
        <v>361185</v>
      </c>
      <c r="DC1342" s="65"/>
      <c r="DD1342" s="65">
        <f>DD1402</f>
        <v>378081</v>
      </c>
      <c r="DE1342" s="65">
        <f>DE1402</f>
        <v>369583</v>
      </c>
      <c r="DF1342" s="65">
        <f>DF1402</f>
        <v>369583</v>
      </c>
      <c r="DG1342" s="65"/>
      <c r="DH1342" s="65">
        <f ca="1">DH1402</f>
        <v>371411.66461772221</v>
      </c>
      <c r="DI1342" s="65">
        <f ca="1">DI1402</f>
        <v>378929.84977178671</v>
      </c>
      <c r="DJ1342" s="65">
        <f ca="1">DJ1402</f>
        <v>378929.84977178671</v>
      </c>
      <c r="DK1342" s="65"/>
      <c r="DL1342" s="65">
        <f ca="1">DL1402</f>
        <v>386383.71564999397</v>
      </c>
      <c r="DM1342" s="65">
        <f ca="1">DM1402</f>
        <v>395103.82086026511</v>
      </c>
      <c r="DN1342" s="65">
        <f ca="1">DN1402</f>
        <v>395103.82086026511</v>
      </c>
      <c r="DO1342" s="65"/>
      <c r="DP1342" s="65">
        <f ca="1">DP1402</f>
        <v>402535.63656090334</v>
      </c>
      <c r="DQ1342" s="65">
        <f ca="1">DQ1402</f>
        <v>411019.5747267743</v>
      </c>
      <c r="DR1342" s="65">
        <f ca="1">DR1402</f>
        <v>411019.5747267743</v>
      </c>
      <c r="DS1342" s="65"/>
      <c r="DT1342" s="65"/>
      <c r="DU1342" s="65"/>
      <c r="DV1342" s="65"/>
    </row>
    <row r="1343" spans="1:128" s="335" customFormat="1" ht="13.8">
      <c r="A1343" s="335" t="s">
        <v>373</v>
      </c>
      <c r="B1343" s="336"/>
      <c r="BH1343" s="351">
        <f>+BH1341/BH1342</f>
        <v>1.2802582648170295E-2</v>
      </c>
      <c r="BI1343" s="351">
        <f>+BI1341/BI1342</f>
        <v>1.1903810023753984E-2</v>
      </c>
      <c r="BJ1343" s="351">
        <f>+BJ1341/BJ1342</f>
        <v>1.1903810023753984E-2</v>
      </c>
      <c r="BK1343" s="380"/>
      <c r="BL1343" s="351">
        <f>+BL1341/BL1342</f>
        <v>9.9897253351898859E-3</v>
      </c>
      <c r="BM1343" s="351">
        <f>+BM1341/BM1342</f>
        <v>1.0035635083792165E-2</v>
      </c>
      <c r="BN1343" s="351">
        <f>+BN1341/BN1342</f>
        <v>1.0035635083792165E-2</v>
      </c>
      <c r="BO1343" s="380"/>
      <c r="BP1343" s="351">
        <f>+BP1341/BP1342</f>
        <v>1.0151063195393878E-2</v>
      </c>
      <c r="BQ1343" s="351">
        <f>+BQ1341/BQ1342</f>
        <v>1.040822103235077E-2</v>
      </c>
      <c r="BR1343" s="351">
        <f>+BR1341/BR1342</f>
        <v>1.040822103235077E-2</v>
      </c>
      <c r="BS1343" s="380"/>
      <c r="BT1343" s="351">
        <f>+BT1341/BT1342</f>
        <v>1.1124899365683314E-2</v>
      </c>
      <c r="BU1343" s="351">
        <f>+BU1341/BU1342</f>
        <v>1.1010331417793218E-2</v>
      </c>
      <c r="BV1343" s="351">
        <f>+BV1341/BV1342</f>
        <v>1.1010331417793218E-2</v>
      </c>
      <c r="BW1343" s="380"/>
      <c r="BX1343" s="351">
        <f>+BX1341/BX1342</f>
        <v>1.1056717974909128E-2</v>
      </c>
      <c r="BY1343" s="351">
        <f>+BY1341/BY1342</f>
        <v>1.0952406399421842E-2</v>
      </c>
      <c r="BZ1343" s="351">
        <f>+BZ1341/BZ1342</f>
        <v>1.0952406399421842E-2</v>
      </c>
      <c r="CA1343" s="380"/>
      <c r="CB1343" s="351">
        <f>+CB1341/CB1342</f>
        <v>1.0381480768445433E-2</v>
      </c>
      <c r="CC1343" s="351">
        <f>+CC1341/CC1342</f>
        <v>1.0050950885715979E-2</v>
      </c>
      <c r="CD1343" s="351">
        <f>+CD1341/CD1342</f>
        <v>1.0050950885715979E-2</v>
      </c>
      <c r="CE1343" s="380"/>
      <c r="CF1343" s="351">
        <f>+CF1341/CF1342</f>
        <v>9.9501335656381768E-3</v>
      </c>
      <c r="CG1343" s="351">
        <f>+CG1341/CG1342</f>
        <v>9.4313654935370295E-3</v>
      </c>
      <c r="CH1343" s="351">
        <f>+CH1341/CH1342</f>
        <v>9.4313654935370295E-3</v>
      </c>
      <c r="CI1343" s="380"/>
      <c r="CJ1343" s="351">
        <f>+CJ1341/CJ1342</f>
        <v>1.1660712388956392E-2</v>
      </c>
      <c r="CK1343" s="351">
        <f>+CK1341/CK1342</f>
        <v>1.4080298889915679E-2</v>
      </c>
      <c r="CL1343" s="351">
        <f>+CL1341/CL1342</f>
        <v>1.4080298889915679E-2</v>
      </c>
      <c r="CM1343" s="380"/>
      <c r="CN1343" s="351">
        <f>+CN1341/CN1342</f>
        <v>1.2709806881139173E-2</v>
      </c>
      <c r="CO1343" s="351">
        <f>+CO1341/CO1342</f>
        <v>1.2398403994851273E-2</v>
      </c>
      <c r="CP1343" s="351">
        <f>+CP1341/CP1342</f>
        <v>1.2398403994851273E-2</v>
      </c>
      <c r="CQ1343" s="380"/>
      <c r="CR1343" s="351">
        <f>+CR1341/CR1342</f>
        <v>1.0901745860191119E-2</v>
      </c>
      <c r="CS1343" s="351">
        <f>+CS1341/CS1342</f>
        <v>1.0763111394089411E-2</v>
      </c>
      <c r="CT1343" s="351">
        <f>+CT1341/CT1342</f>
        <v>1.0763111394089411E-2</v>
      </c>
      <c r="CU1343" s="380"/>
      <c r="CV1343" s="351">
        <f>+CV1341/CV1342</f>
        <v>1.1861527526439167E-2</v>
      </c>
      <c r="CW1343" s="351">
        <f>+CW1341/CW1342</f>
        <v>1.266490592386404E-2</v>
      </c>
      <c r="CX1343" s="351">
        <f>+CX1341/CX1342</f>
        <v>1.266490592386404E-2</v>
      </c>
      <c r="CY1343" s="380"/>
      <c r="CZ1343" s="351">
        <f>+CZ1341/CZ1342</f>
        <v>1.2767672394530999E-2</v>
      </c>
      <c r="DA1343" s="351">
        <f>+DA1341/DA1342</f>
        <v>1.2589116380802082E-2</v>
      </c>
      <c r="DB1343" s="351">
        <f>+DB1341/DB1342</f>
        <v>1.2589116380802082E-2</v>
      </c>
      <c r="DC1343" s="380"/>
      <c r="DD1343" s="351">
        <f>+DD1341/DD1342</f>
        <v>1.246898340378309E-2</v>
      </c>
      <c r="DE1343" s="351">
        <f>+DE1341/DE1342</f>
        <v>1.1945122707793068E-2</v>
      </c>
      <c r="DF1343" s="351">
        <f>+DF1341/DF1342</f>
        <v>1.1945122707793068E-2</v>
      </c>
      <c r="DG1343" s="380"/>
      <c r="DH1343" s="353">
        <f>DE1343</f>
        <v>1.1945122707793068E-2</v>
      </c>
      <c r="DI1343" s="353">
        <f>DH1343</f>
        <v>1.1945122707793068E-2</v>
      </c>
      <c r="DJ1343" s="380"/>
      <c r="DK1343" s="380"/>
      <c r="DL1343" s="353">
        <f>DI1343</f>
        <v>1.1945122707793068E-2</v>
      </c>
      <c r="DM1343" s="353">
        <f>DL1343</f>
        <v>1.1945122707793068E-2</v>
      </c>
      <c r="DN1343" s="380"/>
      <c r="DO1343" s="380"/>
      <c r="DP1343" s="353">
        <f>DM1343</f>
        <v>1.1945122707793068E-2</v>
      </c>
      <c r="DQ1343" s="353">
        <f>DP1343</f>
        <v>1.1945122707793068E-2</v>
      </c>
      <c r="DR1343" s="380"/>
      <c r="DS1343" s="380"/>
      <c r="DT1343" s="380"/>
      <c r="DU1343" s="380"/>
      <c r="DV1343" s="380"/>
      <c r="DW1343" s="20"/>
      <c r="DX1343" s="20"/>
    </row>
    <row r="1344" spans="1:128" s="20" customFormat="1" ht="13.8">
      <c r="A1344" s="21"/>
      <c r="B1344" s="49"/>
      <c r="BH1344" s="65"/>
      <c r="BI1344" s="65"/>
      <c r="BJ1344" s="65"/>
      <c r="BK1344" s="65"/>
      <c r="BL1344" s="65"/>
      <c r="BM1344" s="65"/>
      <c r="BN1344" s="65"/>
      <c r="BO1344" s="65"/>
      <c r="BP1344" s="65"/>
      <c r="BQ1344" s="65"/>
      <c r="BR1344" s="65"/>
      <c r="BS1344" s="65"/>
      <c r="BT1344" s="65"/>
      <c r="BU1344" s="65"/>
      <c r="BV1344" s="65"/>
      <c r="BW1344" s="65"/>
      <c r="BX1344" s="65"/>
      <c r="BY1344" s="65"/>
      <c r="BZ1344" s="65"/>
      <c r="CA1344" s="65"/>
      <c r="CB1344" s="65"/>
      <c r="CC1344" s="65"/>
      <c r="CD1344" s="65"/>
      <c r="CE1344" s="65"/>
      <c r="CF1344" s="65"/>
      <c r="CG1344" s="65"/>
      <c r="CH1344" s="65"/>
      <c r="CI1344" s="65"/>
      <c r="CJ1344" s="65"/>
      <c r="CK1344" s="65"/>
      <c r="CL1344" s="65"/>
      <c r="CM1344" s="65"/>
      <c r="CN1344" s="65"/>
      <c r="CO1344" s="65"/>
      <c r="CP1344" s="65"/>
      <c r="CQ1344" s="65"/>
      <c r="CR1344" s="65"/>
      <c r="CS1344" s="65"/>
      <c r="CT1344" s="65"/>
      <c r="CU1344" s="65"/>
      <c r="CV1344" s="65"/>
      <c r="CW1344" s="65"/>
      <c r="CX1344" s="65"/>
      <c r="CY1344" s="65"/>
      <c r="CZ1344" s="65"/>
      <c r="DA1344" s="65"/>
      <c r="DB1344" s="65"/>
      <c r="DC1344" s="65"/>
      <c r="DD1344" s="65"/>
      <c r="DE1344" s="65"/>
      <c r="DF1344" s="65"/>
      <c r="DG1344" s="65"/>
      <c r="DH1344" s="65"/>
      <c r="DI1344" s="65"/>
      <c r="DJ1344" s="65"/>
      <c r="DK1344" s="65"/>
      <c r="DL1344" s="65"/>
      <c r="DM1344" s="65"/>
      <c r="DN1344" s="65"/>
      <c r="DO1344" s="65"/>
      <c r="DP1344" s="65"/>
      <c r="DQ1344" s="65"/>
      <c r="DR1344" s="65"/>
      <c r="DS1344" s="65"/>
      <c r="DT1344" s="65"/>
      <c r="DU1344" s="65"/>
      <c r="DV1344" s="65"/>
    </row>
    <row r="1345" spans="1:126" s="20" customFormat="1" ht="13.8">
      <c r="A1345" s="21" t="s">
        <v>820</v>
      </c>
      <c r="B1345" s="49"/>
      <c r="BH1345" s="65"/>
      <c r="BI1345" s="65"/>
      <c r="BJ1345" s="65"/>
      <c r="BK1345" s="65"/>
      <c r="BL1345" s="65"/>
      <c r="BM1345" s="65"/>
      <c r="BN1345" s="65"/>
      <c r="BO1345" s="65"/>
      <c r="BP1345" s="65"/>
      <c r="BQ1345" s="65"/>
      <c r="BR1345" s="65"/>
      <c r="BS1345" s="65"/>
      <c r="BT1345" s="65"/>
      <c r="BU1345" s="65"/>
      <c r="BV1345" s="65"/>
      <c r="BW1345" s="65"/>
      <c r="BX1345" s="65"/>
      <c r="BY1345" s="65"/>
      <c r="BZ1345" s="65"/>
      <c r="CA1345" s="65"/>
      <c r="CB1345" s="65"/>
      <c r="CC1345" s="65"/>
      <c r="CD1345" s="65"/>
      <c r="CE1345" s="65"/>
      <c r="CF1345" s="65"/>
      <c r="CG1345" s="65"/>
      <c r="CH1345" s="65"/>
      <c r="CI1345" s="65"/>
      <c r="CJ1345" s="65"/>
      <c r="CK1345" s="65"/>
      <c r="CL1345" s="65"/>
      <c r="CM1345" s="65"/>
      <c r="CN1345" s="65"/>
      <c r="CO1345" s="65"/>
      <c r="CP1345" s="65"/>
      <c r="CQ1345" s="65"/>
      <c r="CR1345" s="65"/>
      <c r="CS1345" s="65"/>
      <c r="CT1345" s="65"/>
      <c r="CU1345" s="65"/>
      <c r="CV1345" s="65"/>
      <c r="CW1345" s="65"/>
      <c r="CX1345" s="65"/>
      <c r="CY1345" s="65"/>
      <c r="CZ1345" s="65"/>
      <c r="DA1345" s="65"/>
      <c r="DB1345" s="65"/>
      <c r="DC1345" s="65"/>
      <c r="DD1345" s="65"/>
      <c r="DE1345" s="65"/>
      <c r="DF1345" s="65"/>
      <c r="DG1345" s="65"/>
      <c r="DH1345" s="65"/>
      <c r="DI1345" s="65"/>
      <c r="DJ1345" s="65"/>
      <c r="DK1345" s="65"/>
      <c r="DL1345" s="65"/>
      <c r="DM1345" s="65"/>
      <c r="DN1345" s="65"/>
      <c r="DO1345" s="65"/>
      <c r="DP1345" s="65"/>
      <c r="DQ1345" s="65"/>
      <c r="DR1345" s="65"/>
      <c r="DS1345" s="65"/>
      <c r="DT1345" s="65"/>
      <c r="DU1345" s="65"/>
      <c r="DV1345" s="65"/>
    </row>
    <row r="1346" spans="1:126" s="20" customFormat="1" ht="13.8">
      <c r="A1346" s="20" t="s">
        <v>310</v>
      </c>
      <c r="B1346" s="49"/>
      <c r="BH1346" s="65"/>
      <c r="BI1346" s="65"/>
      <c r="BJ1346" s="65"/>
      <c r="BK1346" s="65"/>
      <c r="BL1346" s="65">
        <f>BI1351</f>
        <v>3361</v>
      </c>
      <c r="BM1346" s="65">
        <f>BL1351</f>
        <v>3565</v>
      </c>
      <c r="BN1346" s="65">
        <f>BL1346</f>
        <v>3361</v>
      </c>
      <c r="BO1346" s="65"/>
      <c r="BP1346" s="65">
        <f>BM1351</f>
        <v>3811</v>
      </c>
      <c r="BQ1346" s="65">
        <f>BP1351</f>
        <v>4499</v>
      </c>
      <c r="BR1346" s="65">
        <f>BP1346</f>
        <v>3811</v>
      </c>
      <c r="BS1346" s="65"/>
      <c r="BT1346" s="65">
        <f>BQ1351</f>
        <v>4734</v>
      </c>
      <c r="BU1346" s="65">
        <f>BT1351</f>
        <v>4708</v>
      </c>
      <c r="BV1346" s="65">
        <f>BT1346</f>
        <v>4734</v>
      </c>
      <c r="BW1346" s="65"/>
      <c r="BX1346" s="65">
        <f>BU1351</f>
        <v>4674</v>
      </c>
      <c r="BY1346" s="65">
        <f>BX1351</f>
        <v>3826</v>
      </c>
      <c r="BZ1346" s="65">
        <f>BX1346</f>
        <v>4674</v>
      </c>
      <c r="CA1346" s="65"/>
      <c r="CB1346" s="65">
        <f>BY1351</f>
        <v>3919</v>
      </c>
      <c r="CC1346" s="65">
        <f>CB1351</f>
        <v>2272</v>
      </c>
      <c r="CD1346" s="65">
        <f>CB1346</f>
        <v>3919</v>
      </c>
      <c r="CE1346" s="65"/>
      <c r="CF1346" s="65">
        <f>CC1351</f>
        <v>2333</v>
      </c>
      <c r="CG1346" s="65">
        <f>CF1351</f>
        <v>2501</v>
      </c>
      <c r="CH1346" s="65">
        <f>CF1346</f>
        <v>2333</v>
      </c>
      <c r="CI1346" s="65"/>
      <c r="CJ1346" s="65">
        <f>CG1351</f>
        <v>2707</v>
      </c>
      <c r="CK1346" s="65">
        <f>CJ1351</f>
        <v>2313</v>
      </c>
      <c r="CL1346" s="65">
        <f>CJ1346</f>
        <v>2707</v>
      </c>
      <c r="CM1346" s="65"/>
      <c r="CN1346" s="65">
        <f>CK1351</f>
        <v>2164</v>
      </c>
      <c r="CO1346" s="65">
        <f>CN1351</f>
        <v>1854</v>
      </c>
      <c r="CP1346" s="65">
        <f>CN1346</f>
        <v>2164</v>
      </c>
      <c r="CQ1346" s="65"/>
      <c r="CR1346" s="65">
        <f>CO1351</f>
        <v>1972</v>
      </c>
      <c r="CS1346" s="65">
        <f>CR1351</f>
        <v>2018</v>
      </c>
      <c r="CT1346" s="65">
        <f>CR1346</f>
        <v>1972</v>
      </c>
      <c r="CU1346" s="65"/>
      <c r="CV1346" s="65">
        <f>CS1351</f>
        <v>2181</v>
      </c>
      <c r="CW1346" s="65">
        <f>CV1351</f>
        <v>2214</v>
      </c>
      <c r="CX1346" s="65">
        <f>CV1346</f>
        <v>2181</v>
      </c>
      <c r="CY1346" s="65"/>
      <c r="CZ1346" s="65">
        <f>CW1351</f>
        <v>2321</v>
      </c>
      <c r="DA1346" s="65">
        <f>CZ1351</f>
        <v>1405</v>
      </c>
      <c r="DB1346" s="65">
        <f>CZ1346</f>
        <v>2321</v>
      </c>
      <c r="DC1346" s="65"/>
      <c r="DD1346" s="65">
        <f>DA1351</f>
        <v>1415</v>
      </c>
      <c r="DE1346" s="65">
        <f>DD1351</f>
        <v>1479</v>
      </c>
      <c r="DF1346" s="65">
        <f>DD1346</f>
        <v>1415</v>
      </c>
      <c r="DG1346" s="65"/>
      <c r="DH1346" s="65">
        <f>DE1351</f>
        <v>1140</v>
      </c>
      <c r="DI1346" s="65">
        <f>DH1351</f>
        <v>1165.2521999999999</v>
      </c>
      <c r="DJ1346" s="65">
        <f>DH1346</f>
        <v>1140</v>
      </c>
      <c r="DK1346" s="65"/>
      <c r="DL1346" s="65">
        <f>DI1351</f>
        <v>1191.548139</v>
      </c>
      <c r="DM1346" s="65">
        <f>DL1351</f>
        <v>1228.8952244050001</v>
      </c>
      <c r="DN1346" s="65">
        <f>DL1346</f>
        <v>1191.548139</v>
      </c>
      <c r="DO1346" s="65"/>
      <c r="DP1346" s="65">
        <f>DM1351</f>
        <v>1267.0513484524752</v>
      </c>
      <c r="DQ1346" s="65">
        <f>DP1351</f>
        <v>1306.0311394919152</v>
      </c>
      <c r="DR1346" s="65">
        <f>DP1346</f>
        <v>1267.0513484524752</v>
      </c>
      <c r="DS1346" s="65"/>
      <c r="DT1346" s="65"/>
      <c r="DU1346" s="65"/>
      <c r="DV1346" s="65"/>
    </row>
    <row r="1347" spans="1:126" s="20" customFormat="1" ht="13.8">
      <c r="A1347" s="20" t="s">
        <v>821</v>
      </c>
      <c r="B1347" s="49"/>
      <c r="BH1347" s="65"/>
      <c r="BI1347" s="65"/>
      <c r="BJ1347" s="65"/>
      <c r="BK1347" s="65"/>
      <c r="BL1347" s="65">
        <f>BL664</f>
        <v>243</v>
      </c>
      <c r="BM1347" s="65">
        <f>BM664</f>
        <v>267</v>
      </c>
      <c r="BN1347" s="65">
        <f>+BM1347+BL1347</f>
        <v>510</v>
      </c>
      <c r="BO1347" s="65"/>
      <c r="BP1347" s="65">
        <f>BP664</f>
        <v>314</v>
      </c>
      <c r="BQ1347" s="65">
        <f>BQ664</f>
        <v>311</v>
      </c>
      <c r="BR1347" s="65">
        <f>+BQ1347+BP1347</f>
        <v>625</v>
      </c>
      <c r="BS1347" s="65"/>
      <c r="BT1347" s="65">
        <f>BT664</f>
        <v>301</v>
      </c>
      <c r="BU1347" s="65">
        <f>BU664</f>
        <v>243</v>
      </c>
      <c r="BV1347" s="65">
        <f>+BU1347+BT1347</f>
        <v>544</v>
      </c>
      <c r="BW1347" s="65"/>
      <c r="BX1347" s="65">
        <f>BX664</f>
        <v>173</v>
      </c>
      <c r="BY1347" s="65">
        <f>BY664</f>
        <v>127</v>
      </c>
      <c r="BZ1347" s="65">
        <f>+BY1347+BX1347</f>
        <v>300</v>
      </c>
      <c r="CA1347" s="65"/>
      <c r="CB1347" s="65">
        <f>CB664</f>
        <v>88</v>
      </c>
      <c r="CC1347" s="65">
        <f>CC664</f>
        <v>95</v>
      </c>
      <c r="CD1347" s="65">
        <f>+CC1347+CB1347</f>
        <v>183</v>
      </c>
      <c r="CE1347" s="65"/>
      <c r="CF1347" s="65">
        <f>CF664</f>
        <v>131</v>
      </c>
      <c r="CG1347" s="65">
        <f>CG664</f>
        <v>131</v>
      </c>
      <c r="CH1347" s="65">
        <f>+CG1347+CF1347</f>
        <v>262</v>
      </c>
      <c r="CI1347" s="65"/>
      <c r="CJ1347" s="65">
        <f>CJ664</f>
        <v>135</v>
      </c>
      <c r="CK1347" s="65">
        <f>CK664</f>
        <v>20</v>
      </c>
      <c r="CL1347" s="65">
        <f>+CK1347+CJ1347</f>
        <v>155</v>
      </c>
      <c r="CM1347" s="65"/>
      <c r="CN1347" s="65">
        <f>CN664</f>
        <v>-242</v>
      </c>
      <c r="CO1347" s="65">
        <f>CO664</f>
        <v>66</v>
      </c>
      <c r="CP1347" s="65">
        <f>+CO1347+CN1347</f>
        <v>-176</v>
      </c>
      <c r="CQ1347" s="65"/>
      <c r="CR1347" s="65">
        <f>CR664</f>
        <v>74</v>
      </c>
      <c r="CS1347" s="65">
        <f>CS664</f>
        <v>103</v>
      </c>
      <c r="CT1347" s="65">
        <f>+CS1347+CR1347</f>
        <v>177</v>
      </c>
      <c r="CU1347" s="65"/>
      <c r="CV1347" s="65">
        <f>CV664</f>
        <v>101</v>
      </c>
      <c r="CW1347" s="65">
        <f>CW664</f>
        <v>120</v>
      </c>
      <c r="CX1347" s="65">
        <f>+CW1347+CV1347</f>
        <v>221</v>
      </c>
      <c r="CY1347" s="65"/>
      <c r="CZ1347" s="65">
        <f>CZ664</f>
        <v>84</v>
      </c>
      <c r="DA1347" s="65">
        <f>DA664</f>
        <v>21</v>
      </c>
      <c r="DB1347" s="65">
        <f>+DA1347+CZ1347</f>
        <v>105</v>
      </c>
      <c r="DC1347" s="65"/>
      <c r="DD1347" s="65">
        <f>DD664</f>
        <v>38</v>
      </c>
      <c r="DE1347" s="65">
        <f>DE664</f>
        <v>38</v>
      </c>
      <c r="DF1347" s="65">
        <f>+DE1347+DD1347</f>
        <v>76</v>
      </c>
      <c r="DG1347" s="65"/>
      <c r="DH1347" s="65">
        <f>DH664</f>
        <v>53.752200000000016</v>
      </c>
      <c r="DI1347" s="65">
        <f>DI664</f>
        <v>55.427244000000016</v>
      </c>
      <c r="DJ1347" s="65">
        <f>+DI1347+DH1347</f>
        <v>109.17944400000003</v>
      </c>
      <c r="DK1347" s="65"/>
      <c r="DL1347" s="65">
        <f>DL664</f>
        <v>67.135788880000021</v>
      </c>
      <c r="DM1347" s="65">
        <f>DM664</f>
        <v>68.878504657600018</v>
      </c>
      <c r="DN1347" s="65">
        <f>+DM1347+DL1347</f>
        <v>136.01429353760005</v>
      </c>
      <c r="DO1347" s="65"/>
      <c r="DP1347" s="65">
        <f>DP664</f>
        <v>70.656074750752026</v>
      </c>
      <c r="DQ1347" s="65">
        <f>DQ664</f>
        <v>72.469196245767066</v>
      </c>
      <c r="DR1347" s="65">
        <f>+DQ1347+DP1347</f>
        <v>143.12527099651908</v>
      </c>
      <c r="DS1347" s="65"/>
      <c r="DT1347" s="65"/>
      <c r="DU1347" s="65"/>
      <c r="DV1347" s="65"/>
    </row>
    <row r="1348" spans="1:126" s="20" customFormat="1" ht="13.8">
      <c r="A1348" s="20" t="s">
        <v>823</v>
      </c>
      <c r="B1348" s="49"/>
      <c r="BH1348" s="65"/>
      <c r="BI1348" s="65"/>
      <c r="BJ1348" s="65"/>
      <c r="BK1348" s="65"/>
      <c r="BL1348" s="65">
        <f>BL742</f>
        <v>0</v>
      </c>
      <c r="BM1348" s="65">
        <f>BM742</f>
        <v>0</v>
      </c>
      <c r="BN1348" s="65">
        <f>+BM1348+BL1348</f>
        <v>0</v>
      </c>
      <c r="BO1348" s="65"/>
      <c r="BP1348" s="65">
        <f>BP742</f>
        <v>0</v>
      </c>
      <c r="BQ1348" s="65">
        <f>BQ742</f>
        <v>0</v>
      </c>
      <c r="BR1348" s="65">
        <f>+BQ1348+BP1348</f>
        <v>0</v>
      </c>
      <c r="BS1348" s="65"/>
      <c r="BT1348" s="65">
        <f>BT742</f>
        <v>-231</v>
      </c>
      <c r="BU1348" s="65">
        <f>BU742</f>
        <v>0</v>
      </c>
      <c r="BV1348" s="65">
        <f>+BU1348+BT1348</f>
        <v>-231</v>
      </c>
      <c r="BW1348" s="65"/>
      <c r="BX1348" s="65">
        <f>BX742</f>
        <v>-324</v>
      </c>
      <c r="BY1348" s="65">
        <f>BY742</f>
        <v>14</v>
      </c>
      <c r="BZ1348" s="65">
        <f>+BY1348+BX1348</f>
        <v>-310</v>
      </c>
      <c r="CA1348" s="65"/>
      <c r="CB1348" s="65">
        <f>CB742</f>
        <v>121</v>
      </c>
      <c r="CC1348" s="65">
        <f>CC742</f>
        <v>131</v>
      </c>
      <c r="CD1348" s="65">
        <f>+CC1348+CB1348</f>
        <v>252</v>
      </c>
      <c r="CE1348" s="65"/>
      <c r="CF1348" s="65">
        <f>CF742</f>
        <v>0</v>
      </c>
      <c r="CG1348" s="65">
        <f>CG742</f>
        <v>0</v>
      </c>
      <c r="CH1348" s="65">
        <f>+CG1348+CF1348</f>
        <v>0</v>
      </c>
      <c r="CI1348" s="65"/>
      <c r="CJ1348" s="65">
        <f>CJ742</f>
        <v>-815</v>
      </c>
      <c r="CK1348" s="65">
        <f>CK742</f>
        <v>0</v>
      </c>
      <c r="CL1348" s="65">
        <f>+CK1348+CJ1348</f>
        <v>-815</v>
      </c>
      <c r="CM1348" s="65"/>
      <c r="CN1348" s="65">
        <f>CN742</f>
        <v>0</v>
      </c>
      <c r="CO1348" s="65">
        <f>CO742</f>
        <v>0</v>
      </c>
      <c r="CP1348" s="65">
        <f>+CO1348+CN1348</f>
        <v>0</v>
      </c>
      <c r="CQ1348" s="65"/>
      <c r="CR1348" s="65">
        <f>CR742</f>
        <v>0</v>
      </c>
      <c r="CS1348" s="65">
        <f>CS742</f>
        <v>0</v>
      </c>
      <c r="CT1348" s="65">
        <f>+CS1348+CR1348</f>
        <v>0</v>
      </c>
      <c r="CU1348" s="65"/>
      <c r="CV1348" s="65">
        <f>CV742</f>
        <v>0</v>
      </c>
      <c r="CW1348" s="65">
        <f>CW742</f>
        <v>0</v>
      </c>
      <c r="CX1348" s="65">
        <f>+CW1348+CV1348</f>
        <v>0</v>
      </c>
      <c r="CY1348" s="65"/>
      <c r="CZ1348" s="65">
        <f>CZ742</f>
        <v>-21</v>
      </c>
      <c r="DA1348" s="65">
        <f>DA742</f>
        <v>0</v>
      </c>
      <c r="DB1348" s="65">
        <f>+DA1348+CZ1348</f>
        <v>-21</v>
      </c>
      <c r="DC1348" s="65"/>
      <c r="DD1348" s="65">
        <f>DD742</f>
        <v>0</v>
      </c>
      <c r="DE1348" s="65">
        <f>DE742</f>
        <v>-285</v>
      </c>
      <c r="DF1348" s="65">
        <f>+DE1348+DD1348</f>
        <v>-285</v>
      </c>
      <c r="DG1348" s="65"/>
      <c r="DH1348" s="65">
        <f>DH742</f>
        <v>0</v>
      </c>
      <c r="DI1348" s="65">
        <f>DI742</f>
        <v>0</v>
      </c>
      <c r="DJ1348" s="65">
        <f>+DI1348+DH1348</f>
        <v>0</v>
      </c>
      <c r="DK1348" s="65"/>
      <c r="DL1348" s="65">
        <f>DL742</f>
        <v>0</v>
      </c>
      <c r="DM1348" s="65">
        <f>DM742</f>
        <v>0</v>
      </c>
      <c r="DN1348" s="65">
        <f>+DM1348+DL1348</f>
        <v>0</v>
      </c>
      <c r="DO1348" s="65"/>
      <c r="DP1348" s="65">
        <f>DP742</f>
        <v>0</v>
      </c>
      <c r="DQ1348" s="65">
        <f>DQ742</f>
        <v>0</v>
      </c>
      <c r="DR1348" s="65">
        <f>+DQ1348+DP1348</f>
        <v>0</v>
      </c>
      <c r="DS1348" s="65"/>
      <c r="DT1348" s="65"/>
      <c r="DU1348" s="65"/>
      <c r="DV1348" s="65"/>
    </row>
    <row r="1349" spans="1:126" s="20" customFormat="1" ht="13.8">
      <c r="A1349" s="20" t="s">
        <v>822</v>
      </c>
      <c r="B1349" s="49"/>
      <c r="BH1349" s="65"/>
      <c r="BI1349" s="65"/>
      <c r="BJ1349" s="65"/>
      <c r="BK1349" s="65"/>
      <c r="BL1349" s="573">
        <v>0</v>
      </c>
      <c r="BM1349" s="573">
        <v>0</v>
      </c>
      <c r="BN1349" s="65">
        <f>+BM1349+BL1349</f>
        <v>0</v>
      </c>
      <c r="BO1349" s="65"/>
      <c r="BP1349" s="573">
        <v>0</v>
      </c>
      <c r="BQ1349" s="573">
        <v>0</v>
      </c>
      <c r="BR1349" s="65">
        <f>+BQ1349+BP1349</f>
        <v>0</v>
      </c>
      <c r="BS1349" s="65"/>
      <c r="BT1349" s="573">
        <v>0</v>
      </c>
      <c r="BU1349" s="573">
        <v>0</v>
      </c>
      <c r="BV1349" s="65">
        <f>+BU1349+BT1349</f>
        <v>0</v>
      </c>
      <c r="BW1349" s="65"/>
      <c r="BX1349" s="573">
        <v>0</v>
      </c>
      <c r="BY1349" s="573">
        <v>0</v>
      </c>
      <c r="BZ1349" s="65">
        <f>+BY1349+BX1349</f>
        <v>0</v>
      </c>
      <c r="CA1349" s="65"/>
      <c r="CB1349" s="573">
        <v>-1856</v>
      </c>
      <c r="CC1349" s="573">
        <v>-155</v>
      </c>
      <c r="CD1349" s="65">
        <f>+CC1349+CB1349</f>
        <v>-2011</v>
      </c>
      <c r="CE1349" s="65"/>
      <c r="CF1349" s="573">
        <v>0</v>
      </c>
      <c r="CG1349" s="573">
        <v>0</v>
      </c>
      <c r="CH1349" s="65">
        <f>+CG1349+CF1349</f>
        <v>0</v>
      </c>
      <c r="CI1349" s="65"/>
      <c r="CJ1349" s="573">
        <v>0</v>
      </c>
      <c r="CK1349" s="573">
        <v>0</v>
      </c>
      <c r="CL1349" s="65">
        <f>+CK1349+CJ1349</f>
        <v>0</v>
      </c>
      <c r="CM1349" s="65"/>
      <c r="CN1349" s="573">
        <v>0</v>
      </c>
      <c r="CO1349" s="573">
        <v>0</v>
      </c>
      <c r="CP1349" s="65">
        <f>+CO1349+CN1349</f>
        <v>0</v>
      </c>
      <c r="CQ1349" s="65"/>
      <c r="CR1349" s="573">
        <v>0</v>
      </c>
      <c r="CS1349" s="573">
        <v>0</v>
      </c>
      <c r="CT1349" s="65">
        <f>+CS1349+CR1349</f>
        <v>0</v>
      </c>
      <c r="CU1349" s="65"/>
      <c r="CV1349" s="573">
        <v>0</v>
      </c>
      <c r="CW1349" s="573">
        <v>0</v>
      </c>
      <c r="CX1349" s="65">
        <f>+CW1349+CV1349</f>
        <v>0</v>
      </c>
      <c r="CY1349" s="65"/>
      <c r="CZ1349" s="573">
        <f>-916*16.5%/21.7%</f>
        <v>-696.49769585253466</v>
      </c>
      <c r="DA1349" s="573">
        <v>0</v>
      </c>
      <c r="DB1349" s="65">
        <f>+DA1349+CZ1349</f>
        <v>-696.49769585253466</v>
      </c>
      <c r="DC1349" s="65"/>
      <c r="DD1349" s="573">
        <v>0</v>
      </c>
      <c r="DE1349" s="573">
        <v>0</v>
      </c>
      <c r="DF1349" s="65">
        <f>+DE1349+DD1349</f>
        <v>0</v>
      </c>
      <c r="DG1349" s="65"/>
      <c r="DH1349" s="573">
        <v>0</v>
      </c>
      <c r="DI1349" s="573">
        <v>0</v>
      </c>
      <c r="DJ1349" s="65">
        <f>+DI1349+DH1349</f>
        <v>0</v>
      </c>
      <c r="DK1349" s="65"/>
      <c r="DL1349" s="573">
        <v>0</v>
      </c>
      <c r="DM1349" s="573">
        <v>0</v>
      </c>
      <c r="DN1349" s="65">
        <f>+DM1349+DL1349</f>
        <v>0</v>
      </c>
      <c r="DO1349" s="65"/>
      <c r="DP1349" s="573">
        <v>0</v>
      </c>
      <c r="DQ1349" s="573">
        <v>0</v>
      </c>
      <c r="DR1349" s="65">
        <f>+DQ1349+DP1349</f>
        <v>0</v>
      </c>
      <c r="DS1349" s="65"/>
      <c r="DT1349" s="65"/>
      <c r="DU1349" s="65"/>
      <c r="DV1349" s="65"/>
    </row>
    <row r="1350" spans="1:126" s="20" customFormat="1" ht="13.8">
      <c r="A1350" s="20" t="s">
        <v>166</v>
      </c>
      <c r="B1350" s="49"/>
      <c r="BH1350" s="65"/>
      <c r="BI1350" s="65"/>
      <c r="BJ1350" s="65"/>
      <c r="BK1350" s="65"/>
      <c r="BL1350" s="65">
        <f>+BL1351-BL1346-BL1347-BL1348-BL1349</f>
        <v>-39</v>
      </c>
      <c r="BM1350" s="65">
        <f>+BM1351-BM1346-BM1347-BM1348-BM1349</f>
        <v>-21</v>
      </c>
      <c r="BN1350" s="65">
        <f>+BM1350+BL1350</f>
        <v>-60</v>
      </c>
      <c r="BO1350" s="65"/>
      <c r="BP1350" s="65">
        <f>+BP1351-BP1346-BP1347-BP1348-BP1349</f>
        <v>374</v>
      </c>
      <c r="BQ1350" s="65">
        <f>+BQ1351-BQ1346-BQ1347-BQ1348-BQ1349</f>
        <v>-76</v>
      </c>
      <c r="BR1350" s="65">
        <f>+BQ1350+BP1350</f>
        <v>298</v>
      </c>
      <c r="BS1350" s="65"/>
      <c r="BT1350" s="65">
        <f>+BT1351-BT1346-BT1347-BT1348-BT1349</f>
        <v>-96</v>
      </c>
      <c r="BU1350" s="65">
        <f>+BU1351-BU1346-BU1347-BU1348-BU1349</f>
        <v>-277</v>
      </c>
      <c r="BV1350" s="65">
        <f>+BU1350+BT1350</f>
        <v>-373</v>
      </c>
      <c r="BW1350" s="65"/>
      <c r="BX1350" s="65">
        <f>+BX1351-BX1346-BX1347-BX1348-BX1349</f>
        <v>-697</v>
      </c>
      <c r="BY1350" s="65">
        <f>+BY1351-BY1346-BY1347-BY1348-BY1349</f>
        <v>-48</v>
      </c>
      <c r="BZ1350" s="65">
        <f>+BY1350+BX1350</f>
        <v>-745</v>
      </c>
      <c r="CA1350" s="65"/>
      <c r="CB1350" s="65">
        <f>+CB1351-CB1346-CB1347-CB1348-CB1349</f>
        <v>0</v>
      </c>
      <c r="CC1350" s="65">
        <f>+CC1351-CC1346-CC1347-CC1348-CC1349</f>
        <v>-10</v>
      </c>
      <c r="CD1350" s="65">
        <f>+CC1350+CB1350</f>
        <v>-10</v>
      </c>
      <c r="CE1350" s="65"/>
      <c r="CF1350" s="65">
        <f>+CF1351-CF1346-CF1347-CF1348-CF1349</f>
        <v>37</v>
      </c>
      <c r="CG1350" s="65">
        <f>+CG1351-CG1346-CG1347-CG1348-CG1349</f>
        <v>75</v>
      </c>
      <c r="CH1350" s="65">
        <f>+CG1350+CF1350</f>
        <v>112</v>
      </c>
      <c r="CI1350" s="65"/>
      <c r="CJ1350" s="65">
        <f>+CJ1351-CJ1346-CJ1347-CJ1348-CJ1349</f>
        <v>286</v>
      </c>
      <c r="CK1350" s="65">
        <f>+CK1351-CK1346-CK1347-CK1348-CK1349</f>
        <v>-169</v>
      </c>
      <c r="CL1350" s="65">
        <f>+CK1350+CJ1350</f>
        <v>117</v>
      </c>
      <c r="CM1350" s="65"/>
      <c r="CN1350" s="65">
        <f>+CN1351-CN1346-CN1347-CN1348-CN1349</f>
        <v>-68</v>
      </c>
      <c r="CO1350" s="65">
        <f>+CO1351-CO1346-CO1347-CO1348-CO1349</f>
        <v>52</v>
      </c>
      <c r="CP1350" s="65">
        <f>+CO1350+CN1350</f>
        <v>-16</v>
      </c>
      <c r="CQ1350" s="65"/>
      <c r="CR1350" s="65">
        <f>+CR1351-CR1346-CR1347-CR1348-CR1349</f>
        <v>-28</v>
      </c>
      <c r="CS1350" s="65">
        <f>+CS1351-CS1346-CS1347-CS1348-CS1349</f>
        <v>60</v>
      </c>
      <c r="CT1350" s="65">
        <f>+CS1350+CR1350</f>
        <v>32</v>
      </c>
      <c r="CU1350" s="65"/>
      <c r="CV1350" s="65">
        <f>+CV1351-CV1346-CV1347-CV1348-CV1349</f>
        <v>-68</v>
      </c>
      <c r="CW1350" s="65">
        <f>+CW1351-CW1346-CW1347-CW1348-CW1349</f>
        <v>-13</v>
      </c>
      <c r="CX1350" s="65">
        <f>+CW1350+CV1350</f>
        <v>-81</v>
      </c>
      <c r="CY1350" s="65"/>
      <c r="CZ1350" s="65">
        <f>+CZ1351-CZ1346-CZ1347-CZ1348-CZ1349</f>
        <v>-282.50230414746534</v>
      </c>
      <c r="DA1350" s="65">
        <f>+DA1351-DA1346-DA1347-DA1348-DA1349</f>
        <v>-11</v>
      </c>
      <c r="DB1350" s="65">
        <f>+DA1350+CZ1350</f>
        <v>-293.50230414746534</v>
      </c>
      <c r="DC1350" s="65"/>
      <c r="DD1350" s="65">
        <f>+DD1351-DD1346-DD1347-DD1348-DD1349</f>
        <v>26</v>
      </c>
      <c r="DE1350" s="65">
        <f>+DE1351-DE1346-DE1347-DE1348-DE1349</f>
        <v>-92</v>
      </c>
      <c r="DF1350" s="65">
        <f>+DE1350+DD1350</f>
        <v>-66</v>
      </c>
      <c r="DG1350" s="65"/>
      <c r="DH1350" s="65">
        <f>DH1346*DH1352/2</f>
        <v>-28.5</v>
      </c>
      <c r="DI1350" s="65">
        <f>DI1346*DI1352/2</f>
        <v>-29.131304999999998</v>
      </c>
      <c r="DJ1350" s="65">
        <f>+DI1350+DH1350</f>
        <v>-57.631304999999998</v>
      </c>
      <c r="DK1350" s="65"/>
      <c r="DL1350" s="65">
        <f>DL1346*DL1352/2</f>
        <v>-29.788703475000002</v>
      </c>
      <c r="DM1350" s="65">
        <f>DM1346*DM1352/2</f>
        <v>-30.722380610125004</v>
      </c>
      <c r="DN1350" s="65">
        <f>+DM1350+DL1350</f>
        <v>-60.511084085125006</v>
      </c>
      <c r="DO1350" s="65"/>
      <c r="DP1350" s="65">
        <f>DP1346*DP1352/2</f>
        <v>-31.676283711311882</v>
      </c>
      <c r="DQ1350" s="65">
        <f>DQ1346*DQ1352/2</f>
        <v>-32.650778487297877</v>
      </c>
      <c r="DR1350" s="65">
        <f>+DQ1350+DP1350</f>
        <v>-64.327062198609752</v>
      </c>
      <c r="DS1350" s="65"/>
      <c r="DT1350" s="65"/>
      <c r="DU1350" s="65"/>
      <c r="DV1350" s="65"/>
    </row>
    <row r="1351" spans="1:126" s="20" customFormat="1" ht="13.8">
      <c r="A1351" s="21" t="s">
        <v>502</v>
      </c>
      <c r="B1351" s="49"/>
      <c r="BH1351" s="72">
        <f>-BH1294</f>
        <v>2956</v>
      </c>
      <c r="BI1351" s="72">
        <f>-BI1294</f>
        <v>3361</v>
      </c>
      <c r="BJ1351" s="72">
        <f>-BJ1294</f>
        <v>3361</v>
      </c>
      <c r="BK1351" s="72"/>
      <c r="BL1351" s="72">
        <f>-BL1294</f>
        <v>3565</v>
      </c>
      <c r="BM1351" s="72">
        <f>-BM1294</f>
        <v>3811</v>
      </c>
      <c r="BN1351" s="72">
        <f>-BN1294</f>
        <v>3811</v>
      </c>
      <c r="BO1351" s="75">
        <f>+BN1351/BJ1351-1</f>
        <v>0.13388872359416837</v>
      </c>
      <c r="BP1351" s="72">
        <f>-BP1294</f>
        <v>4499</v>
      </c>
      <c r="BQ1351" s="72">
        <f>-BQ1294</f>
        <v>4734</v>
      </c>
      <c r="BR1351" s="72">
        <f>-BR1294</f>
        <v>4734</v>
      </c>
      <c r="BS1351" s="75">
        <f>+BR1351/BN1351-1</f>
        <v>0.2421936499606403</v>
      </c>
      <c r="BT1351" s="72">
        <f>-BT1294</f>
        <v>4708</v>
      </c>
      <c r="BU1351" s="72">
        <f>-BU1294</f>
        <v>4674</v>
      </c>
      <c r="BV1351" s="72">
        <f>-BV1294</f>
        <v>4674</v>
      </c>
      <c r="BW1351" s="75">
        <f>+BV1351/BR1351-1</f>
        <v>-1.2674271229404344E-2</v>
      </c>
      <c r="BX1351" s="72">
        <f>-BX1294</f>
        <v>3826</v>
      </c>
      <c r="BY1351" s="72">
        <f>-BY1294</f>
        <v>3919</v>
      </c>
      <c r="BZ1351" s="72">
        <f>-BZ1294</f>
        <v>3919</v>
      </c>
      <c r="CA1351" s="75">
        <f>+BZ1351/BV1351-1</f>
        <v>-0.16153187847667949</v>
      </c>
      <c r="CB1351" s="72">
        <f>-CB1294</f>
        <v>2272</v>
      </c>
      <c r="CC1351" s="72">
        <f>-CC1294</f>
        <v>2333</v>
      </c>
      <c r="CD1351" s="72">
        <f>-CD1294</f>
        <v>2333</v>
      </c>
      <c r="CE1351" s="75">
        <f>+CD1351/BZ1351-1</f>
        <v>-0.40469507527430471</v>
      </c>
      <c r="CF1351" s="72">
        <f>-CF1294</f>
        <v>2501</v>
      </c>
      <c r="CG1351" s="72">
        <f>-CG1294</f>
        <v>2707</v>
      </c>
      <c r="CH1351" s="72">
        <f>-CH1294</f>
        <v>2707</v>
      </c>
      <c r="CI1351" s="75">
        <f>+CH1351/CD1351-1</f>
        <v>0.16030861551650233</v>
      </c>
      <c r="CJ1351" s="72">
        <f>-CJ1294</f>
        <v>2313</v>
      </c>
      <c r="CK1351" s="72">
        <f>-CK1294</f>
        <v>2164</v>
      </c>
      <c r="CL1351" s="72">
        <f>-CL1294</f>
        <v>2164</v>
      </c>
      <c r="CM1351" s="75">
        <f>+CL1351/CH1351-1</f>
        <v>-0.20059106021425932</v>
      </c>
      <c r="CN1351" s="72">
        <f>-CN1294</f>
        <v>1854</v>
      </c>
      <c r="CO1351" s="72">
        <f>-CO1294</f>
        <v>1972</v>
      </c>
      <c r="CP1351" s="72">
        <f>-CP1294</f>
        <v>1972</v>
      </c>
      <c r="CQ1351" s="75">
        <f>+CP1351/CL1351-1</f>
        <v>-8.8724584103512028E-2</v>
      </c>
      <c r="CR1351" s="72">
        <f>-CR1294</f>
        <v>2018</v>
      </c>
      <c r="CS1351" s="72">
        <f>-CS1294</f>
        <v>2181</v>
      </c>
      <c r="CT1351" s="72">
        <f>-CT1294</f>
        <v>2181</v>
      </c>
      <c r="CU1351" s="75">
        <f>+CT1351/CP1351-1</f>
        <v>0.10598377281947258</v>
      </c>
      <c r="CV1351" s="72">
        <f>-CV1294</f>
        <v>2214</v>
      </c>
      <c r="CW1351" s="72">
        <f>-CW1294</f>
        <v>2321</v>
      </c>
      <c r="CX1351" s="72">
        <f>-CX1294</f>
        <v>2321</v>
      </c>
      <c r="CY1351" s="75">
        <f>+CX1351/CT1351-1</f>
        <v>6.4190738193489194E-2</v>
      </c>
      <c r="CZ1351" s="72">
        <f>-CZ1294</f>
        <v>1405</v>
      </c>
      <c r="DA1351" s="72">
        <f>-DA1294</f>
        <v>1415</v>
      </c>
      <c r="DB1351" s="72">
        <f>-DB1294</f>
        <v>1415</v>
      </c>
      <c r="DC1351" s="75">
        <f>+DB1351/CX1351-1</f>
        <v>-0.3903489875053856</v>
      </c>
      <c r="DD1351" s="72">
        <f>-DD1294</f>
        <v>1479</v>
      </c>
      <c r="DE1351" s="72">
        <f>-DE1294</f>
        <v>1140</v>
      </c>
      <c r="DF1351" s="72">
        <f>-DF1294</f>
        <v>1140</v>
      </c>
      <c r="DG1351" s="75">
        <f>+DF1351/DB1351-1</f>
        <v>-0.19434628975265023</v>
      </c>
      <c r="DH1351" s="72">
        <f>SUM(DH1346:DH1350)</f>
        <v>1165.2521999999999</v>
      </c>
      <c r="DI1351" s="72">
        <f>SUM(DI1346:DI1350)</f>
        <v>1191.548139</v>
      </c>
      <c r="DJ1351" s="72">
        <f>SUM(DJ1346:DJ1350)</f>
        <v>1191.548139</v>
      </c>
      <c r="DK1351" s="75">
        <f>+DJ1351/DF1351-1</f>
        <v>4.5217665789473616E-2</v>
      </c>
      <c r="DL1351" s="72">
        <f>SUM(DL1346:DL1350)</f>
        <v>1228.8952244050001</v>
      </c>
      <c r="DM1351" s="72">
        <f>SUM(DM1346:DM1350)</f>
        <v>1267.0513484524752</v>
      </c>
      <c r="DN1351" s="72">
        <f>SUM(DN1346:DN1350)</f>
        <v>1267.0513484524749</v>
      </c>
      <c r="DO1351" s="75">
        <f>+DN1351/DJ1351-1</f>
        <v>6.3365639189232104E-2</v>
      </c>
      <c r="DP1351" s="72">
        <f>SUM(DP1346:DP1350)</f>
        <v>1306.0311394919152</v>
      </c>
      <c r="DQ1351" s="72">
        <f>SUM(DQ1346:DQ1350)</f>
        <v>1345.8495572503844</v>
      </c>
      <c r="DR1351" s="72">
        <f>SUM(DR1346:DR1350)</f>
        <v>1345.8495572503844</v>
      </c>
      <c r="DS1351" s="75">
        <f>+DR1351/DN1351-1</f>
        <v>6.2190225277097388E-2</v>
      </c>
      <c r="DT1351" s="75"/>
      <c r="DU1351" s="75"/>
      <c r="DV1351" s="75"/>
    </row>
    <row r="1352" spans="1:126" s="47" customFormat="1" ht="13.8">
      <c r="A1352" s="578" t="s">
        <v>825</v>
      </c>
      <c r="B1352" s="575"/>
      <c r="C1352" s="574"/>
      <c r="D1352" s="574"/>
      <c r="E1352" s="574"/>
      <c r="F1352" s="574"/>
      <c r="G1352" s="574"/>
      <c r="H1352" s="574"/>
      <c r="I1352" s="574"/>
      <c r="J1352" s="574"/>
      <c r="K1352" s="574"/>
      <c r="L1352" s="574"/>
      <c r="M1352" s="574"/>
      <c r="N1352" s="574"/>
      <c r="O1352" s="574"/>
      <c r="P1352" s="574"/>
      <c r="Q1352" s="574"/>
      <c r="R1352" s="574"/>
      <c r="S1352" s="574"/>
      <c r="T1352" s="574"/>
      <c r="U1352" s="574"/>
      <c r="V1352" s="574"/>
      <c r="W1352" s="574"/>
      <c r="X1352" s="574"/>
      <c r="Y1352" s="574"/>
      <c r="Z1352" s="574"/>
      <c r="AA1352" s="574"/>
      <c r="AB1352" s="574"/>
      <c r="AC1352" s="574"/>
      <c r="AD1352" s="574"/>
      <c r="AE1352" s="574"/>
      <c r="AF1352" s="574"/>
      <c r="AG1352" s="574"/>
      <c r="AH1352" s="574"/>
      <c r="AI1352" s="574"/>
      <c r="AJ1352" s="574"/>
      <c r="AK1352" s="574"/>
      <c r="AL1352" s="574"/>
      <c r="AM1352" s="574"/>
      <c r="AN1352" s="574"/>
      <c r="AO1352" s="574"/>
      <c r="AP1352" s="574"/>
      <c r="AQ1352" s="574"/>
      <c r="AR1352" s="574"/>
      <c r="AS1352" s="574"/>
      <c r="AT1352" s="574"/>
      <c r="AU1352" s="574"/>
      <c r="AV1352" s="574"/>
      <c r="AW1352" s="574"/>
      <c r="AX1352" s="574"/>
      <c r="AY1352" s="574"/>
      <c r="AZ1352" s="574"/>
      <c r="BA1352" s="574"/>
      <c r="BB1352" s="574"/>
      <c r="BC1352" s="574"/>
      <c r="BD1352" s="574"/>
      <c r="BE1352" s="574"/>
      <c r="BF1352" s="574"/>
      <c r="BG1352" s="574"/>
      <c r="BH1352" s="576"/>
      <c r="BI1352" s="576"/>
      <c r="BJ1352" s="576"/>
      <c r="BK1352" s="576"/>
      <c r="BL1352" s="577">
        <f>(BL1350*2)/BL1346</f>
        <v>-2.3207378756322523E-2</v>
      </c>
      <c r="BM1352" s="577">
        <f>(BM1350*2)/BM1346</f>
        <v>-1.1781206171107995E-2</v>
      </c>
      <c r="BN1352" s="577">
        <f>(BN1350)/BN1346</f>
        <v>-1.7851829812555786E-2</v>
      </c>
      <c r="BO1352" s="576"/>
      <c r="BP1352" s="577">
        <f>(BP1350*2)/BP1346</f>
        <v>0.19627394384675939</v>
      </c>
      <c r="BQ1352" s="577">
        <f>(BQ1350*2)/BQ1346</f>
        <v>-3.3785285619026453E-2</v>
      </c>
      <c r="BR1352" s="577">
        <f>(BR1350)/BR1346</f>
        <v>7.8194699553922858E-2</v>
      </c>
      <c r="BS1352" s="576"/>
      <c r="BT1352" s="577">
        <f>(BT1350*2)/BT1346</f>
        <v>-4.0557667934093787E-2</v>
      </c>
      <c r="BU1352" s="577">
        <f>(BU1350*2)/BU1346</f>
        <v>-0.11767204757858964</v>
      </c>
      <c r="BV1352" s="577">
        <f>(BV1350)/BV1346</f>
        <v>-7.8791719476130118E-2</v>
      </c>
      <c r="BW1352" s="576"/>
      <c r="BX1352" s="577">
        <f>(BX1350*2)/BX1346</f>
        <v>-0.2982456140350877</v>
      </c>
      <c r="BY1352" s="577">
        <f>(BY1350*2)/BY1346</f>
        <v>-2.5091479351803451E-2</v>
      </c>
      <c r="BZ1352" s="577">
        <f>(BZ1350)/BZ1346</f>
        <v>-0.15939238339751818</v>
      </c>
      <c r="CA1352" s="576"/>
      <c r="CB1352" s="577">
        <f>(CB1350*2)/CB1346</f>
        <v>0</v>
      </c>
      <c r="CC1352" s="577">
        <f>(CC1350*2)/CC1346</f>
        <v>-8.8028169014084511E-3</v>
      </c>
      <c r="CD1352" s="577">
        <f>(CD1350)/CD1346</f>
        <v>-2.5516713447307987E-3</v>
      </c>
      <c r="CE1352" s="576"/>
      <c r="CF1352" s="577">
        <f>(CF1350*2)/CF1346</f>
        <v>3.1718816973853405E-2</v>
      </c>
      <c r="CG1352" s="577">
        <f>(CG1350*2)/CG1346</f>
        <v>5.9976009596161534E-2</v>
      </c>
      <c r="CH1352" s="577">
        <f>(CH1350)/CH1346</f>
        <v>4.8006858122588938E-2</v>
      </c>
      <c r="CI1352" s="576"/>
      <c r="CJ1352" s="577">
        <f>(CJ1350*2)/CJ1346</f>
        <v>0.21130402659770964</v>
      </c>
      <c r="CK1352" s="577">
        <f>(CK1350*2)/CK1346</f>
        <v>-0.14613056636402941</v>
      </c>
      <c r="CL1352" s="577">
        <f>(CL1350)/CL1346</f>
        <v>4.3221278167713338E-2</v>
      </c>
      <c r="CM1352" s="576"/>
      <c r="CN1352" s="577">
        <f>(CN1350*2)/CN1346</f>
        <v>-6.2846580406654348E-2</v>
      </c>
      <c r="CO1352" s="577">
        <f>(CO1350*2)/CO1346</f>
        <v>5.609492988133765E-2</v>
      </c>
      <c r="CP1352" s="577">
        <f>(CP1350)/CP1346</f>
        <v>-7.3937153419593345E-3</v>
      </c>
      <c r="CQ1352" s="576"/>
      <c r="CR1352" s="577">
        <f>(CR1350*2)/CR1346</f>
        <v>-2.8397565922920892E-2</v>
      </c>
      <c r="CS1352" s="577">
        <f>(CS1350*2)/CS1346</f>
        <v>5.9464816650148661E-2</v>
      </c>
      <c r="CT1352" s="577">
        <f>(CT1350)/CT1346</f>
        <v>1.6227180527383367E-2</v>
      </c>
      <c r="CU1352" s="576"/>
      <c r="CV1352" s="577">
        <f>(CV1350*2)/CV1346</f>
        <v>-6.2356717102246675E-2</v>
      </c>
      <c r="CW1352" s="577">
        <f>(CW1350*2)/CW1346</f>
        <v>-1.1743450767841012E-2</v>
      </c>
      <c r="CX1352" s="577">
        <f>(CX1350)/CX1346</f>
        <v>-3.7138927097661624E-2</v>
      </c>
      <c r="CY1352" s="576"/>
      <c r="CZ1352" s="577">
        <f>(CZ1350*2)/CZ1346</f>
        <v>-0.24343154170397702</v>
      </c>
      <c r="DA1352" s="577">
        <f>(DA1350*2)/DA1346</f>
        <v>-1.5658362989323844E-2</v>
      </c>
      <c r="DB1352" s="577">
        <f>(DB1350)/DB1346</f>
        <v>-0.1264551073448795</v>
      </c>
      <c r="DC1352" s="576"/>
      <c r="DD1352" s="577">
        <f>(DD1350*2)/DD1346</f>
        <v>3.674911660777385E-2</v>
      </c>
      <c r="DE1352" s="577">
        <f>(DE1350*2)/DE1346</f>
        <v>-0.12440838404327248</v>
      </c>
      <c r="DF1352" s="577">
        <f>(DF1350)/DF1346</f>
        <v>-4.6643109540636045E-2</v>
      </c>
      <c r="DG1352" s="576"/>
      <c r="DH1352" s="616">
        <v>-0.05</v>
      </c>
      <c r="DI1352" s="616">
        <v>-0.05</v>
      </c>
      <c r="DJ1352" s="577">
        <f>(DJ1350)/DJ1346</f>
        <v>-5.0553776315789473E-2</v>
      </c>
      <c r="DK1352" s="576"/>
      <c r="DL1352" s="616">
        <v>-0.05</v>
      </c>
      <c r="DM1352" s="616">
        <v>-0.05</v>
      </c>
      <c r="DN1352" s="577">
        <f>(DN1350)/DN1346</f>
        <v>-5.078358322636347E-2</v>
      </c>
      <c r="DO1352" s="576"/>
      <c r="DP1352" s="616">
        <v>-0.05</v>
      </c>
      <c r="DQ1352" s="616">
        <v>-0.05</v>
      </c>
      <c r="DR1352" s="577">
        <f>(DR1350)/DR1346</f>
        <v>-5.0769104406996765E-2</v>
      </c>
      <c r="DS1352" s="576"/>
      <c r="DT1352" s="576"/>
      <c r="DU1352" s="576"/>
      <c r="DV1352" s="576"/>
    </row>
    <row r="1353" spans="1:126" s="20" customFormat="1" ht="13.8">
      <c r="A1353" s="21"/>
      <c r="B1353" s="49"/>
      <c r="BH1353" s="65"/>
      <c r="BI1353" s="65"/>
      <c r="BJ1353" s="65"/>
      <c r="BK1353" s="65"/>
      <c r="BL1353" s="65"/>
      <c r="BM1353" s="65"/>
      <c r="BN1353" s="65"/>
      <c r="BO1353" s="65"/>
      <c r="BP1353" s="65"/>
      <c r="BQ1353" s="65"/>
      <c r="BR1353" s="65"/>
      <c r="BS1353" s="65"/>
      <c r="BT1353" s="65"/>
      <c r="BU1353" s="65"/>
      <c r="BV1353" s="68">
        <f>BV1351/BV1407</f>
        <v>1.1439564151137348E-2</v>
      </c>
      <c r="BW1353" s="65"/>
      <c r="BX1353" s="65"/>
      <c r="BY1353" s="65"/>
      <c r="BZ1353" s="68">
        <f>BZ1351/BZ1407</f>
        <v>1.0020122061910497E-2</v>
      </c>
      <c r="CA1353" s="65"/>
      <c r="CB1353" s="65"/>
      <c r="CC1353" s="65"/>
      <c r="CD1353" s="68">
        <f>CD1351/CD1407</f>
        <v>5.9695000255872268E-3</v>
      </c>
      <c r="CE1353" s="65"/>
      <c r="CF1353" s="65"/>
      <c r="CG1353" s="65"/>
      <c r="CH1353" s="68">
        <f>CH1351/CH1407</f>
        <v>6.4922139001009687E-3</v>
      </c>
      <c r="CI1353" s="65"/>
      <c r="CJ1353" s="65"/>
      <c r="CK1353" s="65"/>
      <c r="CL1353" s="68">
        <f>CL1351/CL1407</f>
        <v>5.0397779144076161E-3</v>
      </c>
      <c r="CM1353" s="65"/>
      <c r="CN1353" s="65"/>
      <c r="CO1353" s="65"/>
      <c r="CP1353" s="68">
        <f>CP1351/CP1407</f>
        <v>4.739404834577467E-3</v>
      </c>
      <c r="CQ1353" s="65"/>
      <c r="CR1353" s="65"/>
      <c r="CS1353" s="65"/>
      <c r="CT1353" s="68">
        <f>CT1351/CT1407</f>
        <v>4.7963792944198383E-3</v>
      </c>
      <c r="CU1353" s="65"/>
      <c r="CV1353" s="65"/>
      <c r="CW1353" s="65"/>
      <c r="CX1353" s="68">
        <f>CX1351/CX1407</f>
        <v>5.3562321295465088E-3</v>
      </c>
      <c r="CY1353" s="65"/>
      <c r="CZ1353" s="65"/>
      <c r="DA1353" s="65"/>
      <c r="DB1353" s="68">
        <f>DB1351/DB1407</f>
        <v>3.1685110461236684E-3</v>
      </c>
      <c r="DC1353" s="65"/>
      <c r="DD1353" s="65"/>
      <c r="DE1353" s="65"/>
      <c r="DF1353" s="68">
        <f>DF1351/DF1407</f>
        <v>2.4861137462462955E-3</v>
      </c>
      <c r="DG1353" s="65"/>
      <c r="DH1353" s="65"/>
      <c r="DI1353" s="65"/>
      <c r="DJ1353" s="65"/>
      <c r="DK1353" s="65"/>
      <c r="DL1353" s="65"/>
      <c r="DM1353" s="65"/>
      <c r="DN1353" s="65"/>
      <c r="DO1353" s="65"/>
      <c r="DP1353" s="65"/>
      <c r="DQ1353" s="65"/>
      <c r="DR1353" s="65"/>
      <c r="DS1353" s="65"/>
      <c r="DT1353" s="65"/>
      <c r="DU1353" s="65"/>
      <c r="DV1353" s="65"/>
    </row>
    <row r="1354" spans="1:126" s="20" customFormat="1" ht="13.8">
      <c r="B1354" s="49"/>
      <c r="BH1354" s="65"/>
      <c r="BI1354" s="65"/>
      <c r="BJ1354" s="65"/>
      <c r="BK1354" s="65"/>
      <c r="BL1354" s="65"/>
      <c r="BM1354" s="65"/>
      <c r="BN1354" s="65"/>
      <c r="BO1354" s="65"/>
      <c r="BP1354" s="65"/>
      <c r="BQ1354" s="65"/>
      <c r="BR1354" s="65"/>
      <c r="BS1354" s="65"/>
      <c r="BT1354" s="65"/>
      <c r="BU1354" s="65"/>
      <c r="BV1354" s="68"/>
      <c r="BW1354" s="65"/>
      <c r="BX1354" s="65"/>
      <c r="BY1354" s="65"/>
      <c r="BZ1354" s="68"/>
      <c r="CA1354" s="65"/>
      <c r="CB1354" s="65"/>
      <c r="CC1354" s="65"/>
      <c r="CD1354" s="68"/>
      <c r="CE1354" s="65"/>
      <c r="CF1354" s="65"/>
      <c r="CG1354" s="65"/>
      <c r="CH1354" s="68"/>
      <c r="CI1354" s="65"/>
      <c r="CJ1354" s="65"/>
      <c r="CK1354" s="65"/>
      <c r="CL1354" s="65"/>
      <c r="CM1354" s="65"/>
      <c r="CN1354" s="65"/>
      <c r="CO1354" s="65"/>
      <c r="CP1354" s="65"/>
      <c r="CQ1354" s="65"/>
      <c r="CR1354" s="65"/>
      <c r="CS1354" s="65"/>
      <c r="CT1354" s="65"/>
      <c r="CU1354" s="65"/>
      <c r="CV1354" s="65"/>
      <c r="CW1354" s="65"/>
      <c r="CX1354" s="65"/>
      <c r="CY1354" s="65"/>
      <c r="CZ1354" s="65"/>
      <c r="DA1354" s="65"/>
      <c r="DB1354" s="65"/>
      <c r="DC1354" s="65"/>
      <c r="DD1354" s="65"/>
      <c r="DE1354" s="65"/>
      <c r="DF1354" s="65"/>
      <c r="DG1354" s="65"/>
      <c r="DH1354" s="65"/>
      <c r="DI1354" s="65"/>
      <c r="DJ1354" s="65"/>
      <c r="DK1354" s="65"/>
      <c r="DL1354" s="65"/>
      <c r="DM1354" s="65"/>
      <c r="DN1354" s="65"/>
      <c r="DO1354" s="65"/>
      <c r="DP1354" s="65"/>
      <c r="DQ1354" s="65"/>
      <c r="DR1354" s="65"/>
      <c r="DS1354" s="65"/>
      <c r="DT1354" s="65"/>
      <c r="DU1354" s="65"/>
      <c r="DV1354" s="65"/>
    </row>
    <row r="1355" spans="1:126" s="20" customFormat="1" ht="13.8">
      <c r="A1355" s="21" t="s">
        <v>1072</v>
      </c>
      <c r="B1355" s="49"/>
      <c r="BH1355" s="65"/>
      <c r="BI1355" s="65"/>
      <c r="BJ1355" s="65"/>
      <c r="BK1355" s="65"/>
      <c r="BL1355" s="65"/>
      <c r="BM1355" s="65"/>
      <c r="BN1355" s="65"/>
      <c r="BO1355" s="65"/>
      <c r="BP1355" s="65"/>
      <c r="BQ1355" s="65"/>
      <c r="BR1355" s="65"/>
      <c r="BS1355" s="65"/>
      <c r="BT1355" s="65"/>
      <c r="BU1355" s="65"/>
      <c r="BV1355" s="68"/>
      <c r="BW1355" s="65"/>
      <c r="BX1355" s="65"/>
      <c r="BY1355" s="65"/>
      <c r="BZ1355" s="68"/>
      <c r="CA1355" s="65"/>
      <c r="CB1355" s="65"/>
      <c r="CC1355" s="65"/>
      <c r="CD1355" s="68"/>
      <c r="CE1355" s="65"/>
      <c r="CF1355" s="65"/>
      <c r="CG1355" s="65"/>
      <c r="CH1355" s="68"/>
      <c r="CI1355" s="65"/>
      <c r="CJ1355" s="65"/>
      <c r="CK1355" s="65"/>
      <c r="CL1355" s="65"/>
      <c r="CM1355" s="65"/>
      <c r="CN1355" s="65"/>
      <c r="CO1355" s="65"/>
      <c r="CP1355" s="65"/>
      <c r="CQ1355" s="65"/>
      <c r="CR1355" s="65"/>
      <c r="CS1355" s="65"/>
      <c r="CT1355" s="65"/>
      <c r="CU1355" s="65"/>
      <c r="CV1355" s="65"/>
      <c r="CW1355" s="65"/>
      <c r="CX1355" s="65"/>
      <c r="CY1355" s="65"/>
      <c r="CZ1355" s="65"/>
      <c r="DA1355" s="65"/>
      <c r="DB1355" s="65"/>
      <c r="DC1355" s="65"/>
      <c r="DD1355" s="65"/>
      <c r="DE1355" s="65"/>
      <c r="DF1355" s="65"/>
      <c r="DG1355" s="65"/>
      <c r="DH1355" s="65"/>
      <c r="DI1355" s="65"/>
      <c r="DJ1355" s="65"/>
      <c r="DK1355" s="65"/>
      <c r="DL1355" s="65"/>
      <c r="DM1355" s="65"/>
      <c r="DN1355" s="65"/>
      <c r="DO1355" s="65"/>
      <c r="DP1355" s="65"/>
      <c r="DQ1355" s="65"/>
      <c r="DR1355" s="65"/>
      <c r="DS1355" s="65"/>
      <c r="DT1355" s="65"/>
      <c r="DU1355" s="65"/>
      <c r="DV1355" s="65"/>
    </row>
    <row r="1356" spans="1:126" s="20" customFormat="1" ht="13.8">
      <c r="A1356" s="20" t="s">
        <v>1073</v>
      </c>
      <c r="B1356" s="49"/>
      <c r="BH1356" s="65"/>
      <c r="BI1356" s="65"/>
      <c r="BJ1356" s="65"/>
      <c r="BK1356" s="65"/>
      <c r="BL1356" s="65"/>
      <c r="BM1356" s="65"/>
      <c r="BN1356" s="65"/>
      <c r="BO1356" s="65"/>
      <c r="BP1356" s="65"/>
      <c r="BQ1356" s="65"/>
      <c r="BR1356" s="65"/>
      <c r="BS1356" s="65"/>
      <c r="BT1356" s="65"/>
      <c r="BU1356" s="65"/>
      <c r="BV1356" s="68"/>
      <c r="BW1356" s="65"/>
      <c r="BX1356" s="65"/>
      <c r="BY1356" s="65"/>
      <c r="BZ1356" s="68"/>
      <c r="CA1356" s="65"/>
      <c r="CB1356" s="65"/>
      <c r="CC1356" s="65"/>
      <c r="CD1356" s="68"/>
      <c r="CE1356" s="65"/>
      <c r="CF1356" s="65"/>
      <c r="CG1356" s="65"/>
      <c r="CH1356" s="68"/>
      <c r="CI1356" s="65"/>
      <c r="CJ1356" s="65"/>
      <c r="CK1356" s="65"/>
      <c r="CL1356" s="65"/>
      <c r="CM1356" s="65"/>
      <c r="CN1356" s="65">
        <f>CK1358</f>
        <v>1194</v>
      </c>
      <c r="CO1356" s="65">
        <f>CN1358</f>
        <v>1299</v>
      </c>
      <c r="CP1356" s="65">
        <f>+CN1356</f>
        <v>1194</v>
      </c>
      <c r="CQ1356" s="65"/>
      <c r="CR1356" s="65">
        <f>CO1358</f>
        <v>1407</v>
      </c>
      <c r="CS1356" s="65">
        <f>CR1358</f>
        <v>1477</v>
      </c>
      <c r="CT1356" s="65">
        <f>+CR1356</f>
        <v>1407</v>
      </c>
      <c r="CU1356" s="65"/>
      <c r="CV1356" s="65">
        <f>CS1358</f>
        <v>1428</v>
      </c>
      <c r="CW1356" s="65">
        <f>CV1358</f>
        <v>1018</v>
      </c>
      <c r="CX1356" s="65">
        <f>+CV1356</f>
        <v>1428</v>
      </c>
      <c r="CY1356" s="65"/>
      <c r="CZ1356" s="65">
        <f>CW1358</f>
        <v>971</v>
      </c>
      <c r="DA1356" s="65">
        <f>CZ1358</f>
        <v>1213</v>
      </c>
      <c r="DB1356" s="65">
        <f>+CZ1356</f>
        <v>971</v>
      </c>
      <c r="DC1356" s="65"/>
      <c r="DD1356" s="65">
        <f>DA1358</f>
        <v>1084</v>
      </c>
      <c r="DE1356" s="65">
        <f>DD1358</f>
        <v>1227</v>
      </c>
      <c r="DF1356" s="65">
        <f>+DD1356</f>
        <v>1084</v>
      </c>
      <c r="DG1356" s="65"/>
      <c r="DH1356" s="65">
        <f>DE1358</f>
        <v>974</v>
      </c>
      <c r="DI1356" s="65">
        <f>DH1358</f>
        <v>978.87</v>
      </c>
      <c r="DJ1356" s="65">
        <f>+DH1356</f>
        <v>974</v>
      </c>
      <c r="DK1356" s="65"/>
      <c r="DL1356" s="65">
        <f>DI1358</f>
        <v>983.76435000000004</v>
      </c>
      <c r="DM1356" s="65">
        <f>DL1358</f>
        <v>988.68317175000004</v>
      </c>
      <c r="DN1356" s="65">
        <f>+DL1356</f>
        <v>983.76435000000004</v>
      </c>
      <c r="DO1356" s="65"/>
      <c r="DP1356" s="65">
        <f>DM1358</f>
        <v>993.62658760875001</v>
      </c>
      <c r="DQ1356" s="65">
        <f>DP1358</f>
        <v>998.59472054679372</v>
      </c>
      <c r="DR1356" s="65">
        <f>+DP1356</f>
        <v>993.62658760875001</v>
      </c>
      <c r="DS1356" s="65"/>
      <c r="DT1356" s="65"/>
      <c r="DU1356" s="65"/>
      <c r="DV1356" s="65"/>
    </row>
    <row r="1357" spans="1:126" s="20" customFormat="1" ht="13.8">
      <c r="A1357" s="20" t="s">
        <v>1074</v>
      </c>
      <c r="B1357" s="49"/>
      <c r="BH1357" s="65"/>
      <c r="BI1357" s="65"/>
      <c r="BJ1357" s="65"/>
      <c r="BK1357" s="65"/>
      <c r="BL1357" s="65"/>
      <c r="BM1357" s="65"/>
      <c r="BN1357" s="65"/>
      <c r="BO1357" s="65"/>
      <c r="BP1357" s="65"/>
      <c r="BQ1357" s="65"/>
      <c r="BR1357" s="65"/>
      <c r="BS1357" s="65"/>
      <c r="BT1357" s="65"/>
      <c r="BU1357" s="65"/>
      <c r="BV1357" s="68"/>
      <c r="BW1357" s="65"/>
      <c r="BX1357" s="65"/>
      <c r="BY1357" s="65"/>
      <c r="BZ1357" s="68"/>
      <c r="CA1357" s="65"/>
      <c r="CB1357" s="65"/>
      <c r="CC1357" s="65"/>
      <c r="CD1357" s="68"/>
      <c r="CE1357" s="65"/>
      <c r="CF1357" s="65"/>
      <c r="CG1357" s="65"/>
      <c r="CH1357" s="68"/>
      <c r="CI1357" s="65"/>
      <c r="CJ1357" s="65"/>
      <c r="CK1357" s="65"/>
      <c r="CL1357" s="65"/>
      <c r="CM1357" s="65"/>
      <c r="CN1357" s="65">
        <f>+CN1358-CN1356</f>
        <v>105</v>
      </c>
      <c r="CO1357" s="65">
        <f>+CO1358-CO1356</f>
        <v>108</v>
      </c>
      <c r="CP1357" s="65">
        <f>+CN1357+CO1357</f>
        <v>213</v>
      </c>
      <c r="CQ1357" s="65"/>
      <c r="CR1357" s="65">
        <f>+CR1358-CR1356</f>
        <v>70</v>
      </c>
      <c r="CS1357" s="65">
        <f>+CS1358-CS1356</f>
        <v>-49</v>
      </c>
      <c r="CT1357" s="65">
        <f>+CR1357+CS1357</f>
        <v>21</v>
      </c>
      <c r="CU1357" s="65"/>
      <c r="CV1357" s="65">
        <f>+CV1358-CV1356</f>
        <v>-410</v>
      </c>
      <c r="CW1357" s="65">
        <f>+CW1358-CW1356</f>
        <v>-47</v>
      </c>
      <c r="CX1357" s="65">
        <f>+CV1357+CW1357</f>
        <v>-457</v>
      </c>
      <c r="CY1357" s="65"/>
      <c r="CZ1357" s="65">
        <f>+CZ1358-CZ1356</f>
        <v>242</v>
      </c>
      <c r="DA1357" s="65">
        <f>+DA1358-DA1356</f>
        <v>-129</v>
      </c>
      <c r="DB1357" s="65">
        <f>+CZ1357+DA1357</f>
        <v>113</v>
      </c>
      <c r="DC1357" s="65"/>
      <c r="DD1357" s="65">
        <f>+DD1358-DD1356</f>
        <v>143</v>
      </c>
      <c r="DE1357" s="65">
        <f>+DE1358-DE1356</f>
        <v>-253</v>
      </c>
      <c r="DF1357" s="65">
        <f>+DD1357+DE1357</f>
        <v>-110</v>
      </c>
      <c r="DG1357" s="65"/>
      <c r="DH1357" s="65">
        <f>+DH1356*DH1359/2</f>
        <v>4.87</v>
      </c>
      <c r="DI1357" s="65">
        <f>+DI1356*DI1359/2</f>
        <v>4.8943500000000002</v>
      </c>
      <c r="DJ1357" s="65">
        <f>+DH1357+DI1357</f>
        <v>9.7643500000000003</v>
      </c>
      <c r="DK1357" s="65"/>
      <c r="DL1357" s="65">
        <f>+DL1356*DL1359/2</f>
        <v>4.9188217500000002</v>
      </c>
      <c r="DM1357" s="65">
        <f>+DM1356*DM1359/2</f>
        <v>4.9434158587499999</v>
      </c>
      <c r="DN1357" s="65">
        <f>+DL1357+DM1357</f>
        <v>9.8622376087500001</v>
      </c>
      <c r="DO1357" s="65"/>
      <c r="DP1357" s="65">
        <f>+DP1356*DP1359/2</f>
        <v>4.96813293804375</v>
      </c>
      <c r="DQ1357" s="65">
        <f>+DQ1356*DQ1359/2</f>
        <v>4.9929736027339686</v>
      </c>
      <c r="DR1357" s="65">
        <f>+DP1357+DQ1357</f>
        <v>9.9611065407777186</v>
      </c>
      <c r="DS1357" s="65"/>
      <c r="DT1357" s="65"/>
      <c r="DU1357" s="65"/>
      <c r="DV1357" s="65"/>
    </row>
    <row r="1358" spans="1:126" s="20" customFormat="1" ht="13.8">
      <c r="A1358" s="21" t="s">
        <v>705</v>
      </c>
      <c r="B1358" s="49"/>
      <c r="BH1358" s="65"/>
      <c r="BI1358" s="65"/>
      <c r="BJ1358" s="65"/>
      <c r="BK1358" s="65"/>
      <c r="BL1358" s="65"/>
      <c r="BM1358" s="65"/>
      <c r="BN1358" s="65"/>
      <c r="BO1358" s="65"/>
      <c r="BP1358" s="65"/>
      <c r="BQ1358" s="65"/>
      <c r="BR1358" s="65"/>
      <c r="BS1358" s="65"/>
      <c r="BT1358" s="65"/>
      <c r="BU1358" s="65"/>
      <c r="BV1358" s="68"/>
      <c r="BW1358" s="65"/>
      <c r="BX1358" s="65"/>
      <c r="BY1358" s="65"/>
      <c r="BZ1358" s="68"/>
      <c r="CA1358" s="65"/>
      <c r="CB1358" s="65"/>
      <c r="CC1358" s="65"/>
      <c r="CD1358" s="68"/>
      <c r="CE1358" s="65"/>
      <c r="CF1358" s="65"/>
      <c r="CG1358" s="65"/>
      <c r="CH1358" s="68"/>
      <c r="CI1358" s="65"/>
      <c r="CJ1358" s="72">
        <f>-CJ1298</f>
        <v>1302</v>
      </c>
      <c r="CK1358" s="72">
        <f>-CK1298</f>
        <v>1194</v>
      </c>
      <c r="CL1358" s="72">
        <f>CK1358</f>
        <v>1194</v>
      </c>
      <c r="CM1358" s="65"/>
      <c r="CN1358" s="72">
        <f>-CN1298</f>
        <v>1299</v>
      </c>
      <c r="CO1358" s="72">
        <f>-CO1298</f>
        <v>1407</v>
      </c>
      <c r="CP1358" s="72">
        <f>CO1358</f>
        <v>1407</v>
      </c>
      <c r="CQ1358" s="65"/>
      <c r="CR1358" s="72">
        <f>-CR1298</f>
        <v>1477</v>
      </c>
      <c r="CS1358" s="72">
        <f>-CS1298</f>
        <v>1428</v>
      </c>
      <c r="CT1358" s="72">
        <f>CS1358</f>
        <v>1428</v>
      </c>
      <c r="CU1358" s="65"/>
      <c r="CV1358" s="72">
        <f>-CV1298</f>
        <v>1018</v>
      </c>
      <c r="CW1358" s="72">
        <f>-CW1298</f>
        <v>971</v>
      </c>
      <c r="CX1358" s="72">
        <f>CW1358</f>
        <v>971</v>
      </c>
      <c r="CY1358" s="65"/>
      <c r="CZ1358" s="72">
        <f>-CZ1298</f>
        <v>1213</v>
      </c>
      <c r="DA1358" s="72">
        <f>-DA1298</f>
        <v>1084</v>
      </c>
      <c r="DB1358" s="72">
        <f>DA1358</f>
        <v>1084</v>
      </c>
      <c r="DC1358" s="65"/>
      <c r="DD1358" s="72">
        <f>-DD1298</f>
        <v>1227</v>
      </c>
      <c r="DE1358" s="72">
        <f>-DE1298</f>
        <v>974</v>
      </c>
      <c r="DF1358" s="72">
        <f>DE1358</f>
        <v>974</v>
      </c>
      <c r="DG1358" s="65"/>
      <c r="DH1358" s="72">
        <f>+DH1356+DH1357</f>
        <v>978.87</v>
      </c>
      <c r="DI1358" s="72">
        <f>+DI1356+DI1357</f>
        <v>983.76435000000004</v>
      </c>
      <c r="DJ1358" s="72">
        <f>DI1358</f>
        <v>983.76435000000004</v>
      </c>
      <c r="DK1358" s="65"/>
      <c r="DL1358" s="72">
        <f>+DL1356+DL1357</f>
        <v>988.68317175000004</v>
      </c>
      <c r="DM1358" s="72">
        <f>+DM1356+DM1357</f>
        <v>993.62658760875001</v>
      </c>
      <c r="DN1358" s="72">
        <f>DM1358</f>
        <v>993.62658760875001</v>
      </c>
      <c r="DO1358" s="65"/>
      <c r="DP1358" s="72">
        <f>+DP1356+DP1357</f>
        <v>998.59472054679372</v>
      </c>
      <c r="DQ1358" s="72">
        <f>+DQ1356+DQ1357</f>
        <v>1003.5876941495277</v>
      </c>
      <c r="DR1358" s="72">
        <f>DQ1358</f>
        <v>1003.5876941495277</v>
      </c>
      <c r="DS1358" s="65"/>
      <c r="DT1358" s="65"/>
      <c r="DU1358" s="65"/>
      <c r="DV1358" s="65"/>
    </row>
    <row r="1359" spans="1:126" s="20" customFormat="1" ht="13.8">
      <c r="A1359" s="574" t="s">
        <v>1075</v>
      </c>
      <c r="B1359" s="547"/>
      <c r="C1359" s="533"/>
      <c r="D1359" s="533"/>
      <c r="E1359" s="533"/>
      <c r="F1359" s="533"/>
      <c r="G1359" s="533"/>
      <c r="H1359" s="533"/>
      <c r="I1359" s="533"/>
      <c r="J1359" s="533"/>
      <c r="K1359" s="533"/>
      <c r="L1359" s="533"/>
      <c r="M1359" s="533"/>
      <c r="N1359" s="533"/>
      <c r="O1359" s="533"/>
      <c r="P1359" s="533"/>
      <c r="Q1359" s="533"/>
      <c r="R1359" s="533"/>
      <c r="S1359" s="533"/>
      <c r="T1359" s="533"/>
      <c r="U1359" s="533"/>
      <c r="V1359" s="533"/>
      <c r="W1359" s="533"/>
      <c r="X1359" s="533"/>
      <c r="Y1359" s="533"/>
      <c r="Z1359" s="533"/>
      <c r="AA1359" s="533"/>
      <c r="AB1359" s="533"/>
      <c r="AC1359" s="533"/>
      <c r="AD1359" s="533"/>
      <c r="AE1359" s="533"/>
      <c r="AF1359" s="533"/>
      <c r="AG1359" s="533"/>
      <c r="AH1359" s="533"/>
      <c r="AI1359" s="533"/>
      <c r="AJ1359" s="533"/>
      <c r="AK1359" s="533"/>
      <c r="AL1359" s="533"/>
      <c r="AM1359" s="533"/>
      <c r="AN1359" s="533"/>
      <c r="AO1359" s="533"/>
      <c r="AP1359" s="533"/>
      <c r="AQ1359" s="533"/>
      <c r="AR1359" s="533"/>
      <c r="AS1359" s="533"/>
      <c r="AT1359" s="533"/>
      <c r="AU1359" s="533"/>
      <c r="AV1359" s="533"/>
      <c r="AW1359" s="533"/>
      <c r="AX1359" s="533"/>
      <c r="AY1359" s="533"/>
      <c r="AZ1359" s="533"/>
      <c r="BA1359" s="533"/>
      <c r="BB1359" s="533"/>
      <c r="BC1359" s="533"/>
      <c r="BD1359" s="533"/>
      <c r="BE1359" s="533"/>
      <c r="BF1359" s="533"/>
      <c r="BG1359" s="533"/>
      <c r="BH1359" s="583"/>
      <c r="BI1359" s="583"/>
      <c r="BJ1359" s="583"/>
      <c r="BK1359" s="583"/>
      <c r="BL1359" s="583"/>
      <c r="BM1359" s="583"/>
      <c r="BN1359" s="583"/>
      <c r="BO1359" s="583"/>
      <c r="BP1359" s="583"/>
      <c r="BQ1359" s="583"/>
      <c r="BR1359" s="583"/>
      <c r="BS1359" s="583"/>
      <c r="BT1359" s="583"/>
      <c r="BU1359" s="583"/>
      <c r="BV1359" s="922"/>
      <c r="BW1359" s="583"/>
      <c r="BX1359" s="583"/>
      <c r="BY1359" s="583"/>
      <c r="BZ1359" s="922"/>
      <c r="CA1359" s="583"/>
      <c r="CB1359" s="583"/>
      <c r="CC1359" s="583"/>
      <c r="CD1359" s="922"/>
      <c r="CE1359" s="583"/>
      <c r="CF1359" s="583"/>
      <c r="CG1359" s="583"/>
      <c r="CH1359" s="922"/>
      <c r="CI1359" s="583"/>
      <c r="CJ1359" s="583"/>
      <c r="CK1359" s="583"/>
      <c r="CL1359" s="583"/>
      <c r="CM1359" s="583"/>
      <c r="CN1359" s="577">
        <f>+CN1357*2/CN1356</f>
        <v>0.17587939698492464</v>
      </c>
      <c r="CO1359" s="577">
        <f>+CO1357*2/CO1356</f>
        <v>0.16628175519630484</v>
      </c>
      <c r="CP1359" s="577">
        <f>+CP1357/CP1356</f>
        <v>0.17839195979899497</v>
      </c>
      <c r="CQ1359" s="583"/>
      <c r="CR1359" s="577">
        <f>+CR1357*2/CR1356</f>
        <v>9.950248756218906E-2</v>
      </c>
      <c r="CS1359" s="577">
        <f>+CS1357*2/CS1356</f>
        <v>-6.6350710900473939E-2</v>
      </c>
      <c r="CT1359" s="577">
        <f>+CT1357/CT1356</f>
        <v>1.4925373134328358E-2</v>
      </c>
      <c r="CU1359" s="583"/>
      <c r="CV1359" s="577">
        <f>+CV1357*2/CV1356</f>
        <v>-0.57422969187675066</v>
      </c>
      <c r="CW1359" s="577">
        <f>+CW1357*2/CW1356</f>
        <v>-9.2337917485265222E-2</v>
      </c>
      <c r="CX1359" s="577">
        <f>+CX1357/CX1356</f>
        <v>-0.32002801120448177</v>
      </c>
      <c r="CY1359" s="583"/>
      <c r="CZ1359" s="577">
        <f>+CZ1357*2/CZ1356</f>
        <v>0.49845520082389289</v>
      </c>
      <c r="DA1359" s="577">
        <f>+DA1357*2/DA1356</f>
        <v>-0.21269579554822754</v>
      </c>
      <c r="DB1359" s="577">
        <f>+DB1357/DB1356</f>
        <v>0.11637487126673532</v>
      </c>
      <c r="DC1359" s="583"/>
      <c r="DD1359" s="577">
        <f>+DD1357*2/DD1356</f>
        <v>0.26383763837638374</v>
      </c>
      <c r="DE1359" s="577">
        <f>+DE1357*2/DE1356</f>
        <v>-0.41238793806030971</v>
      </c>
      <c r="DF1359" s="577">
        <f>+DF1357/DF1356</f>
        <v>-0.1014760147601476</v>
      </c>
      <c r="DG1359" s="583"/>
      <c r="DH1359" s="616">
        <v>0.01</v>
      </c>
      <c r="DI1359" s="616">
        <v>0.01</v>
      </c>
      <c r="DJ1359" s="577">
        <f>+DJ1357/DJ1356</f>
        <v>1.0025000000000001E-2</v>
      </c>
      <c r="DK1359" s="583"/>
      <c r="DL1359" s="616">
        <v>0.01</v>
      </c>
      <c r="DM1359" s="616">
        <v>0.01</v>
      </c>
      <c r="DN1359" s="577">
        <f>+DN1357/DN1356</f>
        <v>1.0024999999999999E-2</v>
      </c>
      <c r="DO1359" s="583"/>
      <c r="DP1359" s="616">
        <v>0.01</v>
      </c>
      <c r="DQ1359" s="616">
        <v>0.01</v>
      </c>
      <c r="DR1359" s="577">
        <f>+DR1357/DR1356</f>
        <v>1.0024999999999999E-2</v>
      </c>
      <c r="DS1359" s="583"/>
      <c r="DT1359" s="583"/>
      <c r="DU1359" s="583"/>
      <c r="DV1359" s="583"/>
    </row>
    <row r="1360" spans="1:126" s="20" customFormat="1" ht="13.8">
      <c r="B1360" s="49"/>
      <c r="BH1360" s="65"/>
      <c r="BI1360" s="65"/>
      <c r="BJ1360" s="65"/>
      <c r="BK1360" s="65"/>
      <c r="BL1360" s="65"/>
      <c r="BM1360" s="65"/>
      <c r="BN1360" s="65"/>
      <c r="BO1360" s="65"/>
      <c r="BP1360" s="65"/>
      <c r="BQ1360" s="65"/>
      <c r="BR1360" s="65"/>
      <c r="BS1360" s="65"/>
      <c r="BT1360" s="65"/>
      <c r="BU1360" s="65"/>
      <c r="BV1360" s="68"/>
      <c r="BW1360" s="65"/>
      <c r="BX1360" s="65"/>
      <c r="BY1360" s="65"/>
      <c r="BZ1360" s="68"/>
      <c r="CA1360" s="65"/>
      <c r="CB1360" s="65"/>
      <c r="CC1360" s="65"/>
      <c r="CD1360" s="68"/>
      <c r="CE1360" s="65"/>
      <c r="CF1360" s="65"/>
      <c r="CG1360" s="65"/>
      <c r="CH1360" s="68"/>
      <c r="CI1360" s="65"/>
      <c r="CJ1360" s="65"/>
      <c r="CK1360" s="65"/>
      <c r="CL1360" s="65"/>
      <c r="CM1360" s="65"/>
      <c r="CN1360" s="65"/>
      <c r="CO1360" s="65"/>
      <c r="CP1360" s="65"/>
      <c r="CQ1360" s="65"/>
      <c r="CR1360" s="65"/>
      <c r="CS1360" s="65"/>
      <c r="CT1360" s="65"/>
      <c r="CU1360" s="65"/>
      <c r="CV1360" s="65"/>
      <c r="CW1360" s="65"/>
      <c r="CX1360" s="65"/>
      <c r="CY1360" s="65"/>
      <c r="CZ1360" s="65"/>
      <c r="DA1360" s="65"/>
      <c r="DB1360" s="65"/>
      <c r="DC1360" s="65"/>
      <c r="DD1360" s="65"/>
      <c r="DE1360" s="65"/>
      <c r="DF1360" s="65"/>
      <c r="DG1360" s="65"/>
      <c r="DH1360" s="65"/>
      <c r="DI1360" s="65"/>
      <c r="DJ1360" s="65"/>
      <c r="DK1360" s="65"/>
      <c r="DL1360" s="65"/>
      <c r="DM1360" s="65"/>
      <c r="DN1360" s="65"/>
      <c r="DO1360" s="65"/>
      <c r="DP1360" s="65"/>
      <c r="DQ1360" s="65"/>
      <c r="DR1360" s="65"/>
      <c r="DS1360" s="65"/>
      <c r="DT1360" s="65"/>
      <c r="DU1360" s="65"/>
      <c r="DV1360" s="65"/>
    </row>
    <row r="1361" spans="1:128" s="21" customFormat="1" ht="13.8">
      <c r="A1361" s="21" t="s">
        <v>1010</v>
      </c>
      <c r="B1361" s="27"/>
      <c r="BH1361" s="72"/>
      <c r="BI1361" s="72"/>
      <c r="BJ1361" s="72"/>
      <c r="BK1361" s="72"/>
      <c r="BL1361" s="72"/>
      <c r="BM1361" s="72"/>
      <c r="BN1361" s="72"/>
      <c r="BO1361" s="72"/>
      <c r="BP1361" s="72"/>
      <c r="BQ1361" s="72"/>
      <c r="BR1361" s="72"/>
      <c r="BS1361" s="72"/>
      <c r="BT1361" s="72"/>
      <c r="BU1361" s="72"/>
      <c r="BV1361" s="70"/>
      <c r="BW1361" s="72"/>
      <c r="BX1361" s="72"/>
      <c r="BY1361" s="72">
        <f>-BY1295</f>
        <v>946</v>
      </c>
      <c r="BZ1361" s="72">
        <f>-BZ1295</f>
        <v>946</v>
      </c>
      <c r="CA1361" s="72"/>
      <c r="CB1361" s="72">
        <f>-CB1295</f>
        <v>869</v>
      </c>
      <c r="CC1361" s="72">
        <f>-CC1295</f>
        <v>1118</v>
      </c>
      <c r="CD1361" s="70"/>
      <c r="CE1361" s="72"/>
      <c r="CF1361" s="72">
        <f>-CF1295</f>
        <v>1162</v>
      </c>
      <c r="CG1361" s="72">
        <f>-CG1295</f>
        <v>1376</v>
      </c>
      <c r="CH1361" s="70"/>
      <c r="CI1361" s="72"/>
      <c r="CJ1361" s="72">
        <f>-CJ1295</f>
        <v>1815</v>
      </c>
      <c r="CK1361" s="72">
        <f>-CK1295</f>
        <v>2128</v>
      </c>
      <c r="CL1361" s="70"/>
      <c r="CM1361" s="72"/>
      <c r="CN1361" s="72">
        <f>-CN1295</f>
        <v>2109</v>
      </c>
      <c r="CO1361" s="72">
        <f>-CO1295</f>
        <v>2357</v>
      </c>
      <c r="CP1361" s="70"/>
      <c r="CQ1361" s="72"/>
      <c r="CR1361" s="72">
        <f>-CR1295</f>
        <v>2908</v>
      </c>
      <c r="CS1361" s="72">
        <f>-CS1295</f>
        <v>2511</v>
      </c>
      <c r="CT1361" s="70"/>
      <c r="CU1361" s="72"/>
      <c r="CV1361" s="72">
        <f>-CV1295</f>
        <v>2461</v>
      </c>
      <c r="CW1361" s="72">
        <f>-CW1295</f>
        <v>2579</v>
      </c>
      <c r="CX1361" s="70"/>
      <c r="CY1361" s="72"/>
      <c r="CZ1361" s="72">
        <f>-CZ1295</f>
        <v>2716</v>
      </c>
      <c r="DA1361" s="72">
        <f>-DA1295</f>
        <v>3112</v>
      </c>
      <c r="DB1361" s="70"/>
      <c r="DC1361" s="72"/>
      <c r="DD1361" s="72">
        <f>-DD1295</f>
        <v>3412</v>
      </c>
      <c r="DE1361" s="72">
        <f>-DE1295</f>
        <v>3720</v>
      </c>
      <c r="DF1361" s="70"/>
      <c r="DG1361" s="72"/>
      <c r="DH1361" s="72">
        <f ca="1">+DH1363+DH1364</f>
        <v>3693.0730238033261</v>
      </c>
      <c r="DI1361" s="72">
        <f ca="1">+DI1363+DI1364</f>
        <v>3696.3843357106934</v>
      </c>
      <c r="DJ1361" s="72"/>
      <c r="DK1361" s="72"/>
      <c r="DL1361" s="72">
        <f ca="1">+DL1363+DL1364</f>
        <v>3686.9868351140067</v>
      </c>
      <c r="DM1361" s="72">
        <f ca="1">+DM1363+DM1364</f>
        <v>3715.8900302831312</v>
      </c>
      <c r="DN1361" s="72"/>
      <c r="DO1361" s="72"/>
      <c r="DP1361" s="72">
        <f ca="1">+DP1363+DP1364</f>
        <v>3740.5231298245794</v>
      </c>
      <c r="DQ1361" s="72">
        <f ca="1">+DQ1363+DQ1364</f>
        <v>3768.6435383171429</v>
      </c>
      <c r="DR1361" s="72"/>
      <c r="DS1361" s="72"/>
      <c r="DT1361" s="72"/>
      <c r="DU1361" s="72"/>
      <c r="DV1361" s="72"/>
    </row>
    <row r="1362" spans="1:128" s="20" customFormat="1" ht="13.8">
      <c r="A1362" s="20" t="s">
        <v>245</v>
      </c>
      <c r="B1362" s="49"/>
      <c r="BH1362" s="65"/>
      <c r="BI1362" s="65"/>
      <c r="BJ1362" s="65"/>
      <c r="BK1362" s="65"/>
      <c r="BL1362" s="65"/>
      <c r="BM1362" s="65"/>
      <c r="BN1362" s="65"/>
      <c r="BO1362" s="65"/>
      <c r="BP1362" s="65"/>
      <c r="BQ1362" s="65"/>
      <c r="BR1362" s="65"/>
      <c r="BS1362" s="65"/>
      <c r="BT1362" s="65"/>
      <c r="BU1362" s="65"/>
      <c r="BV1362" s="68"/>
      <c r="BW1362" s="65"/>
      <c r="BX1362" s="65"/>
      <c r="BY1362" s="65">
        <f>-BY244</f>
        <v>2662</v>
      </c>
      <c r="BZ1362" s="65">
        <f>-BZ244</f>
        <v>2662</v>
      </c>
      <c r="CA1362" s="65"/>
      <c r="CB1362" s="65">
        <f>-CB244</f>
        <v>2579</v>
      </c>
      <c r="CC1362" s="65">
        <f>-CC244</f>
        <v>2523</v>
      </c>
      <c r="CD1362" s="68"/>
      <c r="CE1362" s="65"/>
      <c r="CF1362" s="65">
        <f>-CF244</f>
        <v>3378</v>
      </c>
      <c r="CG1362" s="65">
        <f>-CG244</f>
        <v>3376</v>
      </c>
      <c r="CH1362" s="68"/>
      <c r="CI1362" s="65"/>
      <c r="CJ1362" s="65">
        <f>-CJ244</f>
        <v>4501</v>
      </c>
      <c r="CK1362" s="65">
        <f>-CK244</f>
        <v>5008</v>
      </c>
      <c r="CL1362" s="68"/>
      <c r="CM1362" s="65"/>
      <c r="CN1362" s="65">
        <f>-CN244</f>
        <v>4285</v>
      </c>
      <c r="CO1362" s="65">
        <f>-CO244</f>
        <v>4195</v>
      </c>
      <c r="CP1362" s="68"/>
      <c r="CQ1362" s="65"/>
      <c r="CR1362" s="65">
        <f>-CR244</f>
        <v>3757</v>
      </c>
      <c r="CS1362" s="65">
        <f>-CS244</f>
        <v>3853</v>
      </c>
      <c r="CT1362" s="68"/>
      <c r="CU1362" s="65"/>
      <c r="CV1362" s="65">
        <f>-CV244</f>
        <v>4040</v>
      </c>
      <c r="CW1362" s="65">
        <f>-CW244</f>
        <v>4032</v>
      </c>
      <c r="CX1362" s="68"/>
      <c r="CY1362" s="65"/>
      <c r="CZ1362" s="65">
        <f>-CZ244</f>
        <v>4046</v>
      </c>
      <c r="DA1362" s="65">
        <f>-DA244</f>
        <v>4247</v>
      </c>
      <c r="DB1362" s="68"/>
      <c r="DC1362" s="65"/>
      <c r="DD1362" s="65">
        <f>-DD244</f>
        <v>4280</v>
      </c>
      <c r="DE1362" s="65">
        <f>-DE244</f>
        <v>4379</v>
      </c>
      <c r="DF1362" s="68"/>
      <c r="DG1362" s="65"/>
      <c r="DH1362" s="65">
        <f ca="1">-DH244</f>
        <v>4289.2434126777534</v>
      </c>
      <c r="DI1362" s="65">
        <f ca="1">-DI244</f>
        <v>4300.2811190356451</v>
      </c>
      <c r="DJ1362" s="65"/>
      <c r="DK1362" s="65"/>
      <c r="DL1362" s="65">
        <f ca="1">-DL244</f>
        <v>4268.9561170466886</v>
      </c>
      <c r="DM1362" s="65">
        <f ca="1">-DM244</f>
        <v>4365.3001009437703</v>
      </c>
      <c r="DN1362" s="65"/>
      <c r="DO1362" s="65"/>
      <c r="DP1362" s="65">
        <f ca="1">-DP244</f>
        <v>4447.4104327485975</v>
      </c>
      <c r="DQ1362" s="65">
        <f ca="1">-DQ244</f>
        <v>4541.1451277238084</v>
      </c>
      <c r="DR1362" s="65"/>
      <c r="DS1362" s="65"/>
      <c r="DT1362" s="65"/>
      <c r="DU1362" s="65"/>
      <c r="DV1362" s="65"/>
    </row>
    <row r="1363" spans="1:128" s="20" customFormat="1" ht="13.8">
      <c r="A1363" s="20" t="s">
        <v>1011</v>
      </c>
      <c r="B1363" s="49"/>
      <c r="BH1363" s="65"/>
      <c r="BI1363" s="65"/>
      <c r="BJ1363" s="65"/>
      <c r="BK1363" s="65"/>
      <c r="BL1363" s="65"/>
      <c r="BM1363" s="65"/>
      <c r="BN1363" s="65"/>
      <c r="BO1363" s="65"/>
      <c r="BP1363" s="65"/>
      <c r="BQ1363" s="65"/>
      <c r="BR1363" s="65"/>
      <c r="BS1363" s="65"/>
      <c r="BT1363" s="65"/>
      <c r="BU1363" s="65"/>
      <c r="BV1363" s="68"/>
      <c r="BW1363" s="65"/>
      <c r="BX1363" s="65"/>
      <c r="BY1363" s="65">
        <f>+BY1362*0.3</f>
        <v>798.6</v>
      </c>
      <c r="BZ1363" s="65">
        <f>+BZ1362*0.3</f>
        <v>798.6</v>
      </c>
      <c r="CA1363" s="65"/>
      <c r="CB1363" s="65">
        <f>+CB1362*0.3</f>
        <v>773.69999999999993</v>
      </c>
      <c r="CC1363" s="65">
        <f>+CC1362*0.3</f>
        <v>756.9</v>
      </c>
      <c r="CD1363" s="68"/>
      <c r="CE1363" s="65"/>
      <c r="CF1363" s="65">
        <f>+CF1362*0.3</f>
        <v>1013.4</v>
      </c>
      <c r="CG1363" s="65">
        <f>+CG1362*0.3</f>
        <v>1012.8</v>
      </c>
      <c r="CH1363" s="68"/>
      <c r="CI1363" s="65"/>
      <c r="CJ1363" s="65">
        <f>+CJ1362*0.3</f>
        <v>1350.3</v>
      </c>
      <c r="CK1363" s="65">
        <f>+CK1362*0.3</f>
        <v>1502.3999999999999</v>
      </c>
      <c r="CL1363" s="68"/>
      <c r="CM1363" s="65"/>
      <c r="CN1363" s="65">
        <f>+CN1362*0.3</f>
        <v>1285.5</v>
      </c>
      <c r="CO1363" s="65">
        <f>+CO1362*0.3</f>
        <v>1258.5</v>
      </c>
      <c r="CP1363" s="68"/>
      <c r="CQ1363" s="65"/>
      <c r="CR1363" s="65">
        <f>+CR1362*0.3</f>
        <v>1127.0999999999999</v>
      </c>
      <c r="CS1363" s="65">
        <f>+CS1362*0.3</f>
        <v>1155.8999999999999</v>
      </c>
      <c r="CT1363" s="68"/>
      <c r="CU1363" s="65"/>
      <c r="CV1363" s="65">
        <f>+CV1362*0.3</f>
        <v>1212</v>
      </c>
      <c r="CW1363" s="65">
        <f>+CW1362*0.3</f>
        <v>1209.5999999999999</v>
      </c>
      <c r="CX1363" s="68"/>
      <c r="CY1363" s="65"/>
      <c r="CZ1363" s="65">
        <f>+CZ1362*0.3</f>
        <v>1213.8</v>
      </c>
      <c r="DA1363" s="65">
        <f>+DA1362*0.3</f>
        <v>1274.0999999999999</v>
      </c>
      <c r="DB1363" s="68"/>
      <c r="DC1363" s="65"/>
      <c r="DD1363" s="65">
        <f>+DD1362*0.3</f>
        <v>1284</v>
      </c>
      <c r="DE1363" s="65">
        <f>+DE1362*0.3</f>
        <v>1313.7</v>
      </c>
      <c r="DF1363" s="68"/>
      <c r="DG1363" s="65"/>
      <c r="DH1363" s="65">
        <f ca="1">+DH1362*0.3</f>
        <v>1286.7730238033259</v>
      </c>
      <c r="DI1363" s="65">
        <f ca="1">+DI1362*0.3</f>
        <v>1290.0843357106935</v>
      </c>
      <c r="DJ1363" s="65"/>
      <c r="DK1363" s="65"/>
      <c r="DL1363" s="65">
        <f ca="1">+DL1362*0.3</f>
        <v>1280.6868351140065</v>
      </c>
      <c r="DM1363" s="65">
        <f ca="1">+DM1362*0.3</f>
        <v>1309.590030283131</v>
      </c>
      <c r="DN1363" s="65"/>
      <c r="DO1363" s="65"/>
      <c r="DP1363" s="65">
        <f ca="1">+DP1362*0.3</f>
        <v>1334.2231298245792</v>
      </c>
      <c r="DQ1363" s="65">
        <f ca="1">+DQ1362*0.3</f>
        <v>1362.3435383171425</v>
      </c>
      <c r="DR1363" s="65"/>
      <c r="DS1363" s="65"/>
      <c r="DT1363" s="65"/>
      <c r="DU1363" s="65"/>
      <c r="DV1363" s="65"/>
    </row>
    <row r="1364" spans="1:128" s="20" customFormat="1" ht="13.8">
      <c r="A1364" s="533" t="s">
        <v>1012</v>
      </c>
      <c r="B1364" s="547"/>
      <c r="C1364" s="533"/>
      <c r="D1364" s="533"/>
      <c r="E1364" s="533"/>
      <c r="F1364" s="533"/>
      <c r="G1364" s="533"/>
      <c r="H1364" s="533"/>
      <c r="I1364" s="533"/>
      <c r="J1364" s="533"/>
      <c r="K1364" s="533"/>
      <c r="L1364" s="533"/>
      <c r="M1364" s="533"/>
      <c r="N1364" s="533"/>
      <c r="O1364" s="533"/>
      <c r="P1364" s="533"/>
      <c r="Q1364" s="533"/>
      <c r="R1364" s="533"/>
      <c r="S1364" s="533"/>
      <c r="T1364" s="533"/>
      <c r="U1364" s="533"/>
      <c r="V1364" s="533"/>
      <c r="W1364" s="533"/>
      <c r="X1364" s="533"/>
      <c r="Y1364" s="533"/>
      <c r="Z1364" s="533"/>
      <c r="AA1364" s="533"/>
      <c r="AB1364" s="533"/>
      <c r="AC1364" s="533"/>
      <c r="AD1364" s="533"/>
      <c r="AE1364" s="533"/>
      <c r="AF1364" s="533"/>
      <c r="AG1364" s="533"/>
      <c r="AH1364" s="533"/>
      <c r="AI1364" s="533"/>
      <c r="AJ1364" s="533"/>
      <c r="AK1364" s="533"/>
      <c r="AL1364" s="533"/>
      <c r="AM1364" s="533"/>
      <c r="AN1364" s="533"/>
      <c r="AO1364" s="533"/>
      <c r="AP1364" s="533"/>
      <c r="AQ1364" s="533"/>
      <c r="AR1364" s="533"/>
      <c r="AS1364" s="533"/>
      <c r="AT1364" s="533"/>
      <c r="AU1364" s="533"/>
      <c r="AV1364" s="533"/>
      <c r="AW1364" s="533"/>
      <c r="AX1364" s="533"/>
      <c r="AY1364" s="533"/>
      <c r="AZ1364" s="533"/>
      <c r="BA1364" s="533"/>
      <c r="BB1364" s="533"/>
      <c r="BC1364" s="533"/>
      <c r="BD1364" s="533"/>
      <c r="BE1364" s="533"/>
      <c r="BF1364" s="533"/>
      <c r="BG1364" s="533"/>
      <c r="BH1364" s="583"/>
      <c r="BI1364" s="583"/>
      <c r="BJ1364" s="583"/>
      <c r="BK1364" s="583"/>
      <c r="BL1364" s="583"/>
      <c r="BM1364" s="583"/>
      <c r="BN1364" s="583"/>
      <c r="BO1364" s="583"/>
      <c r="BP1364" s="583"/>
      <c r="BQ1364" s="583"/>
      <c r="BR1364" s="583"/>
      <c r="BS1364" s="583"/>
      <c r="BT1364" s="583"/>
      <c r="BU1364" s="583"/>
      <c r="BV1364" s="922"/>
      <c r="BW1364" s="583"/>
      <c r="BX1364" s="583"/>
      <c r="BY1364" s="583">
        <f>+BY1361-BY1363</f>
        <v>147.39999999999998</v>
      </c>
      <c r="BZ1364" s="583">
        <f>+BZ1361-BZ1363</f>
        <v>147.39999999999998</v>
      </c>
      <c r="CA1364" s="583"/>
      <c r="CB1364" s="583">
        <f>+CB1361-CB1363</f>
        <v>95.300000000000068</v>
      </c>
      <c r="CC1364" s="583">
        <f>+CC1361-CC1363</f>
        <v>361.1</v>
      </c>
      <c r="CD1364" s="922"/>
      <c r="CE1364" s="583"/>
      <c r="CF1364" s="583">
        <f>+CF1361-CF1363</f>
        <v>148.60000000000002</v>
      </c>
      <c r="CG1364" s="583">
        <f>+CG1361-CG1363</f>
        <v>363.20000000000005</v>
      </c>
      <c r="CH1364" s="922"/>
      <c r="CI1364" s="583"/>
      <c r="CJ1364" s="583">
        <f>+CJ1361-CJ1363</f>
        <v>464.70000000000005</v>
      </c>
      <c r="CK1364" s="583">
        <f>+CK1361-CK1363</f>
        <v>625.60000000000014</v>
      </c>
      <c r="CL1364" s="922"/>
      <c r="CM1364" s="583"/>
      <c r="CN1364" s="583">
        <f>+CN1361-CN1363</f>
        <v>823.5</v>
      </c>
      <c r="CO1364" s="583">
        <f>+CO1361-CO1363</f>
        <v>1098.5</v>
      </c>
      <c r="CP1364" s="922"/>
      <c r="CQ1364" s="583"/>
      <c r="CR1364" s="583">
        <f>+CR1361-CR1363</f>
        <v>1780.9</v>
      </c>
      <c r="CS1364" s="583">
        <f>+CS1361-CS1363</f>
        <v>1355.1000000000001</v>
      </c>
      <c r="CT1364" s="922"/>
      <c r="CU1364" s="583"/>
      <c r="CV1364" s="583">
        <f>+CV1361-CV1363</f>
        <v>1249</v>
      </c>
      <c r="CW1364" s="583">
        <f>+CW1361-CW1363</f>
        <v>1369.4</v>
      </c>
      <c r="CX1364" s="922"/>
      <c r="CY1364" s="583"/>
      <c r="CZ1364" s="583">
        <f>+CZ1361-CZ1363</f>
        <v>1502.2</v>
      </c>
      <c r="DA1364" s="583">
        <f>+DA1361-DA1363</f>
        <v>1837.9</v>
      </c>
      <c r="DB1364" s="922"/>
      <c r="DC1364" s="583"/>
      <c r="DD1364" s="583">
        <f>+DD1361-DD1363</f>
        <v>2128</v>
      </c>
      <c r="DE1364" s="583">
        <f>+DE1361-DE1363</f>
        <v>2406.3000000000002</v>
      </c>
      <c r="DF1364" s="922"/>
      <c r="DG1364" s="583"/>
      <c r="DH1364" s="945">
        <f>DE1364</f>
        <v>2406.3000000000002</v>
      </c>
      <c r="DI1364" s="945">
        <f>DH1364</f>
        <v>2406.3000000000002</v>
      </c>
      <c r="DJ1364" s="583"/>
      <c r="DK1364" s="583"/>
      <c r="DL1364" s="945">
        <f>DI1364</f>
        <v>2406.3000000000002</v>
      </c>
      <c r="DM1364" s="945">
        <f>DL1364</f>
        <v>2406.3000000000002</v>
      </c>
      <c r="DN1364" s="583"/>
      <c r="DO1364" s="583"/>
      <c r="DP1364" s="945">
        <f>DM1364</f>
        <v>2406.3000000000002</v>
      </c>
      <c r="DQ1364" s="945">
        <f>DP1364</f>
        <v>2406.3000000000002</v>
      </c>
      <c r="DR1364" s="583"/>
      <c r="DS1364" s="583"/>
      <c r="DT1364" s="583"/>
      <c r="DU1364" s="583"/>
      <c r="DV1364" s="583"/>
    </row>
    <row r="1365" spans="1:128" s="20" customFormat="1" ht="13.8">
      <c r="A1365" s="21"/>
      <c r="B1365" s="49"/>
      <c r="BH1365" s="65"/>
      <c r="BI1365" s="65"/>
      <c r="BJ1365" s="65"/>
      <c r="BK1365" s="65"/>
      <c r="BL1365" s="65"/>
      <c r="BM1365" s="65"/>
      <c r="BN1365" s="65"/>
      <c r="BO1365" s="65"/>
      <c r="BP1365" s="65"/>
      <c r="BQ1365" s="65"/>
      <c r="BR1365" s="65"/>
      <c r="BS1365" s="65"/>
      <c r="BT1365" s="65"/>
      <c r="BU1365" s="65"/>
      <c r="BV1365" s="65"/>
      <c r="BW1365" s="65"/>
      <c r="BX1365" s="65"/>
      <c r="BY1365" s="65"/>
      <c r="BZ1365" s="65"/>
      <c r="CA1365" s="65"/>
      <c r="CB1365" s="65"/>
      <c r="CC1365" s="65"/>
      <c r="CD1365" s="65"/>
      <c r="CE1365" s="65"/>
      <c r="CF1365" s="65"/>
      <c r="CG1365" s="65"/>
      <c r="CH1365" s="65"/>
      <c r="CI1365" s="65"/>
      <c r="CJ1365" s="65"/>
      <c r="CK1365" s="65"/>
      <c r="CL1365" s="65"/>
      <c r="CM1365" s="65"/>
      <c r="CN1365" s="65"/>
      <c r="CO1365" s="65"/>
      <c r="CP1365" s="65"/>
      <c r="CQ1365" s="65"/>
      <c r="CR1365" s="65"/>
      <c r="CS1365" s="65"/>
      <c r="CT1365" s="65"/>
      <c r="CU1365" s="65"/>
      <c r="CV1365" s="65"/>
      <c r="CW1365" s="65"/>
      <c r="CX1365" s="65"/>
      <c r="CY1365" s="65"/>
      <c r="CZ1365" s="65"/>
      <c r="DA1365" s="65"/>
      <c r="DB1365" s="65"/>
      <c r="DC1365" s="65"/>
      <c r="DD1365" s="65"/>
      <c r="DE1365" s="65"/>
      <c r="DF1365" s="65"/>
      <c r="DG1365" s="65"/>
      <c r="DH1365" s="65"/>
      <c r="DI1365" s="65"/>
      <c r="DJ1365" s="65"/>
      <c r="DK1365" s="65"/>
      <c r="DL1365" s="65"/>
      <c r="DM1365" s="65"/>
      <c r="DN1365" s="65"/>
      <c r="DO1365" s="65"/>
      <c r="DP1365" s="65"/>
      <c r="DQ1365" s="65"/>
      <c r="DR1365" s="65"/>
      <c r="DS1365" s="65"/>
      <c r="DT1365" s="65"/>
      <c r="DU1365" s="65"/>
      <c r="DV1365" s="65"/>
    </row>
    <row r="1366" spans="1:128" s="20" customFormat="1" ht="13.8">
      <c r="A1366" s="78" t="s">
        <v>374</v>
      </c>
      <c r="B1366" s="49"/>
      <c r="BH1366" s="65"/>
      <c r="BI1366" s="65"/>
      <c r="BJ1366" s="65"/>
      <c r="BK1366" s="65"/>
      <c r="BL1366" s="65"/>
      <c r="BM1366" s="65"/>
      <c r="BN1366" s="65"/>
      <c r="BO1366" s="65"/>
      <c r="BP1366" s="65"/>
      <c r="BQ1366" s="65"/>
      <c r="BR1366" s="65"/>
      <c r="BS1366" s="65"/>
      <c r="BT1366" s="65"/>
      <c r="BU1366" s="65"/>
      <c r="BV1366" s="65"/>
      <c r="BW1366" s="65"/>
      <c r="BX1366" s="65"/>
      <c r="BY1366" s="65"/>
      <c r="BZ1366" s="65"/>
      <c r="CA1366" s="65"/>
      <c r="CB1366" s="65"/>
      <c r="CC1366" s="65"/>
      <c r="CD1366" s="65"/>
      <c r="CE1366" s="65"/>
      <c r="CF1366" s="65"/>
      <c r="CG1366" s="65"/>
      <c r="CH1366" s="65"/>
      <c r="CI1366" s="65"/>
      <c r="CJ1366" s="65"/>
      <c r="CK1366" s="65"/>
      <c r="CL1366" s="65"/>
      <c r="CM1366" s="65"/>
      <c r="CN1366" s="65"/>
      <c r="CO1366" s="65"/>
      <c r="CP1366" s="65"/>
      <c r="CQ1366" s="65"/>
      <c r="CR1366" s="65"/>
      <c r="CS1366" s="65"/>
      <c r="CT1366" s="65"/>
      <c r="CU1366" s="65"/>
      <c r="CV1366" s="65"/>
      <c r="CW1366" s="65"/>
      <c r="CX1366" s="65"/>
      <c r="CY1366" s="65"/>
      <c r="CZ1366" s="65"/>
      <c r="DA1366" s="65"/>
      <c r="DB1366" s="65"/>
      <c r="DC1366" s="65"/>
      <c r="DD1366" s="65"/>
      <c r="DE1366" s="65"/>
      <c r="DF1366" s="65"/>
      <c r="DG1366" s="65"/>
      <c r="DH1366" s="65"/>
      <c r="DI1366" s="65"/>
      <c r="DJ1366" s="65"/>
      <c r="DK1366" s="65"/>
      <c r="DL1366" s="65"/>
      <c r="DM1366" s="65"/>
      <c r="DN1366" s="65"/>
      <c r="DO1366" s="65"/>
      <c r="DP1366" s="65"/>
      <c r="DQ1366" s="65"/>
      <c r="DR1366" s="65"/>
      <c r="DS1366" s="65"/>
      <c r="DT1366" s="65"/>
      <c r="DU1366" s="65"/>
      <c r="DV1366" s="65"/>
    </row>
    <row r="1367" spans="1:128" s="325" customFormat="1" ht="13.8">
      <c r="A1367" s="335" t="str">
        <f>A1285</f>
        <v>Less: Available for sale reserve on deconsolidated entities</v>
      </c>
      <c r="B1367" s="324"/>
      <c r="BH1367" s="326"/>
      <c r="BI1367" s="345">
        <f>BI1285/BH1285-1</f>
        <v>-0.1428571428571429</v>
      </c>
      <c r="BJ1367" s="326"/>
      <c r="BK1367" s="326"/>
      <c r="BL1367" s="345">
        <f>BL1285/BI1285-1</f>
        <v>-9.9999999999999978E-2</v>
      </c>
      <c r="BM1367" s="345">
        <f>BM1285/BL1285-1</f>
        <v>0.29629629629629628</v>
      </c>
      <c r="BN1367" s="326"/>
      <c r="BO1367" s="326"/>
      <c r="BP1367" s="345">
        <f>BP1285/BM1285-1</f>
        <v>0.4285714285714286</v>
      </c>
      <c r="BQ1367" s="345">
        <f>BQ1285/BP1285-1</f>
        <v>-0.2466666666666667</v>
      </c>
      <c r="BR1367" s="326"/>
      <c r="BS1367" s="326"/>
      <c r="BT1367" s="345">
        <f>BT1285/BQ1285-1</f>
        <v>-0.13274336283185839</v>
      </c>
      <c r="BU1367" s="345">
        <f>BU1285/BT1285-1</f>
        <v>0.12244897959183665</v>
      </c>
      <c r="BV1367" s="326"/>
      <c r="BW1367" s="326"/>
      <c r="BX1367" s="345">
        <f>BX1285/BU1285-1</f>
        <v>-0.25454545454545452</v>
      </c>
      <c r="BY1367" s="345">
        <f>BY1285/BX1285-1</f>
        <v>1.2195121951219523E-2</v>
      </c>
      <c r="BZ1367" s="326"/>
      <c r="CA1367" s="326"/>
      <c r="CB1367" s="345">
        <f>CB1285/BY1285-1</f>
        <v>9.6385542168674787E-2</v>
      </c>
      <c r="CC1367" s="345">
        <f>CC1285/CB1285-1</f>
        <v>8.7912087912087822E-2</v>
      </c>
      <c r="CD1367" s="326"/>
      <c r="CE1367" s="326"/>
      <c r="CF1367" s="345">
        <f>CF1285/CC1285-1</f>
        <v>0.40404040404040398</v>
      </c>
      <c r="CG1367" s="345">
        <f>CG1285/CF1285-1</f>
        <v>-1</v>
      </c>
      <c r="CH1367" s="326"/>
      <c r="CI1367" s="326"/>
      <c r="CJ1367" s="345">
        <f>IFERROR(CJ1285/CG1285-1,0)</f>
        <v>0</v>
      </c>
      <c r="CK1367" s="958">
        <v>0</v>
      </c>
      <c r="CL1367" s="326"/>
      <c r="CM1367" s="326"/>
      <c r="CN1367" s="345">
        <f>IFERROR(CN1285/CK1285-1,0)</f>
        <v>0</v>
      </c>
      <c r="CO1367" s="958">
        <v>0</v>
      </c>
      <c r="CP1367" s="326"/>
      <c r="CQ1367" s="326"/>
      <c r="CR1367" s="345">
        <f>IFERROR(CR1285/CO1285-1,0)</f>
        <v>0</v>
      </c>
      <c r="CS1367" s="958">
        <v>0</v>
      </c>
      <c r="CT1367" s="326"/>
      <c r="CU1367" s="326"/>
      <c r="CV1367" s="345">
        <f>IFERROR(CV1285/CS1285-1,0)</f>
        <v>0</v>
      </c>
      <c r="CW1367" s="958">
        <v>0</v>
      </c>
      <c r="CX1367" s="326"/>
      <c r="CY1367" s="326"/>
      <c r="CZ1367" s="345">
        <f>IFERROR(CZ1285/CW1285-1,0)</f>
        <v>0</v>
      </c>
      <c r="DA1367" s="958">
        <v>0</v>
      </c>
      <c r="DB1367" s="326"/>
      <c r="DC1367" s="326"/>
      <c r="DD1367" s="345">
        <f>IFERROR(DD1285/DA1285-1,0)</f>
        <v>0</v>
      </c>
      <c r="DE1367" s="958">
        <v>0</v>
      </c>
      <c r="DF1367" s="326"/>
      <c r="DG1367" s="326"/>
      <c r="DH1367" s="346">
        <v>0.02</v>
      </c>
      <c r="DI1367" s="346">
        <v>0.02</v>
      </c>
      <c r="DJ1367" s="326"/>
      <c r="DK1367" s="326"/>
      <c r="DL1367" s="346">
        <v>0.02</v>
      </c>
      <c r="DM1367" s="346">
        <v>0.02</v>
      </c>
      <c r="DN1367" s="326"/>
      <c r="DO1367" s="326"/>
      <c r="DP1367" s="346">
        <v>0.02</v>
      </c>
      <c r="DQ1367" s="346">
        <v>0.02</v>
      </c>
      <c r="DR1367" s="326"/>
      <c r="DS1367" s="326"/>
      <c r="DT1367" s="326"/>
      <c r="DU1367" s="326"/>
      <c r="DV1367" s="326"/>
      <c r="DW1367" s="20"/>
      <c r="DX1367" s="20"/>
    </row>
    <row r="1368" spans="1:128" s="325" customFormat="1" ht="13.8">
      <c r="A1368" s="335" t="str">
        <f>A1287</f>
        <v>Less: Non Consol Sub RE and Reserves</v>
      </c>
      <c r="B1368" s="324"/>
      <c r="BH1368" s="326"/>
      <c r="BI1368" s="345">
        <f>BI1287/BH1287-1</f>
        <v>1.7452006980802848E-2</v>
      </c>
      <c r="BJ1368" s="326"/>
      <c r="BK1368" s="326"/>
      <c r="BL1368" s="345">
        <f>BL1287/BI1287-1</f>
        <v>0.24699828473413388</v>
      </c>
      <c r="BM1368" s="345">
        <f>BM1287/BL1287-1</f>
        <v>9.2159559834938065E-2</v>
      </c>
      <c r="BN1368" s="326"/>
      <c r="BO1368" s="326"/>
      <c r="BP1368" s="345">
        <f>BP1287/BM1287-1</f>
        <v>0.1977329974811084</v>
      </c>
      <c r="BQ1368" s="345">
        <f>BQ1287/BP1287-1</f>
        <v>-0.16824395373291268</v>
      </c>
      <c r="BR1368" s="326"/>
      <c r="BS1368" s="326"/>
      <c r="BT1368" s="345">
        <f>BT1287/BQ1287-1</f>
        <v>0.17699115044247793</v>
      </c>
      <c r="BU1368" s="345">
        <f>BU1287/BT1287-1</f>
        <v>-6.0150375939849621E-2</v>
      </c>
      <c r="BV1368" s="326"/>
      <c r="BW1368" s="326"/>
      <c r="BX1368" s="345">
        <f>BX1287/BU1287-1</f>
        <v>-7.3142857142857176E-2</v>
      </c>
      <c r="BY1368" s="345">
        <f>BY1287/BX1287-1</f>
        <v>-0.12330456226880393</v>
      </c>
      <c r="BZ1368" s="326"/>
      <c r="CA1368" s="326"/>
      <c r="CB1368" s="345">
        <f>CB1287/BY1287-1</f>
        <v>-0.14486638537271446</v>
      </c>
      <c r="CC1368" s="345">
        <f>CC1287/CB1287-1</f>
        <v>-0.16282894736842102</v>
      </c>
      <c r="CD1368" s="326"/>
      <c r="CE1368" s="326"/>
      <c r="CF1368" s="345">
        <f>CF1287/CC1287-1</f>
        <v>-0.58153241650294696</v>
      </c>
      <c r="CG1368" s="345">
        <f>CG1287/CF1287-1</f>
        <v>-1.5023474178403755</v>
      </c>
      <c r="CH1368" s="326"/>
      <c r="CI1368" s="326"/>
      <c r="CJ1368" s="345">
        <f>CJ1287/CG1287-1</f>
        <v>-1.8785046728971961</v>
      </c>
      <c r="CK1368" s="345">
        <f>CK1287/CJ1287-1</f>
        <v>5.3191489361702038E-2</v>
      </c>
      <c r="CL1368" s="326"/>
      <c r="CM1368" s="326"/>
      <c r="CN1368" s="345">
        <f>CN1287/CK1287-1</f>
        <v>0.82828282828282829</v>
      </c>
      <c r="CO1368" s="345">
        <f>CO1287/CN1287-1</f>
        <v>0.19337016574585641</v>
      </c>
      <c r="CP1368" s="326"/>
      <c r="CQ1368" s="326"/>
      <c r="CR1368" s="345">
        <f>CR1287/CO1287-1</f>
        <v>-0.30555555555555558</v>
      </c>
      <c r="CS1368" s="345">
        <f>CS1287/CR1287-1</f>
        <v>-0.67999999999999994</v>
      </c>
      <c r="CT1368" s="326"/>
      <c r="CU1368" s="326"/>
      <c r="CV1368" s="345">
        <f>CV1287/CS1287-1</f>
        <v>3.854166666666667</v>
      </c>
      <c r="CW1368" s="345">
        <f>CW1287/CV1287-1</f>
        <v>8.5836909871244593E-2</v>
      </c>
      <c r="CX1368" s="326"/>
      <c r="CY1368" s="326"/>
      <c r="CZ1368" s="345">
        <f>CZ1287/CW1287-1</f>
        <v>-0.11067193675889331</v>
      </c>
      <c r="DA1368" s="345">
        <f>DA1287/CZ1287-1</f>
        <v>0.23555555555555552</v>
      </c>
      <c r="DB1368" s="326"/>
      <c r="DC1368" s="326"/>
      <c r="DD1368" s="345">
        <f>DD1287/DA1287-1</f>
        <v>-4.3165467625899234E-2</v>
      </c>
      <c r="DE1368" s="345">
        <f>DE1287/DD1287-1</f>
        <v>-0.15037593984962405</v>
      </c>
      <c r="DF1368" s="326"/>
      <c r="DG1368" s="326"/>
      <c r="DH1368" s="346">
        <v>0.02</v>
      </c>
      <c r="DI1368" s="346">
        <v>0.02</v>
      </c>
      <c r="DJ1368" s="326"/>
      <c r="DK1368" s="326"/>
      <c r="DL1368" s="346">
        <v>0.02</v>
      </c>
      <c r="DM1368" s="346">
        <v>0.02</v>
      </c>
      <c r="DN1368" s="326"/>
      <c r="DO1368" s="326"/>
      <c r="DP1368" s="346">
        <v>0.02</v>
      </c>
      <c r="DQ1368" s="346">
        <v>0.02</v>
      </c>
      <c r="DR1368" s="326"/>
      <c r="DS1368" s="326"/>
      <c r="DT1368" s="326"/>
      <c r="DU1368" s="326"/>
      <c r="DV1368" s="326"/>
      <c r="DW1368" s="20"/>
      <c r="DX1368" s="20"/>
    </row>
    <row r="1369" spans="1:128" s="20" customFormat="1" ht="13.8">
      <c r="A1369" s="47" t="str">
        <f>A1292</f>
        <v>Less: Capitalised Costs</v>
      </c>
      <c r="B1369" s="49"/>
      <c r="BH1369" s="65"/>
      <c r="BI1369" s="96">
        <f>BI1292/BH1292-1</f>
        <v>0.10746606334841635</v>
      </c>
      <c r="BJ1369" s="65"/>
      <c r="BK1369" s="65"/>
      <c r="BL1369" s="96">
        <f>BL1292/BI1292-1</f>
        <v>8.0694586312563876E-2</v>
      </c>
      <c r="BM1369" s="96">
        <f>BM1292/BL1292-1</f>
        <v>3.8752362948960339E-2</v>
      </c>
      <c r="BN1369" s="65"/>
      <c r="BO1369" s="65"/>
      <c r="BP1369" s="96">
        <f>BP1292/BM1292-1</f>
        <v>8.9171974522292974E-2</v>
      </c>
      <c r="BQ1369" s="96">
        <f>BQ1292/BP1292-1</f>
        <v>0.10275689223057638</v>
      </c>
      <c r="BR1369" s="65"/>
      <c r="BS1369" s="65"/>
      <c r="BT1369" s="96">
        <f>BT1292/BQ1292-1</f>
        <v>-0.18333333333333335</v>
      </c>
      <c r="BU1369" s="96">
        <f>BU1292/BT1292-1</f>
        <v>6.4935064935064846E-2</v>
      </c>
      <c r="BV1369" s="65"/>
      <c r="BW1369" s="65"/>
      <c r="BX1369" s="96">
        <f>BX1292/BU1292-1</f>
        <v>-1.6550522648083654E-2</v>
      </c>
      <c r="BY1369" s="96">
        <f>BY1292/BX1292-1</f>
        <v>1.7714791851195733E-2</v>
      </c>
      <c r="BZ1369" s="65"/>
      <c r="CA1369" s="65"/>
      <c r="CB1369" s="96">
        <f>CB1292/BY1292-1</f>
        <v>-1.3925152306353383E-2</v>
      </c>
      <c r="CC1369" s="96">
        <f>CC1292/CB1292-1</f>
        <v>-4.9426301853486287E-2</v>
      </c>
      <c r="CD1369" s="65"/>
      <c r="CE1369" s="65"/>
      <c r="CF1369" s="96">
        <f>CF1292/CC1292-1</f>
        <v>-5.3853296193129063E-2</v>
      </c>
      <c r="CG1369" s="96">
        <f>CG1292/CF1292-1</f>
        <v>0.15603532875367998</v>
      </c>
      <c r="CH1369" s="65"/>
      <c r="CI1369" s="65"/>
      <c r="CJ1369" s="96">
        <f>CJ1292/CG1292-1</f>
        <v>3.9898132427843791E-2</v>
      </c>
      <c r="CK1369" s="96">
        <f>CK1292/CJ1292-1</f>
        <v>7.4285714285714288E-2</v>
      </c>
      <c r="CL1369" s="65"/>
      <c r="CM1369" s="65"/>
      <c r="CN1369" s="96">
        <f>CN1292/CK1292-1</f>
        <v>8.738601823708203E-2</v>
      </c>
      <c r="CO1369" s="96">
        <f>CO1292/CN1292-1</f>
        <v>4.4723969252271178E-2</v>
      </c>
      <c r="CP1369" s="65"/>
      <c r="CQ1369" s="65"/>
      <c r="CR1369" s="96">
        <f>CR1292/CO1292-1</f>
        <v>3.545150501672234E-2</v>
      </c>
      <c r="CS1369" s="96">
        <f>CS1292/CR1292-1</f>
        <v>4.9741602067183477E-2</v>
      </c>
      <c r="CT1369" s="65"/>
      <c r="CU1369" s="65"/>
      <c r="CV1369" s="96">
        <f>CV1292/CS1292-1</f>
        <v>0.15323076923076928</v>
      </c>
      <c r="CW1369" s="96">
        <f>CW1292/CV1292-1</f>
        <v>0.12006403415154754</v>
      </c>
      <c r="CX1369" s="65"/>
      <c r="CY1369" s="65"/>
      <c r="CZ1369" s="96">
        <f>CZ1292/CW1292-1</f>
        <v>6.7174845164363894E-2</v>
      </c>
      <c r="DA1369" s="96">
        <f>DA1292/CZ1292-1</f>
        <v>4.3303571428571441E-2</v>
      </c>
      <c r="DB1369" s="65"/>
      <c r="DC1369" s="65"/>
      <c r="DD1369" s="96">
        <f>DD1292/DA1292-1</f>
        <v>3.9794608472400572E-2</v>
      </c>
      <c r="DE1369" s="96">
        <f>DE1292/DD1292-1</f>
        <v>4.9382716049382713E-2</v>
      </c>
      <c r="DF1369" s="65"/>
      <c r="DG1369" s="65"/>
      <c r="DH1369" s="96">
        <f>DH1292/DE1292-1</f>
        <v>1.4999999999999902E-2</v>
      </c>
      <c r="DI1369" s="96">
        <f>DI1292/DH1292-1</f>
        <v>1.4999999999999902E-2</v>
      </c>
      <c r="DJ1369" s="65"/>
      <c r="DK1369" s="65"/>
      <c r="DL1369" s="96">
        <f>DL1292/DI1292-1</f>
        <v>1.4999999999999902E-2</v>
      </c>
      <c r="DM1369" s="96">
        <f>DM1292/DL1292-1</f>
        <v>1.4999999999999902E-2</v>
      </c>
      <c r="DN1369" s="65"/>
      <c r="DO1369" s="65"/>
      <c r="DP1369" s="96">
        <f>DP1292/DM1292-1</f>
        <v>1.4999999999999902E-2</v>
      </c>
      <c r="DQ1369" s="96">
        <f>DQ1292/DP1292-1</f>
        <v>1.4999999999999902E-2</v>
      </c>
      <c r="DR1369" s="65"/>
      <c r="DS1369" s="65"/>
      <c r="DT1369" s="65"/>
      <c r="DU1369" s="65"/>
      <c r="DV1369" s="65"/>
    </row>
    <row r="1370" spans="1:128" s="20" customFormat="1" ht="13.8">
      <c r="A1370" s="47" t="str">
        <f>A1294</f>
        <v>Less: Investment in Banking Associates</v>
      </c>
      <c r="B1370" s="49"/>
      <c r="BH1370" s="65"/>
      <c r="BI1370" s="96">
        <f>BI1294/BH1294-1</f>
        <v>0.13700947225981053</v>
      </c>
      <c r="BJ1370" s="65"/>
      <c r="BK1370" s="65"/>
      <c r="BL1370" s="96">
        <f>BL1294/BI1294-1</f>
        <v>6.0696221362689595E-2</v>
      </c>
      <c r="BM1370" s="96">
        <f>BM1294/BL1294-1</f>
        <v>6.900420757363257E-2</v>
      </c>
      <c r="BN1370" s="65"/>
      <c r="BO1370" s="65"/>
      <c r="BP1370" s="96">
        <f>BP1294/BM1294-1</f>
        <v>0.18053004460771449</v>
      </c>
      <c r="BQ1370" s="96">
        <f>BQ1294/BP1294-1</f>
        <v>5.2233829739942284E-2</v>
      </c>
      <c r="BR1370" s="65"/>
      <c r="BS1370" s="65"/>
      <c r="BT1370" s="96">
        <f>BT1294/BQ1294-1</f>
        <v>-5.4921841994085563E-3</v>
      </c>
      <c r="BU1370" s="96">
        <f>BU1294/BT1294-1</f>
        <v>-7.2217502124044541E-3</v>
      </c>
      <c r="BV1370" s="65"/>
      <c r="BW1370" s="65"/>
      <c r="BX1370" s="96">
        <f>BX1294/BU1294-1</f>
        <v>-0.18142918271287978</v>
      </c>
      <c r="BY1370" s="96">
        <f>BY1294/BX1294-1</f>
        <v>2.4307370622059565E-2</v>
      </c>
      <c r="BZ1370" s="65"/>
      <c r="CA1370" s="65"/>
      <c r="CB1370" s="96">
        <f>CB1294/BY1294-1</f>
        <v>-0.42026027047716252</v>
      </c>
      <c r="CC1370" s="96">
        <f>CC1294/CB1294-1</f>
        <v>2.6848591549295753E-2</v>
      </c>
      <c r="CD1370" s="65"/>
      <c r="CE1370" s="65"/>
      <c r="CF1370" s="96">
        <f>CF1294/CC1294-1</f>
        <v>7.201028718388347E-2</v>
      </c>
      <c r="CG1370" s="96">
        <f>CG1294/CF1294-1</f>
        <v>8.2367053178728611E-2</v>
      </c>
      <c r="CH1370" s="65"/>
      <c r="CI1370" s="65"/>
      <c r="CJ1370" s="96">
        <f>CJ1294/CG1294-1</f>
        <v>-0.14554857776135943</v>
      </c>
      <c r="CK1370" s="96">
        <f>CK1294/CJ1294-1</f>
        <v>-6.4418504107220054E-2</v>
      </c>
      <c r="CL1370" s="65"/>
      <c r="CM1370" s="65"/>
      <c r="CN1370" s="96">
        <f>CN1294/CK1294-1</f>
        <v>-0.14325323475046214</v>
      </c>
      <c r="CO1370" s="96">
        <f>CO1294/CN1294-1</f>
        <v>6.3646170442287042E-2</v>
      </c>
      <c r="CP1370" s="65"/>
      <c r="CQ1370" s="65"/>
      <c r="CR1370" s="96">
        <f>CR1294/CO1294-1</f>
        <v>2.33265720081135E-2</v>
      </c>
      <c r="CS1370" s="96">
        <f>CS1294/CR1294-1</f>
        <v>8.0773042616451907E-2</v>
      </c>
      <c r="CT1370" s="65"/>
      <c r="CU1370" s="65"/>
      <c r="CV1370" s="96">
        <f>CV1294/CS1294-1</f>
        <v>1.5130674002751032E-2</v>
      </c>
      <c r="CW1370" s="96">
        <f>CW1294/CV1294-1</f>
        <v>4.832881662149946E-2</v>
      </c>
      <c r="CX1370" s="65"/>
      <c r="CY1370" s="65"/>
      <c r="CZ1370" s="96">
        <f>CZ1294/CW1294-1</f>
        <v>-0.39465747522619565</v>
      </c>
      <c r="DA1370" s="96">
        <f>DA1294/CZ1294-1</f>
        <v>7.1174377224199059E-3</v>
      </c>
      <c r="DB1370" s="65"/>
      <c r="DC1370" s="65"/>
      <c r="DD1370" s="96">
        <f>DD1294/DA1294-1</f>
        <v>4.5229681978798508E-2</v>
      </c>
      <c r="DE1370" s="96">
        <f>DE1294/DD1294-1</f>
        <v>-0.22920892494929002</v>
      </c>
      <c r="DF1370" s="65"/>
      <c r="DG1370" s="65"/>
      <c r="DH1370" s="96">
        <f>DH1294/DE1294-1</f>
        <v>2.2151052631578905E-2</v>
      </c>
      <c r="DI1370" s="96">
        <f>DI1294/DH1294-1</f>
        <v>2.256673619667926E-2</v>
      </c>
      <c r="DJ1370" s="65"/>
      <c r="DK1370" s="65"/>
      <c r="DL1370" s="96">
        <f>DL1294/DI1294-1</f>
        <v>3.1343329054538627E-2</v>
      </c>
      <c r="DM1370" s="96">
        <f>DM1294/DL1294-1</f>
        <v>3.1049127126317355E-2</v>
      </c>
      <c r="DN1370" s="65"/>
      <c r="DO1370" s="65"/>
      <c r="DP1370" s="96">
        <f>DP1294/DM1294-1</f>
        <v>3.0764176279870936E-2</v>
      </c>
      <c r="DQ1370" s="96">
        <f>DQ1294/DP1294-1</f>
        <v>3.0488107484144544E-2</v>
      </c>
      <c r="DR1370" s="65"/>
      <c r="DS1370" s="65"/>
      <c r="DT1370" s="65"/>
      <c r="DU1370" s="65"/>
      <c r="DV1370" s="65"/>
    </row>
    <row r="1371" spans="1:128" s="20" customFormat="1" ht="13.8">
      <c r="A1371" s="47" t="str">
        <f>A1296</f>
        <v>Less: Investments in OnePath, Insurance and Funds management</v>
      </c>
      <c r="B1371" s="49"/>
      <c r="BH1371" s="65"/>
      <c r="BI1371" s="96">
        <f>BI1296/BH1296-1</f>
        <v>-0.12398609501738123</v>
      </c>
      <c r="BJ1371" s="65"/>
      <c r="BK1371" s="65"/>
      <c r="BL1371" s="96">
        <f>BL1296/BI1296-1</f>
        <v>-6.6137566137566162E-2</v>
      </c>
      <c r="BM1371" s="96">
        <f>BM1296/BL1296-1</f>
        <v>-2.19546742209632E-2</v>
      </c>
      <c r="BN1371" s="65"/>
      <c r="BO1371" s="65"/>
      <c r="BP1371" s="96">
        <f>BP1296/BM1296-1</f>
        <v>7.2411296162200323E-3</v>
      </c>
      <c r="BQ1371" s="96">
        <f>BQ1296/BP1296-1</f>
        <v>0.18332135154565066</v>
      </c>
      <c r="BR1371" s="65"/>
      <c r="BS1371" s="65"/>
      <c r="BT1371" s="96">
        <f>BT1296/BQ1296-1</f>
        <v>0.24301336573511545</v>
      </c>
      <c r="BU1371" s="96">
        <f>BU1296/BT1296-1</f>
        <v>1.4662756598240456E-3</v>
      </c>
      <c r="BV1371" s="65"/>
      <c r="BW1371" s="65"/>
      <c r="BX1371" s="96">
        <f>BX1296/BU1296-1</f>
        <v>-1.2689116642264464E-2</v>
      </c>
      <c r="BY1371" s="96">
        <f>BY1296/BX1296-1</f>
        <v>4.9431537320820951E-4</v>
      </c>
      <c r="BZ1371" s="65"/>
      <c r="CA1371" s="65"/>
      <c r="CB1371" s="96">
        <f>CB1296/BY1296-1</f>
        <v>4.9407114624511195E-4</v>
      </c>
      <c r="CC1371" s="96">
        <f>CC1296/CB1296-1</f>
        <v>-0.49629629629629635</v>
      </c>
      <c r="CD1371" s="65"/>
      <c r="CE1371" s="65"/>
      <c r="CF1371" s="96">
        <f>CF1296/CC1296-1</f>
        <v>-1.4705882352941124E-2</v>
      </c>
      <c r="CG1371" s="96">
        <f>CG1296/CF1296-1</f>
        <v>-0.56318407960199002</v>
      </c>
      <c r="CH1371" s="65"/>
      <c r="CI1371" s="65"/>
      <c r="CJ1371" s="96">
        <f>CJ1296/CG1296-1</f>
        <v>-0.23462414578587698</v>
      </c>
      <c r="CK1371" s="96">
        <f>CK1296/CJ1296-1</f>
        <v>0</v>
      </c>
      <c r="CL1371" s="65"/>
      <c r="CM1371" s="65"/>
      <c r="CN1371" s="96">
        <f>CN1296/CK1296-1</f>
        <v>0</v>
      </c>
      <c r="CO1371" s="96">
        <f>CO1296/CN1296-1</f>
        <v>5.9523809523809534E-2</v>
      </c>
      <c r="CP1371" s="65"/>
      <c r="CQ1371" s="65"/>
      <c r="CR1371" s="96">
        <f>CR1296/CO1296-1</f>
        <v>-2.5280898876404501E-2</v>
      </c>
      <c r="CS1371" s="96">
        <f>CS1296/CR1296-1</f>
        <v>2.8818443804035088E-3</v>
      </c>
      <c r="CT1371" s="65"/>
      <c r="CU1371" s="65"/>
      <c r="CV1371" s="96">
        <f>CV1296/CS1296-1</f>
        <v>-0.18390804597701149</v>
      </c>
      <c r="CW1371" s="96">
        <f>CW1296/CV1296-1</f>
        <v>-0.20774647887323938</v>
      </c>
      <c r="CX1371" s="65"/>
      <c r="CY1371" s="65"/>
      <c r="CZ1371" s="96">
        <f>CZ1296/CW1296-1</f>
        <v>0</v>
      </c>
      <c r="DA1371" s="96">
        <f>DA1296/CZ1296-1</f>
        <v>0</v>
      </c>
      <c r="DB1371" s="65"/>
      <c r="DC1371" s="65"/>
      <c r="DD1371" s="96">
        <f>DD1296/DA1296-1</f>
        <v>0</v>
      </c>
      <c r="DE1371" s="96">
        <f>DE1296/DD1296-1</f>
        <v>0</v>
      </c>
      <c r="DF1371" s="65"/>
      <c r="DG1371" s="65"/>
      <c r="DH1371" s="96">
        <f>DH1296/DE1296-1</f>
        <v>1.4958904109589E-2</v>
      </c>
      <c r="DI1371" s="96">
        <f>DI1296/DH1296-1</f>
        <v>1.5041095890411027E-2</v>
      </c>
      <c r="DJ1371" s="65"/>
      <c r="DK1371" s="65"/>
      <c r="DL1371" s="96">
        <f>DL1296/DI1296-1</f>
        <v>1.4958904109589E-2</v>
      </c>
      <c r="DM1371" s="96">
        <f>DM1296/DL1296-1</f>
        <v>1.5041095890411027E-2</v>
      </c>
      <c r="DN1371" s="65"/>
      <c r="DO1371" s="65"/>
      <c r="DP1371" s="96">
        <f>DP1296/DM1296-1</f>
        <v>1.4999999999999902E-2</v>
      </c>
      <c r="DQ1371" s="96">
        <f>DQ1296/DP1296-1</f>
        <v>1.5000000000000124E-2</v>
      </c>
      <c r="DR1371" s="65"/>
      <c r="DS1371" s="65"/>
      <c r="DT1371" s="65"/>
      <c r="DU1371" s="65"/>
      <c r="DV1371" s="65"/>
    </row>
    <row r="1372" spans="1:128" s="20" customFormat="1" ht="13.8">
      <c r="A1372" s="574" t="str">
        <f>A1299</f>
        <v>Less: Other Deductions</v>
      </c>
      <c r="B1372" s="547"/>
      <c r="C1372" s="533"/>
      <c r="D1372" s="533"/>
      <c r="E1372" s="533"/>
      <c r="F1372" s="533"/>
      <c r="G1372" s="533"/>
      <c r="H1372" s="533"/>
      <c r="I1372" s="533"/>
      <c r="J1372" s="533"/>
      <c r="K1372" s="533"/>
      <c r="L1372" s="533"/>
      <c r="M1372" s="533"/>
      <c r="N1372" s="533"/>
      <c r="O1372" s="533"/>
      <c r="P1372" s="533"/>
      <c r="Q1372" s="533"/>
      <c r="R1372" s="533"/>
      <c r="S1372" s="533"/>
      <c r="T1372" s="533"/>
      <c r="U1372" s="533"/>
      <c r="V1372" s="533"/>
      <c r="W1372" s="533"/>
      <c r="X1372" s="533"/>
      <c r="Y1372" s="533"/>
      <c r="Z1372" s="533"/>
      <c r="AA1372" s="533"/>
      <c r="AB1372" s="533"/>
      <c r="AC1372" s="533"/>
      <c r="AD1372" s="533"/>
      <c r="AE1372" s="533"/>
      <c r="AF1372" s="533"/>
      <c r="AG1372" s="533"/>
      <c r="AH1372" s="533"/>
      <c r="AI1372" s="533"/>
      <c r="AJ1372" s="533"/>
      <c r="AK1372" s="533"/>
      <c r="AL1372" s="533"/>
      <c r="AM1372" s="533"/>
      <c r="AN1372" s="533"/>
      <c r="AO1372" s="533"/>
      <c r="AP1372" s="533"/>
      <c r="AQ1372" s="533"/>
      <c r="AR1372" s="533"/>
      <c r="AS1372" s="533"/>
      <c r="AT1372" s="533"/>
      <c r="AU1372" s="533"/>
      <c r="AV1372" s="533"/>
      <c r="AW1372" s="533"/>
      <c r="AX1372" s="533"/>
      <c r="AY1372" s="533"/>
      <c r="AZ1372" s="533"/>
      <c r="BA1372" s="533"/>
      <c r="BB1372" s="533"/>
      <c r="BC1372" s="533"/>
      <c r="BD1372" s="533"/>
      <c r="BE1372" s="533"/>
      <c r="BF1372" s="533"/>
      <c r="BG1372" s="533"/>
      <c r="BH1372" s="583"/>
      <c r="BI1372" s="583"/>
      <c r="BJ1372" s="583"/>
      <c r="BK1372" s="583"/>
      <c r="BL1372" s="583"/>
      <c r="BM1372" s="583"/>
      <c r="BN1372" s="583"/>
      <c r="BO1372" s="583"/>
      <c r="BP1372" s="583"/>
      <c r="BQ1372" s="583"/>
      <c r="BR1372" s="583"/>
      <c r="BS1372" s="583"/>
      <c r="BT1372" s="577">
        <f>BT1299/BQ1299-1</f>
        <v>-5.2532833020637937E-2</v>
      </c>
      <c r="BU1372" s="577">
        <f>BU1299/BT1299-1</f>
        <v>9.7029702970297116E-2</v>
      </c>
      <c r="BV1372" s="583"/>
      <c r="BW1372" s="583"/>
      <c r="BX1372" s="577">
        <f>BX1299/BU1299-1</f>
        <v>0.96389891696750896</v>
      </c>
      <c r="BY1372" s="577">
        <f>BY1299/BX1299-1</f>
        <v>-6.0661764705882359E-2</v>
      </c>
      <c r="BZ1372" s="583"/>
      <c r="CA1372" s="583"/>
      <c r="CB1372" s="577">
        <f>CB1299/BY1299-1</f>
        <v>0.36692759295499022</v>
      </c>
      <c r="CC1372" s="577">
        <f>CC1299/CB1299-1</f>
        <v>-7.1581961345741352E-3</v>
      </c>
      <c r="CD1372" s="583"/>
      <c r="CE1372" s="583"/>
      <c r="CF1372" s="577">
        <f>CF1299/CC1299-1</f>
        <v>0.40735400144196099</v>
      </c>
      <c r="CG1372" s="577">
        <f>CG1299/CF1299-1</f>
        <v>0.13114754098360648</v>
      </c>
      <c r="CH1372" s="583"/>
      <c r="CI1372" s="583"/>
      <c r="CJ1372" s="577">
        <f>CJ1299/CG1299-1</f>
        <v>-0.40353260869565222</v>
      </c>
      <c r="CK1372" s="577">
        <f>CK1299/CJ1299-1</f>
        <v>-7.0615034168564961E-2</v>
      </c>
      <c r="CL1372" s="583"/>
      <c r="CM1372" s="583"/>
      <c r="CN1372" s="577">
        <f>CN1299/CK1299-1</f>
        <v>-0.34150326797385622</v>
      </c>
      <c r="CO1372" s="577">
        <f>CO1299/CN1299-1</f>
        <v>-0.28908188585607941</v>
      </c>
      <c r="CP1372" s="583"/>
      <c r="CQ1372" s="583"/>
      <c r="CR1372" s="577">
        <f>CR1299/CO1299-1</f>
        <v>-2.6980802792321117</v>
      </c>
      <c r="CS1372" s="577">
        <f>CS1299/CR1299-1</f>
        <v>0.67214799588900309</v>
      </c>
      <c r="CT1372" s="583"/>
      <c r="CU1372" s="583"/>
      <c r="CV1372" s="577">
        <f>CV1299/CS1299-1</f>
        <v>-0.42470805162876457</v>
      </c>
      <c r="CW1372" s="577">
        <f>CW1299/CV1299-1</f>
        <v>0.63782051282051277</v>
      </c>
      <c r="CX1372" s="583"/>
      <c r="CY1372" s="583"/>
      <c r="CZ1372" s="577">
        <f>CZ1299/CW1299-1</f>
        <v>-0.44814090019569475</v>
      </c>
      <c r="DA1372" s="577">
        <f>DA1299/CZ1299-1</f>
        <v>-0.80614657210401885</v>
      </c>
      <c r="DB1372" s="583"/>
      <c r="DC1372" s="583"/>
      <c r="DD1372" s="577">
        <f>DD1299/DA1299-1</f>
        <v>-2.2621951219512195</v>
      </c>
      <c r="DE1372" s="577">
        <f>DE1299/DD1299-1</f>
        <v>1.8599033816425119</v>
      </c>
      <c r="DF1372" s="583"/>
      <c r="DG1372" s="583"/>
      <c r="DH1372" s="346">
        <v>0.02</v>
      </c>
      <c r="DI1372" s="346">
        <v>0.02</v>
      </c>
      <c r="DJ1372" s="583"/>
      <c r="DK1372" s="583"/>
      <c r="DL1372" s="346">
        <v>0.02</v>
      </c>
      <c r="DM1372" s="346">
        <v>0.02</v>
      </c>
      <c r="DN1372" s="583"/>
      <c r="DO1372" s="583"/>
      <c r="DP1372" s="346">
        <v>0.02</v>
      </c>
      <c r="DQ1372" s="346">
        <v>0.02</v>
      </c>
      <c r="DR1372" s="583"/>
      <c r="DS1372" s="583"/>
      <c r="DT1372" s="583"/>
      <c r="DU1372" s="583"/>
      <c r="DV1372" s="583"/>
    </row>
    <row r="1373" spans="1:128" s="20" customFormat="1" ht="13.8">
      <c r="A1373" s="21"/>
      <c r="B1373" s="49"/>
      <c r="BH1373" s="65"/>
      <c r="BI1373" s="65"/>
      <c r="BJ1373" s="65"/>
      <c r="BK1373" s="65"/>
      <c r="BL1373" s="65"/>
      <c r="BM1373" s="65"/>
      <c r="BN1373" s="65"/>
      <c r="BO1373" s="65"/>
      <c r="BP1373" s="65"/>
      <c r="BQ1373" s="65"/>
      <c r="BR1373" s="65"/>
      <c r="BS1373" s="65"/>
      <c r="BT1373" s="65"/>
      <c r="BU1373" s="65"/>
      <c r="BV1373" s="65"/>
      <c r="BW1373" s="65"/>
      <c r="BX1373" s="65"/>
      <c r="BY1373" s="65"/>
      <c r="BZ1373" s="65"/>
      <c r="CA1373" s="65"/>
      <c r="CB1373" s="65"/>
      <c r="CC1373" s="65"/>
      <c r="CD1373" s="65"/>
      <c r="CE1373" s="65"/>
      <c r="CF1373" s="65"/>
      <c r="CG1373" s="65"/>
      <c r="CH1373" s="65"/>
      <c r="CI1373" s="65"/>
      <c r="CJ1373" s="65"/>
      <c r="CK1373" s="65"/>
      <c r="CL1373" s="65"/>
      <c r="CM1373" s="65"/>
      <c r="CN1373" s="65"/>
      <c r="CO1373" s="65"/>
      <c r="CP1373" s="65"/>
      <c r="CQ1373" s="65"/>
      <c r="CR1373" s="65"/>
      <c r="CS1373" s="65"/>
      <c r="CT1373" s="65"/>
      <c r="CU1373" s="65"/>
      <c r="CV1373" s="65"/>
      <c r="CW1373" s="65"/>
      <c r="CX1373" s="65"/>
      <c r="CY1373" s="65"/>
      <c r="CZ1373" s="65"/>
      <c r="DA1373" s="65"/>
      <c r="DB1373" s="65"/>
      <c r="DC1373" s="65"/>
      <c r="DD1373" s="65"/>
      <c r="DE1373" s="65"/>
      <c r="DF1373" s="65"/>
      <c r="DG1373" s="65"/>
      <c r="DH1373" s="65"/>
      <c r="DI1373" s="65"/>
      <c r="DJ1373" s="65"/>
      <c r="DK1373" s="65"/>
      <c r="DL1373" s="65"/>
      <c r="DM1373" s="65"/>
      <c r="DN1373" s="65"/>
      <c r="DO1373" s="65"/>
      <c r="DP1373" s="65"/>
      <c r="DQ1373" s="65"/>
      <c r="DR1373" s="65"/>
      <c r="DS1373" s="65"/>
      <c r="DT1373" s="65"/>
      <c r="DU1373" s="65"/>
      <c r="DV1373" s="65"/>
    </row>
    <row r="1374" spans="1:128" s="20" customFormat="1" ht="13.8">
      <c r="A1374" s="21" t="s">
        <v>375</v>
      </c>
      <c r="B1374" s="49"/>
      <c r="BH1374" s="65"/>
      <c r="BI1374" s="65"/>
      <c r="BJ1374" s="65"/>
      <c r="BK1374" s="65"/>
      <c r="BL1374" s="65"/>
      <c r="BM1374" s="65"/>
      <c r="BN1374" s="65"/>
      <c r="BO1374" s="65"/>
      <c r="BP1374" s="65"/>
      <c r="BQ1374" s="65"/>
      <c r="BR1374" s="65"/>
      <c r="BS1374" s="65"/>
      <c r="BT1374" s="65"/>
      <c r="BU1374" s="65"/>
      <c r="BV1374" s="65"/>
      <c r="BW1374" s="65"/>
      <c r="BX1374" s="65"/>
      <c r="BY1374" s="65"/>
      <c r="BZ1374" s="65"/>
      <c r="CA1374" s="65"/>
      <c r="CB1374" s="65"/>
      <c r="CC1374" s="65"/>
      <c r="CD1374" s="65"/>
      <c r="CE1374" s="65"/>
      <c r="CF1374" s="65"/>
      <c r="CG1374" s="65"/>
      <c r="CH1374" s="65"/>
      <c r="CI1374" s="65"/>
      <c r="CJ1374" s="65"/>
      <c r="CK1374" s="65"/>
      <c r="CL1374" s="65"/>
      <c r="CM1374" s="65"/>
      <c r="CN1374" s="65"/>
      <c r="CO1374" s="65"/>
      <c r="CP1374" s="65"/>
      <c r="CQ1374" s="65"/>
      <c r="CS1374" s="65"/>
      <c r="CT1374" s="65"/>
      <c r="CU1374" s="65"/>
      <c r="CW1374" s="65"/>
      <c r="CX1374" s="65"/>
      <c r="DA1374" s="65"/>
      <c r="DB1374" s="65"/>
      <c r="DE1374" s="65"/>
      <c r="DF1374" s="65"/>
      <c r="DG1374" s="65"/>
      <c r="DI1374" s="65"/>
      <c r="DJ1374" s="65"/>
      <c r="DK1374" s="65"/>
      <c r="DM1374" s="65"/>
      <c r="DN1374" s="65"/>
      <c r="DO1374" s="65"/>
      <c r="DQ1374" s="65"/>
      <c r="DR1374" s="65"/>
      <c r="DS1374" s="65"/>
      <c r="DT1374" s="65"/>
      <c r="DU1374" s="65"/>
      <c r="DV1374" s="65"/>
    </row>
    <row r="1375" spans="1:128" s="20" customFormat="1" ht="13.8">
      <c r="A1375" s="20" t="s">
        <v>189</v>
      </c>
      <c r="B1375" s="49"/>
      <c r="BH1375" s="67">
        <v>1080</v>
      </c>
      <c r="BI1375" s="67">
        <v>1081</v>
      </c>
      <c r="BJ1375" s="65">
        <f t="shared" ref="BJ1375:BJ1389" si="1941">BI1375</f>
        <v>1081</v>
      </c>
      <c r="BK1375" s="65"/>
      <c r="BL1375" s="67">
        <v>454</v>
      </c>
      <c r="BM1375" s="67">
        <v>0</v>
      </c>
      <c r="BN1375" s="65">
        <f t="shared" ref="BN1375:BN1389" si="1942">BM1375</f>
        <v>0</v>
      </c>
      <c r="BO1375" s="65"/>
      <c r="BP1375" s="67">
        <v>0</v>
      </c>
      <c r="BQ1375" s="67">
        <v>0</v>
      </c>
      <c r="BR1375" s="65">
        <f t="shared" ref="BR1375:BR1389" si="1943">BQ1375</f>
        <v>0</v>
      </c>
      <c r="BS1375" s="65"/>
      <c r="BT1375" s="67">
        <v>0</v>
      </c>
      <c r="BU1375" s="67">
        <v>0</v>
      </c>
      <c r="BV1375" s="65">
        <f t="shared" ref="BV1375:BV1380" si="1944">BU1375</f>
        <v>0</v>
      </c>
      <c r="BW1375" s="65"/>
      <c r="BX1375" s="67">
        <v>0</v>
      </c>
      <c r="BY1375" s="67">
        <v>0</v>
      </c>
      <c r="BZ1375" s="65">
        <f t="shared" ref="BZ1375:BZ1380" si="1945">BY1375</f>
        <v>0</v>
      </c>
      <c r="CA1375" s="65"/>
      <c r="CB1375" s="67">
        <v>0</v>
      </c>
      <c r="CC1375" s="67">
        <v>0</v>
      </c>
      <c r="CD1375" s="65">
        <f t="shared" ref="CD1375:CD1380" si="1946">CC1375</f>
        <v>0</v>
      </c>
      <c r="CE1375" s="65"/>
      <c r="CF1375" s="67">
        <v>0</v>
      </c>
      <c r="CG1375" s="67">
        <v>0</v>
      </c>
      <c r="CH1375" s="65">
        <f t="shared" ref="CH1375:CH1380" si="1947">CG1375</f>
        <v>0</v>
      </c>
      <c r="CI1375" s="65"/>
      <c r="CJ1375" s="67">
        <v>0</v>
      </c>
      <c r="CK1375" s="67">
        <v>0</v>
      </c>
      <c r="CL1375" s="65">
        <f t="shared" ref="CL1375:CL1380" si="1948">CK1375</f>
        <v>0</v>
      </c>
      <c r="CM1375" s="65"/>
      <c r="CN1375" s="67">
        <v>0</v>
      </c>
      <c r="CO1375" s="67">
        <v>0</v>
      </c>
      <c r="CP1375" s="65">
        <f t="shared" ref="CP1375:CP1389" si="1949">CO1375</f>
        <v>0</v>
      </c>
      <c r="CQ1375" s="65"/>
      <c r="CR1375" s="67">
        <v>0</v>
      </c>
      <c r="CS1375" s="67">
        <v>0</v>
      </c>
      <c r="CT1375" s="65">
        <f t="shared" ref="CT1375:CT1381" si="1950">CS1375</f>
        <v>0</v>
      </c>
      <c r="CU1375" s="65"/>
      <c r="CV1375" s="67">
        <v>0</v>
      </c>
      <c r="CW1375" s="67">
        <v>0</v>
      </c>
      <c r="CX1375" s="65">
        <f t="shared" ref="CX1375:CX1381" si="1951">CW1375</f>
        <v>0</v>
      </c>
      <c r="CY1375" s="65"/>
      <c r="CZ1375" s="67">
        <v>0</v>
      </c>
      <c r="DA1375" s="67">
        <v>0</v>
      </c>
      <c r="DB1375" s="65">
        <f t="shared" ref="DB1375:DB1381" si="1952">DA1375</f>
        <v>0</v>
      </c>
      <c r="DC1375" s="65"/>
      <c r="DD1375" s="67">
        <v>0</v>
      </c>
      <c r="DE1375" s="67">
        <v>0</v>
      </c>
      <c r="DF1375" s="65">
        <f t="shared" ref="DF1375:DF1381" si="1953">DE1375</f>
        <v>0</v>
      </c>
      <c r="DG1375" s="65"/>
      <c r="DH1375" s="65">
        <f t="shared" ref="DH1375:DH1387" si="1954">DE1375</f>
        <v>0</v>
      </c>
      <c r="DI1375" s="65">
        <f t="shared" ref="DI1375:DI1389" si="1955">DH1375</f>
        <v>0</v>
      </c>
      <c r="DJ1375" s="65">
        <f t="shared" ref="DJ1375:DJ1389" si="1956">DI1375</f>
        <v>0</v>
      </c>
      <c r="DK1375" s="65"/>
      <c r="DL1375" s="65">
        <f t="shared" ref="DL1375:DL1388" si="1957">DI1375</f>
        <v>0</v>
      </c>
      <c r="DM1375" s="65">
        <f t="shared" ref="DM1375:DM1389" si="1958">DL1375</f>
        <v>0</v>
      </c>
      <c r="DN1375" s="65">
        <f t="shared" ref="DN1375:DN1389" si="1959">DM1375</f>
        <v>0</v>
      </c>
      <c r="DO1375" s="65"/>
      <c r="DP1375" s="65">
        <f t="shared" ref="DP1375:DP1388" si="1960">DM1375</f>
        <v>0</v>
      </c>
      <c r="DQ1375" s="65">
        <f t="shared" ref="DQ1375:DQ1389" si="1961">DP1375</f>
        <v>0</v>
      </c>
      <c r="DR1375" s="65">
        <f t="shared" ref="DR1375:DR1389" si="1962">DQ1375</f>
        <v>0</v>
      </c>
      <c r="DS1375" s="65"/>
      <c r="DT1375" s="65"/>
      <c r="DU1375" s="65"/>
      <c r="DV1375" s="65"/>
    </row>
    <row r="1376" spans="1:128" s="20" customFormat="1" ht="13.8">
      <c r="A1376" s="20" t="s">
        <v>190</v>
      </c>
      <c r="B1376" s="49"/>
      <c r="BH1376" s="67">
        <v>1961</v>
      </c>
      <c r="BI1376" s="67">
        <v>1963</v>
      </c>
      <c r="BJ1376" s="65">
        <f t="shared" si="1941"/>
        <v>1963</v>
      </c>
      <c r="BK1376" s="65"/>
      <c r="BL1376" s="67">
        <v>1965</v>
      </c>
      <c r="BM1376" s="67">
        <v>1967</v>
      </c>
      <c r="BN1376" s="65">
        <f t="shared" si="1942"/>
        <v>1967</v>
      </c>
      <c r="BO1376" s="65"/>
      <c r="BP1376" s="67">
        <v>1969</v>
      </c>
      <c r="BQ1376" s="67">
        <v>1969</v>
      </c>
      <c r="BR1376" s="65">
        <f t="shared" si="1943"/>
        <v>1969</v>
      </c>
      <c r="BS1376" s="65"/>
      <c r="BT1376" s="67">
        <v>1969</v>
      </c>
      <c r="BU1376" s="67">
        <v>1068</v>
      </c>
      <c r="BV1376" s="65">
        <f t="shared" si="1944"/>
        <v>1068</v>
      </c>
      <c r="BW1376" s="65"/>
      <c r="BX1376" s="67">
        <v>0</v>
      </c>
      <c r="BY1376" s="67">
        <v>0</v>
      </c>
      <c r="BZ1376" s="65">
        <f t="shared" si="1945"/>
        <v>0</v>
      </c>
      <c r="CA1376" s="65"/>
      <c r="CB1376" s="67">
        <v>0</v>
      </c>
      <c r="CC1376" s="67">
        <v>0</v>
      </c>
      <c r="CD1376" s="65">
        <f t="shared" si="1946"/>
        <v>0</v>
      </c>
      <c r="CE1376" s="65"/>
      <c r="CF1376" s="67">
        <v>0</v>
      </c>
      <c r="CG1376" s="67">
        <v>0</v>
      </c>
      <c r="CH1376" s="65">
        <f t="shared" si="1947"/>
        <v>0</v>
      </c>
      <c r="CI1376" s="65"/>
      <c r="CJ1376" s="67">
        <v>0</v>
      </c>
      <c r="CK1376" s="67">
        <v>0</v>
      </c>
      <c r="CL1376" s="65">
        <f t="shared" si="1948"/>
        <v>0</v>
      </c>
      <c r="CM1376" s="65"/>
      <c r="CN1376" s="67">
        <v>0</v>
      </c>
      <c r="CO1376" s="67">
        <v>0</v>
      </c>
      <c r="CP1376" s="65">
        <f t="shared" si="1949"/>
        <v>0</v>
      </c>
      <c r="CQ1376"/>
      <c r="CR1376" s="67">
        <v>0</v>
      </c>
      <c r="CS1376" s="67">
        <v>0</v>
      </c>
      <c r="CT1376" s="65">
        <f t="shared" si="1950"/>
        <v>0</v>
      </c>
      <c r="CU1376" s="65"/>
      <c r="CV1376" s="67">
        <v>0</v>
      </c>
      <c r="CW1376" s="67">
        <v>0</v>
      </c>
      <c r="CX1376" s="65">
        <f t="shared" si="1951"/>
        <v>0</v>
      </c>
      <c r="CY1376" s="65"/>
      <c r="CZ1376" s="67">
        <v>0</v>
      </c>
      <c r="DA1376" s="67">
        <v>0</v>
      </c>
      <c r="DB1376" s="65">
        <f t="shared" si="1952"/>
        <v>0</v>
      </c>
      <c r="DC1376" s="65"/>
      <c r="DD1376" s="67">
        <v>0</v>
      </c>
      <c r="DE1376" s="67">
        <v>0</v>
      </c>
      <c r="DF1376" s="65">
        <f t="shared" si="1953"/>
        <v>0</v>
      </c>
      <c r="DG1376" s="65"/>
      <c r="DH1376" s="65">
        <f t="shared" si="1954"/>
        <v>0</v>
      </c>
      <c r="DI1376" s="65">
        <f t="shared" si="1955"/>
        <v>0</v>
      </c>
      <c r="DJ1376" s="65">
        <f t="shared" si="1956"/>
        <v>0</v>
      </c>
      <c r="DK1376" s="65"/>
      <c r="DL1376" s="65">
        <f t="shared" si="1957"/>
        <v>0</v>
      </c>
      <c r="DM1376" s="65">
        <f t="shared" si="1958"/>
        <v>0</v>
      </c>
      <c r="DN1376" s="65">
        <f t="shared" si="1959"/>
        <v>0</v>
      </c>
      <c r="DO1376" s="65"/>
      <c r="DP1376" s="65">
        <f t="shared" si="1960"/>
        <v>0</v>
      </c>
      <c r="DQ1376" s="65">
        <f t="shared" si="1961"/>
        <v>0</v>
      </c>
      <c r="DR1376" s="65">
        <f t="shared" si="1962"/>
        <v>0</v>
      </c>
      <c r="DS1376" s="65"/>
      <c r="DT1376" s="65"/>
      <c r="DU1376" s="65"/>
      <c r="DV1376" s="65"/>
    </row>
    <row r="1377" spans="1:128" s="20" customFormat="1" ht="13.8">
      <c r="A1377" s="20" t="s">
        <v>191</v>
      </c>
      <c r="B1377" s="49"/>
      <c r="BH1377" s="67">
        <v>1327</v>
      </c>
      <c r="BI1377" s="67">
        <v>1329</v>
      </c>
      <c r="BJ1377" s="65">
        <f t="shared" si="1941"/>
        <v>1329</v>
      </c>
      <c r="BK1377" s="65"/>
      <c r="BL1377" s="67">
        <v>1331</v>
      </c>
      <c r="BM1377" s="67">
        <v>1333</v>
      </c>
      <c r="BN1377" s="65">
        <f t="shared" si="1942"/>
        <v>1333</v>
      </c>
      <c r="BO1377" s="65"/>
      <c r="BP1377" s="67">
        <v>1335</v>
      </c>
      <c r="BQ1377" s="67">
        <v>1336</v>
      </c>
      <c r="BR1377" s="65">
        <f t="shared" si="1943"/>
        <v>1336</v>
      </c>
      <c r="BS1377" s="65"/>
      <c r="BT1377" s="67">
        <v>1338</v>
      </c>
      <c r="BU1377" s="67">
        <v>1340</v>
      </c>
      <c r="BV1377" s="65">
        <f t="shared" si="1944"/>
        <v>1340</v>
      </c>
      <c r="BW1377" s="65"/>
      <c r="BX1377" s="67">
        <v>1340</v>
      </c>
      <c r="BY1377" s="67">
        <v>573</v>
      </c>
      <c r="BZ1377" s="65">
        <f t="shared" si="1945"/>
        <v>573</v>
      </c>
      <c r="CA1377" s="65"/>
      <c r="CB1377" s="67">
        <v>0</v>
      </c>
      <c r="CC1377" s="67">
        <v>0</v>
      </c>
      <c r="CD1377" s="65">
        <f t="shared" si="1946"/>
        <v>0</v>
      </c>
      <c r="CE1377" s="65"/>
      <c r="CF1377" s="67">
        <v>0</v>
      </c>
      <c r="CG1377" s="67">
        <v>0</v>
      </c>
      <c r="CH1377" s="65">
        <f t="shared" si="1947"/>
        <v>0</v>
      </c>
      <c r="CI1377" s="65"/>
      <c r="CJ1377" s="67">
        <v>0</v>
      </c>
      <c r="CK1377" s="67">
        <v>0</v>
      </c>
      <c r="CL1377" s="65">
        <f t="shared" si="1948"/>
        <v>0</v>
      </c>
      <c r="CM1377" s="65"/>
      <c r="CN1377" s="67">
        <v>0</v>
      </c>
      <c r="CO1377" s="67">
        <v>0</v>
      </c>
      <c r="CP1377" s="65">
        <f t="shared" si="1949"/>
        <v>0</v>
      </c>
      <c r="CQ1377"/>
      <c r="CR1377" s="67">
        <v>0</v>
      </c>
      <c r="CS1377" s="67">
        <v>0</v>
      </c>
      <c r="CT1377" s="65">
        <f t="shared" si="1950"/>
        <v>0</v>
      </c>
      <c r="CU1377" s="65"/>
      <c r="CV1377" s="67">
        <v>0</v>
      </c>
      <c r="CW1377" s="67">
        <v>0</v>
      </c>
      <c r="CX1377" s="65">
        <f t="shared" si="1951"/>
        <v>0</v>
      </c>
      <c r="CY1377" s="65"/>
      <c r="CZ1377" s="67">
        <v>0</v>
      </c>
      <c r="DA1377" s="67">
        <v>0</v>
      </c>
      <c r="DB1377" s="65">
        <f t="shared" si="1952"/>
        <v>0</v>
      </c>
      <c r="DC1377" s="65"/>
      <c r="DD1377" s="67">
        <v>0</v>
      </c>
      <c r="DE1377" s="67">
        <v>0</v>
      </c>
      <c r="DF1377" s="65">
        <f t="shared" si="1953"/>
        <v>0</v>
      </c>
      <c r="DG1377" s="65"/>
      <c r="DH1377" s="65">
        <f t="shared" si="1954"/>
        <v>0</v>
      </c>
      <c r="DI1377" s="65">
        <f t="shared" si="1955"/>
        <v>0</v>
      </c>
      <c r="DJ1377" s="65">
        <f t="shared" si="1956"/>
        <v>0</v>
      </c>
      <c r="DK1377" s="65"/>
      <c r="DL1377" s="65">
        <f t="shared" si="1957"/>
        <v>0</v>
      </c>
      <c r="DM1377" s="65">
        <f t="shared" si="1958"/>
        <v>0</v>
      </c>
      <c r="DN1377" s="65">
        <f t="shared" si="1959"/>
        <v>0</v>
      </c>
      <c r="DO1377" s="65"/>
      <c r="DP1377" s="65">
        <f t="shared" si="1960"/>
        <v>0</v>
      </c>
      <c r="DQ1377" s="65">
        <f t="shared" si="1961"/>
        <v>0</v>
      </c>
      <c r="DR1377" s="65">
        <f t="shared" si="1962"/>
        <v>0</v>
      </c>
      <c r="DS1377" s="65"/>
      <c r="DT1377" s="65"/>
      <c r="DU1377" s="65"/>
      <c r="DV1377" s="65"/>
    </row>
    <row r="1378" spans="1:128" s="20" customFormat="1" ht="13.8">
      <c r="A1378" s="20" t="s">
        <v>192</v>
      </c>
      <c r="B1378" s="49"/>
      <c r="BH1378" s="67">
        <v>0</v>
      </c>
      <c r="BI1378" s="67">
        <v>1106</v>
      </c>
      <c r="BJ1378" s="65">
        <f t="shared" si="1941"/>
        <v>1106</v>
      </c>
      <c r="BK1378" s="65"/>
      <c r="BL1378" s="67">
        <v>1107</v>
      </c>
      <c r="BM1378" s="67">
        <v>1109</v>
      </c>
      <c r="BN1378" s="65">
        <f t="shared" si="1942"/>
        <v>1109</v>
      </c>
      <c r="BO1378" s="65"/>
      <c r="BP1378" s="67">
        <v>1110</v>
      </c>
      <c r="BQ1378" s="67">
        <v>1112</v>
      </c>
      <c r="BR1378" s="65">
        <f t="shared" si="1943"/>
        <v>1112</v>
      </c>
      <c r="BS1378" s="65"/>
      <c r="BT1378" s="67">
        <v>1113</v>
      </c>
      <c r="BU1378" s="67">
        <v>1115</v>
      </c>
      <c r="BV1378" s="65">
        <f t="shared" si="1944"/>
        <v>1115</v>
      </c>
      <c r="BW1378" s="65"/>
      <c r="BX1378" s="67">
        <v>1116</v>
      </c>
      <c r="BY1378" s="67">
        <v>1116</v>
      </c>
      <c r="BZ1378" s="65">
        <f t="shared" si="1945"/>
        <v>1116</v>
      </c>
      <c r="CA1378" s="65"/>
      <c r="CB1378" s="67">
        <v>1117</v>
      </c>
      <c r="CC1378" s="67">
        <v>1117</v>
      </c>
      <c r="CD1378" s="65">
        <f t="shared" si="1946"/>
        <v>1117</v>
      </c>
      <c r="CE1378" s="65"/>
      <c r="CF1378" s="67">
        <v>1118</v>
      </c>
      <c r="CG1378" s="67">
        <v>1118</v>
      </c>
      <c r="CH1378" s="65">
        <f t="shared" si="1947"/>
        <v>1118</v>
      </c>
      <c r="CI1378" s="65"/>
      <c r="CJ1378" s="67">
        <v>1119</v>
      </c>
      <c r="CK1378" s="67">
        <v>1119</v>
      </c>
      <c r="CL1378" s="65">
        <f t="shared" si="1948"/>
        <v>1119</v>
      </c>
      <c r="CM1378" s="65"/>
      <c r="CN1378" s="67">
        <v>1120</v>
      </c>
      <c r="CO1378" s="573">
        <v>0</v>
      </c>
      <c r="CP1378" s="65">
        <f t="shared" si="1949"/>
        <v>0</v>
      </c>
      <c r="CQ1378"/>
      <c r="CR1378" s="67">
        <v>0</v>
      </c>
      <c r="CS1378" s="573">
        <v>0</v>
      </c>
      <c r="CT1378" s="65">
        <f t="shared" si="1950"/>
        <v>0</v>
      </c>
      <c r="CU1378" s="65"/>
      <c r="CV1378" s="573">
        <v>0</v>
      </c>
      <c r="CW1378" s="573">
        <v>0</v>
      </c>
      <c r="CX1378" s="65">
        <f t="shared" si="1951"/>
        <v>0</v>
      </c>
      <c r="CY1378" s="65"/>
      <c r="CZ1378" s="573">
        <v>0</v>
      </c>
      <c r="DA1378" s="573">
        <v>0</v>
      </c>
      <c r="DB1378" s="65">
        <f t="shared" si="1952"/>
        <v>0</v>
      </c>
      <c r="DC1378" s="65"/>
      <c r="DD1378" s="573">
        <v>0</v>
      </c>
      <c r="DE1378" s="573">
        <v>0</v>
      </c>
      <c r="DF1378" s="65">
        <f t="shared" si="1953"/>
        <v>0</v>
      </c>
      <c r="DG1378" s="65"/>
      <c r="DH1378" s="65">
        <f t="shared" si="1954"/>
        <v>0</v>
      </c>
      <c r="DI1378" s="65">
        <f t="shared" si="1955"/>
        <v>0</v>
      </c>
      <c r="DJ1378" s="65">
        <f t="shared" si="1956"/>
        <v>0</v>
      </c>
      <c r="DK1378" s="65"/>
      <c r="DL1378" s="65">
        <f t="shared" si="1957"/>
        <v>0</v>
      </c>
      <c r="DM1378" s="65">
        <f t="shared" si="1958"/>
        <v>0</v>
      </c>
      <c r="DN1378" s="65">
        <f t="shared" si="1959"/>
        <v>0</v>
      </c>
      <c r="DO1378" s="65"/>
      <c r="DP1378" s="65">
        <f t="shared" si="1960"/>
        <v>0</v>
      </c>
      <c r="DQ1378" s="65">
        <f t="shared" si="1961"/>
        <v>0</v>
      </c>
      <c r="DR1378" s="65">
        <f t="shared" si="1962"/>
        <v>0</v>
      </c>
      <c r="DS1378" s="65"/>
      <c r="DT1378" s="65"/>
      <c r="DU1378" s="65"/>
      <c r="DV1378" s="65"/>
    </row>
    <row r="1379" spans="1:128" s="20" customFormat="1" ht="13.8">
      <c r="A1379" s="20" t="s">
        <v>193</v>
      </c>
      <c r="B1379" s="49"/>
      <c r="BH1379" s="67">
        <v>0</v>
      </c>
      <c r="BI1379" s="67">
        <v>0</v>
      </c>
      <c r="BJ1379" s="65">
        <f t="shared" si="1941"/>
        <v>0</v>
      </c>
      <c r="BK1379" s="65"/>
      <c r="BL1379" s="67">
        <v>1593</v>
      </c>
      <c r="BM1379" s="67">
        <v>1595</v>
      </c>
      <c r="BN1379" s="65">
        <f t="shared" si="1942"/>
        <v>1595</v>
      </c>
      <c r="BO1379" s="65"/>
      <c r="BP1379" s="67">
        <v>1597</v>
      </c>
      <c r="BQ1379" s="67">
        <v>1598</v>
      </c>
      <c r="BR1379" s="65">
        <f t="shared" si="1943"/>
        <v>1598</v>
      </c>
      <c r="BS1379" s="65"/>
      <c r="BT1379" s="67">
        <v>1600</v>
      </c>
      <c r="BU1379" s="67">
        <v>1602</v>
      </c>
      <c r="BV1379" s="65">
        <f t="shared" si="1944"/>
        <v>1602</v>
      </c>
      <c r="BW1379" s="65"/>
      <c r="BX1379" s="67">
        <v>1603</v>
      </c>
      <c r="BY1379" s="67">
        <v>1604</v>
      </c>
      <c r="BZ1379" s="65">
        <f t="shared" si="1945"/>
        <v>1604</v>
      </c>
      <c r="CA1379" s="65"/>
      <c r="CB1379" s="67">
        <v>1604</v>
      </c>
      <c r="CC1379" s="67">
        <v>1605</v>
      </c>
      <c r="CD1379" s="65">
        <f t="shared" si="1946"/>
        <v>1605</v>
      </c>
      <c r="CE1379" s="65"/>
      <c r="CF1379" s="67">
        <v>1606</v>
      </c>
      <c r="CG1379" s="67">
        <v>1607</v>
      </c>
      <c r="CH1379" s="65">
        <f t="shared" si="1947"/>
        <v>1607</v>
      </c>
      <c r="CI1379" s="65"/>
      <c r="CJ1379" s="67">
        <v>1607</v>
      </c>
      <c r="CK1379" s="67">
        <v>1608</v>
      </c>
      <c r="CL1379" s="65">
        <f t="shared" si="1948"/>
        <v>1608</v>
      </c>
      <c r="CM1379" s="65"/>
      <c r="CN1379" s="67">
        <v>1609</v>
      </c>
      <c r="CO1379" s="67">
        <v>1609</v>
      </c>
      <c r="CP1379" s="65">
        <f t="shared" si="1949"/>
        <v>1609</v>
      </c>
      <c r="CQ1379"/>
      <c r="CR1379" s="67">
        <v>0</v>
      </c>
      <c r="CS1379" s="67">
        <v>0</v>
      </c>
      <c r="CT1379" s="65">
        <f t="shared" si="1950"/>
        <v>0</v>
      </c>
      <c r="CU1379" s="65"/>
      <c r="CV1379" s="67">
        <v>0</v>
      </c>
      <c r="CW1379" s="67">
        <v>0</v>
      </c>
      <c r="CX1379" s="65">
        <f t="shared" si="1951"/>
        <v>0</v>
      </c>
      <c r="CY1379" s="65"/>
      <c r="CZ1379" s="67">
        <v>0</v>
      </c>
      <c r="DA1379" s="67">
        <v>0</v>
      </c>
      <c r="DB1379" s="65">
        <f t="shared" si="1952"/>
        <v>0</v>
      </c>
      <c r="DC1379" s="65"/>
      <c r="DD1379" s="67">
        <v>0</v>
      </c>
      <c r="DE1379" s="67">
        <v>0</v>
      </c>
      <c r="DF1379" s="65">
        <f t="shared" si="1953"/>
        <v>0</v>
      </c>
      <c r="DG1379" s="65"/>
      <c r="DH1379" s="65">
        <f t="shared" si="1954"/>
        <v>0</v>
      </c>
      <c r="DI1379" s="65">
        <f t="shared" si="1955"/>
        <v>0</v>
      </c>
      <c r="DJ1379" s="65">
        <f t="shared" si="1956"/>
        <v>0</v>
      </c>
      <c r="DK1379" s="65"/>
      <c r="DL1379" s="65">
        <f t="shared" si="1957"/>
        <v>0</v>
      </c>
      <c r="DM1379" s="65">
        <f t="shared" si="1958"/>
        <v>0</v>
      </c>
      <c r="DN1379" s="65">
        <f t="shared" si="1959"/>
        <v>0</v>
      </c>
      <c r="DO1379" s="65"/>
      <c r="DP1379" s="65">
        <f t="shared" si="1960"/>
        <v>0</v>
      </c>
      <c r="DQ1379" s="65">
        <f t="shared" si="1961"/>
        <v>0</v>
      </c>
      <c r="DR1379" s="65">
        <f t="shared" si="1962"/>
        <v>0</v>
      </c>
      <c r="DS1379" s="65"/>
      <c r="DT1379" s="65"/>
      <c r="DU1379" s="65"/>
      <c r="DV1379" s="65"/>
    </row>
    <row r="1380" spans="1:128" s="20" customFormat="1" ht="13.8">
      <c r="A1380" s="20" t="s">
        <v>13</v>
      </c>
      <c r="B1380" s="49"/>
      <c r="BH1380" s="67">
        <v>0</v>
      </c>
      <c r="BI1380" s="67">
        <v>0</v>
      </c>
      <c r="BJ1380" s="65">
        <f>BI1380</f>
        <v>0</v>
      </c>
      <c r="BK1380" s="65"/>
      <c r="BL1380" s="67">
        <v>0</v>
      </c>
      <c r="BM1380" s="67">
        <v>0</v>
      </c>
      <c r="BN1380" s="65">
        <f>BM1380</f>
        <v>0</v>
      </c>
      <c r="BO1380" s="65"/>
      <c r="BP1380" s="67">
        <v>958</v>
      </c>
      <c r="BQ1380" s="67">
        <v>959</v>
      </c>
      <c r="BR1380" s="65">
        <f t="shared" si="1943"/>
        <v>959</v>
      </c>
      <c r="BS1380" s="65"/>
      <c r="BT1380" s="67">
        <v>961</v>
      </c>
      <c r="BU1380" s="67">
        <v>962</v>
      </c>
      <c r="BV1380" s="65">
        <f t="shared" si="1944"/>
        <v>962</v>
      </c>
      <c r="BW1380" s="65"/>
      <c r="BX1380" s="67">
        <v>962</v>
      </c>
      <c r="BY1380" s="67">
        <v>963</v>
      </c>
      <c r="BZ1380" s="65">
        <f t="shared" si="1945"/>
        <v>963</v>
      </c>
      <c r="CA1380" s="65"/>
      <c r="CB1380" s="67">
        <v>961</v>
      </c>
      <c r="CC1380" s="67">
        <v>965</v>
      </c>
      <c r="CD1380" s="65">
        <f t="shared" si="1946"/>
        <v>965</v>
      </c>
      <c r="CE1380" s="65"/>
      <c r="CF1380" s="67">
        <v>965</v>
      </c>
      <c r="CG1380" s="67">
        <v>966</v>
      </c>
      <c r="CH1380" s="65">
        <f t="shared" si="1947"/>
        <v>966</v>
      </c>
      <c r="CI1380" s="65"/>
      <c r="CJ1380" s="67">
        <v>966</v>
      </c>
      <c r="CK1380" s="67">
        <v>967</v>
      </c>
      <c r="CL1380" s="65">
        <f t="shared" si="1948"/>
        <v>967</v>
      </c>
      <c r="CM1380" s="65"/>
      <c r="CN1380" s="67">
        <v>968</v>
      </c>
      <c r="CO1380" s="67">
        <v>968</v>
      </c>
      <c r="CP1380" s="65">
        <f t="shared" si="1949"/>
        <v>968</v>
      </c>
      <c r="CQ1380"/>
      <c r="CR1380" s="67">
        <v>969</v>
      </c>
      <c r="CS1380" s="67">
        <v>970</v>
      </c>
      <c r="CT1380" s="65">
        <f t="shared" si="1950"/>
        <v>970</v>
      </c>
      <c r="CU1380" s="65"/>
      <c r="CV1380" s="67">
        <v>0</v>
      </c>
      <c r="CW1380" s="67">
        <v>0</v>
      </c>
      <c r="CX1380" s="65">
        <f t="shared" si="1951"/>
        <v>0</v>
      </c>
      <c r="CY1380" s="65"/>
      <c r="CZ1380" s="67">
        <v>0</v>
      </c>
      <c r="DA1380" s="67">
        <v>0</v>
      </c>
      <c r="DB1380" s="65">
        <f t="shared" si="1952"/>
        <v>0</v>
      </c>
      <c r="DC1380" s="65"/>
      <c r="DD1380" s="67">
        <v>0</v>
      </c>
      <c r="DE1380" s="67">
        <v>0</v>
      </c>
      <c r="DF1380" s="65">
        <f t="shared" si="1953"/>
        <v>0</v>
      </c>
      <c r="DG1380" s="65"/>
      <c r="DH1380" s="65">
        <f t="shared" si="1954"/>
        <v>0</v>
      </c>
      <c r="DI1380" s="65">
        <f t="shared" si="1955"/>
        <v>0</v>
      </c>
      <c r="DJ1380" s="65">
        <f t="shared" si="1956"/>
        <v>0</v>
      </c>
      <c r="DK1380" s="65"/>
      <c r="DL1380" s="65">
        <f t="shared" si="1957"/>
        <v>0</v>
      </c>
      <c r="DM1380" s="65">
        <f t="shared" si="1958"/>
        <v>0</v>
      </c>
      <c r="DN1380" s="65">
        <f t="shared" si="1959"/>
        <v>0</v>
      </c>
      <c r="DO1380" s="65"/>
      <c r="DP1380" s="65">
        <f t="shared" si="1960"/>
        <v>0</v>
      </c>
      <c r="DQ1380" s="65">
        <f t="shared" si="1961"/>
        <v>0</v>
      </c>
      <c r="DR1380" s="65">
        <f t="shared" si="1962"/>
        <v>0</v>
      </c>
      <c r="DS1380" s="65"/>
      <c r="DT1380" s="65"/>
      <c r="DU1380" s="65"/>
      <c r="DV1380" s="65"/>
    </row>
    <row r="1381" spans="1:128" s="20" customFormat="1" ht="13.8">
      <c r="A1381" s="20" t="s">
        <v>799</v>
      </c>
      <c r="B1381" s="49"/>
      <c r="BH1381" s="67">
        <v>0</v>
      </c>
      <c r="BI1381" s="67">
        <v>0</v>
      </c>
      <c r="BJ1381" s="65">
        <f>BI1381</f>
        <v>0</v>
      </c>
      <c r="BK1381" s="65"/>
      <c r="BL1381" s="67">
        <v>0</v>
      </c>
      <c r="BM1381" s="67">
        <v>0</v>
      </c>
      <c r="BN1381" s="65">
        <f>BM1381</f>
        <v>0</v>
      </c>
      <c r="BO1381" s="65"/>
      <c r="BP1381" s="67">
        <v>0</v>
      </c>
      <c r="BQ1381" s="67">
        <v>0</v>
      </c>
      <c r="BR1381" s="65">
        <f>BQ1381</f>
        <v>0</v>
      </c>
      <c r="BS1381" s="65"/>
      <c r="BT1381" s="67">
        <v>0</v>
      </c>
      <c r="BU1381" s="67">
        <v>1604</v>
      </c>
      <c r="BV1381" s="65">
        <f>BU1381</f>
        <v>1604</v>
      </c>
      <c r="BW1381" s="65"/>
      <c r="BX1381" s="67">
        <v>1607</v>
      </c>
      <c r="BY1381" s="67">
        <v>1608</v>
      </c>
      <c r="BZ1381" s="65">
        <f>BY1381</f>
        <v>1608</v>
      </c>
      <c r="CA1381" s="65"/>
      <c r="CB1381" s="67">
        <v>1609</v>
      </c>
      <c r="CC1381" s="67">
        <v>1610</v>
      </c>
      <c r="CD1381" s="65">
        <f>CC1381</f>
        <v>1610</v>
      </c>
      <c r="CE1381" s="65"/>
      <c r="CF1381" s="67">
        <v>1611</v>
      </c>
      <c r="CG1381" s="67">
        <v>1612</v>
      </c>
      <c r="CH1381" s="65">
        <f>CG1381</f>
        <v>1612</v>
      </c>
      <c r="CI1381" s="65"/>
      <c r="CJ1381" s="67">
        <v>1613</v>
      </c>
      <c r="CK1381" s="67">
        <v>1614</v>
      </c>
      <c r="CL1381" s="65">
        <f>CK1381</f>
        <v>1614</v>
      </c>
      <c r="CM1381" s="65"/>
      <c r="CN1381" s="67">
        <v>1615</v>
      </c>
      <c r="CO1381" s="67">
        <v>1617</v>
      </c>
      <c r="CP1381" s="65">
        <f t="shared" si="1949"/>
        <v>1617</v>
      </c>
      <c r="CQ1381"/>
      <c r="CR1381" s="67">
        <v>1618</v>
      </c>
      <c r="CS1381" s="67">
        <v>1619</v>
      </c>
      <c r="CT1381" s="65">
        <f t="shared" si="1950"/>
        <v>1619</v>
      </c>
      <c r="CU1381" s="65"/>
      <c r="CV1381" s="67">
        <v>1620</v>
      </c>
      <c r="CW1381" s="67">
        <v>1621</v>
      </c>
      <c r="CX1381" s="65">
        <f t="shared" si="1951"/>
        <v>1621</v>
      </c>
      <c r="CY1381" s="65"/>
      <c r="CZ1381" s="67">
        <v>0</v>
      </c>
      <c r="DA1381" s="67">
        <v>0</v>
      </c>
      <c r="DB1381" s="65">
        <f t="shared" si="1952"/>
        <v>0</v>
      </c>
      <c r="DC1381" s="65"/>
      <c r="DD1381" s="67">
        <v>0</v>
      </c>
      <c r="DE1381" s="67">
        <v>0</v>
      </c>
      <c r="DF1381" s="65">
        <f t="shared" si="1953"/>
        <v>0</v>
      </c>
      <c r="DG1381" s="65"/>
      <c r="DH1381" s="65">
        <f t="shared" si="1954"/>
        <v>0</v>
      </c>
      <c r="DI1381" s="65">
        <f t="shared" si="1955"/>
        <v>0</v>
      </c>
      <c r="DJ1381" s="65">
        <f t="shared" si="1956"/>
        <v>0</v>
      </c>
      <c r="DK1381" s="65"/>
      <c r="DL1381" s="65">
        <f t="shared" si="1957"/>
        <v>0</v>
      </c>
      <c r="DM1381" s="65">
        <f t="shared" si="1958"/>
        <v>0</v>
      </c>
      <c r="DN1381" s="65">
        <f t="shared" si="1959"/>
        <v>0</v>
      </c>
      <c r="DO1381" s="65"/>
      <c r="DP1381" s="65">
        <f t="shared" si="1960"/>
        <v>0</v>
      </c>
      <c r="DQ1381" s="65">
        <f t="shared" si="1961"/>
        <v>0</v>
      </c>
      <c r="DR1381" s="65">
        <f t="shared" si="1962"/>
        <v>0</v>
      </c>
      <c r="DS1381" s="65"/>
      <c r="DT1381" s="65"/>
      <c r="DU1381" s="65"/>
      <c r="DV1381" s="65"/>
    </row>
    <row r="1382" spans="1:128" s="20" customFormat="1" ht="13.8">
      <c r="A1382" s="20" t="s">
        <v>885</v>
      </c>
      <c r="B1382" s="49"/>
      <c r="BH1382" s="67"/>
      <c r="BI1382" s="67"/>
      <c r="BJ1382" s="65"/>
      <c r="BK1382" s="65"/>
      <c r="BL1382" s="67"/>
      <c r="BM1382" s="67"/>
      <c r="BN1382" s="65"/>
      <c r="BO1382" s="65"/>
      <c r="BP1382" s="67"/>
      <c r="BQ1382" s="67"/>
      <c r="BR1382" s="65"/>
      <c r="BS1382" s="65"/>
      <c r="BT1382" s="67"/>
      <c r="BU1382" s="67"/>
      <c r="BV1382" s="65"/>
      <c r="BW1382" s="65"/>
      <c r="BX1382" s="67"/>
      <c r="BY1382" s="67">
        <v>925</v>
      </c>
      <c r="BZ1382" s="65">
        <f>BY1382</f>
        <v>925</v>
      </c>
      <c r="CA1382" s="65"/>
      <c r="CB1382" s="67">
        <v>924</v>
      </c>
      <c r="CC1382" s="67">
        <v>924</v>
      </c>
      <c r="CD1382" s="65">
        <f>CC1382</f>
        <v>924</v>
      </c>
      <c r="CE1382" s="65"/>
      <c r="CF1382" s="67">
        <v>925</v>
      </c>
      <c r="CG1382" s="67">
        <v>925</v>
      </c>
      <c r="CH1382" s="65">
        <f>CG1382</f>
        <v>925</v>
      </c>
      <c r="CI1382" s="65"/>
      <c r="CJ1382" s="67">
        <v>926</v>
      </c>
      <c r="CK1382" s="67">
        <v>926</v>
      </c>
      <c r="CL1382" s="65">
        <f>CK1382</f>
        <v>926</v>
      </c>
      <c r="CM1382" s="65"/>
      <c r="CN1382" s="67">
        <v>927</v>
      </c>
      <c r="CO1382" s="67">
        <v>927</v>
      </c>
      <c r="CP1382" s="65">
        <f>CO1382</f>
        <v>927</v>
      </c>
      <c r="CQ1382"/>
      <c r="CR1382" s="67">
        <v>928</v>
      </c>
      <c r="CS1382" s="67">
        <v>928</v>
      </c>
      <c r="CT1382" s="65">
        <f>CS1382</f>
        <v>928</v>
      </c>
      <c r="CU1382" s="65"/>
      <c r="CV1382" s="67">
        <v>929</v>
      </c>
      <c r="CW1382" s="67">
        <v>929</v>
      </c>
      <c r="CX1382" s="65">
        <f>CW1382</f>
        <v>929</v>
      </c>
      <c r="CY1382" s="65"/>
      <c r="CZ1382" s="67">
        <v>930</v>
      </c>
      <c r="DA1382" s="67">
        <v>931</v>
      </c>
      <c r="DB1382" s="65">
        <f>DA1382</f>
        <v>931</v>
      </c>
      <c r="DC1382" s="65"/>
      <c r="DD1382" s="67">
        <v>0</v>
      </c>
      <c r="DE1382" s="67">
        <v>0</v>
      </c>
      <c r="DF1382" s="65">
        <f>DE1382</f>
        <v>0</v>
      </c>
      <c r="DG1382" s="65"/>
      <c r="DH1382" s="65">
        <f t="shared" si="1954"/>
        <v>0</v>
      </c>
      <c r="DI1382" s="65">
        <f t="shared" si="1955"/>
        <v>0</v>
      </c>
      <c r="DJ1382" s="65">
        <f t="shared" si="1956"/>
        <v>0</v>
      </c>
      <c r="DK1382" s="65"/>
      <c r="DL1382" s="65">
        <f t="shared" si="1957"/>
        <v>0</v>
      </c>
      <c r="DM1382" s="65">
        <f t="shared" si="1958"/>
        <v>0</v>
      </c>
      <c r="DN1382" s="65">
        <f t="shared" si="1959"/>
        <v>0</v>
      </c>
      <c r="DO1382" s="65"/>
      <c r="DP1382" s="65">
        <f t="shared" si="1960"/>
        <v>0</v>
      </c>
      <c r="DQ1382" s="65">
        <f t="shared" si="1961"/>
        <v>0</v>
      </c>
      <c r="DR1382" s="65">
        <f t="shared" si="1962"/>
        <v>0</v>
      </c>
      <c r="DS1382" s="65"/>
      <c r="DT1382" s="65"/>
      <c r="DU1382" s="65"/>
      <c r="DV1382" s="65"/>
    </row>
    <row r="1383" spans="1:128" s="20" customFormat="1" ht="13.8">
      <c r="A1383" s="20" t="s">
        <v>786</v>
      </c>
      <c r="B1383" s="49"/>
      <c r="BH1383" s="67">
        <v>0</v>
      </c>
      <c r="BI1383" s="67">
        <v>0</v>
      </c>
      <c r="BJ1383" s="65">
        <f>BI1383</f>
        <v>0</v>
      </c>
      <c r="BK1383" s="65"/>
      <c r="BL1383" s="67">
        <v>0</v>
      </c>
      <c r="BM1383" s="67">
        <v>0</v>
      </c>
      <c r="BN1383" s="65">
        <f>BM1383</f>
        <v>0</v>
      </c>
      <c r="BO1383" s="65"/>
      <c r="BP1383" s="67">
        <v>0</v>
      </c>
      <c r="BQ1383" s="67">
        <v>0</v>
      </c>
      <c r="BR1383" s="65">
        <f>BQ1383</f>
        <v>0</v>
      </c>
      <c r="BS1383" s="65"/>
      <c r="BT1383" s="67">
        <v>0</v>
      </c>
      <c r="BU1383" s="67">
        <v>1329</v>
      </c>
      <c r="BV1383" s="65">
        <f>BU1383</f>
        <v>1329</v>
      </c>
      <c r="BW1383" s="65"/>
      <c r="BX1383" s="67">
        <v>1218</v>
      </c>
      <c r="BY1383" s="67">
        <v>1206</v>
      </c>
      <c r="BZ1383" s="65">
        <f>BY1383</f>
        <v>1206</v>
      </c>
      <c r="CA1383" s="65"/>
      <c r="CB1383" s="67">
        <v>1188</v>
      </c>
      <c r="CC1383" s="67">
        <v>1240</v>
      </c>
      <c r="CD1383" s="65">
        <f>CC1383</f>
        <v>1240</v>
      </c>
      <c r="CE1383" s="65"/>
      <c r="CF1383" s="67">
        <v>1336</v>
      </c>
      <c r="CG1383" s="67">
        <v>1481</v>
      </c>
      <c r="CH1383" s="65">
        <f>CG1383</f>
        <v>1481</v>
      </c>
      <c r="CI1383" s="65"/>
      <c r="CJ1383" s="67">
        <v>1712</v>
      </c>
      <c r="CK1383" s="67">
        <v>1499</v>
      </c>
      <c r="CL1383" s="65">
        <f>CK1383</f>
        <v>1499</v>
      </c>
      <c r="CM1383" s="65"/>
      <c r="CN1383" s="67">
        <v>1347</v>
      </c>
      <c r="CO1383" s="67">
        <v>1422</v>
      </c>
      <c r="CP1383" s="65">
        <f t="shared" si="1949"/>
        <v>1422</v>
      </c>
      <c r="CQ1383"/>
      <c r="CR1383" s="67">
        <v>1282</v>
      </c>
      <c r="CS1383" s="67">
        <v>1404</v>
      </c>
      <c r="CT1383" s="65">
        <f t="shared" ref="CT1383:CT1386" si="1963">CS1383</f>
        <v>1404</v>
      </c>
      <c r="CU1383" s="65"/>
      <c r="CV1383" s="67">
        <v>1380</v>
      </c>
      <c r="CW1383" s="67">
        <v>1412</v>
      </c>
      <c r="CX1383" s="65">
        <f t="shared" ref="CX1383:CX1387" si="1964">CW1383</f>
        <v>1412</v>
      </c>
      <c r="CY1383" s="65"/>
      <c r="CZ1383" s="67">
        <v>1434</v>
      </c>
      <c r="DA1383" s="67">
        <v>1391</v>
      </c>
      <c r="DB1383" s="65">
        <f t="shared" ref="DB1383:DB1389" si="1965">DA1383</f>
        <v>1391</v>
      </c>
      <c r="DC1383" s="65"/>
      <c r="DD1383" s="67">
        <v>1544</v>
      </c>
      <c r="DE1383" s="67">
        <v>1489</v>
      </c>
      <c r="DF1383" s="65">
        <f t="shared" ref="DF1383:DF1389" si="1966">DE1383</f>
        <v>1489</v>
      </c>
      <c r="DG1383" s="65"/>
      <c r="DH1383" s="65">
        <f t="shared" si="1954"/>
        <v>1489</v>
      </c>
      <c r="DI1383" s="65">
        <f t="shared" si="1955"/>
        <v>1489</v>
      </c>
      <c r="DJ1383" s="65">
        <f t="shared" si="1956"/>
        <v>1489</v>
      </c>
      <c r="DK1383" s="65"/>
      <c r="DL1383" s="65">
        <f t="shared" si="1957"/>
        <v>1489</v>
      </c>
      <c r="DM1383" s="65">
        <f t="shared" si="1958"/>
        <v>1489</v>
      </c>
      <c r="DN1383" s="65">
        <f t="shared" si="1959"/>
        <v>1489</v>
      </c>
      <c r="DO1383" s="65"/>
      <c r="DP1383" s="65">
        <f t="shared" si="1960"/>
        <v>1489</v>
      </c>
      <c r="DQ1383" s="65">
        <f t="shared" si="1961"/>
        <v>1489</v>
      </c>
      <c r="DR1383" s="65">
        <f t="shared" si="1962"/>
        <v>1489</v>
      </c>
      <c r="DS1383" s="65"/>
      <c r="DT1383" s="65"/>
      <c r="DU1383" s="65"/>
      <c r="DV1383" s="65"/>
    </row>
    <row r="1384" spans="1:128" s="20" customFormat="1" ht="13.8">
      <c r="A1384" s="20" t="s">
        <v>536</v>
      </c>
      <c r="B1384" s="49"/>
      <c r="BH1384" s="67">
        <v>0</v>
      </c>
      <c r="BI1384" s="67">
        <v>0</v>
      </c>
      <c r="BJ1384" s="65">
        <f>BI1384</f>
        <v>0</v>
      </c>
      <c r="BK1384" s="65"/>
      <c r="BL1384" s="67">
        <v>0</v>
      </c>
      <c r="BM1384" s="67">
        <v>0</v>
      </c>
      <c r="BN1384" s="65">
        <f>BM1384</f>
        <v>0</v>
      </c>
      <c r="BO1384" s="65"/>
      <c r="BP1384" s="67">
        <v>484</v>
      </c>
      <c r="BQ1384" s="67">
        <v>449</v>
      </c>
      <c r="BR1384" s="65">
        <f t="shared" si="1943"/>
        <v>449</v>
      </c>
      <c r="BS1384" s="65"/>
      <c r="BT1384" s="67">
        <v>446</v>
      </c>
      <c r="BU1384" s="67">
        <v>473</v>
      </c>
      <c r="BV1384" s="65">
        <f>BU1384</f>
        <v>473</v>
      </c>
      <c r="BW1384" s="65"/>
      <c r="BX1384" s="67">
        <v>454</v>
      </c>
      <c r="BY1384" s="67">
        <v>457</v>
      </c>
      <c r="BZ1384" s="65">
        <f>BY1384</f>
        <v>457</v>
      </c>
      <c r="CA1384" s="65"/>
      <c r="CB1384" s="67">
        <v>467</v>
      </c>
      <c r="CC1384" s="67">
        <v>456</v>
      </c>
      <c r="CD1384" s="65">
        <f>CC1384</f>
        <v>456</v>
      </c>
      <c r="CE1384" s="65"/>
      <c r="CF1384" s="67">
        <v>478</v>
      </c>
      <c r="CG1384" s="67">
        <v>462</v>
      </c>
      <c r="CH1384" s="65">
        <f>CG1384</f>
        <v>462</v>
      </c>
      <c r="CI1384" s="65"/>
      <c r="CJ1384" s="67">
        <v>487</v>
      </c>
      <c r="CK1384" s="67">
        <v>463</v>
      </c>
      <c r="CL1384" s="65">
        <f>CK1384</f>
        <v>463</v>
      </c>
      <c r="CM1384" s="65"/>
      <c r="CN1384" s="67">
        <v>459</v>
      </c>
      <c r="CO1384" s="67">
        <v>477</v>
      </c>
      <c r="CP1384" s="65">
        <f t="shared" si="1949"/>
        <v>477</v>
      </c>
      <c r="CQ1384"/>
      <c r="CR1384" s="67">
        <v>0</v>
      </c>
      <c r="CS1384" s="67">
        <v>0</v>
      </c>
      <c r="CT1384" s="65">
        <f t="shared" si="1963"/>
        <v>0</v>
      </c>
      <c r="CU1384" s="65"/>
      <c r="CV1384" s="67">
        <v>0</v>
      </c>
      <c r="CW1384" s="67">
        <v>0</v>
      </c>
      <c r="CX1384" s="65">
        <f t="shared" si="1964"/>
        <v>0</v>
      </c>
      <c r="CY1384" s="65"/>
      <c r="CZ1384" s="67">
        <v>0</v>
      </c>
      <c r="DA1384" s="67">
        <v>0</v>
      </c>
      <c r="DB1384" s="65">
        <f t="shared" si="1965"/>
        <v>0</v>
      </c>
      <c r="DC1384" s="65"/>
      <c r="DD1384" s="67">
        <v>0</v>
      </c>
      <c r="DE1384" s="67">
        <v>0</v>
      </c>
      <c r="DF1384" s="65">
        <f t="shared" si="1966"/>
        <v>0</v>
      </c>
      <c r="DG1384" s="65"/>
      <c r="DH1384" s="65">
        <f t="shared" si="1954"/>
        <v>0</v>
      </c>
      <c r="DI1384" s="65">
        <f t="shared" si="1955"/>
        <v>0</v>
      </c>
      <c r="DJ1384" s="65">
        <f t="shared" si="1956"/>
        <v>0</v>
      </c>
      <c r="DK1384" s="65"/>
      <c r="DL1384" s="65">
        <f t="shared" si="1957"/>
        <v>0</v>
      </c>
      <c r="DM1384" s="65">
        <f t="shared" si="1958"/>
        <v>0</v>
      </c>
      <c r="DN1384" s="65">
        <f t="shared" si="1959"/>
        <v>0</v>
      </c>
      <c r="DO1384" s="65"/>
      <c r="DP1384" s="65">
        <f t="shared" si="1960"/>
        <v>0</v>
      </c>
      <c r="DQ1384" s="65">
        <f t="shared" si="1961"/>
        <v>0</v>
      </c>
      <c r="DR1384" s="65">
        <f t="shared" si="1962"/>
        <v>0</v>
      </c>
      <c r="DS1384" s="65"/>
      <c r="DT1384" s="65"/>
      <c r="DU1384" s="65"/>
      <c r="DV1384" s="65"/>
    </row>
    <row r="1385" spans="1:128" s="20" customFormat="1" ht="13.8">
      <c r="A1385" s="20" t="s">
        <v>1076</v>
      </c>
      <c r="B1385" s="49"/>
      <c r="BH1385" s="67"/>
      <c r="BI1385" s="67"/>
      <c r="BJ1385" s="65"/>
      <c r="BK1385" s="65"/>
      <c r="BL1385" s="67"/>
      <c r="BM1385" s="67"/>
      <c r="BN1385" s="65"/>
      <c r="BO1385" s="65"/>
      <c r="BP1385" s="67"/>
      <c r="BQ1385" s="67"/>
      <c r="BR1385" s="65"/>
      <c r="BS1385" s="65"/>
      <c r="BT1385" s="67"/>
      <c r="BU1385" s="67"/>
      <c r="BV1385" s="65"/>
      <c r="BW1385" s="65"/>
      <c r="BX1385" s="67"/>
      <c r="BY1385" s="67"/>
      <c r="BZ1385" s="65"/>
      <c r="CA1385" s="65"/>
      <c r="CB1385" s="67"/>
      <c r="CC1385" s="67"/>
      <c r="CD1385" s="65"/>
      <c r="CE1385" s="65"/>
      <c r="CF1385" s="67"/>
      <c r="CG1385" s="67"/>
      <c r="CH1385" s="65"/>
      <c r="CI1385" s="65"/>
      <c r="CJ1385" s="67"/>
      <c r="CK1385" s="67"/>
      <c r="CL1385" s="65"/>
      <c r="CM1385" s="65"/>
      <c r="CN1385" s="67"/>
      <c r="CO1385" s="573">
        <v>1486</v>
      </c>
      <c r="CP1385" s="65">
        <f t="shared" ref="CP1385" si="1967">CO1385</f>
        <v>1486</v>
      </c>
      <c r="CQ1385"/>
      <c r="CR1385" s="67">
        <v>1487</v>
      </c>
      <c r="CS1385" s="573">
        <v>1487</v>
      </c>
      <c r="CT1385" s="65">
        <f t="shared" si="1963"/>
        <v>1487</v>
      </c>
      <c r="CU1385" s="65"/>
      <c r="CV1385" s="573">
        <v>1488</v>
      </c>
      <c r="CW1385" s="573">
        <v>1489</v>
      </c>
      <c r="CX1385" s="65">
        <f t="shared" si="1964"/>
        <v>1489</v>
      </c>
      <c r="CY1385" s="65"/>
      <c r="CZ1385" s="573">
        <v>1490</v>
      </c>
      <c r="DA1385" s="573">
        <v>1490</v>
      </c>
      <c r="DB1385" s="65">
        <f t="shared" si="1965"/>
        <v>1490</v>
      </c>
      <c r="DC1385" s="65"/>
      <c r="DD1385" s="573">
        <v>1491</v>
      </c>
      <c r="DE1385" s="573">
        <v>1492</v>
      </c>
      <c r="DF1385" s="65">
        <f t="shared" si="1966"/>
        <v>1492</v>
      </c>
      <c r="DG1385" s="65"/>
      <c r="DH1385" s="65">
        <f t="shared" si="1954"/>
        <v>1492</v>
      </c>
      <c r="DI1385" s="65">
        <f t="shared" si="1955"/>
        <v>1492</v>
      </c>
      <c r="DJ1385" s="65">
        <f t="shared" si="1956"/>
        <v>1492</v>
      </c>
      <c r="DK1385" s="65"/>
      <c r="DL1385" s="65">
        <f t="shared" si="1957"/>
        <v>1492</v>
      </c>
      <c r="DM1385" s="65">
        <f t="shared" si="1958"/>
        <v>1492</v>
      </c>
      <c r="DN1385" s="65">
        <f t="shared" si="1959"/>
        <v>1492</v>
      </c>
      <c r="DO1385" s="65"/>
      <c r="DP1385" s="65">
        <f t="shared" si="1960"/>
        <v>1492</v>
      </c>
      <c r="DQ1385" s="65">
        <f t="shared" si="1961"/>
        <v>1492</v>
      </c>
      <c r="DR1385" s="65">
        <f t="shared" si="1962"/>
        <v>1492</v>
      </c>
      <c r="DS1385" s="65"/>
      <c r="DT1385" s="65"/>
      <c r="DU1385" s="65"/>
      <c r="DV1385" s="65"/>
    </row>
    <row r="1386" spans="1:128" s="20" customFormat="1" ht="13.8">
      <c r="A1386" s="20" t="s">
        <v>1087</v>
      </c>
      <c r="B1386" s="49"/>
      <c r="BH1386" s="67"/>
      <c r="BI1386" s="67"/>
      <c r="BJ1386" s="65"/>
      <c r="BK1386" s="65"/>
      <c r="BL1386" s="67"/>
      <c r="BM1386" s="67"/>
      <c r="BN1386" s="65"/>
      <c r="BO1386" s="65"/>
      <c r="BP1386" s="67"/>
      <c r="BQ1386" s="67"/>
      <c r="BR1386" s="65"/>
      <c r="BS1386" s="65"/>
      <c r="BT1386" s="67"/>
      <c r="BU1386" s="67"/>
      <c r="BV1386" s="65"/>
      <c r="BW1386" s="65"/>
      <c r="BX1386" s="67"/>
      <c r="BY1386" s="67"/>
      <c r="BZ1386" s="65"/>
      <c r="CA1386" s="65"/>
      <c r="CB1386" s="67"/>
      <c r="CC1386" s="67"/>
      <c r="CD1386" s="65"/>
      <c r="CE1386" s="65"/>
      <c r="CF1386" s="67"/>
      <c r="CG1386" s="67"/>
      <c r="CH1386" s="65"/>
      <c r="CI1386" s="65"/>
      <c r="CJ1386" s="67"/>
      <c r="CK1386" s="67"/>
      <c r="CL1386" s="65"/>
      <c r="CM1386" s="65"/>
      <c r="CN1386" s="67"/>
      <c r="CO1386" s="573"/>
      <c r="CP1386" s="65"/>
      <c r="CQ1386"/>
      <c r="CR1386" s="67">
        <v>1298</v>
      </c>
      <c r="CS1386" s="573">
        <v>1297</v>
      </c>
      <c r="CT1386" s="65">
        <f t="shared" si="1963"/>
        <v>1297</v>
      </c>
      <c r="CU1386" s="65"/>
      <c r="CV1386" s="573">
        <v>1297</v>
      </c>
      <c r="CW1386" s="573">
        <v>1298</v>
      </c>
      <c r="CX1386" s="65">
        <f t="shared" si="1964"/>
        <v>1298</v>
      </c>
      <c r="CY1386" s="65"/>
      <c r="CZ1386" s="573">
        <v>1299</v>
      </c>
      <c r="DA1386" s="573">
        <v>1300</v>
      </c>
      <c r="DB1386" s="65">
        <f t="shared" si="1965"/>
        <v>1300</v>
      </c>
      <c r="DC1386" s="65"/>
      <c r="DD1386" s="573">
        <v>1300</v>
      </c>
      <c r="DE1386" s="573">
        <v>1301</v>
      </c>
      <c r="DF1386" s="65">
        <f t="shared" si="1966"/>
        <v>1301</v>
      </c>
      <c r="DG1386" s="65"/>
      <c r="DH1386" s="65">
        <f t="shared" si="1954"/>
        <v>1301</v>
      </c>
      <c r="DI1386" s="65">
        <f t="shared" si="1955"/>
        <v>1301</v>
      </c>
      <c r="DJ1386" s="65">
        <f t="shared" si="1956"/>
        <v>1301</v>
      </c>
      <c r="DK1386" s="65"/>
      <c r="DL1386" s="65">
        <f t="shared" si="1957"/>
        <v>1301</v>
      </c>
      <c r="DM1386" s="65">
        <f t="shared" si="1958"/>
        <v>1301</v>
      </c>
      <c r="DN1386" s="65">
        <f t="shared" si="1959"/>
        <v>1301</v>
      </c>
      <c r="DO1386" s="65"/>
      <c r="DP1386" s="65">
        <f t="shared" si="1960"/>
        <v>1301</v>
      </c>
      <c r="DQ1386" s="65">
        <f t="shared" si="1961"/>
        <v>1301</v>
      </c>
      <c r="DR1386" s="65">
        <f t="shared" si="1962"/>
        <v>1301</v>
      </c>
      <c r="DS1386" s="65"/>
      <c r="DT1386" s="65"/>
      <c r="DU1386" s="65"/>
      <c r="DV1386" s="65"/>
    </row>
    <row r="1387" spans="1:128" s="20" customFormat="1" ht="13.8">
      <c r="A1387" s="20" t="s">
        <v>1129</v>
      </c>
      <c r="B1387" s="49"/>
      <c r="BH1387" s="67"/>
      <c r="BI1387" s="67"/>
      <c r="BJ1387" s="65"/>
      <c r="BK1387" s="65"/>
      <c r="BL1387" s="67"/>
      <c r="BM1387" s="67"/>
      <c r="BN1387" s="65"/>
      <c r="BO1387" s="65"/>
      <c r="BP1387" s="67"/>
      <c r="BQ1387" s="67"/>
      <c r="BR1387" s="65"/>
      <c r="BS1387" s="65"/>
      <c r="BT1387" s="67"/>
      <c r="BU1387" s="67"/>
      <c r="BV1387" s="65"/>
      <c r="BW1387" s="65"/>
      <c r="BX1387" s="67"/>
      <c r="BY1387" s="67"/>
      <c r="BZ1387" s="65"/>
      <c r="CA1387" s="65"/>
      <c r="CB1387" s="67"/>
      <c r="CC1387" s="67"/>
      <c r="CD1387" s="65"/>
      <c r="CE1387" s="65"/>
      <c r="CF1387" s="67"/>
      <c r="CG1387" s="67"/>
      <c r="CH1387" s="65"/>
      <c r="CI1387" s="65"/>
      <c r="CJ1387" s="67"/>
      <c r="CK1387" s="67"/>
      <c r="CL1387" s="65"/>
      <c r="CM1387" s="65"/>
      <c r="CN1387" s="67"/>
      <c r="CO1387" s="573"/>
      <c r="CP1387" s="65"/>
      <c r="CQ1387"/>
      <c r="CR1387" s="67"/>
      <c r="CS1387" s="573"/>
      <c r="CT1387" s="65"/>
      <c r="CU1387" s="65"/>
      <c r="CV1387" s="573">
        <v>1482</v>
      </c>
      <c r="CW1387" s="573">
        <v>1483</v>
      </c>
      <c r="CX1387" s="65">
        <f t="shared" si="1964"/>
        <v>1483</v>
      </c>
      <c r="CY1387" s="65"/>
      <c r="CZ1387" s="573">
        <v>1484</v>
      </c>
      <c r="DA1387" s="573">
        <v>1485</v>
      </c>
      <c r="DB1387" s="65">
        <f t="shared" si="1965"/>
        <v>1485</v>
      </c>
      <c r="DC1387" s="65"/>
      <c r="DD1387" s="573">
        <v>1486</v>
      </c>
      <c r="DE1387" s="573">
        <v>1487</v>
      </c>
      <c r="DF1387" s="65">
        <f t="shared" si="1966"/>
        <v>1487</v>
      </c>
      <c r="DG1387" s="65"/>
      <c r="DH1387" s="65">
        <f t="shared" si="1954"/>
        <v>1487</v>
      </c>
      <c r="DI1387" s="65">
        <f t="shared" si="1955"/>
        <v>1487</v>
      </c>
      <c r="DJ1387" s="65">
        <f t="shared" si="1956"/>
        <v>1487</v>
      </c>
      <c r="DK1387" s="65"/>
      <c r="DL1387" s="65">
        <f t="shared" si="1957"/>
        <v>1487</v>
      </c>
      <c r="DM1387" s="65">
        <f t="shared" si="1958"/>
        <v>1487</v>
      </c>
      <c r="DN1387" s="65">
        <f t="shared" si="1959"/>
        <v>1487</v>
      </c>
      <c r="DO1387" s="65"/>
      <c r="DP1387" s="65">
        <f t="shared" si="1960"/>
        <v>1487</v>
      </c>
      <c r="DQ1387" s="65">
        <f t="shared" si="1961"/>
        <v>1487</v>
      </c>
      <c r="DR1387" s="65">
        <f t="shared" si="1962"/>
        <v>1487</v>
      </c>
      <c r="DS1387" s="65"/>
      <c r="DT1387" s="65"/>
      <c r="DU1387" s="65"/>
      <c r="DV1387" s="65"/>
    </row>
    <row r="1388" spans="1:128" s="20" customFormat="1" ht="13.8">
      <c r="A1388" s="20" t="s">
        <v>1176</v>
      </c>
      <c r="B1388" s="49"/>
      <c r="BH1388" s="67"/>
      <c r="BI1388" s="67"/>
      <c r="BJ1388" s="65"/>
      <c r="BK1388" s="65"/>
      <c r="BL1388" s="67"/>
      <c r="BM1388" s="67"/>
      <c r="BN1388" s="65"/>
      <c r="BO1388" s="65"/>
      <c r="BP1388" s="67"/>
      <c r="BQ1388" s="67"/>
      <c r="BR1388" s="65"/>
      <c r="BS1388" s="65"/>
      <c r="BT1388" s="67"/>
      <c r="BU1388" s="67"/>
      <c r="BV1388" s="65"/>
      <c r="BW1388" s="65"/>
      <c r="BX1388" s="67"/>
      <c r="BY1388" s="67"/>
      <c r="BZ1388" s="65"/>
      <c r="CA1388" s="65"/>
      <c r="CB1388" s="67"/>
      <c r="CC1388" s="67"/>
      <c r="CD1388" s="65"/>
      <c r="CE1388" s="65"/>
      <c r="CF1388" s="67"/>
      <c r="CG1388" s="67"/>
      <c r="CH1388" s="65"/>
      <c r="CI1388" s="65"/>
      <c r="CJ1388" s="67"/>
      <c r="CK1388" s="67"/>
      <c r="CL1388" s="65"/>
      <c r="CM1388" s="65"/>
      <c r="CN1388" s="67"/>
      <c r="CO1388" s="573"/>
      <c r="CP1388" s="65"/>
      <c r="CQ1388"/>
      <c r="CR1388" s="67"/>
      <c r="CS1388" s="573"/>
      <c r="CT1388" s="65"/>
      <c r="CU1388" s="65"/>
      <c r="CV1388" s="573">
        <v>0</v>
      </c>
      <c r="CW1388" s="573">
        <v>0</v>
      </c>
      <c r="CX1388" s="65">
        <f t="shared" ref="CX1388" si="1968">CW1388</f>
        <v>0</v>
      </c>
      <c r="CY1388" s="65"/>
      <c r="CZ1388" s="573">
        <v>1678</v>
      </c>
      <c r="DA1388" s="573">
        <v>1680</v>
      </c>
      <c r="DB1388" s="65">
        <f t="shared" si="1965"/>
        <v>1680</v>
      </c>
      <c r="DC1388" s="65"/>
      <c r="DD1388" s="573">
        <v>1682</v>
      </c>
      <c r="DE1388" s="573">
        <v>1683</v>
      </c>
      <c r="DF1388" s="65">
        <f t="shared" si="1966"/>
        <v>1683</v>
      </c>
      <c r="DG1388" s="65"/>
      <c r="DH1388" s="65">
        <f t="shared" ref="DH1388" si="1969">DE1388</f>
        <v>1683</v>
      </c>
      <c r="DI1388" s="65">
        <f t="shared" ref="DI1388" si="1970">DH1388</f>
        <v>1683</v>
      </c>
      <c r="DJ1388" s="65">
        <f t="shared" ref="DJ1388" si="1971">DI1388</f>
        <v>1683</v>
      </c>
      <c r="DK1388" s="65"/>
      <c r="DL1388" s="65">
        <f t="shared" si="1957"/>
        <v>1683</v>
      </c>
      <c r="DM1388" s="65">
        <f t="shared" si="1958"/>
        <v>1683</v>
      </c>
      <c r="DN1388" s="65">
        <f t="shared" si="1959"/>
        <v>1683</v>
      </c>
      <c r="DO1388" s="65"/>
      <c r="DP1388" s="65">
        <f t="shared" si="1960"/>
        <v>1683</v>
      </c>
      <c r="DQ1388" s="65">
        <f t="shared" si="1961"/>
        <v>1683</v>
      </c>
      <c r="DR1388" s="65">
        <f t="shared" si="1962"/>
        <v>1683</v>
      </c>
      <c r="DS1388" s="65"/>
      <c r="DT1388" s="65"/>
      <c r="DU1388" s="65"/>
      <c r="DV1388" s="65"/>
    </row>
    <row r="1389" spans="1:128" s="20" customFormat="1" ht="13.8">
      <c r="A1389" s="325" t="s">
        <v>376</v>
      </c>
      <c r="B1389" s="324"/>
      <c r="C1389" s="325"/>
      <c r="D1389" s="325"/>
      <c r="E1389" s="325"/>
      <c r="F1389" s="325"/>
      <c r="G1389" s="325"/>
      <c r="H1389" s="325"/>
      <c r="I1389" s="325"/>
      <c r="J1389" s="325"/>
      <c r="K1389" s="325"/>
      <c r="L1389" s="325"/>
      <c r="M1389" s="325"/>
      <c r="N1389" s="325"/>
      <c r="O1389" s="325"/>
      <c r="P1389" s="325"/>
      <c r="Q1389" s="325"/>
      <c r="R1389" s="325"/>
      <c r="S1389" s="325"/>
      <c r="T1389" s="325"/>
      <c r="U1389" s="325"/>
      <c r="V1389" s="325"/>
      <c r="W1389" s="325"/>
      <c r="X1389" s="325"/>
      <c r="Y1389" s="325"/>
      <c r="Z1389" s="325"/>
      <c r="AA1389" s="325"/>
      <c r="AB1389" s="325"/>
      <c r="AC1389" s="325"/>
      <c r="AD1389" s="325"/>
      <c r="AE1389" s="325"/>
      <c r="AF1389" s="325"/>
      <c r="AG1389" s="325"/>
      <c r="AH1389" s="325"/>
      <c r="AI1389" s="325"/>
      <c r="AJ1389" s="325"/>
      <c r="AK1389" s="325"/>
      <c r="AL1389" s="325"/>
      <c r="AM1389" s="325"/>
      <c r="AN1389" s="325"/>
      <c r="AO1389" s="325"/>
      <c r="AP1389" s="325"/>
      <c r="AQ1389" s="325"/>
      <c r="AR1389" s="325"/>
      <c r="AS1389" s="325"/>
      <c r="AT1389" s="325"/>
      <c r="AU1389" s="325"/>
      <c r="AV1389" s="325"/>
      <c r="AW1389" s="325"/>
      <c r="AX1389" s="325"/>
      <c r="AY1389" s="325"/>
      <c r="AZ1389" s="325"/>
      <c r="BA1389" s="325"/>
      <c r="BB1389" s="325"/>
      <c r="BC1389" s="325"/>
      <c r="BD1389" s="325"/>
      <c r="BE1389" s="325"/>
      <c r="BF1389" s="325"/>
      <c r="BG1389" s="325"/>
      <c r="BH1389" s="327">
        <v>0</v>
      </c>
      <c r="BI1389" s="327">
        <v>0</v>
      </c>
      <c r="BJ1389" s="326">
        <f t="shared" si="1941"/>
        <v>0</v>
      </c>
      <c r="BK1389" s="324"/>
      <c r="BL1389" s="327">
        <v>0</v>
      </c>
      <c r="BM1389" s="327">
        <v>0</v>
      </c>
      <c r="BN1389" s="326">
        <f t="shared" si="1942"/>
        <v>0</v>
      </c>
      <c r="BO1389" s="324"/>
      <c r="BP1389" s="327">
        <v>0</v>
      </c>
      <c r="BQ1389" s="327">
        <v>0</v>
      </c>
      <c r="BR1389" s="326">
        <f t="shared" si="1943"/>
        <v>0</v>
      </c>
      <c r="BS1389" s="325"/>
      <c r="BT1389" s="327">
        <v>0</v>
      </c>
      <c r="BU1389" s="327">
        <v>0</v>
      </c>
      <c r="BV1389" s="326">
        <f>BU1389</f>
        <v>0</v>
      </c>
      <c r="BW1389" s="325"/>
      <c r="BX1389" s="327">
        <v>0</v>
      </c>
      <c r="BY1389" s="327">
        <v>0</v>
      </c>
      <c r="BZ1389" s="326">
        <f>BY1389</f>
        <v>0</v>
      </c>
      <c r="CA1389" s="438"/>
      <c r="CB1389" s="327">
        <v>0</v>
      </c>
      <c r="CC1389" s="327">
        <v>0</v>
      </c>
      <c r="CD1389" s="326">
        <f>CC1389</f>
        <v>0</v>
      </c>
      <c r="CE1389" s="325"/>
      <c r="CF1389" s="327">
        <v>0</v>
      </c>
      <c r="CG1389" s="327">
        <v>0</v>
      </c>
      <c r="CH1389" s="326">
        <f>CG1389</f>
        <v>0</v>
      </c>
      <c r="CI1389" s="325"/>
      <c r="CJ1389" s="327">
        <v>0</v>
      </c>
      <c r="CK1389" s="327">
        <v>0</v>
      </c>
      <c r="CL1389" s="326">
        <f>CK1389</f>
        <v>0</v>
      </c>
      <c r="CM1389" s="325"/>
      <c r="CN1389" s="327">
        <v>0</v>
      </c>
      <c r="CO1389" s="410">
        <f t="shared" ref="CO1389" si="1972">CN1389</f>
        <v>0</v>
      </c>
      <c r="CP1389" s="410">
        <f t="shared" si="1949"/>
        <v>0</v>
      </c>
      <c r="CQ1389" s="325"/>
      <c r="CR1389" s="327">
        <v>0</v>
      </c>
      <c r="CS1389" s="410">
        <f t="shared" ref="CS1389" si="1973">CR1389</f>
        <v>0</v>
      </c>
      <c r="CT1389" s="410">
        <f t="shared" ref="CT1389" si="1974">CS1389</f>
        <v>0</v>
      </c>
      <c r="CU1389" s="325"/>
      <c r="CV1389" s="327">
        <v>-12</v>
      </c>
      <c r="CW1389" s="410">
        <v>0</v>
      </c>
      <c r="CX1389" s="410">
        <f t="shared" ref="CX1389" si="1975">CW1389</f>
        <v>0</v>
      </c>
      <c r="CY1389" s="325"/>
      <c r="CZ1389" s="327">
        <v>-18</v>
      </c>
      <c r="DA1389" s="410">
        <v>-70</v>
      </c>
      <c r="DB1389" s="410">
        <f t="shared" si="1965"/>
        <v>-70</v>
      </c>
      <c r="DC1389" s="325"/>
      <c r="DD1389" s="327">
        <v>-60</v>
      </c>
      <c r="DE1389" s="410">
        <v>-95</v>
      </c>
      <c r="DF1389" s="410">
        <f t="shared" si="1966"/>
        <v>-95</v>
      </c>
      <c r="DG1389" s="325"/>
      <c r="DH1389" s="429">
        <v>0</v>
      </c>
      <c r="DI1389" s="410">
        <f t="shared" si="1955"/>
        <v>0</v>
      </c>
      <c r="DJ1389" s="410">
        <f t="shared" si="1956"/>
        <v>0</v>
      </c>
      <c r="DK1389" s="325"/>
      <c r="DL1389" s="429">
        <v>0</v>
      </c>
      <c r="DM1389" s="410">
        <f t="shared" si="1958"/>
        <v>0</v>
      </c>
      <c r="DN1389" s="410">
        <f t="shared" si="1959"/>
        <v>0</v>
      </c>
      <c r="DO1389" s="325"/>
      <c r="DP1389" s="429">
        <v>0</v>
      </c>
      <c r="DQ1389" s="410">
        <f t="shared" si="1961"/>
        <v>0</v>
      </c>
      <c r="DR1389" s="410">
        <f t="shared" si="1962"/>
        <v>0</v>
      </c>
      <c r="DS1389" s="325"/>
      <c r="DT1389" s="325"/>
      <c r="DU1389" s="325"/>
      <c r="DV1389" s="325"/>
    </row>
    <row r="1390" spans="1:128" s="21" customFormat="1" ht="13.8">
      <c r="A1390" s="21" t="s">
        <v>529</v>
      </c>
      <c r="B1390" s="27"/>
      <c r="BH1390" s="72">
        <f>SUM(BH1375:BH1389)</f>
        <v>4368</v>
      </c>
      <c r="BI1390" s="72">
        <f>SUM(BI1375:BI1389)</f>
        <v>5479</v>
      </c>
      <c r="BJ1390" s="72">
        <f>SUM(BJ1375:BJ1389)</f>
        <v>5479</v>
      </c>
      <c r="BK1390" s="72"/>
      <c r="BL1390" s="72">
        <f>SUM(BL1375:BL1389)</f>
        <v>6450</v>
      </c>
      <c r="BM1390" s="72">
        <f>SUM(BM1375:BM1389)</f>
        <v>6004</v>
      </c>
      <c r="BN1390" s="72">
        <f>SUM(BN1375:BN1389)</f>
        <v>6004</v>
      </c>
      <c r="BO1390" s="72"/>
      <c r="BP1390" s="72">
        <f>SUM(BP1375:BP1389)</f>
        <v>7453</v>
      </c>
      <c r="BQ1390" s="72">
        <f>SUM(BQ1375:BQ1389)</f>
        <v>7423</v>
      </c>
      <c r="BR1390" s="72">
        <f>SUM(BR1375:BR1389)</f>
        <v>7423</v>
      </c>
      <c r="BS1390" s="72"/>
      <c r="BT1390" s="72">
        <f>SUM(BT1375:BT1389)</f>
        <v>7427</v>
      </c>
      <c r="BU1390" s="72">
        <f>SUM(BU1375:BU1389)</f>
        <v>9493</v>
      </c>
      <c r="BV1390" s="72">
        <f>SUM(BV1375:BV1389)</f>
        <v>9493</v>
      </c>
      <c r="BW1390" s="72"/>
      <c r="BX1390" s="72">
        <f>SUM(BX1375:BX1389)</f>
        <v>8300</v>
      </c>
      <c r="BY1390" s="72">
        <f>SUM(BY1375:BY1389)</f>
        <v>8452</v>
      </c>
      <c r="BZ1390" s="72">
        <f>SUM(BZ1375:BZ1389)</f>
        <v>8452</v>
      </c>
      <c r="CA1390" s="72"/>
      <c r="CB1390" s="72">
        <f>SUM(CB1375:CB1389)</f>
        <v>7870</v>
      </c>
      <c r="CC1390" s="72">
        <f>SUM(CC1375:CC1389)</f>
        <v>7917</v>
      </c>
      <c r="CD1390" s="72">
        <f>SUM(CD1375:CD1389)</f>
        <v>7917</v>
      </c>
      <c r="CE1390" s="72"/>
      <c r="CF1390" s="72">
        <f>SUM(CF1375:CF1389)</f>
        <v>8039</v>
      </c>
      <c r="CG1390" s="72">
        <f>SUM(CG1375:CG1389)</f>
        <v>8171</v>
      </c>
      <c r="CH1390" s="72">
        <f>SUM(CH1375:CH1389)</f>
        <v>8171</v>
      </c>
      <c r="CI1390" s="72"/>
      <c r="CJ1390" s="72">
        <f>SUM(CJ1375:CJ1389)</f>
        <v>8430</v>
      </c>
      <c r="CK1390" s="72">
        <f>SUM(CK1375:CK1389)</f>
        <v>8196</v>
      </c>
      <c r="CL1390" s="72">
        <f>SUM(CL1375:CL1389)</f>
        <v>8196</v>
      </c>
      <c r="CM1390" s="72"/>
      <c r="CN1390" s="72">
        <f>SUM(CN1375:CN1389)</f>
        <v>8045</v>
      </c>
      <c r="CO1390" s="72">
        <f>SUM(CO1375:CO1389)</f>
        <v>8506</v>
      </c>
      <c r="CP1390" s="72">
        <f>SUM(CP1375:CP1389)</f>
        <v>8506</v>
      </c>
      <c r="CQ1390" s="72"/>
      <c r="CR1390" s="72">
        <f>SUM(CR1375:CR1389)</f>
        <v>7582</v>
      </c>
      <c r="CS1390" s="72">
        <f>SUM(CS1375:CS1389)</f>
        <v>7705</v>
      </c>
      <c r="CT1390" s="72">
        <f>SUM(CT1375:CT1389)</f>
        <v>7705</v>
      </c>
      <c r="CU1390" s="72"/>
      <c r="CV1390" s="72">
        <f>SUM(CV1375:CV1389)</f>
        <v>8184</v>
      </c>
      <c r="CW1390" s="72">
        <f>SUM(CW1375:CW1389)</f>
        <v>8232</v>
      </c>
      <c r="CX1390" s="72">
        <f>SUM(CX1375:CX1389)</f>
        <v>8232</v>
      </c>
      <c r="CY1390" s="72"/>
      <c r="CZ1390" s="72">
        <f>SUM(CZ1375:CZ1389)</f>
        <v>8297</v>
      </c>
      <c r="DA1390" s="72">
        <f>SUM(DA1375:DA1389)</f>
        <v>8207</v>
      </c>
      <c r="DB1390" s="72">
        <f>SUM(DB1375:DB1389)</f>
        <v>8207</v>
      </c>
      <c r="DC1390" s="72"/>
      <c r="DD1390" s="72">
        <f>SUM(DD1375:DD1389)</f>
        <v>7443</v>
      </c>
      <c r="DE1390" s="72">
        <f>SUM(DE1375:DE1389)</f>
        <v>7357</v>
      </c>
      <c r="DF1390" s="72">
        <f>SUM(DF1375:DF1389)</f>
        <v>7357</v>
      </c>
      <c r="DG1390" s="72"/>
      <c r="DH1390" s="72">
        <f>SUM(DH1375:DH1389)</f>
        <v>7452</v>
      </c>
      <c r="DI1390" s="72">
        <f>SUM(DI1375:DI1389)</f>
        <v>7452</v>
      </c>
      <c r="DJ1390" s="72">
        <f>SUM(DJ1375:DJ1389)</f>
        <v>7452</v>
      </c>
      <c r="DK1390" s="72"/>
      <c r="DL1390" s="72">
        <f>SUM(DL1375:DL1389)</f>
        <v>7452</v>
      </c>
      <c r="DM1390" s="72">
        <f>SUM(DM1375:DM1389)</f>
        <v>7452</v>
      </c>
      <c r="DN1390" s="72">
        <f>SUM(DN1375:DN1389)</f>
        <v>7452</v>
      </c>
      <c r="DO1390" s="72"/>
      <c r="DP1390" s="72">
        <f>SUM(DP1375:DP1389)</f>
        <v>7452</v>
      </c>
      <c r="DQ1390" s="72">
        <f>SUM(DQ1375:DQ1389)</f>
        <v>7452</v>
      </c>
      <c r="DR1390" s="72">
        <f>SUM(DR1375:DR1389)</f>
        <v>7452</v>
      </c>
      <c r="DS1390" s="72"/>
      <c r="DT1390" s="72"/>
      <c r="DU1390" s="72"/>
      <c r="DV1390" s="72"/>
      <c r="DW1390" s="20"/>
      <c r="DX1390" s="20"/>
    </row>
    <row r="1391" spans="1:128" s="47" customFormat="1" ht="13.8">
      <c r="A1391" s="47" t="s">
        <v>1088</v>
      </c>
      <c r="B1391" s="92"/>
      <c r="BH1391" s="73"/>
      <c r="BI1391" s="73"/>
      <c r="BJ1391" s="73"/>
      <c r="BK1391" s="73"/>
      <c r="BL1391" s="73"/>
      <c r="BM1391" s="73"/>
      <c r="BN1391" s="73"/>
      <c r="BO1391" s="73"/>
      <c r="BP1391" s="73"/>
      <c r="BQ1391" s="73"/>
      <c r="BR1391" s="73"/>
      <c r="BS1391" s="73"/>
      <c r="BT1391" s="73"/>
      <c r="BU1391" s="73"/>
      <c r="BV1391" s="73"/>
      <c r="BW1391" s="73"/>
      <c r="BX1391" s="73"/>
      <c r="BY1391" s="73"/>
      <c r="BZ1391" s="73"/>
      <c r="CA1391" s="73"/>
      <c r="CB1391" s="73"/>
      <c r="CC1391" s="73"/>
      <c r="CD1391" s="73"/>
      <c r="CE1391" s="73"/>
      <c r="CF1391" s="73"/>
      <c r="CG1391" s="73"/>
      <c r="CH1391" s="73"/>
      <c r="CI1391" s="73"/>
      <c r="CJ1391" s="73"/>
      <c r="CK1391" s="73"/>
      <c r="CL1391" s="73"/>
      <c r="CM1391" s="73"/>
      <c r="CN1391" s="919">
        <f>CN1253</f>
        <v>1.8730124508165788E-2</v>
      </c>
      <c r="CO1391" s="919">
        <f>CO1253</f>
        <v>1.9500776281826351E-2</v>
      </c>
      <c r="CP1391" s="919">
        <f>CP1253</f>
        <v>1.9500776281826351E-2</v>
      </c>
      <c r="CQ1391" s="73"/>
      <c r="CR1391" s="919">
        <f>CR1253</f>
        <v>1.7103971135621482E-2</v>
      </c>
      <c r="CS1391" s="919">
        <f>CS1253</f>
        <v>1.6902783703306223E-2</v>
      </c>
      <c r="CT1391" s="919">
        <f>CT1253</f>
        <v>1.6902783703306223E-2</v>
      </c>
      <c r="CU1391" s="73"/>
      <c r="CV1391" s="919">
        <f>CV1253</f>
        <v>1.8764034062967339E-2</v>
      </c>
      <c r="CW1391" s="919">
        <f>CW1253</f>
        <v>1.8997200728318342E-2</v>
      </c>
      <c r="CX1391" s="919">
        <f>CX1253</f>
        <v>1.8997200728318342E-2</v>
      </c>
      <c r="CY1391" s="73"/>
      <c r="CZ1391" s="919">
        <f>CZ1253</f>
        <v>1.9171447782817569E-2</v>
      </c>
      <c r="DA1391" s="919">
        <f>DA1253</f>
        <v>1.8377364067517263E-2</v>
      </c>
      <c r="DB1391" s="919">
        <f>DB1253</f>
        <v>1.8377364067517263E-2</v>
      </c>
      <c r="DC1391" s="73"/>
      <c r="DD1391" s="919">
        <f>DD1253</f>
        <v>1.5869969872003981E-2</v>
      </c>
      <c r="DE1391" s="919">
        <f>DE1253</f>
        <v>1.6044156869415765E-2</v>
      </c>
      <c r="DF1391" s="919">
        <f>DF1253</f>
        <v>1.6044156869415765E-2</v>
      </c>
      <c r="DG1391" s="73"/>
      <c r="DH1391" s="919">
        <f ca="1">DH1253</f>
        <v>1.5937869338468316E-2</v>
      </c>
      <c r="DI1391" s="919">
        <f ca="1">DI1253</f>
        <v>1.5620742532001713E-2</v>
      </c>
      <c r="DJ1391" s="919">
        <f ca="1">DJ1253</f>
        <v>1.5620742532001713E-2</v>
      </c>
      <c r="DK1391" s="73"/>
      <c r="DL1391" s="919">
        <f ca="1">DL1253</f>
        <v>1.5394630210563712E-2</v>
      </c>
      <c r="DM1391" s="919">
        <f ca="1">DM1253</f>
        <v>1.5118965154280434E-2</v>
      </c>
      <c r="DN1391" s="919">
        <f ca="1">DN1253</f>
        <v>1.5118965154280434E-2</v>
      </c>
      <c r="DO1391" s="73"/>
      <c r="DP1391" s="919">
        <f ca="1">DP1253</f>
        <v>1.477546217087139E-2</v>
      </c>
      <c r="DQ1391" s="919">
        <f ca="1">DQ1253</f>
        <v>1.4532769941087487E-2</v>
      </c>
      <c r="DR1391" s="919">
        <f ca="1">DR1253</f>
        <v>1.4532769941087487E-2</v>
      </c>
      <c r="DS1391" s="73"/>
      <c r="DT1391" s="73"/>
      <c r="DU1391" s="73"/>
      <c r="DV1391" s="73"/>
    </row>
    <row r="1392" spans="1:128" s="20" customFormat="1" ht="13.8">
      <c r="A1392" s="21" t="s">
        <v>377</v>
      </c>
      <c r="B1392" s="49"/>
      <c r="BH1392" s="65"/>
      <c r="BI1392" s="65"/>
      <c r="BJ1392" s="65"/>
      <c r="BK1392" s="65"/>
      <c r="BL1392" s="65"/>
      <c r="BM1392" s="65"/>
      <c r="BN1392" s="65"/>
      <c r="BO1392" s="65"/>
      <c r="BP1392" s="65"/>
      <c r="BQ1392" s="65"/>
      <c r="BR1392" s="65"/>
      <c r="BS1392" s="65"/>
      <c r="BT1392" s="65"/>
      <c r="BU1392" s="65"/>
      <c r="BV1392" s="65"/>
      <c r="BW1392" s="65"/>
      <c r="BX1392" s="65"/>
      <c r="BY1392" s="65"/>
      <c r="BZ1392" s="65"/>
      <c r="CA1392" s="65"/>
      <c r="CB1392" s="65"/>
      <c r="CC1392" s="65"/>
      <c r="CD1392" s="65"/>
      <c r="CE1392" s="65"/>
      <c r="CF1392" s="65"/>
      <c r="CG1392" s="65"/>
      <c r="CH1392" s="65"/>
      <c r="CI1392" s="65"/>
      <c r="CJ1392" s="65"/>
      <c r="CK1392" s="65"/>
      <c r="CL1392" s="65"/>
      <c r="CM1392" s="65"/>
      <c r="CN1392" s="65"/>
      <c r="CO1392" s="65"/>
      <c r="CP1392" s="65"/>
      <c r="CQ1392" s="65"/>
      <c r="CR1392" s="65"/>
      <c r="CS1392" s="65"/>
      <c r="CT1392" s="65"/>
      <c r="CU1392" s="65"/>
      <c r="CV1392" s="65"/>
      <c r="CW1392" s="65"/>
      <c r="CX1392" s="65"/>
      <c r="CY1392" s="65"/>
      <c r="CZ1392" s="65"/>
      <c r="DA1392" s="65"/>
      <c r="DB1392" s="65"/>
      <c r="DC1392" s="65"/>
      <c r="DD1392" s="65"/>
      <c r="DE1392" s="65"/>
      <c r="DF1392" s="65"/>
      <c r="DG1392" s="65"/>
      <c r="DH1392" s="65"/>
      <c r="DI1392" s="65"/>
      <c r="DJ1392" s="65"/>
      <c r="DK1392" s="65"/>
      <c r="DL1392" s="65"/>
      <c r="DM1392" s="65"/>
      <c r="DN1392" s="65"/>
      <c r="DO1392" s="65"/>
      <c r="DP1392" s="65"/>
      <c r="DQ1392" s="65"/>
      <c r="DR1392" s="65"/>
      <c r="DS1392" s="65"/>
      <c r="DT1392" s="65"/>
      <c r="DU1392" s="65"/>
      <c r="DV1392" s="65"/>
    </row>
    <row r="1393" spans="1:128" s="20" customFormat="1" ht="13.8">
      <c r="A1393" s="20" t="s">
        <v>187</v>
      </c>
      <c r="B1393" s="49"/>
      <c r="BH1393" s="67">
        <v>871</v>
      </c>
      <c r="BI1393" s="67">
        <v>871</v>
      </c>
      <c r="BJ1393" s="65">
        <f>BI1393</f>
        <v>871</v>
      </c>
      <c r="BK1393" s="65"/>
      <c r="BL1393" s="67">
        <v>871</v>
      </c>
      <c r="BM1393" s="67">
        <v>871</v>
      </c>
      <c r="BN1393" s="65">
        <f>BM1393</f>
        <v>871</v>
      </c>
      <c r="BO1393" s="65"/>
      <c r="BP1393" s="67">
        <v>0</v>
      </c>
      <c r="BQ1393" s="67">
        <v>0</v>
      </c>
      <c r="BR1393" s="65">
        <f>BQ1393</f>
        <v>0</v>
      </c>
      <c r="BS1393" s="65"/>
      <c r="BT1393" s="65">
        <f>BQ1393</f>
        <v>0</v>
      </c>
      <c r="BU1393" s="67">
        <v>0</v>
      </c>
      <c r="BV1393" s="65">
        <f>BU1393</f>
        <v>0</v>
      </c>
      <c r="BW1393" s="65"/>
      <c r="BX1393" s="65">
        <f>BU1393</f>
        <v>0</v>
      </c>
      <c r="BY1393" s="67">
        <v>0</v>
      </c>
      <c r="BZ1393" s="65">
        <f>BY1393</f>
        <v>0</v>
      </c>
      <c r="CA1393" s="65"/>
      <c r="CB1393" s="65">
        <f>BY1393</f>
        <v>0</v>
      </c>
      <c r="CC1393" s="67">
        <v>0</v>
      </c>
      <c r="CD1393" s="65">
        <f>CC1393</f>
        <v>0</v>
      </c>
      <c r="CE1393" s="65"/>
      <c r="CF1393" s="65">
        <f>CC1393</f>
        <v>0</v>
      </c>
      <c r="CG1393" s="67">
        <v>0</v>
      </c>
      <c r="CH1393" s="65">
        <f>CG1393</f>
        <v>0</v>
      </c>
      <c r="CI1393" s="65"/>
      <c r="CJ1393" s="65">
        <f>CG1393</f>
        <v>0</v>
      </c>
      <c r="CK1393" s="67">
        <v>0</v>
      </c>
      <c r="CL1393" s="65">
        <f>CK1393</f>
        <v>0</v>
      </c>
      <c r="CM1393" s="65"/>
      <c r="CN1393" s="65">
        <f>CK1393</f>
        <v>0</v>
      </c>
      <c r="CO1393" s="65">
        <f>CN1393</f>
        <v>0</v>
      </c>
      <c r="CP1393" s="65">
        <f>CO1393</f>
        <v>0</v>
      </c>
      <c r="CQ1393" s="65"/>
      <c r="CR1393" s="65">
        <f>CO1393</f>
        <v>0</v>
      </c>
      <c r="CS1393" s="65">
        <f>CR1393</f>
        <v>0</v>
      </c>
      <c r="CT1393" s="65">
        <f>CS1393</f>
        <v>0</v>
      </c>
      <c r="CU1393" s="65"/>
      <c r="CV1393" s="65">
        <f>CS1393</f>
        <v>0</v>
      </c>
      <c r="CW1393" s="65">
        <f>CV1393</f>
        <v>0</v>
      </c>
      <c r="CX1393" s="65">
        <f>CW1393</f>
        <v>0</v>
      </c>
      <c r="CY1393" s="65"/>
      <c r="CZ1393" s="65">
        <f>CW1393</f>
        <v>0</v>
      </c>
      <c r="DA1393" s="65">
        <f>CZ1393</f>
        <v>0</v>
      </c>
      <c r="DB1393" s="65">
        <f>DA1393</f>
        <v>0</v>
      </c>
      <c r="DC1393" s="65"/>
      <c r="DD1393" s="65">
        <f>DA1393</f>
        <v>0</v>
      </c>
      <c r="DE1393" s="65">
        <f>DD1393</f>
        <v>0</v>
      </c>
      <c r="DF1393" s="65">
        <f>DE1393</f>
        <v>0</v>
      </c>
      <c r="DG1393" s="65"/>
      <c r="DH1393" s="65">
        <f>DE1393</f>
        <v>0</v>
      </c>
      <c r="DI1393" s="65">
        <f>DH1393</f>
        <v>0</v>
      </c>
      <c r="DJ1393" s="65">
        <f>DI1393</f>
        <v>0</v>
      </c>
      <c r="DK1393" s="65"/>
      <c r="DL1393" s="65">
        <f>DI1393</f>
        <v>0</v>
      </c>
      <c r="DM1393" s="65">
        <f>DL1393</f>
        <v>0</v>
      </c>
      <c r="DN1393" s="65">
        <f>DM1393</f>
        <v>0</v>
      </c>
      <c r="DO1393" s="65"/>
      <c r="DP1393" s="65">
        <f>DM1393</f>
        <v>0</v>
      </c>
      <c r="DQ1393" s="65">
        <f>DP1393</f>
        <v>0</v>
      </c>
      <c r="DR1393" s="65">
        <f>DQ1393</f>
        <v>0</v>
      </c>
      <c r="DS1393" s="65"/>
      <c r="DT1393" s="65"/>
      <c r="DU1393" s="65"/>
      <c r="DV1393" s="65"/>
    </row>
    <row r="1394" spans="1:128" s="20" customFormat="1" ht="13.8">
      <c r="A1394" s="20" t="s">
        <v>188</v>
      </c>
      <c r="B1394" s="49"/>
      <c r="BH1394" s="67">
        <v>740</v>
      </c>
      <c r="BI1394" s="67">
        <v>812</v>
      </c>
      <c r="BJ1394" s="65">
        <f>BI1394</f>
        <v>812</v>
      </c>
      <c r="BK1394" s="65"/>
      <c r="BL1394" s="67">
        <v>0</v>
      </c>
      <c r="BM1394" s="67">
        <v>0</v>
      </c>
      <c r="BN1394" s="65">
        <f>BM1394</f>
        <v>0</v>
      </c>
      <c r="BO1394" s="65"/>
      <c r="BP1394" s="67">
        <v>0</v>
      </c>
      <c r="BQ1394" s="67">
        <v>0</v>
      </c>
      <c r="BR1394" s="65">
        <f>BQ1394</f>
        <v>0</v>
      </c>
      <c r="BS1394" s="65"/>
      <c r="BT1394" s="65">
        <f>BQ1394</f>
        <v>0</v>
      </c>
      <c r="BU1394" s="67">
        <v>0</v>
      </c>
      <c r="BV1394" s="65">
        <f>BU1394</f>
        <v>0</v>
      </c>
      <c r="BW1394" s="65"/>
      <c r="BX1394" s="65">
        <f>BU1394</f>
        <v>0</v>
      </c>
      <c r="BY1394" s="67">
        <v>0</v>
      </c>
      <c r="BZ1394" s="65">
        <f>BY1394</f>
        <v>0</v>
      </c>
      <c r="CA1394" s="65"/>
      <c r="CB1394" s="65">
        <f>BY1394</f>
        <v>0</v>
      </c>
      <c r="CC1394" s="67">
        <v>0</v>
      </c>
      <c r="CD1394" s="65">
        <f>CC1394</f>
        <v>0</v>
      </c>
      <c r="CE1394" s="65"/>
      <c r="CF1394" s="65">
        <f>CC1394</f>
        <v>0</v>
      </c>
      <c r="CG1394" s="67">
        <v>0</v>
      </c>
      <c r="CH1394" s="65">
        <f>CG1394</f>
        <v>0</v>
      </c>
      <c r="CI1394" s="65"/>
      <c r="CJ1394" s="65">
        <f>CG1394</f>
        <v>0</v>
      </c>
      <c r="CK1394" s="67">
        <v>0</v>
      </c>
      <c r="CL1394" s="65">
        <f>CK1394</f>
        <v>0</v>
      </c>
      <c r="CM1394" s="65"/>
      <c r="CN1394" s="65">
        <f>CK1394</f>
        <v>0</v>
      </c>
      <c r="CO1394" s="65">
        <f>CN1394</f>
        <v>0</v>
      </c>
      <c r="CP1394" s="65">
        <f>CO1394</f>
        <v>0</v>
      </c>
      <c r="CQ1394" s="65"/>
      <c r="CR1394" s="65">
        <f>CO1394</f>
        <v>0</v>
      </c>
      <c r="CS1394" s="65">
        <f>CR1394</f>
        <v>0</v>
      </c>
      <c r="CT1394" s="65">
        <f>CS1394</f>
        <v>0</v>
      </c>
      <c r="CU1394" s="65"/>
      <c r="CV1394" s="65">
        <f>CS1394</f>
        <v>0</v>
      </c>
      <c r="CW1394" s="65">
        <f>CV1394</f>
        <v>0</v>
      </c>
      <c r="CX1394" s="65">
        <f>CW1394</f>
        <v>0</v>
      </c>
      <c r="CY1394" s="65"/>
      <c r="CZ1394" s="65">
        <f>CW1394</f>
        <v>0</v>
      </c>
      <c r="DA1394" s="65">
        <f>CZ1394</f>
        <v>0</v>
      </c>
      <c r="DB1394" s="65">
        <f>DA1394</f>
        <v>0</v>
      </c>
      <c r="DC1394" s="65"/>
      <c r="DD1394" s="65">
        <f>DA1394</f>
        <v>0</v>
      </c>
      <c r="DE1394" s="65">
        <f>DD1394</f>
        <v>0</v>
      </c>
      <c r="DF1394" s="65">
        <f>DE1394</f>
        <v>0</v>
      </c>
      <c r="DG1394" s="65"/>
      <c r="DH1394" s="65">
        <f>DE1394</f>
        <v>0</v>
      </c>
      <c r="DI1394" s="65">
        <f>DH1394</f>
        <v>0</v>
      </c>
      <c r="DJ1394" s="65">
        <f>DI1394</f>
        <v>0</v>
      </c>
      <c r="DK1394" s="65"/>
      <c r="DL1394" s="65">
        <f>DI1394</f>
        <v>0</v>
      </c>
      <c r="DM1394" s="65">
        <f>DL1394</f>
        <v>0</v>
      </c>
      <c r="DN1394" s="65">
        <f>DM1394</f>
        <v>0</v>
      </c>
      <c r="DO1394" s="65"/>
      <c r="DP1394" s="65">
        <f>DM1394</f>
        <v>0</v>
      </c>
      <c r="DQ1394" s="65">
        <f>DP1394</f>
        <v>0</v>
      </c>
      <c r="DR1394" s="65">
        <f>DQ1394</f>
        <v>0</v>
      </c>
      <c r="DS1394" s="65"/>
      <c r="DT1394" s="65"/>
      <c r="DU1394" s="65"/>
      <c r="DV1394" s="65"/>
    </row>
    <row r="1395" spans="1:128" s="20" customFormat="1" ht="13.8">
      <c r="A1395" s="21" t="s">
        <v>378</v>
      </c>
      <c r="B1395" s="49"/>
      <c r="BH1395" s="72">
        <f>SUM(BH1393:BH1394)</f>
        <v>1611</v>
      </c>
      <c r="BI1395" s="72">
        <f>SUM(BI1393:BI1394)</f>
        <v>1683</v>
      </c>
      <c r="BJ1395" s="72">
        <f>SUM(BJ1393:BJ1394)</f>
        <v>1683</v>
      </c>
      <c r="BK1395" s="65"/>
      <c r="BL1395" s="72">
        <f>SUM(BL1393:BL1394)</f>
        <v>871</v>
      </c>
      <c r="BM1395" s="72">
        <f>SUM(BM1393:BM1394)</f>
        <v>871</v>
      </c>
      <c r="BN1395" s="72">
        <f>SUM(BN1393:BN1394)</f>
        <v>871</v>
      </c>
      <c r="BO1395" s="65"/>
      <c r="BP1395" s="72">
        <f>SUM(BP1393:BP1394)</f>
        <v>0</v>
      </c>
      <c r="BQ1395" s="72">
        <f>SUM(BQ1393:BQ1394)</f>
        <v>0</v>
      </c>
      <c r="BR1395" s="72">
        <f>SUM(BR1393:BR1394)</f>
        <v>0</v>
      </c>
      <c r="BS1395" s="65"/>
      <c r="BT1395" s="72">
        <f>SUM(BT1393:BT1394)</f>
        <v>0</v>
      </c>
      <c r="BU1395" s="72">
        <f>SUM(BU1393:BU1394)</f>
        <v>0</v>
      </c>
      <c r="BV1395" s="72">
        <f>SUM(BV1393:BV1394)</f>
        <v>0</v>
      </c>
      <c r="BW1395" s="65"/>
      <c r="BX1395" s="72">
        <f>SUM(BX1393:BX1394)</f>
        <v>0</v>
      </c>
      <c r="BY1395" s="72">
        <f>SUM(BY1393:BY1394)</f>
        <v>0</v>
      </c>
      <c r="BZ1395" s="72">
        <f>SUM(BZ1393:BZ1394)</f>
        <v>0</v>
      </c>
      <c r="CA1395" s="65"/>
      <c r="CB1395" s="72">
        <f>SUM(CB1393:CB1394)</f>
        <v>0</v>
      </c>
      <c r="CC1395" s="72">
        <f>SUM(CC1393:CC1394)</f>
        <v>0</v>
      </c>
      <c r="CD1395" s="72">
        <f>SUM(CD1393:CD1394)</f>
        <v>0</v>
      </c>
      <c r="CE1395" s="65"/>
      <c r="CF1395" s="72">
        <f>SUM(CF1393:CF1394)</f>
        <v>0</v>
      </c>
      <c r="CG1395" s="72">
        <f>SUM(CG1393:CG1394)</f>
        <v>0</v>
      </c>
      <c r="CH1395" s="72">
        <f>SUM(CH1393:CH1394)</f>
        <v>0</v>
      </c>
      <c r="CI1395" s="65"/>
      <c r="CJ1395" s="72">
        <f>SUM(CJ1393:CJ1394)</f>
        <v>0</v>
      </c>
      <c r="CK1395" s="72">
        <f>SUM(CK1393:CK1394)</f>
        <v>0</v>
      </c>
      <c r="CL1395" s="72">
        <f>SUM(CL1393:CL1394)</f>
        <v>0</v>
      </c>
      <c r="CM1395" s="65"/>
      <c r="CN1395" s="72">
        <f>SUM(CN1393:CN1394)</f>
        <v>0</v>
      </c>
      <c r="CO1395" s="72">
        <f>SUM(CO1393:CO1394)</f>
        <v>0</v>
      </c>
      <c r="CP1395" s="72">
        <f>SUM(CP1393:CP1394)</f>
        <v>0</v>
      </c>
      <c r="CQ1395" s="65"/>
      <c r="CR1395" s="72">
        <f>SUM(CR1393:CR1394)</f>
        <v>0</v>
      </c>
      <c r="CS1395" s="72">
        <f>SUM(CS1393:CS1394)</f>
        <v>0</v>
      </c>
      <c r="CT1395" s="72">
        <f>SUM(CT1393:CT1394)</f>
        <v>0</v>
      </c>
      <c r="CU1395" s="65"/>
      <c r="CV1395" s="72">
        <f>SUM(CV1393:CV1394)</f>
        <v>0</v>
      </c>
      <c r="CW1395" s="72">
        <f>SUM(CW1393:CW1394)</f>
        <v>0</v>
      </c>
      <c r="CX1395" s="72">
        <f>SUM(CX1393:CX1394)</f>
        <v>0</v>
      </c>
      <c r="CY1395" s="65"/>
      <c r="CZ1395" s="72">
        <f>SUM(CZ1393:CZ1394)</f>
        <v>0</v>
      </c>
      <c r="DA1395" s="72">
        <f>SUM(DA1393:DA1394)</f>
        <v>0</v>
      </c>
      <c r="DB1395" s="72">
        <f>SUM(DB1393:DB1394)</f>
        <v>0</v>
      </c>
      <c r="DC1395" s="65"/>
      <c r="DD1395" s="72">
        <f>SUM(DD1393:DD1394)</f>
        <v>0</v>
      </c>
      <c r="DE1395" s="72">
        <f>SUM(DE1393:DE1394)</f>
        <v>0</v>
      </c>
      <c r="DF1395" s="72">
        <f>SUM(DF1393:DF1394)</f>
        <v>0</v>
      </c>
      <c r="DG1395" s="65"/>
      <c r="DH1395" s="72">
        <f>SUM(DH1393:DH1394)</f>
        <v>0</v>
      </c>
      <c r="DI1395" s="72">
        <f>SUM(DI1393:DI1394)</f>
        <v>0</v>
      </c>
      <c r="DJ1395" s="72">
        <f>SUM(DJ1393:DJ1394)</f>
        <v>0</v>
      </c>
      <c r="DK1395" s="65"/>
      <c r="DL1395" s="72">
        <f>SUM(DL1393:DL1394)</f>
        <v>0</v>
      </c>
      <c r="DM1395" s="72">
        <f>SUM(DM1393:DM1394)</f>
        <v>0</v>
      </c>
      <c r="DN1395" s="72">
        <f>SUM(DN1393:DN1394)</f>
        <v>0</v>
      </c>
      <c r="DO1395" s="65"/>
      <c r="DP1395" s="72">
        <f>SUM(DP1393:DP1394)</f>
        <v>0</v>
      </c>
      <c r="DQ1395" s="72">
        <f>SUM(DQ1393:DQ1394)</f>
        <v>0</v>
      </c>
      <c r="DR1395" s="72">
        <f>SUM(DR1393:DR1394)</f>
        <v>0</v>
      </c>
      <c r="DS1395" s="65"/>
      <c r="DT1395" s="65"/>
      <c r="DU1395" s="65"/>
      <c r="DV1395" s="65"/>
    </row>
    <row r="1396" spans="1:128" s="20" customFormat="1" ht="13.8">
      <c r="A1396" s="325" t="s">
        <v>379</v>
      </c>
      <c r="B1396" s="324"/>
      <c r="C1396" s="325"/>
      <c r="D1396" s="325"/>
      <c r="E1396" s="325"/>
      <c r="F1396" s="325"/>
      <c r="G1396" s="325"/>
      <c r="H1396" s="325"/>
      <c r="I1396" s="325"/>
      <c r="J1396" s="325"/>
      <c r="K1396" s="325"/>
      <c r="L1396" s="325"/>
      <c r="M1396" s="325"/>
      <c r="N1396" s="325"/>
      <c r="O1396" s="325"/>
      <c r="P1396" s="325"/>
      <c r="Q1396" s="325"/>
      <c r="R1396" s="325"/>
      <c r="S1396" s="325"/>
      <c r="T1396" s="325"/>
      <c r="U1396" s="325"/>
      <c r="V1396" s="325"/>
      <c r="W1396" s="325"/>
      <c r="X1396" s="325"/>
      <c r="Y1396" s="325"/>
      <c r="Z1396" s="325"/>
      <c r="AA1396" s="325"/>
      <c r="AB1396" s="325"/>
      <c r="AC1396" s="325"/>
      <c r="AD1396" s="325"/>
      <c r="AE1396" s="325"/>
      <c r="AF1396" s="325"/>
      <c r="AG1396" s="325"/>
      <c r="AH1396" s="325"/>
      <c r="AI1396" s="325"/>
      <c r="AJ1396" s="325"/>
      <c r="AK1396" s="325"/>
      <c r="AL1396" s="325"/>
      <c r="AM1396" s="325"/>
      <c r="AN1396" s="325"/>
      <c r="AO1396" s="325"/>
      <c r="AP1396" s="325"/>
      <c r="AQ1396" s="325"/>
      <c r="AR1396" s="325"/>
      <c r="AS1396" s="325"/>
      <c r="AT1396" s="325"/>
      <c r="AU1396" s="325"/>
      <c r="AV1396" s="325"/>
      <c r="AW1396" s="325"/>
      <c r="AX1396" s="325"/>
      <c r="AY1396" s="325"/>
      <c r="AZ1396" s="325"/>
      <c r="BA1396" s="325"/>
      <c r="BB1396" s="325"/>
      <c r="BC1396" s="325"/>
      <c r="BD1396" s="325"/>
      <c r="BE1396" s="325"/>
      <c r="BF1396" s="325"/>
      <c r="BG1396" s="325"/>
      <c r="BH1396" s="424">
        <v>0.9</v>
      </c>
      <c r="BI1396" s="355">
        <f>BH1396</f>
        <v>0.9</v>
      </c>
      <c r="BJ1396" s="355">
        <f>BI1396</f>
        <v>0.9</v>
      </c>
      <c r="BK1396" s="326"/>
      <c r="BL1396" s="411">
        <f>+BI1396-10%</f>
        <v>0.8</v>
      </c>
      <c r="BM1396" s="355">
        <f>BL1396</f>
        <v>0.8</v>
      </c>
      <c r="BN1396" s="355">
        <f>BM1396</f>
        <v>0.8</v>
      </c>
      <c r="BO1396" s="326"/>
      <c r="BP1396" s="411">
        <f>+BM1396-10%</f>
        <v>0.70000000000000007</v>
      </c>
      <c r="BQ1396" s="355">
        <f>BP1396</f>
        <v>0.70000000000000007</v>
      </c>
      <c r="BR1396" s="355">
        <f>BQ1396</f>
        <v>0.70000000000000007</v>
      </c>
      <c r="BS1396" s="326"/>
      <c r="BT1396" s="411">
        <f>+BQ1396-10%</f>
        <v>0.60000000000000009</v>
      </c>
      <c r="BU1396" s="355">
        <f>BT1396</f>
        <v>0.60000000000000009</v>
      </c>
      <c r="BV1396" s="355">
        <f>BU1396</f>
        <v>0.60000000000000009</v>
      </c>
      <c r="BW1396" s="326"/>
      <c r="BX1396" s="411">
        <f>+BU1396-10%</f>
        <v>0.50000000000000011</v>
      </c>
      <c r="BY1396" s="355">
        <f>BX1396</f>
        <v>0.50000000000000011</v>
      </c>
      <c r="BZ1396" s="355">
        <f>BY1396</f>
        <v>0.50000000000000011</v>
      </c>
      <c r="CA1396" s="326"/>
      <c r="CB1396" s="411">
        <v>0.4</v>
      </c>
      <c r="CC1396" s="355">
        <f>CB1396</f>
        <v>0.4</v>
      </c>
      <c r="CD1396" s="355">
        <f>CC1396</f>
        <v>0.4</v>
      </c>
      <c r="CE1396" s="326"/>
      <c r="CF1396" s="411">
        <v>0.4</v>
      </c>
      <c r="CG1396" s="355">
        <f>CF1396</f>
        <v>0.4</v>
      </c>
      <c r="CH1396" s="355">
        <f>CG1396</f>
        <v>0.4</v>
      </c>
      <c r="CI1396" s="326"/>
      <c r="CJ1396" s="411">
        <v>0.4</v>
      </c>
      <c r="CK1396" s="355">
        <f>CJ1396</f>
        <v>0.4</v>
      </c>
      <c r="CL1396" s="355">
        <f>CK1396</f>
        <v>0.4</v>
      </c>
      <c r="CM1396" s="326"/>
      <c r="CN1396" s="411">
        <v>0.4</v>
      </c>
      <c r="CO1396" s="355">
        <f>CN1396</f>
        <v>0.4</v>
      </c>
      <c r="CP1396" s="355">
        <f>CO1396</f>
        <v>0.4</v>
      </c>
      <c r="CQ1396" s="326"/>
      <c r="CR1396" s="411">
        <v>0.4</v>
      </c>
      <c r="CS1396" s="355">
        <f>CR1396</f>
        <v>0.4</v>
      </c>
      <c r="CT1396" s="355">
        <f>CS1396</f>
        <v>0.4</v>
      </c>
      <c r="CU1396" s="326"/>
      <c r="CV1396" s="411">
        <v>0.4</v>
      </c>
      <c r="CW1396" s="355">
        <f>CV1396</f>
        <v>0.4</v>
      </c>
      <c r="CX1396" s="355">
        <f>CW1396</f>
        <v>0.4</v>
      </c>
      <c r="CY1396" s="326"/>
      <c r="CZ1396" s="411">
        <v>0.4</v>
      </c>
      <c r="DA1396" s="355">
        <f>CZ1396</f>
        <v>0.4</v>
      </c>
      <c r="DB1396" s="355">
        <f>DA1396</f>
        <v>0.4</v>
      </c>
      <c r="DC1396" s="326"/>
      <c r="DD1396" s="411">
        <v>0.4</v>
      </c>
      <c r="DE1396" s="355">
        <f>DD1396</f>
        <v>0.4</v>
      </c>
      <c r="DF1396" s="355">
        <f>DE1396</f>
        <v>0.4</v>
      </c>
      <c r="DG1396" s="326"/>
      <c r="DH1396" s="411">
        <f>+DE1396-10%</f>
        <v>0.30000000000000004</v>
      </c>
      <c r="DI1396" s="355">
        <f>DH1396</f>
        <v>0.30000000000000004</v>
      </c>
      <c r="DJ1396" s="355">
        <f>DI1396</f>
        <v>0.30000000000000004</v>
      </c>
      <c r="DK1396" s="326"/>
      <c r="DL1396" s="411">
        <f>+DI1396-10%</f>
        <v>0.20000000000000004</v>
      </c>
      <c r="DM1396" s="355">
        <f>DL1396</f>
        <v>0.20000000000000004</v>
      </c>
      <c r="DN1396" s="355">
        <f>DM1396</f>
        <v>0.20000000000000004</v>
      </c>
      <c r="DO1396" s="326"/>
      <c r="DP1396" s="411">
        <f>+DM1396-10%</f>
        <v>0.10000000000000003</v>
      </c>
      <c r="DQ1396" s="355">
        <f>DP1396</f>
        <v>0.10000000000000003</v>
      </c>
      <c r="DR1396" s="355">
        <f>DQ1396</f>
        <v>0.10000000000000003</v>
      </c>
      <c r="DS1396" s="326"/>
      <c r="DT1396" s="326"/>
      <c r="DU1396" s="326"/>
      <c r="DV1396" s="326"/>
    </row>
    <row r="1397" spans="1:128" s="20" customFormat="1" ht="13.8">
      <c r="A1397" s="21" t="s">
        <v>195</v>
      </c>
      <c r="B1397" s="49"/>
      <c r="BH1397" s="72">
        <f>IF(BH1395&gt;$BH1395,$BH1395*BH1396,BH1395)</f>
        <v>1611</v>
      </c>
      <c r="BI1397" s="72">
        <f>IF(BI1395&gt;$BH1395,$BH1395*BI1396,BI1395)</f>
        <v>1449.9</v>
      </c>
      <c r="BJ1397" s="72">
        <f>BI1397</f>
        <v>1449.9</v>
      </c>
      <c r="BK1397" s="65"/>
      <c r="BL1397" s="72">
        <f>IF(BL1395&gt;$BH1395,$BH1395*BL1396,BL1395)</f>
        <v>871</v>
      </c>
      <c r="BM1397" s="72">
        <f>IF(BM1395&gt;$BH1395,$BH1395*BM1396,BM1395)</f>
        <v>871</v>
      </c>
      <c r="BN1397" s="72">
        <f>BM1397</f>
        <v>871</v>
      </c>
      <c r="BO1397" s="65"/>
      <c r="BP1397" s="72">
        <f>IF(BP1395&gt;$BH1395,$BH1395*BP1396,BP1395)</f>
        <v>0</v>
      </c>
      <c r="BQ1397" s="72">
        <f>IF(BQ1395&gt;$BH1395,$BH1395*BQ1396,BQ1395)</f>
        <v>0</v>
      </c>
      <c r="BR1397" s="72">
        <f>BQ1397</f>
        <v>0</v>
      </c>
      <c r="BS1397" s="65"/>
      <c r="BT1397" s="72">
        <f>IF(BT1395&gt;$BH1395,$BH1395*BT1396,BT1395*BT1396)</f>
        <v>0</v>
      </c>
      <c r="BU1397" s="72">
        <f>IF(BU1395&gt;$BH1395,$BH1395*BU1396,BU1395)</f>
        <v>0</v>
      </c>
      <c r="BV1397" s="72">
        <f>BU1397</f>
        <v>0</v>
      </c>
      <c r="BW1397" s="65"/>
      <c r="BX1397" s="72">
        <f>IF(BX1395&gt;$BH1395,$BH1395*BX1396,BX1395*BX1396)</f>
        <v>0</v>
      </c>
      <c r="BY1397" s="72">
        <f>IF(BY1395&gt;$BH1395,$BH1395*BY1396,BY1395)</f>
        <v>0</v>
      </c>
      <c r="BZ1397" s="72">
        <f>BY1397</f>
        <v>0</v>
      </c>
      <c r="CA1397" s="65"/>
      <c r="CB1397" s="72">
        <f>IF(CB1395&gt;$BH1395,$BH1395*CB1396,CB1395*CB1396)</f>
        <v>0</v>
      </c>
      <c r="CC1397" s="72">
        <f>IF(CC1395&gt;$BH1395,$BH1395*CC1396,CC1395)</f>
        <v>0</v>
      </c>
      <c r="CD1397" s="72">
        <f>CC1397</f>
        <v>0</v>
      </c>
      <c r="CE1397" s="65"/>
      <c r="CF1397" s="72">
        <f>IF(CF1395&gt;$BH1395,$BH1395*CF1396,CF1395*CF1396)</f>
        <v>0</v>
      </c>
      <c r="CG1397" s="72">
        <f>IF(CG1395&gt;$BH1395,$BH1395*CG1396,CG1395)</f>
        <v>0</v>
      </c>
      <c r="CH1397" s="72">
        <f>CG1397</f>
        <v>0</v>
      </c>
      <c r="CI1397" s="65"/>
      <c r="CJ1397" s="72">
        <f>IF(CJ1395&gt;$BH1395,$BH1395*CJ1396,CJ1395*CJ1396)</f>
        <v>0</v>
      </c>
      <c r="CK1397" s="72">
        <f>IF(CK1395&gt;$BH1395,$BH1395*CK1396,CK1395)</f>
        <v>0</v>
      </c>
      <c r="CL1397" s="72">
        <f>CK1397</f>
        <v>0</v>
      </c>
      <c r="CM1397" s="65"/>
      <c r="CN1397" s="72">
        <f>IF(CN1395&gt;$BH1395,$BH1395*CN1396,CN1395*CN1396)</f>
        <v>0</v>
      </c>
      <c r="CO1397" s="72">
        <f>IF(CO1395&gt;$BH1395,$BH1395*CO1396,CO1395*CO1396)</f>
        <v>0</v>
      </c>
      <c r="CP1397" s="72">
        <f>CO1397</f>
        <v>0</v>
      </c>
      <c r="CQ1397" s="65"/>
      <c r="CR1397" s="72">
        <f>IF(CR1395&gt;$BH1395,$BH1395*CR1396,CR1395*CR1396)</f>
        <v>0</v>
      </c>
      <c r="CS1397" s="72">
        <f>IF(CS1395&gt;$BH1395,$BH1395*CS1396,CS1395*CS1396)</f>
        <v>0</v>
      </c>
      <c r="CT1397" s="72">
        <f>CS1397</f>
        <v>0</v>
      </c>
      <c r="CU1397" s="65"/>
      <c r="CV1397" s="72">
        <f>IF(CV1395&gt;$BH1395,$BH1395*CV1396,CV1395*CV1396)</f>
        <v>0</v>
      </c>
      <c r="CW1397" s="72">
        <f>IF(CW1395&gt;$BH1395,$BH1395*CW1396,CW1395*CW1396)</f>
        <v>0</v>
      </c>
      <c r="CX1397" s="72">
        <f>CW1397</f>
        <v>0</v>
      </c>
      <c r="CY1397" s="65"/>
      <c r="CZ1397" s="72">
        <f>IF(CZ1395&gt;$BH1395,$BH1395*CZ1396,CZ1395*CZ1396)</f>
        <v>0</v>
      </c>
      <c r="DA1397" s="72">
        <f>IF(DA1395&gt;$BH1395,$BH1395*DA1396,DA1395*DA1396)</f>
        <v>0</v>
      </c>
      <c r="DB1397" s="72">
        <f>DA1397</f>
        <v>0</v>
      </c>
      <c r="DC1397" s="65"/>
      <c r="DD1397" s="72">
        <f>IF(DD1395&gt;$BH1395,$BH1395*DD1396,DD1395*DD1396)</f>
        <v>0</v>
      </c>
      <c r="DE1397" s="72">
        <f>IF(DE1395&gt;$BH1395,$BH1395*DE1396,DE1395*DE1396)</f>
        <v>0</v>
      </c>
      <c r="DF1397" s="72">
        <f>DE1397</f>
        <v>0</v>
      </c>
      <c r="DG1397" s="65"/>
      <c r="DH1397" s="72">
        <f>IF(DH1395&gt;$BH1395,$BH1395*DH1396,DH1395*DH1396)</f>
        <v>0</v>
      </c>
      <c r="DI1397" s="72">
        <f>IF(DI1395&gt;$BH1395,$BH1395*DI1396,DI1395*DI1396)</f>
        <v>0</v>
      </c>
      <c r="DJ1397" s="72">
        <f>DI1397</f>
        <v>0</v>
      </c>
      <c r="DK1397" s="65"/>
      <c r="DL1397" s="72">
        <f>IF(DL1395&gt;$BH1395,$BH1395*DL1396,DL1395*DL1396)</f>
        <v>0</v>
      </c>
      <c r="DM1397" s="72">
        <f>IF(DM1395&gt;$BH1395,$BH1395*DM1396,DM1395*DM1396)</f>
        <v>0</v>
      </c>
      <c r="DN1397" s="72">
        <f>DM1397</f>
        <v>0</v>
      </c>
      <c r="DO1397" s="65"/>
      <c r="DP1397" s="72">
        <f>IF(DP1395&gt;$BH1395,$BH1395*DP1396,DP1395*DP1396)</f>
        <v>0</v>
      </c>
      <c r="DQ1397" s="72">
        <f>IF(DQ1395&gt;$BH1395,$BH1395*DQ1396,DQ1395*DQ1396)</f>
        <v>0</v>
      </c>
      <c r="DR1397" s="72">
        <f>DQ1397</f>
        <v>0</v>
      </c>
      <c r="DS1397" s="65"/>
      <c r="DT1397" s="65"/>
      <c r="DU1397" s="65"/>
      <c r="DV1397" s="65"/>
    </row>
    <row r="1398" spans="1:128" s="20" customFormat="1" ht="13.8">
      <c r="A1398" s="325" t="s">
        <v>380</v>
      </c>
      <c r="B1398" s="324"/>
      <c r="C1398" s="325"/>
      <c r="D1398" s="325"/>
      <c r="E1398" s="325"/>
      <c r="F1398" s="325"/>
      <c r="G1398" s="325"/>
      <c r="H1398" s="325"/>
      <c r="I1398" s="325"/>
      <c r="J1398" s="325"/>
      <c r="K1398" s="325"/>
      <c r="L1398" s="325"/>
      <c r="M1398" s="325"/>
      <c r="N1398" s="325"/>
      <c r="O1398" s="325"/>
      <c r="P1398" s="325"/>
      <c r="Q1398" s="325"/>
      <c r="R1398" s="325"/>
      <c r="S1398" s="325"/>
      <c r="T1398" s="325"/>
      <c r="U1398" s="325"/>
      <c r="V1398" s="325"/>
      <c r="W1398" s="325"/>
      <c r="X1398" s="325"/>
      <c r="Y1398" s="325"/>
      <c r="Z1398" s="325"/>
      <c r="AA1398" s="325"/>
      <c r="AB1398" s="325"/>
      <c r="AC1398" s="325"/>
      <c r="AD1398" s="325"/>
      <c r="AE1398" s="325"/>
      <c r="AF1398" s="325"/>
      <c r="AG1398" s="325"/>
      <c r="AH1398" s="325"/>
      <c r="AI1398" s="325"/>
      <c r="AJ1398" s="325"/>
      <c r="AK1398" s="325"/>
      <c r="AL1398" s="325"/>
      <c r="AM1398" s="325"/>
      <c r="AN1398" s="325"/>
      <c r="AO1398" s="325"/>
      <c r="AP1398" s="325"/>
      <c r="AQ1398" s="325"/>
      <c r="AR1398" s="325"/>
      <c r="AS1398" s="325"/>
      <c r="AT1398" s="325"/>
      <c r="AU1398" s="325"/>
      <c r="AV1398" s="325"/>
      <c r="AW1398" s="325"/>
      <c r="AX1398" s="325"/>
      <c r="AY1398" s="325"/>
      <c r="AZ1398" s="325"/>
      <c r="BA1398" s="325"/>
      <c r="BB1398" s="325"/>
      <c r="BC1398" s="325"/>
      <c r="BD1398" s="325"/>
      <c r="BE1398" s="325"/>
      <c r="BF1398" s="325"/>
      <c r="BG1398" s="325"/>
      <c r="BH1398" s="355">
        <f>+BH1397/BH1395</f>
        <v>1</v>
      </c>
      <c r="BI1398" s="355">
        <f>+BI1397/BI1395</f>
        <v>0.86149732620320862</v>
      </c>
      <c r="BJ1398" s="355">
        <f>BI1398</f>
        <v>0.86149732620320862</v>
      </c>
      <c r="BK1398" s="326"/>
      <c r="BL1398" s="355">
        <f>+BL1397/BL1395</f>
        <v>1</v>
      </c>
      <c r="BM1398" s="355">
        <f>+BM1397/BM1395</f>
        <v>1</v>
      </c>
      <c r="BN1398" s="355">
        <f>BM1398</f>
        <v>1</v>
      </c>
      <c r="BO1398" s="326"/>
      <c r="BP1398" s="355" t="str">
        <f>IF(BP1395=0,"na",BP1397/BP1395)</f>
        <v>na</v>
      </c>
      <c r="BQ1398" s="355" t="str">
        <f>IF(BQ1395=0,"na",BQ1397/BQ1395)</f>
        <v>na</v>
      </c>
      <c r="BR1398" s="355" t="str">
        <f>IF(BR1395=0,"na",BR1397/BR1395)</f>
        <v>na</v>
      </c>
      <c r="BS1398" s="326"/>
      <c r="BT1398" s="355" t="str">
        <f>IF(BT1395=0,"na",BT1397/BT1395)</f>
        <v>na</v>
      </c>
      <c r="BU1398" s="355" t="str">
        <f>IF(BU1395=0,"na",BU1397/BU1395)</f>
        <v>na</v>
      </c>
      <c r="BV1398" s="355" t="str">
        <f>IF(BV1395=0,"na",BV1397/BV1395)</f>
        <v>na</v>
      </c>
      <c r="BW1398" s="326"/>
      <c r="BX1398" s="355" t="str">
        <f>IF(BX1395=0,"na",BX1397/BX1395)</f>
        <v>na</v>
      </c>
      <c r="BY1398" s="355" t="str">
        <f>IF(BY1395=0,"na",BY1397/BY1395)</f>
        <v>na</v>
      </c>
      <c r="BZ1398" s="355" t="str">
        <f>IF(BZ1395=0,"na",BZ1397/BZ1395)</f>
        <v>na</v>
      </c>
      <c r="CA1398" s="326"/>
      <c r="CB1398" s="355" t="str">
        <f>IF(CB1395=0,"na",CB1397/CB1395)</f>
        <v>na</v>
      </c>
      <c r="CC1398" s="355" t="str">
        <f>IF(CC1395=0,"na",CC1397/CC1395)</f>
        <v>na</v>
      </c>
      <c r="CD1398" s="355" t="str">
        <f>IF(CD1395=0,"na",CD1397/CD1395)</f>
        <v>na</v>
      </c>
      <c r="CE1398" s="326"/>
      <c r="CF1398" s="355" t="str">
        <f>IF(CF1395=0,"na",CF1397/CF1395)</f>
        <v>na</v>
      </c>
      <c r="CG1398" s="355" t="str">
        <f>IF(CG1395=0,"na",CG1397/CG1395)</f>
        <v>na</v>
      </c>
      <c r="CH1398" s="355" t="str">
        <f>IF(CH1395=0,"na",CH1397/CH1395)</f>
        <v>na</v>
      </c>
      <c r="CI1398" s="326"/>
      <c r="CJ1398" s="355" t="str">
        <f>IF(CJ1395=0,"na",CJ1397/CJ1395)</f>
        <v>na</v>
      </c>
      <c r="CK1398" s="355" t="str">
        <f>IF(CK1395=0,"na",CK1397/CK1395)</f>
        <v>na</v>
      </c>
      <c r="CL1398" s="355" t="str">
        <f>IF(CL1395=0,"na",CL1397/CL1395)</f>
        <v>na</v>
      </c>
      <c r="CM1398" s="326"/>
      <c r="CN1398" s="355" t="str">
        <f>IF(CN1395=0,"na",CN1397/CN1395)</f>
        <v>na</v>
      </c>
      <c r="CO1398" s="355" t="str">
        <f>IF(CO1395=0,"na",CO1397/CO1395)</f>
        <v>na</v>
      </c>
      <c r="CP1398" s="355" t="str">
        <f>IF(CP1395=0,"na",CP1397/CP1395)</f>
        <v>na</v>
      </c>
      <c r="CQ1398" s="326"/>
      <c r="CR1398" s="355" t="str">
        <f>IF(CR1395=0,"na",CR1397/CR1395)</f>
        <v>na</v>
      </c>
      <c r="CS1398" s="355" t="str">
        <f>IF(CS1395=0,"na",CS1397/CS1395)</f>
        <v>na</v>
      </c>
      <c r="CT1398" s="355" t="str">
        <f>IF(CT1395=0,"na",CT1397/CT1395)</f>
        <v>na</v>
      </c>
      <c r="CU1398" s="326"/>
      <c r="CV1398" s="355" t="str">
        <f>IF(CV1395=0,"na",CV1397/CV1395)</f>
        <v>na</v>
      </c>
      <c r="CW1398" s="355" t="str">
        <f>IF(CW1395=0,"na",CW1397/CW1395)</f>
        <v>na</v>
      </c>
      <c r="CX1398" s="355" t="str">
        <f>IF(CX1395=0,"na",CX1397/CX1395)</f>
        <v>na</v>
      </c>
      <c r="CY1398" s="326"/>
      <c r="CZ1398" s="355" t="str">
        <f>IF(CZ1395=0,"na",CZ1397/CZ1395)</f>
        <v>na</v>
      </c>
      <c r="DA1398" s="355" t="str">
        <f>IF(DA1395=0,"na",DA1397/DA1395)</f>
        <v>na</v>
      </c>
      <c r="DB1398" s="355" t="str">
        <f>IF(DB1395=0,"na",DB1397/DB1395)</f>
        <v>na</v>
      </c>
      <c r="DC1398" s="326"/>
      <c r="DD1398" s="355" t="str">
        <f>IF(DD1395=0,"na",DD1397/DD1395)</f>
        <v>na</v>
      </c>
      <c r="DE1398" s="355" t="str">
        <f>IF(DE1395=0,"na",DE1397/DE1395)</f>
        <v>na</v>
      </c>
      <c r="DF1398" s="355" t="str">
        <f>IF(DF1395=0,"na",DF1397/DF1395)</f>
        <v>na</v>
      </c>
      <c r="DG1398" s="326"/>
      <c r="DH1398" s="355" t="str">
        <f>IF(DH1395=0,"na",DH1397/DH1395)</f>
        <v>na</v>
      </c>
      <c r="DI1398" s="355" t="str">
        <f>IF(DI1395=0,"na",DI1397/DI1395)</f>
        <v>na</v>
      </c>
      <c r="DJ1398" s="355" t="str">
        <f>IF(DJ1395=0,"na",DJ1397/DJ1395)</f>
        <v>na</v>
      </c>
      <c r="DK1398" s="326"/>
      <c r="DL1398" s="355" t="str">
        <f>IF(DL1395=0,"na",DL1397/DL1395)</f>
        <v>na</v>
      </c>
      <c r="DM1398" s="355" t="str">
        <f>IF(DM1395=0,"na",DM1397/DM1395)</f>
        <v>na</v>
      </c>
      <c r="DN1398" s="355" t="str">
        <f>IF(DN1395=0,"na",DN1397/DN1395)</f>
        <v>na</v>
      </c>
      <c r="DO1398" s="326"/>
      <c r="DP1398" s="355" t="str">
        <f>IF(DP1395=0,"na",DP1397/DP1395)</f>
        <v>na</v>
      </c>
      <c r="DQ1398" s="355" t="str">
        <f>IF(DQ1395=0,"na",DQ1397/DQ1395)</f>
        <v>na</v>
      </c>
      <c r="DR1398" s="355" t="str">
        <f>IF(DR1395=0,"na",DR1397/DR1395)</f>
        <v>na</v>
      </c>
      <c r="DS1398" s="326"/>
      <c r="DT1398" s="326"/>
      <c r="DU1398" s="326"/>
      <c r="DV1398" s="326"/>
    </row>
    <row r="1399" spans="1:128" s="20" customFormat="1" ht="13.8">
      <c r="B1399" s="49"/>
      <c r="BH1399" s="65"/>
      <c r="BI1399" s="49"/>
      <c r="BJ1399" s="49"/>
      <c r="BK1399" s="49"/>
      <c r="BL1399" s="49"/>
      <c r="BM1399" s="49"/>
      <c r="BN1399" s="49"/>
      <c r="BO1399" s="49"/>
      <c r="BP1399" s="49"/>
      <c r="BQ1399" s="412"/>
      <c r="BR1399" s="49"/>
      <c r="BS1399" s="49"/>
      <c r="BT1399" s="412"/>
      <c r="BU1399" s="412"/>
      <c r="BV1399" s="49"/>
      <c r="BW1399" s="49"/>
      <c r="BX1399" s="412"/>
      <c r="BY1399" s="412"/>
      <c r="BZ1399" s="49"/>
      <c r="CA1399" s="49"/>
      <c r="CB1399" s="412"/>
      <c r="CC1399" s="412"/>
      <c r="CD1399" s="49"/>
      <c r="CE1399" s="49"/>
      <c r="CF1399" s="412"/>
      <c r="CG1399" s="412"/>
      <c r="CH1399" s="49"/>
      <c r="CI1399" s="49"/>
      <c r="CJ1399" s="412"/>
      <c r="CK1399" s="412"/>
      <c r="CL1399" s="49"/>
      <c r="CM1399" s="49"/>
      <c r="CN1399" s="412"/>
      <c r="CO1399" s="412"/>
      <c r="CP1399" s="49"/>
      <c r="CQ1399" s="49"/>
      <c r="CR1399" s="412"/>
      <c r="CS1399" s="412"/>
      <c r="CT1399" s="49"/>
      <c r="CU1399" s="49"/>
      <c r="CV1399" s="412"/>
      <c r="CW1399" s="412"/>
      <c r="CX1399" s="49"/>
      <c r="CY1399" s="49"/>
      <c r="CZ1399" s="412"/>
      <c r="DA1399" s="412"/>
      <c r="DB1399" s="49"/>
      <c r="DC1399" s="49"/>
      <c r="DD1399" s="412"/>
      <c r="DE1399" s="412"/>
      <c r="DF1399" s="49"/>
      <c r="DG1399" s="49"/>
      <c r="DH1399" s="412"/>
      <c r="DI1399" s="412"/>
      <c r="DJ1399" s="49"/>
      <c r="DK1399" s="49"/>
      <c r="DL1399" s="412"/>
      <c r="DM1399" s="412"/>
      <c r="DN1399" s="49"/>
      <c r="DO1399" s="49"/>
      <c r="DP1399" s="412"/>
      <c r="DQ1399" s="412"/>
      <c r="DR1399" s="49"/>
      <c r="DS1399" s="49"/>
      <c r="DT1399" s="49"/>
      <c r="DU1399" s="49"/>
      <c r="DV1399" s="49"/>
    </row>
    <row r="1400" spans="1:128" s="418" customFormat="1" ht="13.8">
      <c r="A1400" s="359" t="s">
        <v>528</v>
      </c>
      <c r="B1400" s="360"/>
      <c r="C1400" s="359"/>
      <c r="D1400" s="359"/>
      <c r="E1400" s="359"/>
      <c r="F1400" s="359"/>
      <c r="G1400" s="359"/>
      <c r="H1400" s="359"/>
      <c r="I1400" s="359"/>
      <c r="J1400" s="359"/>
      <c r="K1400" s="359"/>
      <c r="L1400" s="359"/>
      <c r="M1400" s="359"/>
      <c r="N1400" s="359"/>
      <c r="O1400" s="359"/>
      <c r="P1400" s="359"/>
      <c r="Q1400" s="359"/>
      <c r="R1400" s="359"/>
      <c r="S1400" s="359"/>
      <c r="T1400" s="359"/>
      <c r="U1400" s="359"/>
      <c r="V1400" s="359"/>
      <c r="W1400" s="359"/>
      <c r="X1400" s="359"/>
      <c r="Y1400" s="359"/>
      <c r="Z1400" s="359"/>
      <c r="AA1400" s="359"/>
      <c r="AB1400" s="359"/>
      <c r="AC1400" s="359"/>
      <c r="AD1400" s="359"/>
      <c r="AE1400" s="359"/>
      <c r="AF1400" s="359"/>
      <c r="AG1400" s="359"/>
      <c r="AH1400" s="359"/>
      <c r="AI1400" s="359"/>
      <c r="AJ1400" s="359"/>
      <c r="AK1400" s="359"/>
      <c r="AL1400" s="359"/>
      <c r="AM1400" s="359"/>
      <c r="AN1400" s="359"/>
      <c r="AO1400" s="359"/>
      <c r="AP1400" s="359"/>
      <c r="AQ1400" s="359"/>
      <c r="AR1400" s="359"/>
      <c r="AS1400" s="359"/>
      <c r="AT1400" s="359"/>
      <c r="AU1400" s="359"/>
      <c r="AV1400" s="359"/>
      <c r="AW1400" s="359"/>
      <c r="AX1400" s="359"/>
      <c r="AY1400" s="359"/>
      <c r="AZ1400" s="359"/>
      <c r="BA1400" s="359"/>
      <c r="BB1400" s="359"/>
      <c r="BC1400" s="359"/>
      <c r="BD1400" s="359"/>
      <c r="BE1400" s="359"/>
      <c r="BF1400" s="359"/>
      <c r="BG1400" s="359"/>
      <c r="BH1400" s="360"/>
      <c r="BI1400" s="360"/>
      <c r="BJ1400" s="360"/>
      <c r="BK1400" s="360"/>
      <c r="BL1400" s="360"/>
      <c r="BM1400" s="360"/>
      <c r="BN1400" s="360"/>
      <c r="BO1400" s="360"/>
      <c r="BP1400" s="360"/>
      <c r="BQ1400" s="359"/>
      <c r="BR1400" s="359"/>
      <c r="BS1400" s="359"/>
      <c r="BT1400" s="360"/>
      <c r="BU1400" s="359"/>
      <c r="BV1400" s="359"/>
      <c r="BW1400" s="359"/>
      <c r="BX1400" s="360"/>
      <c r="BY1400" s="359"/>
      <c r="BZ1400" s="359"/>
      <c r="CA1400" s="359"/>
      <c r="CB1400" s="360"/>
      <c r="CC1400" s="359"/>
      <c r="CD1400" s="359"/>
      <c r="CE1400" s="359"/>
      <c r="CF1400" s="360"/>
      <c r="CG1400" s="359"/>
      <c r="CH1400" s="359"/>
      <c r="CI1400" s="359"/>
      <c r="CJ1400" s="840"/>
      <c r="CK1400" s="359"/>
      <c r="CL1400" s="359"/>
      <c r="CM1400" s="359"/>
      <c r="CN1400" s="840"/>
      <c r="CO1400" s="359"/>
      <c r="CP1400" s="359"/>
      <c r="CQ1400" s="359"/>
      <c r="CR1400" s="360"/>
      <c r="CS1400" s="359"/>
      <c r="CT1400" s="359"/>
      <c r="CU1400" s="359"/>
      <c r="CV1400" s="360"/>
      <c r="CW1400" s="359"/>
      <c r="CX1400" s="359"/>
      <c r="CY1400" s="359"/>
      <c r="CZ1400" s="360"/>
      <c r="DA1400" s="359"/>
      <c r="DB1400" s="359"/>
      <c r="DC1400" s="359"/>
      <c r="DD1400" s="360"/>
      <c r="DE1400" s="359"/>
      <c r="DF1400" s="359"/>
      <c r="DG1400" s="359"/>
      <c r="DH1400" s="360"/>
      <c r="DI1400" s="359"/>
      <c r="DJ1400" s="359"/>
      <c r="DK1400" s="359"/>
      <c r="DL1400" s="360"/>
      <c r="DM1400" s="359"/>
      <c r="DN1400" s="359"/>
      <c r="DO1400" s="359"/>
      <c r="DP1400" s="360"/>
      <c r="DQ1400" s="359"/>
      <c r="DR1400" s="359"/>
      <c r="DS1400" s="359"/>
      <c r="DT1400" s="744"/>
      <c r="DU1400" s="744"/>
      <c r="DV1400" s="744"/>
      <c r="DW1400" s="20"/>
      <c r="DX1400" s="20"/>
    </row>
    <row r="1401" spans="1:128" s="20" customFormat="1" ht="13.8">
      <c r="B1401" s="49"/>
      <c r="BH1401" s="49"/>
      <c r="BI1401" s="49"/>
      <c r="BJ1401" s="49"/>
      <c r="BK1401" s="49"/>
      <c r="BL1401" s="49"/>
      <c r="BM1401" s="49"/>
      <c r="BN1401" s="49"/>
      <c r="BO1401" s="49"/>
      <c r="BP1401" s="49"/>
      <c r="BQ1401" s="28"/>
      <c r="BT1401" s="49"/>
      <c r="BX1401" s="49"/>
      <c r="CB1401" s="49"/>
      <c r="CF1401" s="49"/>
      <c r="CJ1401" s="77"/>
      <c r="CN1401" s="77"/>
      <c r="CR1401" s="49"/>
      <c r="CV1401" s="49"/>
      <c r="CZ1401" s="49"/>
      <c r="DD1401" s="49"/>
      <c r="DH1401" s="49"/>
      <c r="DL1401" s="49"/>
      <c r="DP1401" s="49"/>
      <c r="DW1401"/>
      <c r="DX1401"/>
    </row>
    <row r="1402" spans="1:128" s="20" customFormat="1" ht="13.8">
      <c r="A1402" s="20" t="s">
        <v>535</v>
      </c>
      <c r="B1402" s="49"/>
      <c r="BD1402" s="67"/>
      <c r="BE1402" s="67"/>
      <c r="BF1402" s="65"/>
      <c r="BH1402" s="67">
        <v>274978</v>
      </c>
      <c r="BI1402" s="67">
        <v>287651</v>
      </c>
      <c r="BJ1402" s="65">
        <f>BI1402</f>
        <v>287651</v>
      </c>
      <c r="BK1402" s="49"/>
      <c r="BL1402" s="67">
        <v>305328</v>
      </c>
      <c r="BM1402" s="67">
        <v>308885</v>
      </c>
      <c r="BN1402" s="65">
        <f>BM1402</f>
        <v>308885</v>
      </c>
      <c r="BO1402" s="49"/>
      <c r="BP1402" s="67">
        <v>339697</v>
      </c>
      <c r="BQ1402" s="67">
        <v>349751</v>
      </c>
      <c r="BR1402" s="65">
        <f>BQ1402</f>
        <v>349751</v>
      </c>
      <c r="BS1402" s="75">
        <f>BR1402/BN1402-1</f>
        <v>0.13230166566845258</v>
      </c>
      <c r="BT1402" s="67">
        <v>334308</v>
      </c>
      <c r="BU1402" s="67">
        <v>352033</v>
      </c>
      <c r="BV1402" s="65">
        <f>BU1402</f>
        <v>352033</v>
      </c>
      <c r="BW1402" s="75">
        <f>BV1402/BR1402-1</f>
        <v>6.5246418166067244E-3</v>
      </c>
      <c r="BX1402" s="67">
        <v>341809</v>
      </c>
      <c r="BY1402" s="67">
        <v>336834</v>
      </c>
      <c r="BZ1402" s="65">
        <f>BY1402</f>
        <v>336834</v>
      </c>
      <c r="CA1402" s="75">
        <f>BZ1402/BV1402-1</f>
        <v>-4.317492962307512E-2</v>
      </c>
      <c r="CB1402" s="67">
        <v>342822</v>
      </c>
      <c r="CC1402" s="67">
        <v>337580</v>
      </c>
      <c r="CD1402" s="65">
        <f>CC1402</f>
        <v>337580</v>
      </c>
      <c r="CE1402" s="75">
        <f>CD1402/BZ1402-1</f>
        <v>2.2147407922004092E-3</v>
      </c>
      <c r="CF1402" s="67">
        <v>345523</v>
      </c>
      <c r="CG1402" s="67">
        <v>358106</v>
      </c>
      <c r="CH1402" s="65">
        <f>CG1402</f>
        <v>358106</v>
      </c>
      <c r="CI1402" s="75">
        <f>CH1402/CD1402-1</f>
        <v>6.0803365128265785E-2</v>
      </c>
      <c r="CJ1402" s="67">
        <v>385997</v>
      </c>
      <c r="CK1402" s="67">
        <v>360037</v>
      </c>
      <c r="CL1402" s="65">
        <f>CK1402</f>
        <v>360037</v>
      </c>
      <c r="CM1402" s="75">
        <f>CL1402/CH1402-1</f>
        <v>5.3922581581988815E-3</v>
      </c>
      <c r="CN1402" s="67">
        <v>341862</v>
      </c>
      <c r="CO1402" s="67">
        <v>342498</v>
      </c>
      <c r="CP1402" s="65">
        <f>CO1402</f>
        <v>342498</v>
      </c>
      <c r="CQ1402" s="75">
        <f>CP1402/CL1402-1</f>
        <v>-4.871443768279371E-2</v>
      </c>
      <c r="CR1402" s="67">
        <v>348817</v>
      </c>
      <c r="CS1402" s="67">
        <v>359442</v>
      </c>
      <c r="CT1402" s="65">
        <f>CS1402</f>
        <v>359442</v>
      </c>
      <c r="CU1402" s="75">
        <f>CT1402/CP1402-1</f>
        <v>4.9471821733265697E-2</v>
      </c>
      <c r="CV1402" s="67">
        <v>345294</v>
      </c>
      <c r="CW1402" s="67">
        <v>349041</v>
      </c>
      <c r="CX1402" s="65">
        <f>CW1402</f>
        <v>349041</v>
      </c>
      <c r="CY1402" s="75">
        <f>CX1402/CT1402-1</f>
        <v>-2.8936518269985112E-2</v>
      </c>
      <c r="CZ1402" s="67">
        <v>348447</v>
      </c>
      <c r="DA1402" s="67">
        <v>361185</v>
      </c>
      <c r="DB1402" s="65">
        <f>DA1402</f>
        <v>361185</v>
      </c>
      <c r="DC1402" s="75">
        <f>DB1402/CX1402-1</f>
        <v>3.4792474236551074E-2</v>
      </c>
      <c r="DD1402" s="67">
        <v>378081</v>
      </c>
      <c r="DE1402" s="67">
        <v>369583</v>
      </c>
      <c r="DF1402" s="65">
        <f>DE1402</f>
        <v>369583</v>
      </c>
      <c r="DG1402" s="75">
        <f>DF1402/DB1402-1</f>
        <v>2.325124243808574E-2</v>
      </c>
      <c r="DH1402" s="65">
        <f ca="1">DH1422</f>
        <v>371411.66461772221</v>
      </c>
      <c r="DI1402" s="65">
        <f ca="1">DI1422</f>
        <v>378929.84977178671</v>
      </c>
      <c r="DJ1402" s="65">
        <f ca="1">DI1402</f>
        <v>378929.84977178671</v>
      </c>
      <c r="DK1402" s="75">
        <f ca="1">DJ1402/DF1402-1</f>
        <v>2.5290258945315891E-2</v>
      </c>
      <c r="DL1402" s="65">
        <f ca="1">DL1422</f>
        <v>386383.71564999397</v>
      </c>
      <c r="DM1402" s="65">
        <f ca="1">DM1422</f>
        <v>395103.82086026511</v>
      </c>
      <c r="DN1402" s="65">
        <f ca="1">DM1402</f>
        <v>395103.82086026511</v>
      </c>
      <c r="DO1402" s="75">
        <f ca="1">DN1402/DJ1402-1</f>
        <v>4.2683285833035489E-2</v>
      </c>
      <c r="DP1402" s="65">
        <f ca="1">DP1422</f>
        <v>402535.63656090334</v>
      </c>
      <c r="DQ1402" s="65">
        <f ca="1">DQ1422</f>
        <v>411019.5747267743</v>
      </c>
      <c r="DR1402" s="65">
        <f ca="1">DQ1402</f>
        <v>411019.5747267743</v>
      </c>
      <c r="DS1402" s="75">
        <f ca="1">DR1402/DN1402-1</f>
        <v>4.0282460017358357E-2</v>
      </c>
      <c r="DT1402" s="65">
        <v>372550.41263329348</v>
      </c>
      <c r="DU1402" s="65">
        <f>DT1402-5000</f>
        <v>367550.41263329348</v>
      </c>
      <c r="DV1402" s="75"/>
      <c r="DW1402"/>
      <c r="DX1402"/>
    </row>
    <row r="1403" spans="1:128" s="20" customFormat="1" ht="13.8">
      <c r="A1403" s="20" t="s">
        <v>355</v>
      </c>
      <c r="B1403" s="49"/>
      <c r="BD1403" s="67"/>
      <c r="BE1403" s="67"/>
      <c r="BF1403" s="65"/>
      <c r="BH1403" s="67">
        <v>6850</v>
      </c>
      <c r="BI1403" s="67">
        <v>4303</v>
      </c>
      <c r="BJ1403" s="65">
        <f>BI1403</f>
        <v>4303</v>
      </c>
      <c r="BK1403" s="49"/>
      <c r="BL1403" s="67">
        <v>7104</v>
      </c>
      <c r="BM1403" s="67">
        <v>7048</v>
      </c>
      <c r="BN1403" s="65">
        <f>BM1403</f>
        <v>7048</v>
      </c>
      <c r="BO1403" s="49"/>
      <c r="BP1403" s="67">
        <v>6042</v>
      </c>
      <c r="BQ1403" s="67">
        <v>6868</v>
      </c>
      <c r="BR1403" s="65">
        <f>BQ1403</f>
        <v>6868</v>
      </c>
      <c r="BS1403" s="92"/>
      <c r="BT1403" s="67">
        <v>6059</v>
      </c>
      <c r="BU1403" s="67">
        <v>6188</v>
      </c>
      <c r="BV1403" s="65">
        <f>BU1403</f>
        <v>6188</v>
      </c>
      <c r="BW1403" s="75">
        <f>BV1403/BR1403-1</f>
        <v>-9.9009900990098987E-2</v>
      </c>
      <c r="BX1403" s="67">
        <v>6323</v>
      </c>
      <c r="BY1403" s="67">
        <v>5363</v>
      </c>
      <c r="BZ1403" s="65">
        <f>BY1403</f>
        <v>5363</v>
      </c>
      <c r="CA1403" s="75">
        <f>BZ1403/BV1403-1</f>
        <v>-0.133322559793148</v>
      </c>
      <c r="CB1403" s="67">
        <v>6558</v>
      </c>
      <c r="CC1403" s="67">
        <v>6808</v>
      </c>
      <c r="CD1403" s="65">
        <f>CC1403</f>
        <v>6808</v>
      </c>
      <c r="CE1403" s="75">
        <f>CD1403/BZ1403-1</f>
        <v>0.26943874696997949</v>
      </c>
      <c r="CF1403" s="67">
        <v>5790</v>
      </c>
      <c r="CG1403" s="67">
        <v>5307</v>
      </c>
      <c r="CH1403" s="65">
        <f>CG1403</f>
        <v>5307</v>
      </c>
      <c r="CI1403" s="75">
        <f>CH1403/CD1403-1</f>
        <v>-0.22047591069330197</v>
      </c>
      <c r="CJ1403" s="67">
        <v>7102</v>
      </c>
      <c r="CK1403" s="67">
        <v>8237</v>
      </c>
      <c r="CL1403" s="65">
        <f>CK1403</f>
        <v>8237</v>
      </c>
      <c r="CM1403" s="75">
        <f>CL1403/CH1403-1</f>
        <v>0.55210099868098728</v>
      </c>
      <c r="CN1403" s="67">
        <v>8955</v>
      </c>
      <c r="CO1403" s="67">
        <v>7127</v>
      </c>
      <c r="CP1403" s="65">
        <f>CO1403</f>
        <v>7127</v>
      </c>
      <c r="CQ1403" s="75">
        <f>CP1403/CL1403-1</f>
        <v>-0.13475780016996475</v>
      </c>
      <c r="CR1403" s="67">
        <v>7705</v>
      </c>
      <c r="CS1403" s="67">
        <v>9282</v>
      </c>
      <c r="CT1403" s="65">
        <f>CS1403</f>
        <v>9282</v>
      </c>
      <c r="CU1403" s="75">
        <f>CT1403/CP1403-1</f>
        <v>0.30237126420653859</v>
      </c>
      <c r="CV1403" s="67">
        <v>11737</v>
      </c>
      <c r="CW1403" s="67">
        <v>10264</v>
      </c>
      <c r="CX1403" s="65">
        <f>CW1403</f>
        <v>10264</v>
      </c>
      <c r="CY1403" s="75">
        <f>CX1403/CT1403-1</f>
        <v>0.1057961646196941</v>
      </c>
      <c r="CZ1403" s="67">
        <v>11863</v>
      </c>
      <c r="DA1403" s="67">
        <v>7823</v>
      </c>
      <c r="DB1403" s="65">
        <f>DA1403</f>
        <v>7823</v>
      </c>
      <c r="DC1403" s="75">
        <f>DB1403/CX1403-1</f>
        <v>-0.23782151208106006</v>
      </c>
      <c r="DD1403" s="67">
        <v>6854</v>
      </c>
      <c r="DE1403" s="67">
        <v>6895</v>
      </c>
      <c r="DF1403" s="65">
        <f>DE1403</f>
        <v>6895</v>
      </c>
      <c r="DG1403" s="75">
        <f>DF1403/DB1403-1</f>
        <v>-0.11862456857982873</v>
      </c>
      <c r="DH1403" s="65">
        <f ca="1">+DH1485*DH1488</f>
        <v>7573.0374106223044</v>
      </c>
      <c r="DI1403" s="65">
        <f ca="1">+DI1485*DI1488</f>
        <v>7736.967078137357</v>
      </c>
      <c r="DJ1403" s="65">
        <f ca="1">DI1403</f>
        <v>7736.967078137357</v>
      </c>
      <c r="DK1403" s="75">
        <f ca="1">DJ1403/DF1403-1</f>
        <v>0.12211270168779653</v>
      </c>
      <c r="DL1403" s="65">
        <f ca="1">+DL1485*DL1488</f>
        <v>7908.9268445345197</v>
      </c>
      <c r="DM1403" s="65">
        <f ca="1">+DM1485*DM1488</f>
        <v>8099.8049751752478</v>
      </c>
      <c r="DN1403" s="65">
        <f ca="1">DM1403</f>
        <v>8099.8049751752478</v>
      </c>
      <c r="DO1403" s="75">
        <f ca="1">DN1403/DJ1403-1</f>
        <v>4.6896657743726866E-2</v>
      </c>
      <c r="DP1403" s="65">
        <f ca="1">+DP1485*DP1488</f>
        <v>8261.9165700931553</v>
      </c>
      <c r="DQ1403" s="65">
        <f ca="1">+DQ1485*DQ1488</f>
        <v>8440.083492664935</v>
      </c>
      <c r="DR1403" s="65">
        <f ca="1">DQ1403</f>
        <v>8440.083492664935</v>
      </c>
      <c r="DS1403" s="75">
        <f ca="1">DR1403/DN1403-1</f>
        <v>4.2010705014823513E-2</v>
      </c>
      <c r="DT1403" s="65">
        <v>6939.5732877318933</v>
      </c>
      <c r="DU1403" s="65"/>
      <c r="DV1403" s="75"/>
      <c r="DW1403"/>
      <c r="DX1403"/>
    </row>
    <row r="1404" spans="1:128" s="20" customFormat="1" ht="13.8">
      <c r="A1404" s="20" t="s">
        <v>381</v>
      </c>
      <c r="B1404" s="49"/>
      <c r="BD1404" s="67"/>
      <c r="BE1404" s="67"/>
      <c r="BF1404" s="65"/>
      <c r="BH1404" s="67">
        <v>12629</v>
      </c>
      <c r="BI1404" s="67">
        <v>18287</v>
      </c>
      <c r="BJ1404" s="65">
        <f>BI1404</f>
        <v>18287</v>
      </c>
      <c r="BK1404" s="49"/>
      <c r="BL1404" s="67">
        <v>16359</v>
      </c>
      <c r="BM1404" s="67">
        <v>13627</v>
      </c>
      <c r="BN1404" s="65">
        <f>BM1404</f>
        <v>13627</v>
      </c>
      <c r="BO1404" s="49"/>
      <c r="BP1404" s="67">
        <v>7690</v>
      </c>
      <c r="BQ1404" s="67">
        <v>7433</v>
      </c>
      <c r="BR1404" s="65">
        <f>BQ1404</f>
        <v>7433</v>
      </c>
      <c r="BS1404" s="92"/>
      <c r="BT1404" s="67">
        <v>10280</v>
      </c>
      <c r="BU1404" s="67">
        <v>11700</v>
      </c>
      <c r="BV1404" s="65">
        <f>BU1404</f>
        <v>11700</v>
      </c>
      <c r="BW1404" s="75">
        <f>BV1404/BR1404-1</f>
        <v>0.57406161711287496</v>
      </c>
      <c r="BX1404" s="67">
        <v>10332</v>
      </c>
      <c r="BY1404" s="67">
        <v>11611</v>
      </c>
      <c r="BZ1404" s="65">
        <f>BY1404</f>
        <v>11611</v>
      </c>
      <c r="CA1404" s="75">
        <f>BZ1404/BV1404-1</f>
        <v>-7.6068376068375576E-3</v>
      </c>
      <c r="CB1404" s="67">
        <v>9019</v>
      </c>
      <c r="CC1404" s="67">
        <v>8814</v>
      </c>
      <c r="CD1404" s="65">
        <f>CC1404</f>
        <v>8814</v>
      </c>
      <c r="CE1404" s="75">
        <f>CD1404/BZ1404-1</f>
        <v>-0.24089225734217556</v>
      </c>
      <c r="CF1404" s="67">
        <v>7245</v>
      </c>
      <c r="CG1404" s="67">
        <v>6922</v>
      </c>
      <c r="CH1404" s="65">
        <f>CG1404</f>
        <v>6922</v>
      </c>
      <c r="CI1404" s="75">
        <f>CH1404/CD1404-1</f>
        <v>-0.21465849784433855</v>
      </c>
      <c r="CJ1404" s="67">
        <v>8011</v>
      </c>
      <c r="CK1404" s="67">
        <v>13547</v>
      </c>
      <c r="CL1404" s="65">
        <f>CK1404</f>
        <v>13547</v>
      </c>
      <c r="CM1404" s="75">
        <f>CL1404/CH1404-1</f>
        <v>0.95709332562843108</v>
      </c>
      <c r="CN1404" s="67">
        <v>10150</v>
      </c>
      <c r="CO1404" s="67">
        <v>18036</v>
      </c>
      <c r="CP1404" s="65">
        <f>CO1404</f>
        <v>18036</v>
      </c>
      <c r="CQ1404" s="75">
        <f>CP1404/CL1404-1</f>
        <v>0.3313648778327305</v>
      </c>
      <c r="CR1404" s="67">
        <v>33402</v>
      </c>
      <c r="CS1404" s="67">
        <v>38063</v>
      </c>
      <c r="CT1404" s="65">
        <f>CS1404</f>
        <v>38063</v>
      </c>
      <c r="CU1404" s="75">
        <f>CT1404/CP1404-1</f>
        <v>1.1103903304502105</v>
      </c>
      <c r="CV1404" s="67">
        <v>31887</v>
      </c>
      <c r="CW1404" s="67">
        <v>31703</v>
      </c>
      <c r="CX1404" s="65">
        <f>CW1404</f>
        <v>31703</v>
      </c>
      <c r="CY1404" s="75">
        <f>CX1404/CT1404-1</f>
        <v>-0.16709140109817933</v>
      </c>
      <c r="CZ1404" s="67">
        <v>26200</v>
      </c>
      <c r="DA1404" s="67">
        <v>23052</v>
      </c>
      <c r="DB1404" s="65">
        <f>DA1404</f>
        <v>23052</v>
      </c>
      <c r="DC1404" s="75">
        <f>DB1404/CX1404-1</f>
        <v>-0.2728763839384285</v>
      </c>
      <c r="DD1404" s="67">
        <v>21357</v>
      </c>
      <c r="DE1404" s="67">
        <v>24797</v>
      </c>
      <c r="DF1404" s="65">
        <f>DE1404</f>
        <v>24797</v>
      </c>
      <c r="DG1404" s="75">
        <f>DF1404/DB1404-1</f>
        <v>7.5698420961304969E-2</v>
      </c>
      <c r="DH1404" s="65">
        <f ca="1">+DH1486*DH1488</f>
        <v>26766.770158234012</v>
      </c>
      <c r="DI1404" s="65">
        <f ca="1">+DI1486*DI1488</f>
        <v>27346.176741692387</v>
      </c>
      <c r="DJ1404" s="65">
        <f ca="1">DI1404</f>
        <v>27346.176741692387</v>
      </c>
      <c r="DK1404" s="75">
        <f ca="1">DJ1404/DF1404-1</f>
        <v>0.10280182044974739</v>
      </c>
      <c r="DL1404" s="65">
        <f ca="1">+DL1486*DL1488</f>
        <v>27953.965571199598</v>
      </c>
      <c r="DM1404" s="65">
        <f ca="1">+DM1486*DM1488</f>
        <v>28628.621032947001</v>
      </c>
      <c r="DN1404" s="65">
        <f ca="1">DM1404</f>
        <v>28628.621032947001</v>
      </c>
      <c r="DO1404" s="75">
        <f ca="1">DN1404/DJ1404-1</f>
        <v>4.6896657743726866E-2</v>
      </c>
      <c r="DP1404" s="65">
        <f ca="1">+DP1486*DP1488</f>
        <v>29201.601670156844</v>
      </c>
      <c r="DQ1404" s="65">
        <f ca="1">+DQ1486*DQ1488</f>
        <v>29831.329586143311</v>
      </c>
      <c r="DR1404" s="65">
        <f ca="1">DQ1404</f>
        <v>29831.329586143311</v>
      </c>
      <c r="DS1404" s="75">
        <f ca="1">DR1404/DN1404-1</f>
        <v>4.2010705014823513E-2</v>
      </c>
      <c r="DT1404" s="65">
        <v>26762.6118311992</v>
      </c>
      <c r="DU1404" s="65"/>
      <c r="DV1404" s="75"/>
      <c r="DW1404"/>
      <c r="DX1404"/>
    </row>
    <row r="1405" spans="1:128" s="20" customFormat="1" ht="13.8">
      <c r="A1405" s="20" t="s">
        <v>382</v>
      </c>
      <c r="B1405" s="49"/>
      <c r="BD1405" s="67"/>
      <c r="BE1405" s="67"/>
      <c r="BF1405" s="65"/>
      <c r="BH1405" s="67">
        <v>28125</v>
      </c>
      <c r="BI1405" s="67">
        <v>29024</v>
      </c>
      <c r="BJ1405" s="65">
        <f>BI1405</f>
        <v>29024</v>
      </c>
      <c r="BK1405" s="49"/>
      <c r="BL1405" s="67">
        <v>31949</v>
      </c>
      <c r="BM1405" s="67">
        <v>31969</v>
      </c>
      <c r="BN1405" s="65">
        <f>BM1405</f>
        <v>31969</v>
      </c>
      <c r="BO1405" s="49"/>
      <c r="BP1405" s="67">
        <v>33434</v>
      </c>
      <c r="BQ1405" s="67">
        <v>37885</v>
      </c>
      <c r="BR1405" s="65">
        <f>BQ1405</f>
        <v>37885</v>
      </c>
      <c r="BS1405" s="92"/>
      <c r="BT1405" s="67">
        <v>37688</v>
      </c>
      <c r="BU1405" s="67">
        <v>38661</v>
      </c>
      <c r="BV1405" s="65">
        <f>BU1405</f>
        <v>38661</v>
      </c>
      <c r="BW1405" s="75">
        <f>BV1405/BR1405-1</f>
        <v>2.0483040781311912E-2</v>
      </c>
      <c r="BX1405" s="67">
        <v>38576</v>
      </c>
      <c r="BY1405" s="67">
        <v>37305</v>
      </c>
      <c r="BZ1405" s="65">
        <f>BY1405</f>
        <v>37305</v>
      </c>
      <c r="CA1405" s="75">
        <f>BZ1405/BV1405-1</f>
        <v>-3.507410568790259E-2</v>
      </c>
      <c r="CB1405" s="67">
        <v>37378</v>
      </c>
      <c r="CC1405" s="67">
        <v>37618</v>
      </c>
      <c r="CD1405" s="65">
        <f>CC1405</f>
        <v>37618</v>
      </c>
      <c r="CE1405" s="75">
        <f>CD1405/BZ1405-1</f>
        <v>8.390296206942871E-3</v>
      </c>
      <c r="CF1405" s="67">
        <v>37733</v>
      </c>
      <c r="CG1405" s="67">
        <v>46626</v>
      </c>
      <c r="CH1405" s="65">
        <f>CG1405</f>
        <v>46626</v>
      </c>
      <c r="CI1405" s="75">
        <f>CH1405/CD1405-1</f>
        <v>0.23945983305864216</v>
      </c>
      <c r="CJ1405" s="67">
        <v>47902</v>
      </c>
      <c r="CK1405" s="67">
        <v>47563</v>
      </c>
      <c r="CL1405" s="65">
        <f>CK1405</f>
        <v>47563</v>
      </c>
      <c r="CM1405" s="75">
        <f>CL1405/CH1405-1</f>
        <v>2.0096083730107628E-2</v>
      </c>
      <c r="CN1405" s="67">
        <v>47199</v>
      </c>
      <c r="CO1405" s="67">
        <v>48425</v>
      </c>
      <c r="CP1405" s="65">
        <f>CO1405</f>
        <v>48425</v>
      </c>
      <c r="CQ1405" s="75">
        <f>CP1405/CL1405-1</f>
        <v>1.8123331160776246E-2</v>
      </c>
      <c r="CR1405" s="67">
        <v>47986</v>
      </c>
      <c r="CS1405" s="67">
        <v>47931</v>
      </c>
      <c r="CT1405" s="65">
        <f>CS1405</f>
        <v>47931</v>
      </c>
      <c r="CU1405" s="75">
        <f>CT1405/CP1405-1</f>
        <v>-1.0201342281879189E-2</v>
      </c>
      <c r="CV1405" s="67">
        <v>42319</v>
      </c>
      <c r="CW1405" s="67">
        <v>42319</v>
      </c>
      <c r="CX1405" s="65">
        <f>CW1405</f>
        <v>42319</v>
      </c>
      <c r="CY1405" s="75">
        <f>CX1405/CT1405-1</f>
        <v>-0.11708497632012682</v>
      </c>
      <c r="CZ1405" s="67">
        <v>43274</v>
      </c>
      <c r="DA1405" s="67">
        <v>49650</v>
      </c>
      <c r="DB1405" s="65">
        <f>DA1405</f>
        <v>49650</v>
      </c>
      <c r="DC1405" s="75">
        <f>DB1405/CX1405-1</f>
        <v>0.17323188166071968</v>
      </c>
      <c r="DD1405" s="67">
        <v>50648</v>
      </c>
      <c r="DE1405" s="67">
        <v>53773</v>
      </c>
      <c r="DF1405" s="65">
        <f>DE1405</f>
        <v>53773</v>
      </c>
      <c r="DG1405" s="75">
        <f>DF1405/DB1405-1</f>
        <v>8.3041289023162213E-2</v>
      </c>
      <c r="DH1405" s="65">
        <f ca="1">+DH1487*DH1488</f>
        <v>54129.029093341283</v>
      </c>
      <c r="DI1405" s="65">
        <f ca="1">+DI1487*DI1488</f>
        <v>55300.732501241764</v>
      </c>
      <c r="DJ1405" s="65">
        <f ca="1">DI1405</f>
        <v>55300.732501241764</v>
      </c>
      <c r="DK1405" s="75">
        <f ca="1">DJ1405/DF1405-1</f>
        <v>2.8410773087641727E-2</v>
      </c>
      <c r="DL1405" s="65">
        <f ca="1">+DL1487*DL1488</f>
        <v>53180.714989111431</v>
      </c>
      <c r="DM1405" s="65">
        <f ca="1">+DM1487*DM1488</f>
        <v>51531.5178593046</v>
      </c>
      <c r="DN1405" s="65">
        <f ca="1">DM1405</f>
        <v>51531.5178593046</v>
      </c>
      <c r="DO1405" s="75">
        <f ca="1">DN1405/DJ1405-1</f>
        <v>-6.8158493955799315E-2</v>
      </c>
      <c r="DP1405" s="65">
        <f ca="1">+DP1487*DP1488</f>
        <v>55554.266592005704</v>
      </c>
      <c r="DQ1405" s="65">
        <f ca="1">+DQ1487*DQ1488</f>
        <v>53696.393255057956</v>
      </c>
      <c r="DR1405" s="65">
        <f ca="1">DQ1405</f>
        <v>53696.393255057956</v>
      </c>
      <c r="DS1405" s="75">
        <f ca="1">DR1405/DN1405-1</f>
        <v>4.2010705014823513E-2</v>
      </c>
      <c r="DT1405" s="65">
        <v>54120.61992765875</v>
      </c>
      <c r="DU1405" s="65"/>
      <c r="DV1405" s="75"/>
      <c r="DW1405"/>
      <c r="DX1405"/>
    </row>
    <row r="1406" spans="1:128" s="20" customFormat="1" ht="13.8">
      <c r="A1406" s="20" t="s">
        <v>1132</v>
      </c>
      <c r="B1406" s="49"/>
      <c r="BD1406" s="67"/>
      <c r="BE1406" s="67"/>
      <c r="BF1406" s="65"/>
      <c r="BH1406" s="67"/>
      <c r="BI1406" s="67"/>
      <c r="BJ1406" s="65"/>
      <c r="BK1406" s="49"/>
      <c r="BL1406" s="67"/>
      <c r="BM1406" s="67"/>
      <c r="BN1406" s="65"/>
      <c r="BO1406" s="49"/>
      <c r="BP1406" s="67"/>
      <c r="BQ1406" s="67"/>
      <c r="BR1406" s="65"/>
      <c r="BS1406" s="92"/>
      <c r="BT1406" s="67"/>
      <c r="BU1406" s="67"/>
      <c r="BV1406" s="65"/>
      <c r="BW1406" s="75"/>
      <c r="BX1406" s="67"/>
      <c r="BY1406" s="67"/>
      <c r="BZ1406" s="65"/>
      <c r="CA1406" s="75"/>
      <c r="CB1406" s="67"/>
      <c r="CC1406" s="67"/>
      <c r="CD1406" s="65"/>
      <c r="CE1406" s="75"/>
      <c r="CF1406" s="67"/>
      <c r="CG1406" s="67"/>
      <c r="CH1406" s="65"/>
      <c r="CI1406" s="75"/>
      <c r="CJ1406" s="67"/>
      <c r="CK1406" s="67"/>
      <c r="CL1406" s="65"/>
      <c r="CM1406" s="75"/>
      <c r="CN1406" s="67"/>
      <c r="CO1406" s="67"/>
      <c r="CP1406" s="65"/>
      <c r="CQ1406" s="75"/>
      <c r="CR1406" s="67"/>
      <c r="CS1406" s="67"/>
      <c r="CT1406" s="65"/>
      <c r="CU1406" s="75"/>
      <c r="CV1406" s="67">
        <f>CV1512</f>
        <v>4277.0249999999651</v>
      </c>
      <c r="CW1406" s="67">
        <v>0</v>
      </c>
      <c r="CX1406" s="65">
        <f>CW1406</f>
        <v>0</v>
      </c>
      <c r="CY1406" s="75"/>
      <c r="CZ1406" s="67">
        <v>2995</v>
      </c>
      <c r="DA1406" s="67">
        <v>4872</v>
      </c>
      <c r="DB1406" s="65">
        <f>DA1406</f>
        <v>4872</v>
      </c>
      <c r="DC1406" s="75"/>
      <c r="DD1406" s="67">
        <v>12059</v>
      </c>
      <c r="DE1406" s="67">
        <v>3499</v>
      </c>
      <c r="DF1406" s="65">
        <f>DE1406</f>
        <v>3499</v>
      </c>
      <c r="DG1406" s="75"/>
      <c r="DH1406" s="65">
        <f ca="1">DH1512</f>
        <v>7685.1338588709477</v>
      </c>
      <c r="DI1406" s="65">
        <f ca="1">DI1512</f>
        <v>7744.2616905855248</v>
      </c>
      <c r="DJ1406" s="65">
        <f ca="1">DI1406</f>
        <v>7744.2616905855248</v>
      </c>
      <c r="DK1406" s="75"/>
      <c r="DL1406" s="65">
        <f ca="1">DL1512</f>
        <v>8637.56827892398</v>
      </c>
      <c r="DM1406" s="65">
        <f ca="1">DM1512</f>
        <v>9527.1126542300917</v>
      </c>
      <c r="DN1406" s="65">
        <f ca="1">DM1406</f>
        <v>9527.1126542300917</v>
      </c>
      <c r="DO1406" s="75"/>
      <c r="DP1406" s="65">
        <f ca="1">DP1512</f>
        <v>8796.2844787154463</v>
      </c>
      <c r="DQ1406" s="65">
        <f ca="1">DQ1512</f>
        <v>9784.7903979804832</v>
      </c>
      <c r="DR1406" s="65">
        <f ca="1">DQ1406</f>
        <v>9784.7903979804832</v>
      </c>
      <c r="DS1406" s="75"/>
      <c r="DT1406" s="65">
        <v>373.95397551887436</v>
      </c>
      <c r="DU1406" s="65"/>
      <c r="DV1406" s="75"/>
      <c r="DW1406"/>
      <c r="DX1406"/>
    </row>
    <row r="1407" spans="1:128" s="21" customFormat="1" ht="13.8">
      <c r="A1407" s="21" t="s">
        <v>485</v>
      </c>
      <c r="B1407" s="27"/>
      <c r="BD1407" s="98"/>
      <c r="BE1407" s="98"/>
      <c r="BF1407" s="72"/>
      <c r="BH1407" s="72">
        <f>SUM(BH1402:BH1405)</f>
        <v>322582</v>
      </c>
      <c r="BI1407" s="72">
        <f>SUM(BI1402:BI1405)</f>
        <v>339265</v>
      </c>
      <c r="BJ1407" s="72">
        <f>SUM(BJ1402:BJ1405)</f>
        <v>339265</v>
      </c>
      <c r="BK1407" s="27"/>
      <c r="BL1407" s="72">
        <f>SUM(BL1402:BL1405)</f>
        <v>360740</v>
      </c>
      <c r="BM1407" s="72">
        <f>SUM(BM1402:BM1405)</f>
        <v>361529</v>
      </c>
      <c r="BN1407" s="72">
        <f>SUM(BN1402:BN1405)</f>
        <v>361529</v>
      </c>
      <c r="BO1407" s="27"/>
      <c r="BP1407" s="72">
        <f>SUM(BP1402:BP1405)</f>
        <v>386863</v>
      </c>
      <c r="BQ1407" s="72">
        <f>SUM(BQ1402:BQ1405)</f>
        <v>401937</v>
      </c>
      <c r="BR1407" s="72">
        <f>SUM(BR1402:BR1405)</f>
        <v>401937</v>
      </c>
      <c r="BS1407" s="75">
        <f>BR1407/BN1407-1</f>
        <v>0.11176973354834607</v>
      </c>
      <c r="BT1407" s="72">
        <f>SUM(BT1402:BT1405)</f>
        <v>388335</v>
      </c>
      <c r="BU1407" s="72">
        <f>SUM(BU1402:BU1405)</f>
        <v>408582</v>
      </c>
      <c r="BV1407" s="72">
        <f>SUM(BV1402:BV1405)</f>
        <v>408582</v>
      </c>
      <c r="BW1407" s="75">
        <f>BV1407/BR1407-1</f>
        <v>1.653244165130352E-2</v>
      </c>
      <c r="BX1407" s="72">
        <f>SUM(BX1402:BX1405)</f>
        <v>397040</v>
      </c>
      <c r="BY1407" s="72">
        <f>SUM(BY1402:BY1405)</f>
        <v>391113</v>
      </c>
      <c r="BZ1407" s="72">
        <f>SUM(BZ1402:BZ1405)</f>
        <v>391113</v>
      </c>
      <c r="CA1407" s="75">
        <f>BZ1407/BV1407-1</f>
        <v>-4.2755187453191734E-2</v>
      </c>
      <c r="CB1407" s="72">
        <f>SUM(CB1402:CB1405)</f>
        <v>395777</v>
      </c>
      <c r="CC1407" s="72">
        <f>SUM(CC1402:CC1405)</f>
        <v>390820</v>
      </c>
      <c r="CD1407" s="72">
        <f>SUM(CD1402:CD1405)</f>
        <v>390820</v>
      </c>
      <c r="CE1407" s="75">
        <f>CD1407/BZ1407-1</f>
        <v>-7.4914410924720176E-4</v>
      </c>
      <c r="CF1407" s="72">
        <f>SUM(CF1402:CF1405)</f>
        <v>396291</v>
      </c>
      <c r="CG1407" s="72">
        <f>SUM(CG1402:CG1405)</f>
        <v>416961</v>
      </c>
      <c r="CH1407" s="72">
        <f>SUM(CH1402:CH1405)</f>
        <v>416961</v>
      </c>
      <c r="CI1407" s="75">
        <f>CH1407/CD1407-1</f>
        <v>6.6887569725193163E-2</v>
      </c>
      <c r="CJ1407" s="72">
        <f>SUM(CJ1402:CJ1405)</f>
        <v>449012</v>
      </c>
      <c r="CK1407" s="72">
        <f>SUM(CK1402:CK1405)</f>
        <v>429384</v>
      </c>
      <c r="CL1407" s="72">
        <f>SUM(CL1402:CL1405)</f>
        <v>429384</v>
      </c>
      <c r="CM1407" s="75">
        <f>CL1407/CH1407-1</f>
        <v>2.9794153410031221E-2</v>
      </c>
      <c r="CN1407" s="72">
        <f>SUM(CN1402:CN1405)</f>
        <v>408166</v>
      </c>
      <c r="CO1407" s="72">
        <f>SUM(CO1402:CO1405)</f>
        <v>416086</v>
      </c>
      <c r="CP1407" s="72">
        <f>SUM(CP1402:CP1405)</f>
        <v>416086</v>
      </c>
      <c r="CQ1407" s="75">
        <f>CP1407/CL1407-1</f>
        <v>-3.0969947645929974E-2</v>
      </c>
      <c r="CR1407" s="72">
        <f>SUM(CR1402:CR1405)</f>
        <v>437910</v>
      </c>
      <c r="CS1407" s="72">
        <f>SUM(CS1402:CS1405)</f>
        <v>454718</v>
      </c>
      <c r="CT1407" s="72">
        <f>SUM(CT1402:CT1405)</f>
        <v>454718</v>
      </c>
      <c r="CU1407" s="75">
        <f>CT1407/CP1407-1</f>
        <v>9.28461904510125E-2</v>
      </c>
      <c r="CV1407" s="72">
        <f>SUM(CV1402:CV1406)</f>
        <v>435514.02499999997</v>
      </c>
      <c r="CW1407" s="72">
        <f>SUM(CW1402:CW1406)</f>
        <v>433327</v>
      </c>
      <c r="CX1407" s="72">
        <f>SUM(CX1402:CX1406)</f>
        <v>433327</v>
      </c>
      <c r="CY1407" s="75">
        <f>CX1407/CT1407-1</f>
        <v>-4.7042342726700936E-2</v>
      </c>
      <c r="CZ1407" s="72">
        <f>SUM(CZ1402:CZ1406)</f>
        <v>432779</v>
      </c>
      <c r="DA1407" s="72">
        <f>SUM(DA1402:DA1406)</f>
        <v>446582</v>
      </c>
      <c r="DB1407" s="72">
        <f>SUM(DB1402:DB1406)</f>
        <v>446582</v>
      </c>
      <c r="DC1407" s="75">
        <f>DB1407/CX1407-1</f>
        <v>3.058890860712582E-2</v>
      </c>
      <c r="DD1407" s="72">
        <f>SUM(DD1402:DD1406)</f>
        <v>468999</v>
      </c>
      <c r="DE1407" s="72">
        <f>SUM(DE1402:DE1406)</f>
        <v>458547</v>
      </c>
      <c r="DF1407" s="72">
        <f>SUM(DF1402:DF1406)</f>
        <v>458547</v>
      </c>
      <c r="DG1407" s="75">
        <f>DF1407/DB1407-1</f>
        <v>2.6792391990720699E-2</v>
      </c>
      <c r="DH1407" s="72">
        <f ca="1">SUM(DH1402:DH1406)</f>
        <v>467565.63513879071</v>
      </c>
      <c r="DI1407" s="72">
        <f t="shared" ref="DI1407:DJ1407" ca="1" si="1976">SUM(DI1402:DI1406)</f>
        <v>477057.98778344376</v>
      </c>
      <c r="DJ1407" s="72">
        <f t="shared" ca="1" si="1976"/>
        <v>477057.98778344376</v>
      </c>
      <c r="DK1407" s="75">
        <f ca="1">DJ1407/DF1407-1</f>
        <v>4.0368790513172659E-2</v>
      </c>
      <c r="DL1407" s="72">
        <f ca="1">SUM(DL1402:DL1406)</f>
        <v>484064.89133376349</v>
      </c>
      <c r="DM1407" s="72">
        <f t="shared" ref="DM1407:DN1407" ca="1" si="1977">SUM(DM1402:DM1406)</f>
        <v>492890.87738192204</v>
      </c>
      <c r="DN1407" s="72">
        <f t="shared" ca="1" si="1977"/>
        <v>492890.87738192204</v>
      </c>
      <c r="DO1407" s="75">
        <f ca="1">DN1407/DJ1407-1</f>
        <v>3.3188606005828847E-2</v>
      </c>
      <c r="DP1407" s="72">
        <f ca="1">SUM(DP1402:DP1406)</f>
        <v>504349.70587187452</v>
      </c>
      <c r="DQ1407" s="72">
        <f t="shared" ref="DQ1407:DR1407" ca="1" si="1978">SUM(DQ1402:DQ1406)</f>
        <v>512772.17145862099</v>
      </c>
      <c r="DR1407" s="72">
        <f t="shared" ca="1" si="1978"/>
        <v>512772.17145862099</v>
      </c>
      <c r="DS1407" s="75">
        <f ca="1">DR1407/DN1407-1</f>
        <v>4.0336096667688448E-2</v>
      </c>
      <c r="DT1407" s="72">
        <v>460747.17165540223</v>
      </c>
      <c r="DU1407" s="72"/>
      <c r="DV1407" s="75"/>
      <c r="DW1407"/>
      <c r="DX1407"/>
    </row>
    <row r="1408" spans="1:128" s="20" customFormat="1" ht="13.8">
      <c r="B1408" s="49"/>
      <c r="BD1408" s="67"/>
      <c r="BE1408" s="67"/>
      <c r="BF1408" s="65"/>
      <c r="BH1408" s="67"/>
      <c r="BI1408" s="67"/>
      <c r="BJ1408" s="65"/>
      <c r="BK1408" s="49"/>
      <c r="BL1408" s="67"/>
      <c r="BM1408" s="67"/>
      <c r="BN1408" s="65"/>
      <c r="BO1408" s="49"/>
      <c r="BP1408" s="67"/>
      <c r="BQ1408" s="67"/>
      <c r="BR1408" s="65"/>
      <c r="BS1408" s="49"/>
      <c r="BT1408" s="67"/>
      <c r="BU1408" s="67"/>
      <c r="BV1408" s="65"/>
      <c r="BW1408" s="49"/>
      <c r="BX1408" s="67"/>
      <c r="BY1408" s="67"/>
      <c r="BZ1408" s="65"/>
      <c r="CA1408" s="49"/>
      <c r="CB1408" s="67"/>
      <c r="CC1408" s="67"/>
      <c r="CD1408" s="65"/>
      <c r="CE1408" s="49"/>
      <c r="CF1408" s="67"/>
      <c r="CG1408" s="67"/>
      <c r="CH1408" s="65"/>
      <c r="CI1408" s="49"/>
      <c r="CJ1408" s="67"/>
      <c r="CK1408" s="67"/>
      <c r="CL1408" s="65"/>
      <c r="CM1408" s="49"/>
      <c r="CN1408" s="67"/>
      <c r="CO1408" s="67"/>
      <c r="CP1408" s="65"/>
      <c r="CQ1408" s="65"/>
      <c r="CR1408" s="67"/>
      <c r="CS1408" s="67"/>
      <c r="CT1408" s="65"/>
      <c r="CU1408" s="49"/>
      <c r="CV1408" s="67"/>
      <c r="CW1408" s="67"/>
      <c r="CX1408" s="49"/>
      <c r="CY1408" s="49"/>
      <c r="CZ1408" s="67"/>
      <c r="DA1408" s="67"/>
      <c r="DB1408" s="49"/>
      <c r="DC1408" s="49"/>
      <c r="DD1408" s="67"/>
      <c r="DE1408" s="67"/>
      <c r="DF1408" s="49"/>
      <c r="DG1408" s="66"/>
      <c r="DH1408" s="49"/>
      <c r="DI1408" s="49"/>
      <c r="DJ1408" s="49"/>
      <c r="DK1408" s="49"/>
      <c r="DL1408" s="49"/>
      <c r="DM1408" s="49"/>
      <c r="DN1408" s="49"/>
      <c r="DO1408" s="49"/>
      <c r="DP1408" s="49"/>
      <c r="DQ1408" s="49"/>
      <c r="DR1408" s="49"/>
      <c r="DS1408" s="49"/>
      <c r="DT1408" s="49"/>
      <c r="DU1408" s="49"/>
      <c r="DV1408" s="49"/>
      <c r="DW1408"/>
      <c r="DX1408"/>
    </row>
    <row r="1409" spans="1:128" s="20" customFormat="1" ht="13.8">
      <c r="A1409" s="20" t="s">
        <v>751</v>
      </c>
      <c r="B1409" s="49"/>
      <c r="BD1409" s="67"/>
      <c r="BE1409" s="67"/>
      <c r="BF1409" s="65"/>
      <c r="BH1409" s="67"/>
      <c r="BI1409" s="67"/>
      <c r="BJ1409" s="65"/>
      <c r="BK1409" s="49"/>
      <c r="BL1409" s="67"/>
      <c r="BM1409" s="67"/>
      <c r="BN1409" s="65"/>
      <c r="BO1409" s="49"/>
      <c r="BP1409" s="67"/>
      <c r="BQ1409" s="67"/>
      <c r="BR1409" s="65"/>
      <c r="BS1409" s="49"/>
      <c r="BT1409" s="67"/>
      <c r="BU1409" s="67"/>
      <c r="BV1409" s="65"/>
      <c r="BW1409" s="49"/>
      <c r="BX1409" s="67"/>
      <c r="BY1409" s="67"/>
      <c r="BZ1409" s="65"/>
      <c r="CA1409" s="49"/>
      <c r="CB1409" s="67"/>
      <c r="CC1409" s="67"/>
      <c r="CD1409" s="65"/>
      <c r="CE1409" s="49"/>
      <c r="CF1409" s="65">
        <f>CF1301</f>
        <v>45528</v>
      </c>
      <c r="CG1409" s="65">
        <f>CG1301</f>
        <v>47355</v>
      </c>
      <c r="CH1409" s="65">
        <f>CH1301</f>
        <v>47355</v>
      </c>
      <c r="CI1409" s="49"/>
      <c r="CJ1409" s="65">
        <f>CJ1301</f>
        <v>48331</v>
      </c>
      <c r="CK1409" s="65">
        <f>CK1301</f>
        <v>48702</v>
      </c>
      <c r="CL1409" s="65">
        <f>CL1301</f>
        <v>48702</v>
      </c>
      <c r="CM1409" s="49"/>
      <c r="CN1409" s="65">
        <f>CN1301</f>
        <v>50786</v>
      </c>
      <c r="CO1409" s="65">
        <f>CO1301</f>
        <v>51359</v>
      </c>
      <c r="CP1409" s="65">
        <f>CP1301</f>
        <v>51359</v>
      </c>
      <c r="CQ1409" s="66"/>
      <c r="CR1409" s="65">
        <f>CR1301</f>
        <v>50511</v>
      </c>
      <c r="CS1409" s="65">
        <f>CS1301</f>
        <v>55872</v>
      </c>
      <c r="CT1409" s="65">
        <f>CT1301</f>
        <v>55872</v>
      </c>
      <c r="CU1409" s="49"/>
      <c r="CV1409" s="65">
        <f>CV1301</f>
        <v>57380</v>
      </c>
      <c r="CW1409" s="65">
        <f>CW1301</f>
        <v>57794</v>
      </c>
      <c r="CX1409" s="65">
        <f>CX1301</f>
        <v>57794</v>
      </c>
      <c r="CY1409" s="49"/>
      <c r="CZ1409" s="65">
        <f>CZ1301</f>
        <v>58412</v>
      </c>
      <c r="DA1409" s="65">
        <f>DA1301</f>
        <v>54469</v>
      </c>
      <c r="DB1409" s="65">
        <f>DB1301</f>
        <v>54469</v>
      </c>
      <c r="DC1409" s="49"/>
      <c r="DD1409" s="65">
        <f>DD1301</f>
        <v>55229</v>
      </c>
      <c r="DE1409" s="65">
        <f>DE1301</f>
        <v>55184</v>
      </c>
      <c r="DF1409" s="65">
        <f>DF1301</f>
        <v>55184</v>
      </c>
      <c r="DG1409" s="49"/>
      <c r="DH1409" s="65">
        <f ca="1">DH1301</f>
        <v>58089.377840381232</v>
      </c>
      <c r="DI1409" s="65">
        <f ca="1">DI1301</f>
        <v>59231.745524052021</v>
      </c>
      <c r="DJ1409" s="65">
        <f ca="1">DJ1301</f>
        <v>59231.745524052021</v>
      </c>
      <c r="DK1409" s="49"/>
      <c r="DL1409" s="65">
        <f ca="1">DL1301</f>
        <v>60466.808680109476</v>
      </c>
      <c r="DM1409" s="65">
        <f ca="1">DM1301</f>
        <v>61105.177994769161</v>
      </c>
      <c r="DN1409" s="65">
        <f ca="1">DN1301</f>
        <v>61105.177994769161</v>
      </c>
      <c r="DO1409" s="49"/>
      <c r="DP1409" s="65">
        <f ca="1">DP1301</f>
        <v>61920.766140175816</v>
      </c>
      <c r="DQ1409" s="65">
        <f ca="1">DQ1301</f>
        <v>62744.437929616906</v>
      </c>
      <c r="DR1409" s="65">
        <f ca="1">DR1301</f>
        <v>62744.437929616906</v>
      </c>
      <c r="DS1409" s="49"/>
      <c r="DT1409" s="49"/>
      <c r="DU1409" s="49"/>
      <c r="DV1409" s="49"/>
      <c r="DW1409"/>
      <c r="DX1409"/>
    </row>
    <row r="1410" spans="1:128" s="21" customFormat="1" ht="13.8">
      <c r="A1410" s="21" t="s">
        <v>749</v>
      </c>
      <c r="B1410" s="27"/>
      <c r="BD1410" s="98"/>
      <c r="BE1410" s="98"/>
      <c r="BF1410" s="72"/>
      <c r="BH1410" s="98"/>
      <c r="BI1410" s="98"/>
      <c r="BJ1410" s="72"/>
      <c r="BK1410" s="27"/>
      <c r="BL1410" s="98"/>
      <c r="BM1410" s="98"/>
      <c r="BN1410" s="72"/>
      <c r="BO1410" s="27"/>
      <c r="BP1410" s="98"/>
      <c r="BQ1410" s="98"/>
      <c r="BR1410" s="72"/>
      <c r="BS1410" s="27"/>
      <c r="BT1410" s="98"/>
      <c r="BU1410" s="98"/>
      <c r="BV1410" s="72"/>
      <c r="BW1410" s="27"/>
      <c r="BX1410" s="98"/>
      <c r="BY1410" s="98"/>
      <c r="BZ1410" s="72"/>
      <c r="CA1410" s="27"/>
      <c r="CB1410" s="98"/>
      <c r="CC1410" s="98"/>
      <c r="CD1410" s="72"/>
      <c r="CE1410" s="27"/>
      <c r="CF1410" s="959">
        <f>+CF1409/CF1407</f>
        <v>0.11488527370038684</v>
      </c>
      <c r="CG1410" s="959">
        <f>+CG1409/CG1407</f>
        <v>0.11357177289962371</v>
      </c>
      <c r="CH1410" s="959">
        <f>+CH1409/CH1407</f>
        <v>0.11357177289962371</v>
      </c>
      <c r="CI1410" s="27"/>
      <c r="CJ1410" s="959">
        <f>+CJ1409/CJ1407</f>
        <v>0.10763854863567121</v>
      </c>
      <c r="CK1410" s="959">
        <f>+CK1409/CK1407</f>
        <v>0.11342295008663573</v>
      </c>
      <c r="CL1410" s="959">
        <f>+CL1409/CL1407</f>
        <v>0.11342295008663573</v>
      </c>
      <c r="CM1410" s="27"/>
      <c r="CN1410" s="959">
        <f>+CN1409/CN1407</f>
        <v>0.12442486635339543</v>
      </c>
      <c r="CO1410" s="959">
        <f>+CO1409/CO1407</f>
        <v>0.12343361708877491</v>
      </c>
      <c r="CP1410" s="959">
        <f>+CP1409/CP1407</f>
        <v>0.12343361708877491</v>
      </c>
      <c r="CQ1410" s="27"/>
      <c r="CR1410" s="959">
        <f>+CR1409/CR1407</f>
        <v>0.11534561896280057</v>
      </c>
      <c r="CS1410" s="959">
        <f>+CS1409/CS1407</f>
        <v>0.12287175788070848</v>
      </c>
      <c r="CT1410" s="959">
        <f>+CT1409/CT1407</f>
        <v>0.12287175788070848</v>
      </c>
      <c r="CU1410" s="27"/>
      <c r="CV1410" s="959">
        <f>+CV1409/CV1407</f>
        <v>0.13175235860659137</v>
      </c>
      <c r="CW1410" s="959">
        <f>+CW1409/CW1407</f>
        <v>0.13337271852434765</v>
      </c>
      <c r="CX1410" s="959">
        <f>+CX1409/CX1407</f>
        <v>0.13337271852434765</v>
      </c>
      <c r="CY1410" s="27"/>
      <c r="CZ1410" s="959">
        <f>+CZ1409/CZ1407</f>
        <v>0.1349695803169747</v>
      </c>
      <c r="DA1410" s="959">
        <f>+DA1409/DA1407</f>
        <v>0.12196864181718027</v>
      </c>
      <c r="DB1410" s="959">
        <f>+DB1409/DB1407</f>
        <v>0.12196864181718027</v>
      </c>
      <c r="DC1410" s="27"/>
      <c r="DD1410" s="959">
        <f>+DD1409/DD1407</f>
        <v>0.11775931291964375</v>
      </c>
      <c r="DE1410" s="959">
        <f>+DE1409/DE1407</f>
        <v>0.12034535173057506</v>
      </c>
      <c r="DF1410" s="959">
        <f>+DF1409/DF1407</f>
        <v>0.12034535173057506</v>
      </c>
      <c r="DG1410" s="27"/>
      <c r="DH1410" s="959">
        <f ca="1">+DH1409/DH1407</f>
        <v>0.12423791116115317</v>
      </c>
      <c r="DI1410" s="959">
        <f ca="1">+DI1409/DI1407</f>
        <v>0.12416047323567664</v>
      </c>
      <c r="DJ1410" s="959">
        <f ca="1">+DJ1409/DJ1407</f>
        <v>0.12416047323567664</v>
      </c>
      <c r="DK1410" s="27"/>
      <c r="DL1410" s="959">
        <f ca="1">+DL1409/DL1407</f>
        <v>0.12491467520708401</v>
      </c>
      <c r="DM1410" s="959">
        <f ca="1">+DM1409/DM1407</f>
        <v>0.12397303500389423</v>
      </c>
      <c r="DN1410" s="959">
        <f ca="1">+DN1409/DN1407</f>
        <v>0.12397303500389423</v>
      </c>
      <c r="DO1410" s="27"/>
      <c r="DP1410" s="959">
        <f ca="1">+DP1409/DP1407</f>
        <v>0.12277347526778618</v>
      </c>
      <c r="DQ1410" s="959">
        <f ca="1">+DQ1409/DQ1407</f>
        <v>0.12236318860895939</v>
      </c>
      <c r="DR1410" s="959">
        <f ca="1">+DR1409/DR1407</f>
        <v>0.12236318860895939</v>
      </c>
      <c r="DS1410" s="27"/>
      <c r="DT1410" s="27"/>
      <c r="DU1410" s="27"/>
      <c r="DV1410" s="27"/>
      <c r="DW1410"/>
      <c r="DX1410"/>
    </row>
    <row r="1411" spans="1:128" s="20" customFormat="1" ht="13.8">
      <c r="B1411" s="49"/>
      <c r="BD1411" s="67"/>
      <c r="BE1411" s="67"/>
      <c r="BF1411" s="65"/>
      <c r="BH1411" s="67"/>
      <c r="BI1411" s="67"/>
      <c r="BJ1411" s="65"/>
      <c r="BK1411" s="49"/>
      <c r="BL1411" s="67"/>
      <c r="BM1411" s="67"/>
      <c r="BN1411" s="65"/>
      <c r="BO1411" s="49"/>
      <c r="BP1411" s="67"/>
      <c r="BQ1411" s="67"/>
      <c r="BR1411" s="65"/>
      <c r="BS1411" s="49"/>
      <c r="BT1411" s="67"/>
      <c r="BU1411" s="67"/>
      <c r="BV1411" s="65"/>
      <c r="BW1411" s="49"/>
      <c r="BX1411" s="67"/>
      <c r="BY1411" s="67"/>
      <c r="BZ1411" s="65"/>
      <c r="CA1411" s="49"/>
      <c r="CB1411" s="67"/>
      <c r="CC1411" s="67"/>
      <c r="CD1411" s="65"/>
      <c r="CE1411" s="49"/>
      <c r="CF1411" s="67"/>
      <c r="CG1411" s="67"/>
      <c r="CH1411" s="65"/>
      <c r="CI1411" s="49"/>
      <c r="CJ1411" s="67"/>
      <c r="CK1411" s="67"/>
      <c r="CL1411" s="65"/>
      <c r="CM1411" s="49"/>
      <c r="CN1411" s="67"/>
      <c r="CO1411" s="67"/>
      <c r="CP1411" s="65"/>
      <c r="CQ1411" s="49"/>
      <c r="CR1411" s="67"/>
      <c r="CS1411" s="67"/>
      <c r="CT1411" s="65"/>
      <c r="CU1411" s="49"/>
      <c r="CV1411" s="67"/>
      <c r="CW1411" s="67"/>
      <c r="CX1411" s="49"/>
      <c r="CY1411" s="49"/>
      <c r="CZ1411" s="67"/>
      <c r="DA1411" s="67"/>
      <c r="DB1411" s="49"/>
      <c r="DC1411" s="49"/>
      <c r="DD1411" s="67"/>
      <c r="DE1411" s="67"/>
      <c r="DF1411" s="49"/>
      <c r="DG1411" s="49"/>
      <c r="DH1411" s="65"/>
      <c r="DI1411" s="65"/>
      <c r="DJ1411" s="65"/>
      <c r="DK1411" s="49"/>
      <c r="DL1411" s="65"/>
      <c r="DM1411" s="65"/>
      <c r="DN1411" s="65"/>
      <c r="DO1411" s="49"/>
      <c r="DP1411" s="65"/>
      <c r="DQ1411" s="65"/>
      <c r="DR1411" s="65"/>
      <c r="DS1411" s="49"/>
      <c r="DT1411" s="49"/>
      <c r="DU1411" s="49"/>
      <c r="DV1411" s="49"/>
      <c r="DW1411"/>
      <c r="DX1411"/>
    </row>
    <row r="1412" spans="1:128" s="20" customFormat="1" ht="13.8">
      <c r="A1412" s="20" t="s">
        <v>1190</v>
      </c>
      <c r="B1412" s="49"/>
      <c r="BD1412" s="67"/>
      <c r="BE1412" s="67"/>
      <c r="BF1412" s="65"/>
      <c r="BH1412" s="67"/>
      <c r="BI1412" s="67"/>
      <c r="BJ1412" s="65"/>
      <c r="BK1412" s="49"/>
      <c r="BL1412" s="67"/>
      <c r="BM1412" s="67"/>
      <c r="BN1412" s="65"/>
      <c r="BO1412" s="49"/>
      <c r="BP1412" s="67"/>
      <c r="BQ1412" s="67"/>
      <c r="BR1412" s="65"/>
      <c r="BS1412" s="49"/>
      <c r="BT1412" s="67"/>
      <c r="BU1412" s="67"/>
      <c r="BV1412" s="65"/>
      <c r="BW1412" s="49"/>
      <c r="BX1412" s="67"/>
      <c r="BY1412" s="67"/>
      <c r="BZ1412" s="65"/>
      <c r="CA1412" s="49"/>
      <c r="CB1412" s="67"/>
      <c r="CC1412" s="67"/>
      <c r="CD1412" s="65"/>
      <c r="CE1412" s="49"/>
      <c r="CF1412" s="67"/>
      <c r="CG1412" s="67"/>
      <c r="CH1412" s="65"/>
      <c r="CI1412" s="49"/>
      <c r="CJ1412" s="67"/>
      <c r="CK1412" s="67"/>
      <c r="CL1412" s="65"/>
      <c r="CM1412" s="49"/>
      <c r="CN1412" s="67"/>
      <c r="CO1412" s="67"/>
      <c r="CP1412" s="65"/>
      <c r="CQ1412" s="49"/>
      <c r="CR1412" s="67"/>
      <c r="CS1412" s="67"/>
      <c r="CT1412" s="65"/>
      <c r="CU1412" s="49"/>
      <c r="CV1412" s="67">
        <v>86726</v>
      </c>
      <c r="CW1412" s="67">
        <v>96290</v>
      </c>
      <c r="CX1412" s="65">
        <f t="shared" ref="CX1412:CX1422" si="1979">CW1412</f>
        <v>96290</v>
      </c>
      <c r="CY1412" s="49"/>
      <c r="CZ1412" s="67">
        <v>101338</v>
      </c>
      <c r="DA1412" s="67">
        <v>90924</v>
      </c>
      <c r="DB1412" s="65">
        <f t="shared" ref="DB1412:DB1422" si="1980">DA1412</f>
        <v>90924</v>
      </c>
      <c r="DC1412" s="49"/>
      <c r="DD1412" s="67">
        <v>94747</v>
      </c>
      <c r="DE1412" s="67">
        <v>94135</v>
      </c>
      <c r="DF1412" s="65">
        <f t="shared" ref="DF1412:DF1422" si="1981">DE1412</f>
        <v>94135</v>
      </c>
      <c r="DG1412" s="49"/>
      <c r="DH1412" s="65">
        <f t="shared" ref="DH1412:DI1412" si="1982">+DH1432*DH1464</f>
        <v>95547.024999999994</v>
      </c>
      <c r="DI1412" s="65">
        <f t="shared" si="1982"/>
        <v>97935.700624999983</v>
      </c>
      <c r="DJ1412" s="65">
        <f t="shared" ref="DJ1412:DJ1413" si="1983">DI1412</f>
        <v>97935.700624999983</v>
      </c>
      <c r="DK1412" s="49"/>
      <c r="DL1412" s="65">
        <f t="shared" ref="DL1412:DM1412" si="1984">+DL1432*DL1464</f>
        <v>100873.77164374998</v>
      </c>
      <c r="DM1412" s="65">
        <f t="shared" si="1984"/>
        <v>103899.9847930625</v>
      </c>
      <c r="DN1412" s="65">
        <f t="shared" ref="DN1412:DN1422" si="1985">DM1412</f>
        <v>103899.9847930625</v>
      </c>
      <c r="DO1412" s="49"/>
      <c r="DP1412" s="65">
        <f t="shared" ref="DP1412:DQ1412" si="1986">+DP1432*DP1464</f>
        <v>106497.48441288905</v>
      </c>
      <c r="DQ1412" s="65">
        <f t="shared" si="1986"/>
        <v>109159.92152321126</v>
      </c>
      <c r="DR1412" s="65">
        <f t="shared" ref="DR1412:DR1422" si="1987">DQ1412</f>
        <v>109159.92152321126</v>
      </c>
      <c r="DS1412" s="49"/>
      <c r="DT1412" s="49"/>
      <c r="DU1412" s="49"/>
      <c r="DV1412" s="49"/>
      <c r="DW1412"/>
      <c r="DX1412"/>
    </row>
    <row r="1413" spans="1:128" s="20" customFormat="1" ht="13.8">
      <c r="A1413" s="20" t="s">
        <v>1189</v>
      </c>
      <c r="B1413" s="49"/>
      <c r="BD1413" s="67"/>
      <c r="BE1413" s="67"/>
      <c r="BF1413" s="65"/>
      <c r="BH1413" s="67"/>
      <c r="BI1413" s="67"/>
      <c r="BJ1413" s="65"/>
      <c r="BK1413" s="49"/>
      <c r="BL1413" s="67"/>
      <c r="BM1413" s="67"/>
      <c r="BN1413" s="65"/>
      <c r="BO1413" s="49"/>
      <c r="BP1413" s="67"/>
      <c r="BQ1413" s="67"/>
      <c r="BR1413" s="65"/>
      <c r="BS1413" s="49"/>
      <c r="BT1413" s="67"/>
      <c r="BU1413" s="67"/>
      <c r="BV1413" s="65"/>
      <c r="BW1413" s="49"/>
      <c r="BX1413" s="67"/>
      <c r="BY1413" s="67"/>
      <c r="BZ1413" s="65"/>
      <c r="CA1413" s="49"/>
      <c r="CB1413" s="67"/>
      <c r="CC1413" s="67"/>
      <c r="CD1413" s="65"/>
      <c r="CE1413" s="49"/>
      <c r="CF1413" s="67"/>
      <c r="CG1413" s="67"/>
      <c r="CH1413" s="65"/>
      <c r="CI1413" s="49"/>
      <c r="CJ1413" s="67"/>
      <c r="CK1413" s="67"/>
      <c r="CL1413" s="65"/>
      <c r="CM1413" s="49"/>
      <c r="CN1413" s="67"/>
      <c r="CO1413" s="67"/>
      <c r="CP1413" s="65"/>
      <c r="CQ1413" s="49"/>
      <c r="CR1413" s="67"/>
      <c r="CS1413" s="67"/>
      <c r="CT1413" s="65"/>
      <c r="CU1413" s="49"/>
      <c r="CV1413" s="67">
        <v>1809</v>
      </c>
      <c r="CW1413" s="67">
        <v>2065</v>
      </c>
      <c r="CX1413" s="65">
        <f t="shared" si="1979"/>
        <v>2065</v>
      </c>
      <c r="CY1413" s="49"/>
      <c r="CZ1413" s="67">
        <v>1853</v>
      </c>
      <c r="DA1413" s="67">
        <v>21987</v>
      </c>
      <c r="DB1413" s="65">
        <f t="shared" si="1980"/>
        <v>21987</v>
      </c>
      <c r="DC1413" s="49"/>
      <c r="DD1413" s="67">
        <v>21970</v>
      </c>
      <c r="DE1413" s="67">
        <v>22407</v>
      </c>
      <c r="DF1413" s="65">
        <f t="shared" si="1981"/>
        <v>22407</v>
      </c>
      <c r="DG1413" s="49"/>
      <c r="DH1413" s="65">
        <f t="shared" ref="DH1413:DI1413" si="1988">+DH1433*DH1465</f>
        <v>22743.105000000003</v>
      </c>
      <c r="DI1413" s="65">
        <f t="shared" si="1988"/>
        <v>23311.682624999998</v>
      </c>
      <c r="DJ1413" s="65">
        <f t="shared" si="1983"/>
        <v>23311.682624999998</v>
      </c>
      <c r="DK1413" s="49"/>
      <c r="DL1413" s="65">
        <f t="shared" ref="DL1413:DM1413" si="1989">+DL1433*DL1465</f>
        <v>24011.03310375</v>
      </c>
      <c r="DM1413" s="65">
        <f t="shared" si="1989"/>
        <v>24731.3640968625</v>
      </c>
      <c r="DN1413" s="65">
        <f t="shared" si="1985"/>
        <v>24731.3640968625</v>
      </c>
      <c r="DO1413" s="49"/>
      <c r="DP1413" s="65">
        <f t="shared" ref="DP1413:DQ1413" si="1990">+DP1433*DP1465</f>
        <v>25349.648199284064</v>
      </c>
      <c r="DQ1413" s="65">
        <f t="shared" si="1990"/>
        <v>25983.38940426616</v>
      </c>
      <c r="DR1413" s="65">
        <f t="shared" si="1987"/>
        <v>25983.38940426616</v>
      </c>
      <c r="DS1413" s="49"/>
      <c r="DT1413" s="49"/>
      <c r="DU1413" s="49"/>
      <c r="DV1413" s="49"/>
      <c r="DW1413"/>
      <c r="DX1413"/>
    </row>
    <row r="1414" spans="1:128" s="20" customFormat="1" ht="13.8">
      <c r="A1414" s="21" t="s">
        <v>1154</v>
      </c>
      <c r="B1414" s="27"/>
      <c r="C1414" s="21"/>
      <c r="D1414" s="21"/>
      <c r="E1414" s="21"/>
      <c r="F1414" s="21"/>
      <c r="G1414" s="21"/>
      <c r="H1414" s="21"/>
      <c r="I1414" s="21"/>
      <c r="J1414" s="21"/>
      <c r="K1414" s="21"/>
      <c r="L1414" s="21"/>
      <c r="M1414" s="21"/>
      <c r="N1414" s="21"/>
      <c r="O1414" s="21"/>
      <c r="P1414" s="21"/>
      <c r="Q1414" s="21"/>
      <c r="R1414" s="21"/>
      <c r="S1414" s="21"/>
      <c r="T1414" s="21"/>
      <c r="U1414" s="21"/>
      <c r="V1414" s="21"/>
      <c r="W1414" s="21"/>
      <c r="X1414" s="21"/>
      <c r="Y1414" s="21"/>
      <c r="Z1414" s="21"/>
      <c r="AA1414" s="21"/>
      <c r="AB1414" s="21"/>
      <c r="AC1414" s="21"/>
      <c r="AD1414" s="21"/>
      <c r="AE1414" s="21"/>
      <c r="AF1414" s="21"/>
      <c r="AG1414" s="21"/>
      <c r="AH1414" s="21"/>
      <c r="AI1414" s="21"/>
      <c r="AJ1414" s="21"/>
      <c r="AK1414" s="21"/>
      <c r="AL1414" s="21"/>
      <c r="AM1414" s="21"/>
      <c r="AN1414" s="21"/>
      <c r="AO1414" s="21"/>
      <c r="AP1414" s="21"/>
      <c r="AQ1414" s="21"/>
      <c r="AR1414" s="21"/>
      <c r="AS1414" s="21"/>
      <c r="AT1414" s="21"/>
      <c r="AU1414" s="21"/>
      <c r="AV1414" s="21"/>
      <c r="AW1414" s="21"/>
      <c r="AX1414" s="21"/>
      <c r="AY1414" s="21"/>
      <c r="AZ1414" s="21"/>
      <c r="BA1414" s="21"/>
      <c r="BB1414" s="21"/>
      <c r="BC1414" s="21"/>
      <c r="BD1414" s="21"/>
      <c r="BE1414" s="98"/>
      <c r="BF1414" s="72"/>
      <c r="BG1414" s="21"/>
      <c r="BH1414" s="21"/>
      <c r="BI1414" s="21"/>
      <c r="BJ1414" s="21"/>
      <c r="BK1414" s="21"/>
      <c r="BL1414" s="21"/>
      <c r="BM1414" s="21"/>
      <c r="BN1414" s="21"/>
      <c r="BO1414" s="21"/>
      <c r="BP1414" s="21"/>
      <c r="BQ1414" s="21"/>
      <c r="BR1414" s="21"/>
      <c r="BS1414" s="21"/>
      <c r="BT1414" s="21"/>
      <c r="BU1414" s="21"/>
      <c r="BV1414" s="21"/>
      <c r="BW1414" s="21"/>
      <c r="BX1414" s="21"/>
      <c r="BY1414" s="21"/>
      <c r="BZ1414" s="21"/>
      <c r="CA1414" s="21"/>
      <c r="CB1414" s="21"/>
      <c r="CC1414" s="21"/>
      <c r="CD1414" s="21"/>
      <c r="CE1414" s="21"/>
      <c r="CF1414" s="21"/>
      <c r="CG1414" s="21"/>
      <c r="CH1414" s="21"/>
      <c r="CI1414" s="21"/>
      <c r="CJ1414" s="21"/>
      <c r="CK1414" s="21"/>
      <c r="CL1414" s="21"/>
      <c r="CM1414" s="21"/>
      <c r="CN1414" s="21"/>
      <c r="CO1414" s="21"/>
      <c r="CP1414" s="21"/>
      <c r="CQ1414" s="21"/>
      <c r="CR1414" s="21"/>
      <c r="CS1414" s="21"/>
      <c r="CT1414" s="21"/>
      <c r="CU1414" s="21"/>
      <c r="CV1414" s="72">
        <f>CV1412+CV1413</f>
        <v>88535</v>
      </c>
      <c r="CW1414" s="72">
        <f>CW1412+CW1413</f>
        <v>98355</v>
      </c>
      <c r="CX1414" s="72">
        <f t="shared" si="1979"/>
        <v>98355</v>
      </c>
      <c r="CY1414" s="79">
        <f>CX1414/CT1416-1</f>
        <v>-0.13582687542833038</v>
      </c>
      <c r="CZ1414" s="72">
        <f>CZ1412+CZ1413</f>
        <v>103191</v>
      </c>
      <c r="DA1414" s="72">
        <f>DA1412+DA1413</f>
        <v>112911</v>
      </c>
      <c r="DB1414" s="72">
        <f t="shared" si="1980"/>
        <v>112911</v>
      </c>
      <c r="DC1414" s="79">
        <f>DB1414/CX1416-1</f>
        <v>-6.1012833428599977E-2</v>
      </c>
      <c r="DD1414" s="72">
        <f>DD1412+DD1413</f>
        <v>116717</v>
      </c>
      <c r="DE1414" s="72">
        <f>DE1412+DE1413</f>
        <v>116542</v>
      </c>
      <c r="DF1414" s="72">
        <f t="shared" si="1981"/>
        <v>116542</v>
      </c>
      <c r="DG1414" s="79">
        <f>DF1414/DB1414-1</f>
        <v>3.215807140136917E-2</v>
      </c>
      <c r="DH1414" s="72">
        <f t="shared" ref="DH1414:DI1414" si="1991">DH1412+DH1413</f>
        <v>118290.13</v>
      </c>
      <c r="DI1414" s="72">
        <f t="shared" si="1991"/>
        <v>121247.38324999998</v>
      </c>
      <c r="DJ1414" s="72">
        <f t="shared" ref="DJ1414:DJ1422" si="1992">DI1414</f>
        <v>121247.38324999998</v>
      </c>
      <c r="DK1414" s="79">
        <f>DJ1414/DF1414-1</f>
        <v>4.0374999999999828E-2</v>
      </c>
      <c r="DL1414" s="72">
        <f t="shared" ref="DL1414:DM1414" si="1993">DL1412+DL1413</f>
        <v>124884.80474749998</v>
      </c>
      <c r="DM1414" s="72">
        <f t="shared" si="1993"/>
        <v>128631.34888992499</v>
      </c>
      <c r="DN1414" s="72">
        <f t="shared" si="1985"/>
        <v>128631.34888992499</v>
      </c>
      <c r="DO1414" s="79">
        <f>DN1414/DJ1414-1</f>
        <v>6.0900000000000176E-2</v>
      </c>
      <c r="DP1414" s="72">
        <f t="shared" ref="DP1414:DQ1414" si="1994">DP1412+DP1413</f>
        <v>131847.13261217313</v>
      </c>
      <c r="DQ1414" s="72">
        <f t="shared" si="1994"/>
        <v>135143.31092747743</v>
      </c>
      <c r="DR1414" s="72">
        <f t="shared" si="1987"/>
        <v>135143.31092747743</v>
      </c>
      <c r="DS1414" s="79">
        <f>DR1414/DN1414-1</f>
        <v>5.062499999999992E-2</v>
      </c>
      <c r="DT1414" s="75"/>
      <c r="DU1414" s="75"/>
      <c r="DV1414" s="75"/>
      <c r="DW1414"/>
      <c r="DX1414"/>
    </row>
    <row r="1415" spans="1:128" s="20" customFormat="1" ht="13.8">
      <c r="A1415" s="20" t="s">
        <v>1153</v>
      </c>
      <c r="B1415" s="49"/>
      <c r="BE1415" s="67"/>
      <c r="BF1415" s="65"/>
      <c r="BH1415" s="67"/>
      <c r="BI1415" s="67"/>
      <c r="BJ1415" s="65"/>
      <c r="BK1415" s="49"/>
      <c r="BL1415" s="67"/>
      <c r="BM1415" s="67"/>
      <c r="BN1415" s="65"/>
      <c r="BO1415" s="49"/>
      <c r="BP1415" s="67"/>
      <c r="BQ1415" s="67"/>
      <c r="BR1415" s="65"/>
      <c r="BS1415" s="75"/>
      <c r="BT1415" s="67"/>
      <c r="BU1415" s="67"/>
      <c r="BV1415" s="65"/>
      <c r="BW1415" s="75"/>
      <c r="BX1415" s="67"/>
      <c r="BY1415" s="67"/>
      <c r="BZ1415" s="65"/>
      <c r="CA1415" s="75"/>
      <c r="CB1415" s="67"/>
      <c r="CC1415" s="67"/>
      <c r="CD1415" s="65"/>
      <c r="CE1415" s="75"/>
      <c r="CF1415" s="67"/>
      <c r="CG1415" s="67"/>
      <c r="CH1415" s="65"/>
      <c r="CI1415" s="75"/>
      <c r="CJ1415" s="67"/>
      <c r="CK1415" s="67"/>
      <c r="CL1415" s="65"/>
      <c r="CM1415" s="75"/>
      <c r="CN1415" s="67"/>
      <c r="CO1415" s="67"/>
      <c r="CP1415" s="65"/>
      <c r="CQ1415" s="75"/>
      <c r="CR1415" s="67"/>
      <c r="CS1415" s="67"/>
      <c r="CT1415" s="65"/>
      <c r="CU1415" s="75"/>
      <c r="CV1415" s="608">
        <f>CV1435*21268/112888</f>
        <v>20528.91024732478</v>
      </c>
      <c r="CW1415" s="608">
        <f>CW1435*22346/115932</f>
        <v>21892.649829210226</v>
      </c>
      <c r="CX1415" s="65">
        <f t="shared" si="1979"/>
        <v>21892.649829210226</v>
      </c>
      <c r="CY1415" s="75"/>
      <c r="CZ1415" s="608">
        <f>CZ1435*16%</f>
        <v>18208.64</v>
      </c>
      <c r="DA1415" s="608">
        <f>DA1435*22%</f>
        <v>25396.58</v>
      </c>
      <c r="DB1415" s="65">
        <f t="shared" si="1980"/>
        <v>25396.58</v>
      </c>
      <c r="DC1415" s="75"/>
      <c r="DD1415" s="67">
        <v>27186</v>
      </c>
      <c r="DE1415" s="67">
        <v>29157</v>
      </c>
      <c r="DF1415" s="65">
        <f t="shared" si="1981"/>
        <v>29157</v>
      </c>
      <c r="DG1415" s="75"/>
      <c r="DH1415" s="65">
        <f>+DH1435*DH1467</f>
        <v>29068.652874256535</v>
      </c>
      <c r="DI1415" s="65">
        <f>+DI1435*DI1467</f>
        <v>29793.558353108896</v>
      </c>
      <c r="DJ1415" s="65">
        <f t="shared" si="1992"/>
        <v>29793.558353108896</v>
      </c>
      <c r="DK1415" s="75"/>
      <c r="DL1415" s="65">
        <f>+DL1435*DL1467</f>
        <v>30388.210219215023</v>
      </c>
      <c r="DM1415" s="65">
        <f>+DM1435*DM1467</f>
        <v>30994.74292963367</v>
      </c>
      <c r="DN1415" s="65">
        <f t="shared" si="1985"/>
        <v>30994.74292963367</v>
      </c>
      <c r="DO1415" s="75"/>
      <c r="DP1415" s="65">
        <f>+DP1435*DP1467</f>
        <v>31459.042169125518</v>
      </c>
      <c r="DQ1415" s="65">
        <f>+DQ1435*DQ1467</f>
        <v>31930.299678165236</v>
      </c>
      <c r="DR1415" s="65">
        <f t="shared" si="1987"/>
        <v>31930.299678165236</v>
      </c>
      <c r="DS1415" s="75"/>
      <c r="DT1415" s="75"/>
      <c r="DU1415" s="75"/>
      <c r="DV1415" s="75"/>
      <c r="DW1415"/>
      <c r="DX1415"/>
    </row>
    <row r="1416" spans="1:128" s="20" customFormat="1" ht="13.8">
      <c r="A1416" s="21" t="s">
        <v>1152</v>
      </c>
      <c r="B1416" s="49"/>
      <c r="BE1416" s="67"/>
      <c r="BF1416" s="65"/>
      <c r="BH1416" s="67">
        <f>44597+1827</f>
        <v>46424</v>
      </c>
      <c r="BI1416" s="67">
        <f>47559+1922</f>
        <v>49481</v>
      </c>
      <c r="BJ1416" s="65">
        <f>BI1416</f>
        <v>49481</v>
      </c>
      <c r="BK1416" s="49"/>
      <c r="BL1416" s="67">
        <f>50426+1966</f>
        <v>52392</v>
      </c>
      <c r="BM1416" s="67">
        <f>50068+2344</f>
        <v>52412</v>
      </c>
      <c r="BN1416" s="65">
        <f>BM1416</f>
        <v>52412</v>
      </c>
      <c r="BO1416" s="49"/>
      <c r="BP1416" s="67">
        <f>53501+2603</f>
        <v>56104</v>
      </c>
      <c r="BQ1416" s="67">
        <f>54996+2882</f>
        <v>57878</v>
      </c>
      <c r="BR1416" s="65">
        <f>BQ1416</f>
        <v>57878</v>
      </c>
      <c r="BS1416" s="75">
        <f>BR1416/BN1416-1</f>
        <v>0.10428909410058762</v>
      </c>
      <c r="BT1416" s="67">
        <f>57218+2616</f>
        <v>59834</v>
      </c>
      <c r="BU1416" s="67">
        <f>84275+2493</f>
        <v>86768</v>
      </c>
      <c r="BV1416" s="65">
        <f>BU1416</f>
        <v>86768</v>
      </c>
      <c r="BW1416" s="75">
        <f>BV1416/BR1416-1</f>
        <v>0.49915339161684913</v>
      </c>
      <c r="BX1416" s="67">
        <f>86218+2354</f>
        <v>88572</v>
      </c>
      <c r="BY1416" s="67">
        <f>96267+950</f>
        <v>97217</v>
      </c>
      <c r="BZ1416" s="65">
        <f>BY1416</f>
        <v>97217</v>
      </c>
      <c r="CA1416" s="75">
        <f>BZ1416/BV1416-1</f>
        <v>0.12042458049050331</v>
      </c>
      <c r="CB1416" s="67">
        <f>99560+321</f>
        <v>99881</v>
      </c>
      <c r="CC1416" s="67">
        <f>97764+327</f>
        <v>98091</v>
      </c>
      <c r="CD1416" s="65">
        <f>CC1416</f>
        <v>98091</v>
      </c>
      <c r="CE1416" s="75">
        <f>CD1416/BZ1416-1</f>
        <v>8.9901971877346387E-3</v>
      </c>
      <c r="CF1416" s="67">
        <f>101469+331</f>
        <v>101800</v>
      </c>
      <c r="CG1416" s="67">
        <v>105707</v>
      </c>
      <c r="CH1416" s="65">
        <f>CG1416</f>
        <v>105707</v>
      </c>
      <c r="CI1416" s="75">
        <f>CH1416/CD1416-1</f>
        <v>7.7642189395561223E-2</v>
      </c>
      <c r="CJ1416" s="67">
        <f>107351+228</f>
        <v>107579</v>
      </c>
      <c r="CK1416" s="67">
        <f>110353+210</f>
        <v>110563</v>
      </c>
      <c r="CL1416" s="65">
        <f>CK1416</f>
        <v>110563</v>
      </c>
      <c r="CM1416" s="75">
        <f>CL1416/CH1416-1</f>
        <v>4.5938301153187533E-2</v>
      </c>
      <c r="CN1416" s="67">
        <f>110206+203</f>
        <v>110409</v>
      </c>
      <c r="CO1416" s="67">
        <f>110622+203</f>
        <v>110825</v>
      </c>
      <c r="CP1416" s="65">
        <f>CO1416</f>
        <v>110825</v>
      </c>
      <c r="CQ1416" s="75">
        <f>CP1416/CL1416-1</f>
        <v>2.3696896791873812E-3</v>
      </c>
      <c r="CR1416" s="67">
        <f>111355+194</f>
        <v>111549</v>
      </c>
      <c r="CS1416" s="67">
        <f>113590+224</f>
        <v>113814</v>
      </c>
      <c r="CT1416" s="65">
        <f>CS1416</f>
        <v>113814</v>
      </c>
      <c r="CU1416" s="75">
        <f>CT1416/CP1416-1</f>
        <v>2.6970448905932809E-2</v>
      </c>
      <c r="CV1416" s="72">
        <f>CV1414+CV1415</f>
        <v>109063.91024732478</v>
      </c>
      <c r="CW1416" s="72">
        <f>CW1414+CW1415</f>
        <v>120247.64982921022</v>
      </c>
      <c r="CX1416" s="72">
        <f t="shared" si="1979"/>
        <v>120247.64982921022</v>
      </c>
      <c r="CY1416" s="75"/>
      <c r="CZ1416" s="72">
        <f>CZ1414+CZ1415</f>
        <v>121399.64</v>
      </c>
      <c r="DA1416" s="72">
        <f>DA1414+DA1415</f>
        <v>138307.58000000002</v>
      </c>
      <c r="DB1416" s="72">
        <f t="shared" si="1980"/>
        <v>138307.58000000002</v>
      </c>
      <c r="DC1416" s="75"/>
      <c r="DD1416" s="72">
        <f>DD1414+DD1415</f>
        <v>143903</v>
      </c>
      <c r="DE1416" s="72">
        <f>DE1414+DE1415</f>
        <v>145699</v>
      </c>
      <c r="DF1416" s="72">
        <f t="shared" si="1981"/>
        <v>145699</v>
      </c>
      <c r="DG1416" s="75"/>
      <c r="DH1416" s="72">
        <f>DH1414+DH1415</f>
        <v>147358.78287425655</v>
      </c>
      <c r="DI1416" s="72">
        <f>DI1414+DI1415</f>
        <v>151040.94160310889</v>
      </c>
      <c r="DJ1416" s="65">
        <f t="shared" si="1992"/>
        <v>151040.94160310889</v>
      </c>
      <c r="DK1416" s="75"/>
      <c r="DL1416" s="72">
        <f>DL1414+DL1415</f>
        <v>155273.01496671501</v>
      </c>
      <c r="DM1416" s="72">
        <f>DM1414+DM1415</f>
        <v>159626.09181955867</v>
      </c>
      <c r="DN1416" s="65">
        <f t="shared" si="1985"/>
        <v>159626.09181955867</v>
      </c>
      <c r="DO1416" s="75"/>
      <c r="DP1416" s="72">
        <f>DP1414+DP1415</f>
        <v>163306.17478129864</v>
      </c>
      <c r="DQ1416" s="72">
        <f>DQ1414+DQ1415</f>
        <v>167073.61060564267</v>
      </c>
      <c r="DR1416" s="65">
        <f t="shared" si="1987"/>
        <v>167073.61060564267</v>
      </c>
      <c r="DS1416" s="75"/>
      <c r="DT1416" s="75"/>
      <c r="DU1416" s="75"/>
      <c r="DV1416" s="75"/>
      <c r="DW1416"/>
      <c r="DX1416"/>
    </row>
    <row r="1417" spans="1:128" s="20" customFormat="1" ht="13.8">
      <c r="A1417" s="20" t="s">
        <v>384</v>
      </c>
      <c r="B1417" s="49"/>
      <c r="BE1417" s="65"/>
      <c r="BF1417" s="65"/>
      <c r="BH1417" s="65">
        <f>+BH1418-BH1416</f>
        <v>213669</v>
      </c>
      <c r="BI1417" s="65">
        <f>+BI1418-BI1416</f>
        <v>223401</v>
      </c>
      <c r="BJ1417" s="65">
        <f t="shared" ref="BJ1417:BJ1422" si="1995">BI1417</f>
        <v>223401</v>
      </c>
      <c r="BK1417" s="49"/>
      <c r="BL1417" s="65">
        <f>+BL1418-BL1416</f>
        <v>239879</v>
      </c>
      <c r="BM1417" s="65">
        <f>+BM1418-BM1416</f>
        <v>244358</v>
      </c>
      <c r="BN1417" s="65">
        <f t="shared" ref="BN1417:BN1422" si="1996">BM1417</f>
        <v>244358</v>
      </c>
      <c r="BO1417" s="49"/>
      <c r="BP1417" s="65">
        <f>+BP1418-BP1416</f>
        <v>269099</v>
      </c>
      <c r="BQ1417" s="65">
        <f>+BQ1418-BQ1416</f>
        <v>276892</v>
      </c>
      <c r="BR1417" s="65">
        <f t="shared" ref="BR1417:BR1422" si="1997">BQ1417</f>
        <v>276892</v>
      </c>
      <c r="BS1417" s="75">
        <f>BR1417/BN1417-1</f>
        <v>0.1331407197636254</v>
      </c>
      <c r="BT1417" s="65">
        <f>+BT1418-BT1416</f>
        <v>260079</v>
      </c>
      <c r="BU1417" s="65">
        <f>+BU1418-BU1416</f>
        <v>250847</v>
      </c>
      <c r="BV1417" s="65">
        <f t="shared" ref="BV1417:BV1422" si="1998">BU1417</f>
        <v>250847</v>
      </c>
      <c r="BW1417" s="75">
        <f>BV1417/BR1417-1</f>
        <v>-9.406194472935292E-2</v>
      </c>
      <c r="BX1417" s="65">
        <f>+BX1418-BX1416</f>
        <v>240337</v>
      </c>
      <c r="BY1417" s="65">
        <f>+BY1418-BY1416</f>
        <v>227896</v>
      </c>
      <c r="BZ1417" s="65">
        <f t="shared" ref="BZ1417:BZ1422" si="1999">BY1417</f>
        <v>227896</v>
      </c>
      <c r="CA1417" s="75">
        <f>BZ1417/BV1417-1</f>
        <v>-9.1494018266114363E-2</v>
      </c>
      <c r="CB1417" s="65">
        <f>+CB1418-CB1416</f>
        <v>230164</v>
      </c>
      <c r="CC1417" s="65">
        <f>+CC1418-CC1416</f>
        <v>227399</v>
      </c>
      <c r="CD1417" s="65">
        <f t="shared" ref="CD1417:CD1422" si="2000">CC1417</f>
        <v>227399</v>
      </c>
      <c r="CE1417" s="75">
        <f>CD1417/BZ1417-1</f>
        <v>-2.1808193210938187E-3</v>
      </c>
      <c r="CF1417" s="65">
        <f>+CF1418-CF1416</f>
        <v>232369</v>
      </c>
      <c r="CG1417" s="65">
        <f>+CG1418-CG1416</f>
        <v>238578</v>
      </c>
      <c r="CH1417" s="65">
        <f t="shared" ref="CH1417:CH1422" si="2001">CG1417</f>
        <v>238578</v>
      </c>
      <c r="CI1417" s="75">
        <f>CH1417/CD1417-1</f>
        <v>4.9160286544795762E-2</v>
      </c>
      <c r="CJ1417" s="65">
        <f>+CJ1418-CJ1416</f>
        <v>261600</v>
      </c>
      <c r="CK1417" s="65">
        <f>+CK1418-CK1416</f>
        <v>235264</v>
      </c>
      <c r="CL1417" s="65">
        <f t="shared" ref="CL1417:CL1422" si="2002">CK1417</f>
        <v>235264</v>
      </c>
      <c r="CM1417" s="75">
        <f>CL1417/CH1417-1</f>
        <v>-1.3890635347768909E-2</v>
      </c>
      <c r="CN1417" s="65">
        <f>+CN1418-CN1416</f>
        <v>220889</v>
      </c>
      <c r="CO1417" s="65">
        <f>+CO1418-CO1416</f>
        <v>222345</v>
      </c>
      <c r="CP1417" s="65">
        <f t="shared" ref="CP1417:CP1422" si="2003">CO1417</f>
        <v>222345</v>
      </c>
      <c r="CQ1417" s="75">
        <f>CP1417/CL1417-1</f>
        <v>-5.4912778835691012E-2</v>
      </c>
      <c r="CR1417" s="65">
        <f>+CR1418-CR1416</f>
        <v>228013</v>
      </c>
      <c r="CS1417" s="65">
        <f>+CS1418-CS1416</f>
        <v>235463</v>
      </c>
      <c r="CT1417" s="65">
        <f t="shared" ref="CT1417:CT1422" si="2004">CS1417</f>
        <v>235463</v>
      </c>
      <c r="CU1417" s="75">
        <f>CT1417/CP1417-1</f>
        <v>5.8998403382131359E-2</v>
      </c>
      <c r="CV1417" s="65">
        <f>CV1418-CV1416</f>
        <v>230552.08975267521</v>
      </c>
      <c r="CW1417" s="65">
        <f>CW1418-CW1416</f>
        <v>222398.35017078978</v>
      </c>
      <c r="CX1417" s="65">
        <f t="shared" si="1979"/>
        <v>222398.35017078978</v>
      </c>
      <c r="CY1417" s="75">
        <f>CX1417/CT1417-1</f>
        <v>-5.5484937460281269E-2</v>
      </c>
      <c r="CZ1417" s="65">
        <f>CZ1418-CZ1416</f>
        <v>219262.36</v>
      </c>
      <c r="DA1417" s="65">
        <f>DA1418-DA1416</f>
        <v>216578.41999999998</v>
      </c>
      <c r="DB1417" s="65">
        <f t="shared" si="1980"/>
        <v>216578.41999999998</v>
      </c>
      <c r="DC1417" s="75">
        <f>DB1417/CX1417-1</f>
        <v>-2.6168944896940105E-2</v>
      </c>
      <c r="DD1417" s="65">
        <f>DD1418-DD1416</f>
        <v>213237</v>
      </c>
      <c r="DE1417" s="65">
        <f>DE1418-DE1416</f>
        <v>204399</v>
      </c>
      <c r="DF1417" s="65">
        <f t="shared" si="1981"/>
        <v>204399</v>
      </c>
      <c r="DG1417" s="75">
        <f>DF1417/DB1417-1</f>
        <v>-5.6235612024503556E-2</v>
      </c>
      <c r="DH1417" s="65">
        <f>DH1430</f>
        <v>204438.87226131372</v>
      </c>
      <c r="DI1417" s="65">
        <f>DI1430</f>
        <v>207850.32425506512</v>
      </c>
      <c r="DJ1417" s="65">
        <f t="shared" si="1992"/>
        <v>207850.32425506512</v>
      </c>
      <c r="DK1417" s="75">
        <f>DJ1417/DF1417-1</f>
        <v>1.6885230627669889E-2</v>
      </c>
      <c r="DL1417" s="65">
        <f>DL1430</f>
        <v>210626.74454901257</v>
      </c>
      <c r="DM1417" s="65">
        <f>DM1430</f>
        <v>214499.40251562814</v>
      </c>
      <c r="DN1417" s="65">
        <f t="shared" si="1985"/>
        <v>214499.40251562814</v>
      </c>
      <c r="DO1417" s="75">
        <f>DN1417/DJ1417-1</f>
        <v>3.1989742062675575E-2</v>
      </c>
      <c r="DP1417" s="65">
        <f>DP1430</f>
        <v>217831.26959330216</v>
      </c>
      <c r="DQ1417" s="65">
        <f>DQ1430</f>
        <v>222086.32330870361</v>
      </c>
      <c r="DR1417" s="65">
        <f t="shared" si="1987"/>
        <v>222086.32330870361</v>
      </c>
      <c r="DS1417" s="75">
        <f>DR1417/DN1417-1</f>
        <v>3.5370358630824938E-2</v>
      </c>
      <c r="DT1417" s="75"/>
      <c r="DU1417" s="75"/>
      <c r="DV1417" s="75"/>
      <c r="DW1417"/>
      <c r="DX1417"/>
    </row>
    <row r="1418" spans="1:128" s="20" customFormat="1" ht="13.8">
      <c r="A1418" s="21" t="s">
        <v>385</v>
      </c>
      <c r="B1418" s="49"/>
      <c r="BD1418" s="72"/>
      <c r="BE1418" s="72"/>
      <c r="BF1418" s="72"/>
      <c r="BH1418" s="98">
        <f>209951+27842+22300</f>
        <v>260093</v>
      </c>
      <c r="BI1418" s="98">
        <f>221322+27640+23920</f>
        <v>272882</v>
      </c>
      <c r="BJ1418" s="72">
        <f t="shared" si="1995"/>
        <v>272882</v>
      </c>
      <c r="BK1418" s="49"/>
      <c r="BL1418" s="98">
        <f>232659+28522+31090</f>
        <v>292271</v>
      </c>
      <c r="BM1418" s="98">
        <f>238811+29505+28454</f>
        <v>296770</v>
      </c>
      <c r="BN1418" s="72">
        <f t="shared" si="1996"/>
        <v>296770</v>
      </c>
      <c r="BO1418" s="49"/>
      <c r="BP1418" s="98">
        <f>260854+31442+32907</f>
        <v>325203</v>
      </c>
      <c r="BQ1418" s="98">
        <f>269806+32240+32724</f>
        <v>334770</v>
      </c>
      <c r="BR1418" s="72">
        <f t="shared" si="1997"/>
        <v>334770</v>
      </c>
      <c r="BS1418" s="75">
        <f>BR1418/BN1418-1</f>
        <v>0.12804528759645506</v>
      </c>
      <c r="BT1418" s="98">
        <f>256532+35066+28315</f>
        <v>319913</v>
      </c>
      <c r="BU1418" s="98">
        <f>275286+36100+26229</f>
        <v>337615</v>
      </c>
      <c r="BV1418" s="72">
        <f t="shared" si="1998"/>
        <v>337615</v>
      </c>
      <c r="BW1418" s="75">
        <f>BV1418/BR1418-1</f>
        <v>8.4983720166085241E-3</v>
      </c>
      <c r="BX1418" s="98">
        <f>273264+33896+21749</f>
        <v>328909</v>
      </c>
      <c r="BY1418" s="98">
        <f>276953+31845+16315</f>
        <v>325113</v>
      </c>
      <c r="BZ1418" s="72">
        <f t="shared" si="1999"/>
        <v>325113</v>
      </c>
      <c r="CA1418" s="75">
        <f>BZ1418/BV1418-1</f>
        <v>-3.7030345215704252E-2</v>
      </c>
      <c r="CB1418" s="98">
        <f>282452+32065+15528</f>
        <v>330045</v>
      </c>
      <c r="CC1418" s="98">
        <f>278205+33110+14175</f>
        <v>325490</v>
      </c>
      <c r="CD1418" s="72">
        <f t="shared" si="2000"/>
        <v>325490</v>
      </c>
      <c r="CE1418" s="75">
        <f>CD1418/BZ1418-1</f>
        <v>1.1595968171067561E-3</v>
      </c>
      <c r="CF1418" s="98">
        <f>285809+35696+12664</f>
        <v>334169</v>
      </c>
      <c r="CG1418" s="98">
        <f>296056+36318+11911</f>
        <v>344285</v>
      </c>
      <c r="CH1418" s="72">
        <f t="shared" si="2001"/>
        <v>344285</v>
      </c>
      <c r="CI1418" s="75">
        <f>CH1418/CD1418-1</f>
        <v>5.7743709484162409E-2</v>
      </c>
      <c r="CJ1418" s="98">
        <f>313207+41072+14900</f>
        <v>369179</v>
      </c>
      <c r="CK1418" s="98">
        <f>296178+39001+10648</f>
        <v>345827</v>
      </c>
      <c r="CL1418" s="72">
        <f t="shared" si="2002"/>
        <v>345827</v>
      </c>
      <c r="CM1418" s="75">
        <f>CL1418/CH1418-1</f>
        <v>4.4788474664885225E-3</v>
      </c>
      <c r="CN1418" s="98">
        <f>335579-CN1420</f>
        <v>331298</v>
      </c>
      <c r="CO1418" s="98">
        <f>289314+36977+6879</f>
        <v>333170</v>
      </c>
      <c r="CP1418" s="72">
        <f t="shared" si="2003"/>
        <v>333170</v>
      </c>
      <c r="CQ1418" s="75">
        <f>CP1418/CL1418-1</f>
        <v>-3.6599224467725233E-2</v>
      </c>
      <c r="CR1418" s="98">
        <f>294739+38432+6391</f>
        <v>339562</v>
      </c>
      <c r="CS1418" s="98">
        <f>302986+39792+6499</f>
        <v>349277</v>
      </c>
      <c r="CT1418" s="72">
        <f t="shared" si="2004"/>
        <v>349277</v>
      </c>
      <c r="CU1418" s="75">
        <f>CT1418/CP1418-1</f>
        <v>4.8344688897559829E-2</v>
      </c>
      <c r="CV1418" s="98">
        <f>164505+82839+10978+3577+77717</f>
        <v>339616</v>
      </c>
      <c r="CW1418" s="98">
        <f>173529+75946+11140+3369+78662</f>
        <v>342646</v>
      </c>
      <c r="CX1418" s="72">
        <f t="shared" si="1979"/>
        <v>342646</v>
      </c>
      <c r="CY1418" s="75">
        <f>CX1418/CT1418-1</f>
        <v>-1.8984931730403054E-2</v>
      </c>
      <c r="CZ1418" s="98">
        <f>176246+3579+76643+11008+73186</f>
        <v>340662</v>
      </c>
      <c r="DA1418" s="98">
        <f>168360+4242+74215+41112+66957</f>
        <v>354886</v>
      </c>
      <c r="DB1418" s="72">
        <f t="shared" si="1980"/>
        <v>354886</v>
      </c>
      <c r="DC1418" s="75">
        <f>DB1418/CX1418-1</f>
        <v>3.5721998797592747E-2</v>
      </c>
      <c r="DD1418" s="98">
        <f>238248+69351+6929+42612</f>
        <v>357140</v>
      </c>
      <c r="DE1418" s="98">
        <f>228208+13787+67702+40401</f>
        <v>350098</v>
      </c>
      <c r="DF1418" s="72">
        <f t="shared" si="1981"/>
        <v>350098</v>
      </c>
      <c r="DG1418" s="75">
        <f>DF1418/DB1418-1</f>
        <v>-1.3491656475600577E-2</v>
      </c>
      <c r="DH1418" s="72">
        <f t="shared" ref="DH1418" si="2005">SUM(DH1416:DH1417)</f>
        <v>351797.65513557027</v>
      </c>
      <c r="DI1418" s="72">
        <f t="shared" ref="DI1418" si="2006">SUM(DI1416:DI1417)</f>
        <v>358891.26585817401</v>
      </c>
      <c r="DJ1418" s="72">
        <f t="shared" si="1992"/>
        <v>358891.26585817401</v>
      </c>
      <c r="DK1418" s="75">
        <f>DJ1418/DF1418-1</f>
        <v>2.5116584094093675E-2</v>
      </c>
      <c r="DL1418" s="72">
        <f t="shared" ref="DL1418" si="2007">SUM(DL1416:DL1417)</f>
        <v>365899.75951572758</v>
      </c>
      <c r="DM1418" s="72">
        <f t="shared" ref="DM1418" si="2008">SUM(DM1416:DM1417)</f>
        <v>374125.49433518678</v>
      </c>
      <c r="DN1418" s="72">
        <f t="shared" si="1985"/>
        <v>374125.49433518678</v>
      </c>
      <c r="DO1418" s="75">
        <f>DN1418/DJ1418-1</f>
        <v>4.2448033502807458E-2</v>
      </c>
      <c r="DP1418" s="72">
        <f t="shared" ref="DP1418" si="2009">SUM(DP1416:DP1417)</f>
        <v>381137.44437460077</v>
      </c>
      <c r="DQ1418" s="72">
        <f t="shared" ref="DQ1418" si="2010">SUM(DQ1416:DQ1417)</f>
        <v>389159.93391434627</v>
      </c>
      <c r="DR1418" s="72">
        <f t="shared" si="1987"/>
        <v>389159.93391434627</v>
      </c>
      <c r="DS1418" s="75">
        <f>DR1418/DN1418-1</f>
        <v>4.0185552192521401E-2</v>
      </c>
      <c r="DT1418" s="75"/>
      <c r="DU1418" s="75"/>
      <c r="DV1418" s="75"/>
      <c r="DW1418"/>
      <c r="DX1418"/>
    </row>
    <row r="1419" spans="1:128" s="20" customFormat="1" ht="13.8">
      <c r="A1419" s="20" t="s">
        <v>386</v>
      </c>
      <c r="B1419" s="49"/>
      <c r="BH1419" s="67">
        <v>2549</v>
      </c>
      <c r="BI1419" s="67">
        <v>2724</v>
      </c>
      <c r="BJ1419" s="65">
        <f t="shared" si="1995"/>
        <v>2724</v>
      </c>
      <c r="BK1419" s="49"/>
      <c r="BL1419" s="67">
        <v>1253</v>
      </c>
      <c r="BM1419" s="67">
        <v>1030</v>
      </c>
      <c r="BN1419" s="65">
        <f t="shared" si="1996"/>
        <v>1030</v>
      </c>
      <c r="BO1419" s="49"/>
      <c r="BP1419" s="67">
        <v>1067</v>
      </c>
      <c r="BQ1419" s="67">
        <v>1156</v>
      </c>
      <c r="BR1419" s="65">
        <f t="shared" si="1997"/>
        <v>1156</v>
      </c>
      <c r="BS1419" s="75"/>
      <c r="BT1419" s="67">
        <v>1194</v>
      </c>
      <c r="BU1419" s="67">
        <v>1203</v>
      </c>
      <c r="BV1419" s="65">
        <f t="shared" si="1998"/>
        <v>1203</v>
      </c>
      <c r="BW1419" s="75"/>
      <c r="BX1419" s="67">
        <v>1171</v>
      </c>
      <c r="BY1419" s="67">
        <v>1083</v>
      </c>
      <c r="BZ1419" s="65">
        <f t="shared" si="1999"/>
        <v>1083</v>
      </c>
      <c r="CA1419" s="75"/>
      <c r="CB1419" s="67">
        <v>1728</v>
      </c>
      <c r="CC1419" s="67">
        <v>1600</v>
      </c>
      <c r="CD1419" s="65">
        <f t="shared" si="2000"/>
        <v>1600</v>
      </c>
      <c r="CE1419" s="75"/>
      <c r="CF1419" s="67">
        <v>1558</v>
      </c>
      <c r="CG1419" s="67">
        <v>1859</v>
      </c>
      <c r="CH1419" s="65">
        <f t="shared" si="2001"/>
        <v>1859</v>
      </c>
      <c r="CI1419" s="75"/>
      <c r="CJ1419" s="67">
        <v>2142</v>
      </c>
      <c r="CK1419" s="67">
        <v>2125</v>
      </c>
      <c r="CL1419" s="65">
        <f t="shared" si="2002"/>
        <v>2125</v>
      </c>
      <c r="CM1419" s="75"/>
      <c r="CN1419" s="67">
        <v>2220</v>
      </c>
      <c r="CO1419" s="67">
        <v>2056</v>
      </c>
      <c r="CP1419" s="65">
        <f t="shared" si="2003"/>
        <v>2056</v>
      </c>
      <c r="CQ1419" s="75"/>
      <c r="CR1419" s="67">
        <v>2090</v>
      </c>
      <c r="CS1419" s="67">
        <v>2424</v>
      </c>
      <c r="CT1419" s="65">
        <f t="shared" si="2004"/>
        <v>2424</v>
      </c>
      <c r="CU1419" s="75"/>
      <c r="CV1419" s="67">
        <v>2229</v>
      </c>
      <c r="CW1419" s="67">
        <v>2395</v>
      </c>
      <c r="CX1419" s="65">
        <f t="shared" si="1979"/>
        <v>2395</v>
      </c>
      <c r="CY1419" s="75"/>
      <c r="CZ1419" s="67">
        <v>2481</v>
      </c>
      <c r="DA1419" s="67">
        <v>2452</v>
      </c>
      <c r="DB1419" s="65">
        <f t="shared" si="1980"/>
        <v>2452</v>
      </c>
      <c r="DC1419" s="75"/>
      <c r="DD1419" s="67">
        <v>2396</v>
      </c>
      <c r="DE1419" s="67">
        <v>2491</v>
      </c>
      <c r="DF1419" s="65">
        <f t="shared" si="1981"/>
        <v>2491</v>
      </c>
      <c r="DG1419" s="75"/>
      <c r="DH1419" s="65">
        <f ca="1">DE1419*(1+DH$1489)</f>
        <v>2507.4928211465444</v>
      </c>
      <c r="DI1419" s="65">
        <f ca="1">DH1419*(1+DI$1489)</f>
        <v>2561.7712357613159</v>
      </c>
      <c r="DJ1419" s="65">
        <f t="shared" ca="1" si="1992"/>
        <v>2561.7712357613159</v>
      </c>
      <c r="DK1419" s="75"/>
      <c r="DL1419" s="65">
        <f ca="1">DI1419*(1+DL$1489)</f>
        <v>2618.7084798797878</v>
      </c>
      <c r="DM1419" s="65">
        <f ca="1">DL1419*(1+DM$1489)</f>
        <v>2681.9097446225392</v>
      </c>
      <c r="DN1419" s="65">
        <f t="shared" ca="1" si="1985"/>
        <v>2681.9097446225392</v>
      </c>
      <c r="DO1419" s="75"/>
      <c r="DP1419" s="65">
        <f ca="1">DM1419*(1+DP$1489)</f>
        <v>2735.5861809638018</v>
      </c>
      <c r="DQ1419" s="65">
        <f ca="1">DP1419*(1+DQ$1489)</f>
        <v>2794.5786637802576</v>
      </c>
      <c r="DR1419" s="65">
        <f t="shared" ca="1" si="1987"/>
        <v>2794.5786637802576</v>
      </c>
      <c r="DS1419" s="75"/>
      <c r="DT1419" s="75"/>
      <c r="DU1419" s="75"/>
      <c r="DV1419" s="75"/>
      <c r="DW1419"/>
      <c r="DX1419"/>
    </row>
    <row r="1420" spans="1:128" s="20" customFormat="1" ht="13.8">
      <c r="A1420" s="20" t="s">
        <v>200</v>
      </c>
      <c r="B1420" s="49"/>
      <c r="BH1420" s="67">
        <v>8949</v>
      </c>
      <c r="BI1420" s="67">
        <v>8501</v>
      </c>
      <c r="BJ1420" s="65">
        <f t="shared" si="1995"/>
        <v>8501</v>
      </c>
      <c r="BK1420" s="49"/>
      <c r="BL1420" s="67">
        <v>8065</v>
      </c>
      <c r="BM1420" s="67">
        <v>7394</v>
      </c>
      <c r="BN1420" s="65">
        <f t="shared" si="1996"/>
        <v>7394</v>
      </c>
      <c r="BO1420" s="49"/>
      <c r="BP1420" s="67">
        <v>9630</v>
      </c>
      <c r="BQ1420" s="67">
        <v>10170</v>
      </c>
      <c r="BR1420" s="65">
        <f t="shared" si="1997"/>
        <v>10170</v>
      </c>
      <c r="BS1420" s="75"/>
      <c r="BT1420" s="67">
        <v>9147</v>
      </c>
      <c r="BU1420" s="67">
        <v>9371</v>
      </c>
      <c r="BV1420" s="65">
        <f t="shared" si="1998"/>
        <v>9371</v>
      </c>
      <c r="BW1420" s="75"/>
      <c r="BX1420" s="67">
        <v>8168</v>
      </c>
      <c r="BY1420" s="67">
        <v>7269</v>
      </c>
      <c r="BZ1420" s="65">
        <f t="shared" si="1999"/>
        <v>7269</v>
      </c>
      <c r="CA1420" s="75"/>
      <c r="CB1420" s="67">
        <v>7864</v>
      </c>
      <c r="CC1420" s="67">
        <v>7344</v>
      </c>
      <c r="CD1420" s="65">
        <f t="shared" si="2000"/>
        <v>7344</v>
      </c>
      <c r="CE1420" s="75"/>
      <c r="CF1420" s="67">
        <v>6217</v>
      </c>
      <c r="CG1420" s="67">
        <v>8682</v>
      </c>
      <c r="CH1420" s="65">
        <f t="shared" si="2001"/>
        <v>8682</v>
      </c>
      <c r="CI1420" s="75"/>
      <c r="CJ1420" s="67">
        <v>9679</v>
      </c>
      <c r="CK1420" s="67">
        <v>7710</v>
      </c>
      <c r="CL1420" s="65">
        <f t="shared" si="2002"/>
        <v>7710</v>
      </c>
      <c r="CM1420" s="75"/>
      <c r="CN1420" s="67">
        <v>4281</v>
      </c>
      <c r="CO1420" s="67">
        <v>3270</v>
      </c>
      <c r="CP1420" s="65">
        <f t="shared" si="2003"/>
        <v>3270</v>
      </c>
      <c r="CQ1420" s="75"/>
      <c r="CR1420" s="67">
        <v>3154</v>
      </c>
      <c r="CS1420" s="67">
        <v>3865</v>
      </c>
      <c r="CT1420" s="65">
        <f t="shared" si="2004"/>
        <v>3865</v>
      </c>
      <c r="CU1420" s="75"/>
      <c r="CV1420" s="67">
        <v>3449</v>
      </c>
      <c r="CW1420" s="67">
        <v>4000</v>
      </c>
      <c r="CX1420" s="65">
        <f t="shared" si="1979"/>
        <v>4000</v>
      </c>
      <c r="CY1420" s="75"/>
      <c r="CZ1420" s="67">
        <v>5304</v>
      </c>
      <c r="DA1420" s="67">
        <v>3847</v>
      </c>
      <c r="DB1420" s="65">
        <f t="shared" si="1980"/>
        <v>3847</v>
      </c>
      <c r="DC1420" s="75"/>
      <c r="DD1420" s="67">
        <f>4736+13809</f>
        <v>18545</v>
      </c>
      <c r="DE1420" s="67">
        <f>3768+13226</f>
        <v>16994</v>
      </c>
      <c r="DF1420" s="65">
        <f t="shared" si="1981"/>
        <v>16994</v>
      </c>
      <c r="DG1420" s="75"/>
      <c r="DH1420" s="65">
        <f ca="1">DE1420*(1+DH$1489)</f>
        <v>17106.516661005371</v>
      </c>
      <c r="DI1420" s="65">
        <f ca="1">DH1420*(1+DI$1489)</f>
        <v>17476.812677851387</v>
      </c>
      <c r="DJ1420" s="65">
        <f t="shared" ca="1" si="1992"/>
        <v>17476.812677851387</v>
      </c>
      <c r="DK1420" s="75"/>
      <c r="DL1420" s="65">
        <f ca="1">DI1420*(1+DL$1489)</f>
        <v>17865.24765438664</v>
      </c>
      <c r="DM1420" s="65">
        <f ca="1">DL1420*(1+DM$1489)</f>
        <v>18296.416780455816</v>
      </c>
      <c r="DN1420" s="65">
        <f t="shared" ca="1" si="1985"/>
        <v>18296.416780455816</v>
      </c>
      <c r="DO1420" s="75"/>
      <c r="DP1420" s="65">
        <f ca="1">DM1420*(1+DP$1489)</f>
        <v>18662.606005338763</v>
      </c>
      <c r="DQ1420" s="65">
        <f ca="1">DP1420*(1+DQ$1489)</f>
        <v>19065.062148647816</v>
      </c>
      <c r="DR1420" s="65">
        <f t="shared" ca="1" si="1987"/>
        <v>19065.062148647816</v>
      </c>
      <c r="DS1420" s="75"/>
      <c r="DT1420" s="75"/>
      <c r="DU1420" s="75"/>
      <c r="DV1420" s="75"/>
      <c r="DW1420"/>
      <c r="DX1420"/>
    </row>
    <row r="1421" spans="1:128" s="20" customFormat="1" ht="13.8">
      <c r="A1421" s="20" t="s">
        <v>510</v>
      </c>
      <c r="B1421" s="49"/>
      <c r="BH1421" s="67">
        <v>3387</v>
      </c>
      <c r="BI1421" s="67">
        <v>3544</v>
      </c>
      <c r="BJ1421" s="65">
        <f t="shared" si="1995"/>
        <v>3544</v>
      </c>
      <c r="BK1421" s="49"/>
      <c r="BL1421" s="67">
        <v>3739</v>
      </c>
      <c r="BM1421" s="67">
        <v>3691</v>
      </c>
      <c r="BN1421" s="65">
        <f t="shared" si="1996"/>
        <v>3691</v>
      </c>
      <c r="BO1421" s="49"/>
      <c r="BP1421" s="67">
        <v>3797</v>
      </c>
      <c r="BQ1421" s="67">
        <v>3655</v>
      </c>
      <c r="BR1421" s="65">
        <f t="shared" si="1997"/>
        <v>3655</v>
      </c>
      <c r="BS1421" s="75"/>
      <c r="BT1421" s="67">
        <v>4054</v>
      </c>
      <c r="BU1421" s="67">
        <v>3844</v>
      </c>
      <c r="BV1421" s="65">
        <f t="shared" si="1998"/>
        <v>3844</v>
      </c>
      <c r="BW1421" s="75"/>
      <c r="BX1421" s="67">
        <v>3561</v>
      </c>
      <c r="BY1421" s="67">
        <v>3369</v>
      </c>
      <c r="BZ1421" s="65">
        <f t="shared" si="1999"/>
        <v>3369</v>
      </c>
      <c r="CA1421" s="75"/>
      <c r="CB1421" s="67">
        <v>3185</v>
      </c>
      <c r="CC1421" s="67">
        <v>3146</v>
      </c>
      <c r="CD1421" s="65">
        <f t="shared" si="2000"/>
        <v>3146</v>
      </c>
      <c r="CE1421" s="75"/>
      <c r="CF1421" s="67">
        <v>3579</v>
      </c>
      <c r="CG1421" s="67">
        <v>3280</v>
      </c>
      <c r="CH1421" s="65">
        <f t="shared" si="2001"/>
        <v>3280</v>
      </c>
      <c r="CI1421" s="75"/>
      <c r="CJ1421" s="67">
        <v>4997</v>
      </c>
      <c r="CK1421" s="67">
        <v>4375</v>
      </c>
      <c r="CL1421" s="65">
        <f t="shared" si="2002"/>
        <v>4375</v>
      </c>
      <c r="CM1421" s="75"/>
      <c r="CN1421" s="67">
        <v>4063</v>
      </c>
      <c r="CO1421" s="67">
        <v>4002</v>
      </c>
      <c r="CP1421" s="65">
        <f t="shared" si="2003"/>
        <v>4002</v>
      </c>
      <c r="CQ1421" s="75"/>
      <c r="CR1421" s="67">
        <v>4011</v>
      </c>
      <c r="CS1421" s="67">
        <v>3876</v>
      </c>
      <c r="CT1421" s="65">
        <f t="shared" si="2004"/>
        <v>3876</v>
      </c>
      <c r="CU1421" s="75"/>
      <c r="CV1421" s="67">
        <v>0</v>
      </c>
      <c r="CW1421" s="67">
        <v>0</v>
      </c>
      <c r="CX1421" s="65">
        <f t="shared" si="1979"/>
        <v>0</v>
      </c>
      <c r="CY1421" s="75"/>
      <c r="CZ1421" s="67">
        <v>0</v>
      </c>
      <c r="DA1421" s="67">
        <v>0</v>
      </c>
      <c r="DB1421" s="65">
        <f t="shared" si="1980"/>
        <v>0</v>
      </c>
      <c r="DC1421" s="75"/>
      <c r="DD1421" s="67">
        <v>0</v>
      </c>
      <c r="DE1421" s="67">
        <v>0</v>
      </c>
      <c r="DF1421" s="65">
        <f t="shared" si="1981"/>
        <v>0</v>
      </c>
      <c r="DG1421" s="75"/>
      <c r="DH1421" s="65">
        <f ca="1">DE1421*(1+DH$1489)</f>
        <v>0</v>
      </c>
      <c r="DI1421" s="65">
        <f ca="1">DH1421*(1+DI$1489)</f>
        <v>0</v>
      </c>
      <c r="DJ1421" s="65">
        <f t="shared" ca="1" si="1992"/>
        <v>0</v>
      </c>
      <c r="DK1421" s="75"/>
      <c r="DL1421" s="65">
        <f ca="1">DI1421*(1+DL$1489)</f>
        <v>0</v>
      </c>
      <c r="DM1421" s="65">
        <f ca="1">DL1421*(1+DM$1489)</f>
        <v>0</v>
      </c>
      <c r="DN1421" s="65">
        <f t="shared" ca="1" si="1985"/>
        <v>0</v>
      </c>
      <c r="DO1421" s="75"/>
      <c r="DP1421" s="65">
        <f ca="1">DM1421*(1+DP$1489)</f>
        <v>0</v>
      </c>
      <c r="DQ1421" s="65">
        <f ca="1">DP1421*(1+DQ$1489)</f>
        <v>0</v>
      </c>
      <c r="DR1421" s="65">
        <f t="shared" ca="1" si="1987"/>
        <v>0</v>
      </c>
      <c r="DS1421" s="75"/>
      <c r="DT1421" s="75"/>
      <c r="DU1421" s="75"/>
      <c r="DV1421" s="75"/>
      <c r="DW1421"/>
      <c r="DX1421"/>
    </row>
    <row r="1422" spans="1:128" s="21" customFormat="1" ht="13.8">
      <c r="A1422" s="21" t="s">
        <v>535</v>
      </c>
      <c r="B1422" s="27"/>
      <c r="BH1422" s="72">
        <f>SUM(BH1418:BH1421)</f>
        <v>274978</v>
      </c>
      <c r="BI1422" s="72">
        <f>SUM(BI1418:BI1421)</f>
        <v>287651</v>
      </c>
      <c r="BJ1422" s="72">
        <f t="shared" si="1995"/>
        <v>287651</v>
      </c>
      <c r="BK1422" s="27"/>
      <c r="BL1422" s="72">
        <f>SUM(BL1418:BL1421)</f>
        <v>305328</v>
      </c>
      <c r="BM1422" s="72">
        <f>SUM(BM1418:BM1421)</f>
        <v>308885</v>
      </c>
      <c r="BN1422" s="72">
        <f t="shared" si="1996"/>
        <v>308885</v>
      </c>
      <c r="BO1422" s="27"/>
      <c r="BP1422" s="72">
        <f>SUM(BP1418:BP1421)</f>
        <v>339697</v>
      </c>
      <c r="BQ1422" s="72">
        <f>SUM(BQ1418:BQ1421)</f>
        <v>349751</v>
      </c>
      <c r="BR1422" s="72">
        <f t="shared" si="1997"/>
        <v>349751</v>
      </c>
      <c r="BS1422" s="79">
        <f>BR1422/BN1422-1</f>
        <v>0.13230166566845258</v>
      </c>
      <c r="BT1422" s="72">
        <f>SUM(BT1418:BT1421)</f>
        <v>334308</v>
      </c>
      <c r="BU1422" s="72">
        <f>SUM(BU1418:BU1421)</f>
        <v>352033</v>
      </c>
      <c r="BV1422" s="72">
        <f t="shared" si="1998"/>
        <v>352033</v>
      </c>
      <c r="BW1422" s="79">
        <f>BV1422/BR1422-1</f>
        <v>6.5246418166067244E-3</v>
      </c>
      <c r="BX1422" s="72">
        <f>SUM(BX1418:BX1421)</f>
        <v>341809</v>
      </c>
      <c r="BY1422" s="72">
        <f>SUM(BY1418:BY1421)</f>
        <v>336834</v>
      </c>
      <c r="BZ1422" s="72">
        <f t="shared" si="1999"/>
        <v>336834</v>
      </c>
      <c r="CA1422" s="79">
        <f>BZ1422/BV1422-1</f>
        <v>-4.317492962307512E-2</v>
      </c>
      <c r="CB1422" s="72">
        <f>SUM(CB1418:CB1421)</f>
        <v>342822</v>
      </c>
      <c r="CC1422" s="72">
        <f>SUM(CC1418:CC1421)</f>
        <v>337580</v>
      </c>
      <c r="CD1422" s="72">
        <f t="shared" si="2000"/>
        <v>337580</v>
      </c>
      <c r="CE1422" s="79">
        <f>CD1422/BZ1422-1</f>
        <v>2.2147407922004092E-3</v>
      </c>
      <c r="CF1422" s="72">
        <f>SUM(CF1418:CF1421)</f>
        <v>345523</v>
      </c>
      <c r="CG1422" s="72">
        <f>SUM(CG1418:CG1421)</f>
        <v>358106</v>
      </c>
      <c r="CH1422" s="72">
        <f t="shared" si="2001"/>
        <v>358106</v>
      </c>
      <c r="CI1422" s="79">
        <f>CH1422/CD1422-1</f>
        <v>6.0803365128265785E-2</v>
      </c>
      <c r="CJ1422" s="72">
        <f>SUM(CJ1418:CJ1421)</f>
        <v>385997</v>
      </c>
      <c r="CK1422" s="72">
        <f>SUM(CK1418:CK1421)</f>
        <v>360037</v>
      </c>
      <c r="CL1422" s="72">
        <f t="shared" si="2002"/>
        <v>360037</v>
      </c>
      <c r="CM1422" s="79">
        <f>CL1422/CH1422-1</f>
        <v>5.3922581581988815E-3</v>
      </c>
      <c r="CN1422" s="72">
        <f>SUM(CN1418:CN1421)</f>
        <v>341862</v>
      </c>
      <c r="CO1422" s="72">
        <f>SUM(CO1418:CO1421)</f>
        <v>342498</v>
      </c>
      <c r="CP1422" s="72">
        <f t="shared" si="2003"/>
        <v>342498</v>
      </c>
      <c r="CQ1422" s="79">
        <f>CP1422/CL1422-1</f>
        <v>-4.871443768279371E-2</v>
      </c>
      <c r="CR1422" s="72">
        <f>SUM(CR1418:CR1421)</f>
        <v>348817</v>
      </c>
      <c r="CS1422" s="72">
        <f>SUM(CS1418:CS1421)</f>
        <v>359442</v>
      </c>
      <c r="CT1422" s="72">
        <f t="shared" si="2004"/>
        <v>359442</v>
      </c>
      <c r="CU1422" s="79">
        <f>CT1422/CP1422-1</f>
        <v>4.9471821733265697E-2</v>
      </c>
      <c r="CV1422" s="72">
        <f>SUM(CV1418:CV1421)</f>
        <v>345294</v>
      </c>
      <c r="CW1422" s="72">
        <f>SUM(CW1418:CW1421)</f>
        <v>349041</v>
      </c>
      <c r="CX1422" s="72">
        <f t="shared" si="1979"/>
        <v>349041</v>
      </c>
      <c r="CY1422" s="79">
        <f>CX1422/CT1422-1</f>
        <v>-2.8936518269985112E-2</v>
      </c>
      <c r="CZ1422" s="72">
        <f>SUM(CZ1418:CZ1421)</f>
        <v>348447</v>
      </c>
      <c r="DA1422" s="72">
        <f>SUM(DA1418:DA1421)</f>
        <v>361185</v>
      </c>
      <c r="DB1422" s="72">
        <f t="shared" si="1980"/>
        <v>361185</v>
      </c>
      <c r="DC1422" s="79">
        <f>DB1422/CX1422-1</f>
        <v>3.4792474236551074E-2</v>
      </c>
      <c r="DD1422" s="72">
        <f>SUM(DD1418:DD1421)</f>
        <v>378081</v>
      </c>
      <c r="DE1422" s="72">
        <f>SUM(DE1418:DE1421)</f>
        <v>369583</v>
      </c>
      <c r="DF1422" s="72">
        <f t="shared" si="1981"/>
        <v>369583</v>
      </c>
      <c r="DG1422" s="79">
        <f>DF1422/DB1422-1</f>
        <v>2.325124243808574E-2</v>
      </c>
      <c r="DH1422" s="72">
        <f ca="1">SUM(DH1418:DH1421)</f>
        <v>371411.66461772221</v>
      </c>
      <c r="DI1422" s="72">
        <f ca="1">SUM(DI1418:DI1421)</f>
        <v>378929.84977178671</v>
      </c>
      <c r="DJ1422" s="72">
        <f t="shared" ca="1" si="1992"/>
        <v>378929.84977178671</v>
      </c>
      <c r="DK1422" s="79">
        <f ca="1">DJ1422/DF1422-1</f>
        <v>2.5290258945315891E-2</v>
      </c>
      <c r="DL1422" s="72">
        <f ca="1">SUM(DL1418:DL1421)</f>
        <v>386383.71564999397</v>
      </c>
      <c r="DM1422" s="72">
        <f ca="1">SUM(DM1418:DM1421)</f>
        <v>395103.82086026511</v>
      </c>
      <c r="DN1422" s="72">
        <f t="shared" ca="1" si="1985"/>
        <v>395103.82086026511</v>
      </c>
      <c r="DO1422" s="79">
        <f ca="1">DN1422/DJ1422-1</f>
        <v>4.2683285833035489E-2</v>
      </c>
      <c r="DP1422" s="72">
        <f ca="1">SUM(DP1418:DP1421)</f>
        <v>402535.63656090334</v>
      </c>
      <c r="DQ1422" s="72">
        <f ca="1">SUM(DQ1418:DQ1421)</f>
        <v>411019.5747267743</v>
      </c>
      <c r="DR1422" s="72">
        <f t="shared" ca="1" si="1987"/>
        <v>411019.5747267743</v>
      </c>
      <c r="DS1422" s="79">
        <f ca="1">DR1422/DN1422-1</f>
        <v>4.0282460017358357E-2</v>
      </c>
      <c r="DT1422" s="79"/>
      <c r="DU1422" s="79"/>
      <c r="DV1422" s="79"/>
      <c r="DW1422"/>
      <c r="DX1422"/>
    </row>
    <row r="1423" spans="1:128" s="21" customFormat="1" ht="13.8">
      <c r="A1423" s="426" t="s">
        <v>185</v>
      </c>
      <c r="B1423" s="27"/>
      <c r="BH1423" s="425">
        <f>BH1422-BH1402</f>
        <v>0</v>
      </c>
      <c r="BI1423" s="425">
        <f>BI1422-BI1402</f>
        <v>0</v>
      </c>
      <c r="BJ1423" s="425">
        <f>BJ1422-BJ1402</f>
        <v>0</v>
      </c>
      <c r="BK1423" s="27"/>
      <c r="BL1423" s="425">
        <f>BL1422-BL1402</f>
        <v>0</v>
      </c>
      <c r="BM1423" s="425">
        <f>BM1422-BM1402</f>
        <v>0</v>
      </c>
      <c r="BN1423" s="425">
        <f>BN1422-BN1402</f>
        <v>0</v>
      </c>
      <c r="BO1423" s="27"/>
      <c r="BP1423" s="425">
        <f>BP1422-BP1402</f>
        <v>0</v>
      </c>
      <c r="BQ1423" s="425">
        <f>BQ1422-BQ1402</f>
        <v>0</v>
      </c>
      <c r="BR1423" s="425">
        <f>BR1422-BR1402</f>
        <v>0</v>
      </c>
      <c r="BS1423" s="79"/>
      <c r="BT1423" s="425">
        <f>BT1422-BT1402</f>
        <v>0</v>
      </c>
      <c r="BU1423" s="425">
        <f>BU1422-BU1402</f>
        <v>0</v>
      </c>
      <c r="BV1423" s="425">
        <f>BV1422-BV1402</f>
        <v>0</v>
      </c>
      <c r="BW1423" s="79"/>
      <c r="BX1423" s="425">
        <f>BX1422-BX1402</f>
        <v>0</v>
      </c>
      <c r="BY1423" s="425">
        <f>BY1422-BY1402</f>
        <v>0</v>
      </c>
      <c r="BZ1423" s="425">
        <f>BZ1422-BZ1402</f>
        <v>0</v>
      </c>
      <c r="CA1423" s="79"/>
      <c r="CB1423" s="425">
        <f>CB1422-CB1402</f>
        <v>0</v>
      </c>
      <c r="CC1423" s="425">
        <f>CC1422-CC1402</f>
        <v>0</v>
      </c>
      <c r="CD1423" s="425">
        <f>CD1422-CD1402</f>
        <v>0</v>
      </c>
      <c r="CE1423" s="79"/>
      <c r="CF1423" s="425">
        <f>CF1422-CF1402</f>
        <v>0</v>
      </c>
      <c r="CG1423" s="425">
        <f>CG1422-CG1402</f>
        <v>0</v>
      </c>
      <c r="CH1423" s="425">
        <f>CH1422-CH1402</f>
        <v>0</v>
      </c>
      <c r="CI1423" s="79"/>
      <c r="CJ1423" s="71"/>
      <c r="CK1423" s="425">
        <f>CK1422-CK1402</f>
        <v>0</v>
      </c>
      <c r="CL1423" s="425">
        <f>CL1422-CL1402</f>
        <v>0</v>
      </c>
      <c r="CM1423" s="79"/>
      <c r="CN1423" s="425">
        <f>CN1422-CN1402</f>
        <v>0</v>
      </c>
      <c r="CO1423" s="425">
        <f>CO1422-CO1402</f>
        <v>0</v>
      </c>
      <c r="CP1423" s="425">
        <f>CP1422-CP1402</f>
        <v>0</v>
      </c>
      <c r="CQ1423" s="79"/>
      <c r="CR1423" s="425">
        <f>CR1422-CR1402</f>
        <v>0</v>
      </c>
      <c r="CS1423" s="425">
        <f>CS1422-CS1402</f>
        <v>0</v>
      </c>
      <c r="CT1423" s="425">
        <f>CT1422-CT1402</f>
        <v>0</v>
      </c>
      <c r="CU1423"/>
      <c r="CV1423" s="425">
        <f>CV1422-CV1402</f>
        <v>0</v>
      </c>
      <c r="CW1423" s="425">
        <f>CW1422-CW1402</f>
        <v>0</v>
      </c>
      <c r="CX1423"/>
      <c r="CY1423"/>
      <c r="CZ1423" s="425">
        <f>CZ1422-CZ1402</f>
        <v>0</v>
      </c>
      <c r="DA1423" s="425">
        <f>DA1422-DA1402</f>
        <v>0</v>
      </c>
      <c r="DB1423"/>
      <c r="DC1423"/>
      <c r="DD1423" s="425">
        <f>DD1422-DD1402</f>
        <v>0</v>
      </c>
      <c r="DE1423" s="425">
        <f>DE1422-DE1402</f>
        <v>0</v>
      </c>
      <c r="DF1423"/>
      <c r="DG1423"/>
      <c r="DH1423"/>
      <c r="DI1423"/>
      <c r="DJ1423"/>
      <c r="DK1423"/>
      <c r="DL1423"/>
      <c r="DM1423"/>
      <c r="DN1423"/>
      <c r="DO1423"/>
      <c r="DP1423"/>
      <c r="DQ1423"/>
      <c r="DR1423"/>
      <c r="DS1423"/>
      <c r="DT1423"/>
      <c r="DU1423"/>
      <c r="DV1423" s="79"/>
      <c r="DW1423"/>
      <c r="DX1423"/>
    </row>
    <row r="1424" spans="1:128" s="20" customFormat="1" ht="13.95" customHeight="1">
      <c r="B1424" s="49"/>
      <c r="BH1424" s="49"/>
      <c r="BI1424" s="49"/>
      <c r="BJ1424" s="49"/>
      <c r="BK1424" s="49"/>
      <c r="BL1424" s="49"/>
      <c r="BM1424" s="49"/>
      <c r="BN1424" s="65"/>
      <c r="BO1424" s="49"/>
      <c r="BP1424" s="49"/>
      <c r="BQ1424" s="49"/>
      <c r="BR1424" s="65"/>
      <c r="BS1424" s="28"/>
      <c r="BT1424" s="49"/>
      <c r="BU1424" s="65"/>
      <c r="BV1424" s="65"/>
      <c r="BW1424" s="70"/>
      <c r="BX1424" s="65"/>
      <c r="BY1424" s="65"/>
      <c r="BZ1424" s="769"/>
      <c r="CB1424" s="65"/>
      <c r="CC1424" s="65"/>
      <c r="CD1424" s="769"/>
      <c r="CE1424" s="65"/>
      <c r="CF1424" s="65"/>
      <c r="CG1424" s="65"/>
      <c r="CH1424" s="769"/>
      <c r="CI1424" s="65"/>
      <c r="CJ1424" s="65"/>
      <c r="CK1424" s="65"/>
      <c r="CL1424" s="769"/>
      <c r="CM1424" s="65"/>
      <c r="CN1424" s="65"/>
      <c r="CO1424" s="65"/>
      <c r="CP1424" s="769"/>
      <c r="CQ1424" s="65"/>
      <c r="CR1424" s="65"/>
      <c r="CS1424" s="65"/>
      <c r="CT1424" s="769"/>
      <c r="CU1424" s="65"/>
      <c r="CV1424" s="65"/>
      <c r="CW1424" s="65"/>
      <c r="CX1424" s="49"/>
      <c r="CY1424" s="65"/>
      <c r="CZ1424" s="65"/>
      <c r="DA1424" s="65"/>
      <c r="DB1424" s="49"/>
      <c r="DC1424" s="65"/>
      <c r="DD1424" s="65"/>
      <c r="DE1424" s="65"/>
      <c r="DF1424" s="49"/>
      <c r="DG1424" s="65"/>
      <c r="DH1424" s="49"/>
      <c r="DI1424" s="49"/>
      <c r="DJ1424" s="49"/>
      <c r="DK1424" s="65"/>
      <c r="DL1424" s="49"/>
      <c r="DM1424" s="49"/>
      <c r="DN1424" s="49"/>
      <c r="DO1424" s="65"/>
      <c r="DP1424" s="49"/>
      <c r="DQ1424" s="49"/>
      <c r="DR1424" s="49"/>
      <c r="DS1424" s="65"/>
      <c r="DT1424" s="65"/>
      <c r="DU1424" s="65"/>
      <c r="DV1424" s="65"/>
      <c r="DW1424"/>
      <c r="DX1424"/>
    </row>
    <row r="1425" spans="1:128" s="20" customFormat="1" ht="13.95" customHeight="1">
      <c r="A1425" s="540" t="s">
        <v>1197</v>
      </c>
      <c r="B1425" s="49"/>
      <c r="BH1425" s="49"/>
      <c r="BI1425" s="49"/>
      <c r="BJ1425" s="49"/>
      <c r="BK1425" s="49"/>
      <c r="BL1425" s="49"/>
      <c r="BM1425" s="49"/>
      <c r="BN1425" s="65"/>
      <c r="BO1425" s="49"/>
      <c r="BP1425" s="49"/>
      <c r="BQ1425" s="49"/>
      <c r="BR1425" s="65"/>
      <c r="BS1425" s="28"/>
      <c r="BT1425" s="49"/>
      <c r="BU1425" s="65"/>
      <c r="BV1425" s="65"/>
      <c r="BW1425" s="70"/>
      <c r="BX1425" s="65"/>
      <c r="BY1425" s="65"/>
      <c r="BZ1425" s="769"/>
      <c r="CB1425" s="65"/>
      <c r="CC1425" s="65"/>
      <c r="CD1425" s="769"/>
      <c r="CE1425" s="65"/>
      <c r="CF1425" s="65"/>
      <c r="CG1425" s="65"/>
      <c r="CH1425" s="769"/>
      <c r="CI1425" s="65"/>
      <c r="CJ1425" s="65"/>
      <c r="CK1425" s="65"/>
      <c r="CL1425" s="769"/>
      <c r="CM1425" s="65"/>
      <c r="CN1425" s="65"/>
      <c r="CO1425" s="65"/>
      <c r="CP1425" s="769"/>
      <c r="CQ1425" s="65"/>
      <c r="CR1425" s="65"/>
      <c r="CS1425" s="65"/>
      <c r="CT1425" s="769"/>
      <c r="CU1425" s="65"/>
      <c r="CV1425" s="67">
        <f>62680+38808</f>
        <v>101488</v>
      </c>
      <c r="CW1425" s="67">
        <f>62668+34819</f>
        <v>97487</v>
      </c>
      <c r="CX1425" s="65">
        <f t="shared" ref="CX1425:CX1426" si="2011">CW1425</f>
        <v>97487</v>
      </c>
      <c r="CY1425" s="65"/>
      <c r="CZ1425" s="67">
        <f>60362+35665</f>
        <v>96027</v>
      </c>
      <c r="DA1425" s="67">
        <f>62853+33275</f>
        <v>96128</v>
      </c>
      <c r="DB1425" s="65">
        <f t="shared" ref="DB1425:DB1426" si="2012">DA1425</f>
        <v>96128</v>
      </c>
      <c r="DC1425" s="65"/>
      <c r="DD1425" s="67">
        <f>66579+34587</f>
        <v>101166</v>
      </c>
      <c r="DE1425" s="67">
        <f>63726+34388</f>
        <v>98114</v>
      </c>
      <c r="DF1425" s="65">
        <f t="shared" ref="DF1425:DF1426" si="2013">DE1425</f>
        <v>98114</v>
      </c>
      <c r="DG1425" s="65"/>
      <c r="DH1425" s="65">
        <f t="shared" ref="DH1425:DI1426" si="2014">DH1447*DH1471</f>
        <v>98133.139169205999</v>
      </c>
      <c r="DI1425" s="65">
        <f t="shared" si="2014"/>
        <v>99770.677517803226</v>
      </c>
      <c r="DJ1425" s="65">
        <f t="shared" ref="DJ1425:DJ1426" si="2015">DI1425</f>
        <v>99770.677517803226</v>
      </c>
      <c r="DK1425" s="65"/>
      <c r="DL1425" s="65">
        <f t="shared" ref="DL1425:DM1425" si="2016">DL1447*DL1471</f>
        <v>101103.39294557126</v>
      </c>
      <c r="DM1425" s="65">
        <f t="shared" si="2016"/>
        <v>102962.31575701614</v>
      </c>
      <c r="DN1425" s="65">
        <f t="shared" ref="DN1425:DN1426" si="2017">DM1425</f>
        <v>102962.31575701614</v>
      </c>
      <c r="DO1425" s="65"/>
      <c r="DP1425" s="65">
        <f t="shared" ref="DP1425:DQ1425" si="2018">DP1447*DP1471</f>
        <v>104561.65238028194</v>
      </c>
      <c r="DQ1425" s="65">
        <f t="shared" si="2018"/>
        <v>106604.12979080204</v>
      </c>
      <c r="DR1425" s="65">
        <f t="shared" ref="DR1425:DR1426" si="2019">DQ1425</f>
        <v>106604.12979080204</v>
      </c>
      <c r="DS1425" s="65"/>
      <c r="DT1425" s="65"/>
      <c r="DU1425" s="65"/>
      <c r="DV1425" s="65"/>
      <c r="DW1425"/>
      <c r="DX1425"/>
    </row>
    <row r="1426" spans="1:128" s="20" customFormat="1" ht="13.95" customHeight="1">
      <c r="A1426" s="540" t="s">
        <v>1198</v>
      </c>
      <c r="B1426" s="49"/>
      <c r="BH1426" s="49"/>
      <c r="BI1426" s="49"/>
      <c r="BJ1426" s="49"/>
      <c r="BK1426" s="49"/>
      <c r="BL1426" s="49"/>
      <c r="BM1426" s="49"/>
      <c r="BN1426" s="65"/>
      <c r="BO1426" s="49"/>
      <c r="BP1426" s="49"/>
      <c r="BQ1426" s="49"/>
      <c r="BR1426" s="65"/>
      <c r="BS1426" s="28"/>
      <c r="BT1426" s="49"/>
      <c r="BU1426" s="65"/>
      <c r="BV1426" s="65"/>
      <c r="BW1426" s="70"/>
      <c r="BX1426" s="65"/>
      <c r="BY1426" s="65"/>
      <c r="BZ1426" s="769"/>
      <c r="CB1426" s="65"/>
      <c r="CC1426" s="65"/>
      <c r="CD1426" s="769"/>
      <c r="CE1426" s="65"/>
      <c r="CF1426" s="65"/>
      <c r="CG1426" s="65"/>
      <c r="CH1426" s="769"/>
      <c r="CI1426" s="65"/>
      <c r="CJ1426" s="65"/>
      <c r="CK1426" s="65"/>
      <c r="CL1426" s="769"/>
      <c r="CM1426" s="65"/>
      <c r="CN1426" s="65"/>
      <c r="CO1426" s="65"/>
      <c r="CP1426" s="769"/>
      <c r="CQ1426" s="65"/>
      <c r="CR1426" s="65"/>
      <c r="CS1426" s="65"/>
      <c r="CT1426" s="769"/>
      <c r="CU1426" s="65"/>
      <c r="CV1426" s="67">
        <f>4911</f>
        <v>4911</v>
      </c>
      <c r="CW1426" s="67">
        <v>5611</v>
      </c>
      <c r="CX1426" s="65">
        <f t="shared" si="2011"/>
        <v>5611</v>
      </c>
      <c r="CY1426" s="65"/>
      <c r="CZ1426" s="67">
        <v>5102</v>
      </c>
      <c r="DA1426" s="67">
        <v>14699</v>
      </c>
      <c r="DB1426" s="65">
        <f t="shared" si="2012"/>
        <v>14699</v>
      </c>
      <c r="DC1426" s="65"/>
      <c r="DD1426" s="67">
        <v>13828</v>
      </c>
      <c r="DE1426" s="67">
        <v>12237</v>
      </c>
      <c r="DF1426" s="65">
        <f t="shared" si="2013"/>
        <v>12237</v>
      </c>
      <c r="DG1426" s="65"/>
      <c r="DH1426" s="65">
        <f t="shared" si="2014"/>
        <v>12239.38708047346</v>
      </c>
      <c r="DI1426" s="65">
        <f t="shared" si="2014"/>
        <v>12443.624567190789</v>
      </c>
      <c r="DJ1426" s="65">
        <f t="shared" si="2015"/>
        <v>12443.624567190789</v>
      </c>
      <c r="DK1426" s="65"/>
      <c r="DL1426" s="65">
        <f t="shared" ref="DL1426:DM1426" si="2020">DL1448*DL1472</f>
        <v>12609.843849755944</v>
      </c>
      <c r="DM1426" s="65">
        <f t="shared" si="2020"/>
        <v>12841.692907419994</v>
      </c>
      <c r="DN1426" s="65">
        <f t="shared" si="2017"/>
        <v>12841.692907419994</v>
      </c>
      <c r="DO1426" s="65"/>
      <c r="DP1426" s="65">
        <f t="shared" ref="DP1426:DQ1426" si="2021">DP1448*DP1472</f>
        <v>13041.165788547092</v>
      </c>
      <c r="DQ1426" s="65">
        <f t="shared" si="2021"/>
        <v>13295.908190982364</v>
      </c>
      <c r="DR1426" s="65">
        <f t="shared" si="2019"/>
        <v>13295.908190982364</v>
      </c>
      <c r="DS1426" s="65"/>
      <c r="DT1426" s="65"/>
      <c r="DU1426" s="65"/>
      <c r="DV1426" s="65"/>
      <c r="DW1426"/>
      <c r="DX1426"/>
    </row>
    <row r="1427" spans="1:128" s="21" customFormat="1" ht="13.95" customHeight="1">
      <c r="A1427" s="542" t="s">
        <v>986</v>
      </c>
      <c r="B1427" s="27"/>
      <c r="BH1427" s="27"/>
      <c r="BI1427" s="27"/>
      <c r="BJ1427" s="27"/>
      <c r="BK1427" s="27"/>
      <c r="BL1427" s="27"/>
      <c r="BM1427" s="27"/>
      <c r="BN1427" s="72"/>
      <c r="BO1427" s="27"/>
      <c r="BP1427" s="27"/>
      <c r="BQ1427" s="27"/>
      <c r="BR1427" s="72"/>
      <c r="BS1427" s="46"/>
      <c r="BT1427" s="27"/>
      <c r="BU1427" s="72"/>
      <c r="BV1427" s="72"/>
      <c r="BW1427" s="70"/>
      <c r="BX1427" s="72"/>
      <c r="BY1427" s="72"/>
      <c r="BZ1427" s="769"/>
      <c r="CB1427" s="72"/>
      <c r="CC1427" s="72"/>
      <c r="CD1427" s="769"/>
      <c r="CE1427" s="72"/>
      <c r="CF1427" s="98">
        <v>127989</v>
      </c>
      <c r="CG1427" s="98">
        <v>136885</v>
      </c>
      <c r="CH1427" s="72">
        <f>CG1427</f>
        <v>136885</v>
      </c>
      <c r="CI1427" s="72"/>
      <c r="CJ1427" s="98">
        <f>150290+14626</f>
        <v>164916</v>
      </c>
      <c r="CK1427" s="98">
        <f>139415+10185</f>
        <v>149600</v>
      </c>
      <c r="CL1427" s="72">
        <f>CK1427</f>
        <v>149600</v>
      </c>
      <c r="CM1427" s="72"/>
      <c r="CN1427" s="98">
        <f>135713+6388</f>
        <v>142101</v>
      </c>
      <c r="CO1427" s="98">
        <f>136298+6632</f>
        <v>142930</v>
      </c>
      <c r="CP1427" s="72">
        <f>CO1427</f>
        <v>142930</v>
      </c>
      <c r="CQ1427" s="72"/>
      <c r="CR1427" s="98">
        <f>141243+6149</f>
        <v>147392</v>
      </c>
      <c r="CS1427" s="98">
        <f>146069+6235</f>
        <v>152304</v>
      </c>
      <c r="CT1427" s="72">
        <f>CS1427</f>
        <v>152304</v>
      </c>
      <c r="CU1427" s="72"/>
      <c r="CV1427" s="72">
        <f t="shared" ref="CV1427:CW1427" si="2022">CV1425+CV1426</f>
        <v>106399</v>
      </c>
      <c r="CW1427" s="72">
        <f t="shared" si="2022"/>
        <v>103098</v>
      </c>
      <c r="CX1427" s="72">
        <f>CW1427</f>
        <v>103098</v>
      </c>
      <c r="CY1427" s="72"/>
      <c r="CZ1427" s="72">
        <f>CZ1425+CZ1426</f>
        <v>101129</v>
      </c>
      <c r="DA1427" s="72">
        <f t="shared" ref="DA1427" si="2023">DA1425+DA1426</f>
        <v>110827</v>
      </c>
      <c r="DB1427" s="72">
        <f>DA1427</f>
        <v>110827</v>
      </c>
      <c r="DC1427" s="72"/>
      <c r="DD1427" s="72">
        <f>DD1425+DD1426</f>
        <v>114994</v>
      </c>
      <c r="DE1427" s="72">
        <f t="shared" ref="DE1427" si="2024">DE1425+DE1426</f>
        <v>110351</v>
      </c>
      <c r="DF1427" s="72">
        <f>DE1427</f>
        <v>110351</v>
      </c>
      <c r="DG1427" s="72"/>
      <c r="DH1427" s="72">
        <f t="shared" ref="DH1427:DI1427" si="2025">DH1425+DH1426</f>
        <v>110372.52624967946</v>
      </c>
      <c r="DI1427" s="72">
        <f t="shared" si="2025"/>
        <v>112214.30208499401</v>
      </c>
      <c r="DJ1427" s="72">
        <f>DI1427</f>
        <v>112214.30208499401</v>
      </c>
      <c r="DK1427" s="72"/>
      <c r="DL1427" s="72">
        <f t="shared" ref="DL1427:DM1427" si="2026">DL1425+DL1426</f>
        <v>113713.2367953272</v>
      </c>
      <c r="DM1427" s="72">
        <f t="shared" si="2026"/>
        <v>115804.00866443614</v>
      </c>
      <c r="DN1427" s="72">
        <f>DM1427</f>
        <v>115804.00866443614</v>
      </c>
      <c r="DO1427" s="72"/>
      <c r="DP1427" s="72">
        <f t="shared" ref="DP1427:DQ1427" si="2027">DP1425+DP1426</f>
        <v>117602.81816882904</v>
      </c>
      <c r="DQ1427" s="72">
        <f t="shared" si="2027"/>
        <v>119900.03798178439</v>
      </c>
      <c r="DR1427" s="72">
        <f>DQ1427</f>
        <v>119900.03798178439</v>
      </c>
      <c r="DS1427" s="72"/>
      <c r="DT1427" s="72"/>
      <c r="DU1427" s="72"/>
      <c r="DV1427" s="72"/>
      <c r="DW1427" s="565"/>
      <c r="DX1427" s="565"/>
    </row>
    <row r="1428" spans="1:128" s="20" customFormat="1" ht="13.95" customHeight="1">
      <c r="A1428" s="540" t="s">
        <v>987</v>
      </c>
      <c r="B1428" s="49"/>
      <c r="BH1428" s="49"/>
      <c r="BI1428" s="49"/>
      <c r="BJ1428" s="49"/>
      <c r="BK1428" s="49"/>
      <c r="BL1428" s="49"/>
      <c r="BM1428" s="49"/>
      <c r="BN1428" s="65"/>
      <c r="BO1428" s="49"/>
      <c r="BP1428" s="49"/>
      <c r="BQ1428" s="49"/>
      <c r="BR1428" s="65"/>
      <c r="BS1428" s="28"/>
      <c r="BT1428" s="49"/>
      <c r="BU1428" s="65"/>
      <c r="BV1428" s="65"/>
      <c r="BW1428" s="70"/>
      <c r="BX1428" s="65"/>
      <c r="BY1428" s="65"/>
      <c r="BZ1428" s="769"/>
      <c r="CB1428" s="65"/>
      <c r="CC1428" s="65"/>
      <c r="CD1428" s="769"/>
      <c r="CE1428" s="65"/>
      <c r="CF1428" s="67">
        <v>35696</v>
      </c>
      <c r="CG1428" s="67">
        <v>36318</v>
      </c>
      <c r="CH1428" s="65">
        <f>CG1428</f>
        <v>36318</v>
      </c>
      <c r="CI1428" s="65"/>
      <c r="CJ1428" s="67">
        <v>41072</v>
      </c>
      <c r="CK1428" s="67">
        <v>39001</v>
      </c>
      <c r="CL1428" s="65">
        <f>CK1428</f>
        <v>39001</v>
      </c>
      <c r="CM1428" s="65"/>
      <c r="CN1428" s="67">
        <v>36476</v>
      </c>
      <c r="CO1428" s="67">
        <v>36977</v>
      </c>
      <c r="CP1428" s="65">
        <f>CO1428</f>
        <v>36977</v>
      </c>
      <c r="CQ1428" s="65"/>
      <c r="CR1428" s="67">
        <v>38432</v>
      </c>
      <c r="CS1428" s="67">
        <v>39792</v>
      </c>
      <c r="CT1428" s="65">
        <f>CS1428</f>
        <v>39792</v>
      </c>
      <c r="CU1428" s="65"/>
      <c r="CV1428" s="67">
        <v>3577</v>
      </c>
      <c r="CW1428" s="67">
        <v>3369</v>
      </c>
      <c r="CX1428" s="65">
        <f>CW1428</f>
        <v>3369</v>
      </c>
      <c r="CY1428" s="65"/>
      <c r="CZ1428" s="67">
        <v>3579</v>
      </c>
      <c r="DA1428" s="67">
        <v>4242</v>
      </c>
      <c r="DB1428" s="65">
        <f>DA1428</f>
        <v>4242</v>
      </c>
      <c r="DC1428" s="65"/>
      <c r="DD1428" s="67">
        <v>15360</v>
      </c>
      <c r="DE1428" s="67">
        <v>13787</v>
      </c>
      <c r="DF1428" s="65">
        <f>DE1428</f>
        <v>13787</v>
      </c>
      <c r="DG1428" s="65"/>
      <c r="DH1428" s="65">
        <f>DH1450*DH1474</f>
        <v>13789.689440098693</v>
      </c>
      <c r="DI1428" s="65">
        <f>DI1450*DI1474</f>
        <v>14019.796674663685</v>
      </c>
      <c r="DJ1428" s="65">
        <f>DI1428</f>
        <v>14019.796674663685</v>
      </c>
      <c r="DK1428" s="65"/>
      <c r="DL1428" s="65">
        <f>DL1450*DL1474</f>
        <v>14207.070128020374</v>
      </c>
      <c r="DM1428" s="65">
        <f>DM1450*DM1474</f>
        <v>14468.286354057334</v>
      </c>
      <c r="DN1428" s="65">
        <f>DM1428</f>
        <v>14468.286354057334</v>
      </c>
      <c r="DO1428" s="65"/>
      <c r="DP1428" s="65">
        <f>DP1450*DP1474</f>
        <v>14693.025474111211</v>
      </c>
      <c r="DQ1428" s="65">
        <f>DQ1450*DQ1474</f>
        <v>14980.034831173816</v>
      </c>
      <c r="DR1428" s="65">
        <f>DQ1428</f>
        <v>14980.034831173816</v>
      </c>
      <c r="DS1428" s="65"/>
      <c r="DT1428" s="65"/>
      <c r="DU1428" s="65"/>
      <c r="DV1428" s="65"/>
      <c r="DW1428"/>
      <c r="DX1428"/>
    </row>
    <row r="1429" spans="1:128" s="20" customFormat="1" ht="13.95" customHeight="1">
      <c r="A1429" s="540" t="s">
        <v>988</v>
      </c>
      <c r="B1429" s="49"/>
      <c r="BH1429" s="49"/>
      <c r="BI1429" s="49"/>
      <c r="BJ1429" s="49"/>
      <c r="BK1429" s="49"/>
      <c r="BL1429" s="49"/>
      <c r="BM1429" s="49"/>
      <c r="BN1429" s="65"/>
      <c r="BO1429" s="49"/>
      <c r="BP1429" s="49"/>
      <c r="BQ1429" s="49"/>
      <c r="BR1429" s="65"/>
      <c r="BS1429" s="28"/>
      <c r="BT1429" s="49"/>
      <c r="BU1429" s="65"/>
      <c r="BV1429" s="65"/>
      <c r="BW1429" s="70"/>
      <c r="BX1429" s="65"/>
      <c r="BY1429" s="65"/>
      <c r="BZ1429" s="769"/>
      <c r="CB1429" s="65"/>
      <c r="CC1429" s="65"/>
      <c r="CD1429" s="769"/>
      <c r="CE1429" s="65"/>
      <c r="CF1429" s="65">
        <f>CF1430-SUM(CF1427:CF1428)</f>
        <v>68684</v>
      </c>
      <c r="CG1429" s="65">
        <f>CG1430-SUM(CG1427:CG1428)</f>
        <v>65375</v>
      </c>
      <c r="CH1429" s="65">
        <f>CG1429</f>
        <v>65375</v>
      </c>
      <c r="CI1429" s="65"/>
      <c r="CJ1429" s="65">
        <f>CJ1430-SUM(CJ1427:CJ1428)</f>
        <v>55612</v>
      </c>
      <c r="CK1429" s="65">
        <f>CK1430-SUM(CK1427:CK1428)</f>
        <v>46663</v>
      </c>
      <c r="CL1429" s="65">
        <f>CK1429</f>
        <v>46663</v>
      </c>
      <c r="CM1429" s="65"/>
      <c r="CN1429" s="65">
        <f>CN1430-SUM(CN1427:CN1428)</f>
        <v>42312</v>
      </c>
      <c r="CO1429" s="65">
        <f>CO1430-SUM(CO1427:CO1428)</f>
        <v>42438</v>
      </c>
      <c r="CP1429" s="65">
        <f>CO1429</f>
        <v>42438</v>
      </c>
      <c r="CQ1429" s="65"/>
      <c r="CR1429" s="65">
        <f>CR1430-SUM(CR1427:CR1428)</f>
        <v>42189</v>
      </c>
      <c r="CS1429" s="65">
        <f>CS1430-SUM(CS1427:CS1428)</f>
        <v>43367</v>
      </c>
      <c r="CT1429" s="65">
        <f>CS1429</f>
        <v>43367</v>
      </c>
      <c r="CU1429" s="65"/>
      <c r="CV1429" s="65">
        <f>CV1430-SUM(CV1427:CV1428)</f>
        <v>120576.08975267521</v>
      </c>
      <c r="CW1429" s="65">
        <f>CW1430-SUM(CW1427:CW1428)</f>
        <v>115931.35017078978</v>
      </c>
      <c r="CX1429" s="65">
        <f>CW1429</f>
        <v>115931.35017078978</v>
      </c>
      <c r="CY1429" s="65"/>
      <c r="CZ1429" s="65">
        <f>CZ1430-SUM(CZ1427:CZ1428)</f>
        <v>114554.35999999999</v>
      </c>
      <c r="DA1429" s="65">
        <f>DA1430-SUM(DA1427:DA1428)</f>
        <v>101509.41999999998</v>
      </c>
      <c r="DB1429" s="65">
        <f>DA1429</f>
        <v>101509.41999999998</v>
      </c>
      <c r="DC1429" s="65"/>
      <c r="DD1429" s="65">
        <f>DD1430-SUM(DD1427:DD1428)</f>
        <v>82883</v>
      </c>
      <c r="DE1429" s="65">
        <f>DE1430-SUM(DE1427:DE1428)</f>
        <v>80261</v>
      </c>
      <c r="DF1429" s="65">
        <f>DE1429</f>
        <v>80261</v>
      </c>
      <c r="DG1429" s="65"/>
      <c r="DH1429" s="65">
        <f>DH1451*DH1476</f>
        <v>80276.656571535583</v>
      </c>
      <c r="DI1429" s="65">
        <f>DI1451*DI1476</f>
        <v>81616.225495407416</v>
      </c>
      <c r="DJ1429" s="65">
        <f>DI1429</f>
        <v>81616.225495407416</v>
      </c>
      <c r="DK1429" s="65"/>
      <c r="DL1429" s="65">
        <f>DL1451*DL1476</f>
        <v>82706.437625664999</v>
      </c>
      <c r="DM1429" s="65">
        <f>DM1451*DM1476</f>
        <v>84227.107497134682</v>
      </c>
      <c r="DN1429" s="65">
        <f>DM1429</f>
        <v>84227.107497134682</v>
      </c>
      <c r="DO1429" s="65"/>
      <c r="DP1429" s="65">
        <f>DP1451*DP1476</f>
        <v>85535.425950361925</v>
      </c>
      <c r="DQ1429" s="65">
        <f>DQ1451*DQ1476</f>
        <v>87206.250495745378</v>
      </c>
      <c r="DR1429" s="65">
        <f>DQ1429</f>
        <v>87206.250495745378</v>
      </c>
      <c r="DS1429" s="65"/>
      <c r="DT1429" s="65"/>
      <c r="DU1429" s="65"/>
      <c r="DV1429" s="65"/>
      <c r="DW1429"/>
      <c r="DX1429"/>
    </row>
    <row r="1430" spans="1:128" s="21" customFormat="1" ht="13.95" customHeight="1">
      <c r="A1430" s="542" t="s">
        <v>989</v>
      </c>
      <c r="B1430" s="27"/>
      <c r="BH1430" s="27"/>
      <c r="BI1430" s="27"/>
      <c r="BJ1430" s="27"/>
      <c r="BK1430" s="27"/>
      <c r="BL1430" s="27"/>
      <c r="BM1430" s="27"/>
      <c r="BN1430" s="72"/>
      <c r="BO1430" s="27"/>
      <c r="BP1430" s="27"/>
      <c r="BQ1430" s="27"/>
      <c r="BR1430" s="72"/>
      <c r="BS1430" s="46" t="s">
        <v>25</v>
      </c>
      <c r="BT1430" s="27"/>
      <c r="BU1430" s="72"/>
      <c r="BV1430" s="72"/>
      <c r="BW1430" s="70"/>
      <c r="BX1430" s="72"/>
      <c r="BY1430" s="72"/>
      <c r="BZ1430" s="769"/>
      <c r="CB1430" s="72"/>
      <c r="CC1430" s="72"/>
      <c r="CD1430" s="769"/>
      <c r="CE1430" s="72"/>
      <c r="CF1430" s="72">
        <f>CF1417</f>
        <v>232369</v>
      </c>
      <c r="CG1430" s="72">
        <f>CG1417</f>
        <v>238578</v>
      </c>
      <c r="CH1430" s="72">
        <f>CG1430</f>
        <v>238578</v>
      </c>
      <c r="CI1430" s="72"/>
      <c r="CJ1430" s="72">
        <f>CJ1417</f>
        <v>261600</v>
      </c>
      <c r="CK1430" s="72">
        <f>CK1417</f>
        <v>235264</v>
      </c>
      <c r="CL1430" s="72">
        <f>CK1430</f>
        <v>235264</v>
      </c>
      <c r="CM1430" s="72"/>
      <c r="CN1430" s="72">
        <f>CN1417</f>
        <v>220889</v>
      </c>
      <c r="CO1430" s="72">
        <f>CO1417</f>
        <v>222345</v>
      </c>
      <c r="CP1430" s="72">
        <f>CO1430</f>
        <v>222345</v>
      </c>
      <c r="CQ1430" s="72"/>
      <c r="CR1430" s="72">
        <f>CR1417</f>
        <v>228013</v>
      </c>
      <c r="CS1430" s="72">
        <f>CS1417</f>
        <v>235463</v>
      </c>
      <c r="CT1430" s="72">
        <f>CS1430</f>
        <v>235463</v>
      </c>
      <c r="CU1430" s="72"/>
      <c r="CV1430" s="72">
        <f>CV1417</f>
        <v>230552.08975267521</v>
      </c>
      <c r="CW1430" s="72">
        <f>CW1417</f>
        <v>222398.35017078978</v>
      </c>
      <c r="CX1430" s="72">
        <f>CW1430</f>
        <v>222398.35017078978</v>
      </c>
      <c r="CY1430" s="72"/>
      <c r="CZ1430" s="72">
        <f>CZ1417</f>
        <v>219262.36</v>
      </c>
      <c r="DA1430" s="72">
        <f>DA1417</f>
        <v>216578.41999999998</v>
      </c>
      <c r="DB1430" s="72">
        <f>DA1430</f>
        <v>216578.41999999998</v>
      </c>
      <c r="DC1430" s="72"/>
      <c r="DD1430" s="72">
        <f>DD1417</f>
        <v>213237</v>
      </c>
      <c r="DE1430" s="72">
        <f>DE1417</f>
        <v>204399</v>
      </c>
      <c r="DF1430" s="72">
        <f>DE1430</f>
        <v>204399</v>
      </c>
      <c r="DG1430" s="72"/>
      <c r="DH1430" s="72">
        <f>SUM(DH1427:DH1429)</f>
        <v>204438.87226131372</v>
      </c>
      <c r="DI1430" s="72">
        <f>SUM(DI1427:DI1429)</f>
        <v>207850.32425506512</v>
      </c>
      <c r="DJ1430" s="72">
        <f>DI1430</f>
        <v>207850.32425506512</v>
      </c>
      <c r="DK1430" s="72"/>
      <c r="DL1430" s="72">
        <f>SUM(DL1427:DL1429)</f>
        <v>210626.74454901257</v>
      </c>
      <c r="DM1430" s="72">
        <f>SUM(DM1427:DM1429)</f>
        <v>214499.40251562814</v>
      </c>
      <c r="DN1430" s="72">
        <f>DM1430</f>
        <v>214499.40251562814</v>
      </c>
      <c r="DO1430" s="72"/>
      <c r="DP1430" s="72">
        <f>SUM(DP1427:DP1429)</f>
        <v>217831.26959330216</v>
      </c>
      <c r="DQ1430" s="72">
        <f>SUM(DQ1427:DQ1429)</f>
        <v>222086.32330870361</v>
      </c>
      <c r="DR1430" s="72">
        <f>DQ1430</f>
        <v>222086.32330870361</v>
      </c>
      <c r="DS1430" s="72"/>
      <c r="DT1430" s="72"/>
      <c r="DU1430" s="72"/>
      <c r="DV1430" s="72"/>
      <c r="DW1430"/>
      <c r="DX1430"/>
    </row>
    <row r="1431" spans="1:128" ht="13.95" customHeight="1">
      <c r="DH1431" s="619"/>
      <c r="DI1431" s="619"/>
      <c r="DJ1431" s="619"/>
      <c r="DL1431" s="619"/>
      <c r="DM1431" s="619"/>
      <c r="DN1431" s="619"/>
      <c r="DP1431" s="619"/>
      <c r="DQ1431" s="619"/>
      <c r="DR1431" s="619"/>
    </row>
    <row r="1432" spans="1:128" ht="13.95" customHeight="1">
      <c r="A1432" s="20" t="s">
        <v>1191</v>
      </c>
      <c r="CV1432" s="67">
        <v>324670</v>
      </c>
      <c r="CW1432" s="67">
        <v>337478</v>
      </c>
      <c r="CX1432" s="65">
        <f t="shared" ref="CX1432:CX1437" si="2028">CW1432</f>
        <v>337478</v>
      </c>
      <c r="CY1432" s="49"/>
      <c r="CZ1432" s="67">
        <v>346366</v>
      </c>
      <c r="DA1432" s="67">
        <v>356875</v>
      </c>
      <c r="DB1432" s="65">
        <f t="shared" ref="DB1432:DB1437" si="2029">DA1432</f>
        <v>356875</v>
      </c>
      <c r="DC1432" s="49"/>
      <c r="DD1432" s="67">
        <v>366120</v>
      </c>
      <c r="DE1432" s="67">
        <v>373535</v>
      </c>
      <c r="DF1432" s="65">
        <f t="shared" ref="DF1432:DF1437" si="2030">DE1432</f>
        <v>373535</v>
      </c>
      <c r="DH1432" s="65">
        <f>DH1440*DH$1434</f>
        <v>379138.02499999997</v>
      </c>
      <c r="DI1432" s="65">
        <f>DI1440*DI$1434</f>
        <v>388616.47562499996</v>
      </c>
      <c r="DJ1432" s="65">
        <f t="shared" ref="DJ1432:DJ1437" si="2031">DI1432</f>
        <v>388616.47562499996</v>
      </c>
      <c r="DL1432" s="65">
        <f>DL1440*DL$1434</f>
        <v>400274.96989374992</v>
      </c>
      <c r="DM1432" s="65">
        <f>DM1440*DM$1434</f>
        <v>412283.21899056248</v>
      </c>
      <c r="DN1432" s="65">
        <f t="shared" ref="DN1432:DN1437" si="2032">DM1432</f>
        <v>412283.21899056248</v>
      </c>
      <c r="DP1432" s="65">
        <f>DP1440*DP$1434</f>
        <v>422590.29946532653</v>
      </c>
      <c r="DQ1432" s="65">
        <f>DQ1440*DQ$1434</f>
        <v>433155.05695195962</v>
      </c>
      <c r="DR1432" s="65">
        <f t="shared" ref="DR1432:DR1437" si="2033">DQ1432</f>
        <v>433155.05695195962</v>
      </c>
    </row>
    <row r="1433" spans="1:128" ht="13.95" customHeight="1">
      <c r="A1433" s="20" t="s">
        <v>1192</v>
      </c>
      <c r="CV1433" s="67">
        <v>2011</v>
      </c>
      <c r="CW1433" s="67">
        <v>2269</v>
      </c>
      <c r="CX1433" s="65">
        <f t="shared" si="2028"/>
        <v>2269</v>
      </c>
      <c r="CY1433" s="49"/>
      <c r="CZ1433" s="67">
        <v>2044</v>
      </c>
      <c r="DA1433" s="67">
        <v>62608</v>
      </c>
      <c r="DB1433" s="65">
        <f t="shared" si="2029"/>
        <v>62608</v>
      </c>
      <c r="DC1433" s="49"/>
      <c r="DD1433" s="67">
        <f>10230+57184</f>
        <v>67414</v>
      </c>
      <c r="DE1433" s="67">
        <v>64727</v>
      </c>
      <c r="DF1433" s="65">
        <f t="shared" si="2030"/>
        <v>64727</v>
      </c>
      <c r="DH1433" s="65">
        <f>DH1441*DH$1434</f>
        <v>65697.905000000013</v>
      </c>
      <c r="DI1433" s="65">
        <f>DI1441*DI$1434</f>
        <v>67340.352625</v>
      </c>
      <c r="DJ1433" s="65">
        <f t="shared" si="2031"/>
        <v>67340.352625</v>
      </c>
      <c r="DL1433" s="65">
        <f>DL1441*DL$1434</f>
        <v>69360.563203750004</v>
      </c>
      <c r="DM1433" s="65">
        <f>DM1441*DM$1434</f>
        <v>71441.380099862508</v>
      </c>
      <c r="DN1433" s="65">
        <f t="shared" si="2032"/>
        <v>71441.380099862508</v>
      </c>
      <c r="DP1433" s="65">
        <f>DP1441*DP$1434</f>
        <v>73227.414602359073</v>
      </c>
      <c r="DQ1433" s="65">
        <f>DQ1441*DQ$1434</f>
        <v>75058.099967418035</v>
      </c>
      <c r="DR1433" s="65">
        <f t="shared" si="2033"/>
        <v>75058.099967418035</v>
      </c>
    </row>
    <row r="1434" spans="1:128" ht="13.95" customHeight="1">
      <c r="A1434" s="542" t="s">
        <v>1155</v>
      </c>
      <c r="B1434" s="565"/>
      <c r="C1434" s="565"/>
      <c r="D1434" s="565"/>
      <c r="E1434" s="565"/>
      <c r="F1434" s="565"/>
      <c r="G1434" s="565"/>
      <c r="H1434" s="565"/>
      <c r="I1434" s="565"/>
      <c r="J1434" s="565"/>
      <c r="K1434" s="565"/>
      <c r="L1434" s="565"/>
      <c r="M1434" s="565"/>
      <c r="N1434" s="565"/>
      <c r="O1434" s="565"/>
      <c r="P1434" s="565"/>
      <c r="Q1434" s="565"/>
      <c r="R1434" s="565"/>
      <c r="S1434" s="565"/>
      <c r="T1434" s="565"/>
      <c r="U1434" s="565"/>
      <c r="V1434" s="565"/>
      <c r="W1434" s="565"/>
      <c r="X1434" s="565"/>
      <c r="Y1434" s="565"/>
      <c r="Z1434" s="565"/>
      <c r="AA1434" s="565"/>
      <c r="AB1434" s="565"/>
      <c r="AC1434" s="565"/>
      <c r="AD1434" s="565"/>
      <c r="AE1434" s="565"/>
      <c r="AF1434" s="565"/>
      <c r="AG1434" s="565"/>
      <c r="AH1434" s="565"/>
      <c r="AI1434" s="565"/>
      <c r="AJ1434" s="565"/>
      <c r="AK1434" s="565"/>
      <c r="AL1434" s="565"/>
      <c r="AM1434" s="565"/>
      <c r="AN1434" s="565"/>
      <c r="AO1434" s="565"/>
      <c r="AP1434" s="565"/>
      <c r="AQ1434" s="565"/>
      <c r="AR1434" s="565"/>
      <c r="AS1434" s="565"/>
      <c r="AT1434" s="565"/>
      <c r="AU1434" s="565"/>
      <c r="AV1434" s="565"/>
      <c r="AW1434" s="565"/>
      <c r="AX1434" s="565"/>
      <c r="AY1434" s="565"/>
      <c r="AZ1434" s="565"/>
      <c r="BA1434" s="565"/>
      <c r="BB1434" s="565"/>
      <c r="BC1434" s="565"/>
      <c r="BD1434" s="565"/>
      <c r="BE1434" s="565"/>
      <c r="BF1434" s="565"/>
      <c r="BG1434" s="565"/>
      <c r="BH1434" s="565"/>
      <c r="BI1434" s="565"/>
      <c r="BJ1434" s="565"/>
      <c r="BK1434" s="565"/>
      <c r="BL1434" s="565"/>
      <c r="BM1434" s="565"/>
      <c r="BN1434" s="565"/>
      <c r="BO1434" s="565"/>
      <c r="BP1434" s="565"/>
      <c r="BQ1434" s="565"/>
      <c r="BR1434" s="565"/>
      <c r="BS1434" s="565"/>
      <c r="BT1434" s="565"/>
      <c r="BU1434" s="565"/>
      <c r="BV1434" s="565"/>
      <c r="BW1434" s="565"/>
      <c r="BX1434" s="565"/>
      <c r="BY1434" s="565"/>
      <c r="BZ1434" s="565"/>
      <c r="CA1434" s="565"/>
      <c r="CB1434" s="565"/>
      <c r="CC1434" s="565"/>
      <c r="CD1434" s="565"/>
      <c r="CE1434" s="565"/>
      <c r="CF1434" s="565"/>
      <c r="CG1434" s="565"/>
      <c r="CH1434" s="565"/>
      <c r="CI1434" s="565"/>
      <c r="CJ1434" s="565"/>
      <c r="CK1434" s="565"/>
      <c r="CL1434" s="565"/>
      <c r="CM1434" s="565"/>
      <c r="CN1434" s="565"/>
      <c r="CO1434" s="565"/>
      <c r="CP1434" s="565"/>
      <c r="CQ1434" s="565"/>
      <c r="CR1434" s="565"/>
      <c r="CS1434" s="565"/>
      <c r="CT1434" s="565"/>
      <c r="CU1434" s="565"/>
      <c r="CV1434" s="72">
        <f>CV1432+CV1433</f>
        <v>326681</v>
      </c>
      <c r="CW1434" s="72">
        <f>CW1432+CW1433</f>
        <v>339747</v>
      </c>
      <c r="CX1434" s="72">
        <f t="shared" si="2028"/>
        <v>339747</v>
      </c>
      <c r="CY1434" s="565"/>
      <c r="CZ1434" s="72">
        <f>CZ1432+CZ1433</f>
        <v>348410</v>
      </c>
      <c r="DA1434" s="72">
        <f>DA1432+DA1433</f>
        <v>419483</v>
      </c>
      <c r="DB1434" s="72">
        <f t="shared" si="2029"/>
        <v>419483</v>
      </c>
      <c r="DC1434" s="565"/>
      <c r="DD1434" s="72">
        <f>DD1432+DD1433</f>
        <v>433534</v>
      </c>
      <c r="DE1434" s="72">
        <f>DE1432+DE1433</f>
        <v>438262</v>
      </c>
      <c r="DF1434" s="72">
        <f t="shared" si="2030"/>
        <v>438262</v>
      </c>
      <c r="DG1434" s="565"/>
      <c r="DH1434" s="72">
        <f t="shared" ref="DH1434:DI1434" si="2034">+DH1442*DH1461</f>
        <v>444835.93</v>
      </c>
      <c r="DI1434" s="72">
        <f t="shared" si="2034"/>
        <v>455956.82824999996</v>
      </c>
      <c r="DJ1434" s="72">
        <f t="shared" si="2031"/>
        <v>455956.82824999996</v>
      </c>
      <c r="DK1434" s="565"/>
      <c r="DL1434" s="72">
        <f t="shared" ref="DL1434:DM1434" si="2035">+DL1442*DL1461</f>
        <v>469635.53309749992</v>
      </c>
      <c r="DM1434" s="72">
        <f t="shared" si="2035"/>
        <v>483724.59909042501</v>
      </c>
      <c r="DN1434" s="72">
        <f t="shared" si="2032"/>
        <v>483724.59909042501</v>
      </c>
      <c r="DO1434" s="565"/>
      <c r="DP1434" s="72">
        <f t="shared" ref="DP1434:DQ1434" si="2036">+DP1442*DP1461</f>
        <v>495817.71406768559</v>
      </c>
      <c r="DQ1434" s="72">
        <f t="shared" si="2036"/>
        <v>508213.15691937768</v>
      </c>
      <c r="DR1434" s="72">
        <f t="shared" si="2033"/>
        <v>508213.15691937768</v>
      </c>
      <c r="DS1434" s="565"/>
    </row>
    <row r="1435" spans="1:128" ht="13.95" customHeight="1">
      <c r="A1435" s="540" t="s">
        <v>1156</v>
      </c>
      <c r="CV1435" s="608">
        <v>108965</v>
      </c>
      <c r="CW1435" s="608">
        <v>113580</v>
      </c>
      <c r="CX1435" s="65">
        <f t="shared" si="2028"/>
        <v>113580</v>
      </c>
      <c r="CZ1435" s="608">
        <v>113804</v>
      </c>
      <c r="DA1435" s="608">
        <v>115439</v>
      </c>
      <c r="DB1435" s="65">
        <f t="shared" si="2029"/>
        <v>115439</v>
      </c>
      <c r="DD1435" s="67">
        <v>111188</v>
      </c>
      <c r="DE1435" s="67">
        <v>109990</v>
      </c>
      <c r="DF1435" s="65">
        <f t="shared" si="2030"/>
        <v>109990</v>
      </c>
      <c r="DH1435" s="65">
        <f t="shared" ref="DH1435:DI1435" si="2037">+DH1443*DH1462</f>
        <v>109656.72495933999</v>
      </c>
      <c r="DI1435" s="65">
        <f t="shared" si="2037"/>
        <v>112391.31197511566</v>
      </c>
      <c r="DJ1435" s="65">
        <f t="shared" si="2031"/>
        <v>112391.31197511566</v>
      </c>
      <c r="DL1435" s="65">
        <f t="shared" ref="DL1435:DM1435" si="2038">+DL1443*DL1462</f>
        <v>114634.53860175807</v>
      </c>
      <c r="DM1435" s="65">
        <f t="shared" si="2038"/>
        <v>116922.58376480459</v>
      </c>
      <c r="DN1435" s="65">
        <f t="shared" si="2032"/>
        <v>116922.58376480459</v>
      </c>
      <c r="DP1435" s="65">
        <f t="shared" ref="DP1435:DQ1435" si="2039">+DP1443*DP1462</f>
        <v>118674.07648873738</v>
      </c>
      <c r="DQ1435" s="65">
        <f t="shared" si="2039"/>
        <v>120451.81814320384</v>
      </c>
      <c r="DR1435" s="65">
        <f t="shared" si="2033"/>
        <v>120451.81814320384</v>
      </c>
    </row>
    <row r="1436" spans="1:128" s="21" customFormat="1" ht="13.95" customHeight="1">
      <c r="A1436" s="21" t="s">
        <v>787</v>
      </c>
      <c r="B1436" s="27"/>
      <c r="BH1436" s="72"/>
      <c r="BI1436" s="72"/>
      <c r="BJ1436" s="72"/>
      <c r="BK1436" s="27"/>
      <c r="BL1436" s="72"/>
      <c r="BM1436" s="72"/>
      <c r="BN1436" s="72"/>
      <c r="BO1436" s="27"/>
      <c r="BP1436" s="607">
        <f>310799+7289</f>
        <v>318088</v>
      </c>
      <c r="BQ1436" s="607">
        <f>323174+7829</f>
        <v>331003</v>
      </c>
      <c r="BR1436" s="72">
        <f>BQ1436</f>
        <v>331003</v>
      </c>
      <c r="BT1436" s="607">
        <f>337314+7183</f>
        <v>344497</v>
      </c>
      <c r="BU1436" s="607">
        <f>348394+6851</f>
        <v>355245</v>
      </c>
      <c r="BV1436" s="72">
        <f>BU1436</f>
        <v>355245</v>
      </c>
      <c r="BX1436" s="607">
        <f>281972+72717+6476</f>
        <v>361165</v>
      </c>
      <c r="BY1436" s="607">
        <f>291868+74801+2448</f>
        <v>369117</v>
      </c>
      <c r="BZ1436" s="72">
        <f>BY1436</f>
        <v>369117</v>
      </c>
      <c r="CB1436" s="607">
        <f>297892+78190+681</f>
        <v>376763</v>
      </c>
      <c r="CC1436" s="607">
        <f>298367+78206+704</f>
        <v>377277</v>
      </c>
      <c r="CD1436" s="72">
        <f>CC1436</f>
        <v>377277</v>
      </c>
      <c r="CE1436" s="79">
        <f>CD1436/BZ1436-1</f>
        <v>2.2106811661343206E-2</v>
      </c>
      <c r="CF1436" s="607">
        <f>295444+84068+716</f>
        <v>380228</v>
      </c>
      <c r="CG1436" s="607">
        <v>373821</v>
      </c>
      <c r="CH1436" s="72">
        <f>CG1436</f>
        <v>373821</v>
      </c>
      <c r="CI1436" s="79">
        <f>CH1436/CD1436-1</f>
        <v>-9.1603781836687714E-3</v>
      </c>
      <c r="CJ1436" s="607">
        <f>380082+471</f>
        <v>380553</v>
      </c>
      <c r="CK1436" s="607">
        <f>392312+435</f>
        <v>392747</v>
      </c>
      <c r="CL1436" s="72">
        <f>CK1436</f>
        <v>392747</v>
      </c>
      <c r="CM1436" s="79">
        <f>CL1436/CH1436-1</f>
        <v>5.0628509366782426E-2</v>
      </c>
      <c r="CN1436" s="607">
        <f>405552+422</f>
        <v>405974</v>
      </c>
      <c r="CO1436" s="607">
        <f>410249+431</f>
        <v>410680</v>
      </c>
      <c r="CP1436" s="72">
        <f>CO1436</f>
        <v>410680</v>
      </c>
      <c r="CQ1436" s="79">
        <f>CP1436/CL1436-1</f>
        <v>4.566043789004115E-2</v>
      </c>
      <c r="CR1436" s="607">
        <f>411629+416</f>
        <v>412045</v>
      </c>
      <c r="CS1436" s="607">
        <f>414125+435</f>
        <v>414560</v>
      </c>
      <c r="CT1436" s="72">
        <f>CS1436</f>
        <v>414560</v>
      </c>
      <c r="CU1436" s="79">
        <f>CT1436/CP1436-1</f>
        <v>9.4477452030778952E-3</v>
      </c>
      <c r="CV1436" s="72">
        <f>CV1434+CV1435</f>
        <v>435646</v>
      </c>
      <c r="CW1436" s="72">
        <f>CW1434+CW1435</f>
        <v>453327</v>
      </c>
      <c r="CX1436" s="72">
        <f t="shared" si="2028"/>
        <v>453327</v>
      </c>
      <c r="CY1436" s="79">
        <f>CX1436/CT1436-1</f>
        <v>9.3513604785796955E-2</v>
      </c>
      <c r="CZ1436" s="72">
        <f>CZ1434+CZ1435</f>
        <v>462214</v>
      </c>
      <c r="DA1436" s="72">
        <f>DA1434+DA1435</f>
        <v>534922</v>
      </c>
      <c r="DB1436" s="72">
        <f t="shared" si="2029"/>
        <v>534922</v>
      </c>
      <c r="DC1436" s="79">
        <f>DB1436/CX1436-1</f>
        <v>0.1799914851751605</v>
      </c>
      <c r="DD1436" s="72">
        <f>DD1434+DD1435</f>
        <v>544722</v>
      </c>
      <c r="DE1436" s="72">
        <f>DE1434+DE1435</f>
        <v>548252</v>
      </c>
      <c r="DF1436" s="72">
        <f t="shared" si="2030"/>
        <v>548252</v>
      </c>
      <c r="DG1436" s="79">
        <f>DF1436/DB1436-1</f>
        <v>2.4919520976889986E-2</v>
      </c>
      <c r="DH1436" s="72">
        <f>DH1434+DH1435</f>
        <v>554492.65495934</v>
      </c>
      <c r="DI1436" s="72">
        <f>DI1434+DI1435</f>
        <v>568348.14022511558</v>
      </c>
      <c r="DJ1436" s="72">
        <f t="shared" si="2031"/>
        <v>568348.14022511558</v>
      </c>
      <c r="DK1436" s="79">
        <f>DJ1436/DF1436-1</f>
        <v>3.6654932813953378E-2</v>
      </c>
      <c r="DL1436" s="72">
        <f>DL1434+DL1435</f>
        <v>584270.07169925794</v>
      </c>
      <c r="DM1436" s="72">
        <f>DM1434+DM1435</f>
        <v>600647.18285522959</v>
      </c>
      <c r="DN1436" s="72">
        <f t="shared" si="2032"/>
        <v>600647.18285522959</v>
      </c>
      <c r="DO1436" s="79">
        <f>DN1436/DJ1436-1</f>
        <v>5.6829679459003302E-2</v>
      </c>
      <c r="DP1436" s="72">
        <f>DP1434+DP1435</f>
        <v>614491.79055642302</v>
      </c>
      <c r="DQ1436" s="72">
        <f>DQ1434+DQ1435</f>
        <v>628664.97506258148</v>
      </c>
      <c r="DR1436" s="72">
        <f t="shared" si="2033"/>
        <v>628664.97506258148</v>
      </c>
      <c r="DS1436" s="79">
        <f>DR1436/DN1436-1</f>
        <v>4.6646006186471745E-2</v>
      </c>
      <c r="DT1436" s="79"/>
      <c r="DU1436" s="79"/>
      <c r="DW1436"/>
      <c r="DX1436"/>
    </row>
    <row r="1437" spans="1:128" s="20" customFormat="1" ht="13.95" customHeight="1">
      <c r="A1437" s="20" t="s">
        <v>796</v>
      </c>
      <c r="B1437" s="49"/>
      <c r="BH1437" s="49"/>
      <c r="BI1437" s="49"/>
      <c r="BJ1437" s="49"/>
      <c r="BK1437" s="49"/>
      <c r="BL1437" s="49"/>
      <c r="BM1437" s="49"/>
      <c r="BN1437" s="65"/>
      <c r="BO1437" s="49"/>
      <c r="BP1437" s="65">
        <f>+BP1438-BP1436</f>
        <v>672494</v>
      </c>
      <c r="BQ1437" s="65">
        <f>+BQ1438-BQ1436</f>
        <v>693212</v>
      </c>
      <c r="BR1437" s="65">
        <f>+BR1438-BR1436</f>
        <v>693212</v>
      </c>
      <c r="BS1437" s="28"/>
      <c r="BT1437" s="65">
        <f>+BT1438-BT1436</f>
        <v>683212</v>
      </c>
      <c r="BU1437" s="65">
        <f>+BU1438-BU1436</f>
        <v>539250</v>
      </c>
      <c r="BV1437" s="65">
        <f>+BV1438-BV1436</f>
        <v>539250</v>
      </c>
      <c r="BX1437" s="65">
        <f>+BX1438-BX1436</f>
        <v>538194</v>
      </c>
      <c r="BY1437" s="65">
        <f>+BY1438-BY1436</f>
        <v>533961</v>
      </c>
      <c r="BZ1437" s="65">
        <f>+BZ1438-BZ1436</f>
        <v>533961</v>
      </c>
      <c r="CB1437" s="65">
        <f>+CB1438-CB1436</f>
        <v>553432</v>
      </c>
      <c r="CC1437" s="65">
        <f>+CC1438-CC1436</f>
        <v>566838</v>
      </c>
      <c r="CD1437" s="65">
        <f>+CD1438-CD1436</f>
        <v>566838</v>
      </c>
      <c r="CE1437" s="75">
        <f>CD1437/BZ1437-1</f>
        <v>6.1571912555411279E-2</v>
      </c>
      <c r="CF1437" s="65">
        <f>+CF1438-CF1436</f>
        <v>587615</v>
      </c>
      <c r="CG1437" s="65">
        <f>+CG1438-CG1436</f>
        <v>603396</v>
      </c>
      <c r="CH1437" s="65">
        <f>+CH1438-CH1436</f>
        <v>603396</v>
      </c>
      <c r="CI1437" s="75">
        <f>CH1437/CD1437-1</f>
        <v>6.4494617509764707E-2</v>
      </c>
      <c r="CJ1437" s="65">
        <f>+CJ1438-CJ1436</f>
        <v>694510</v>
      </c>
      <c r="CK1437" s="65">
        <f>+CK1438-CK1436</f>
        <v>617670</v>
      </c>
      <c r="CL1437" s="65">
        <f>+CL1438-CL1436</f>
        <v>617670</v>
      </c>
      <c r="CM1437" s="75">
        <f>CL1437/CH1437-1</f>
        <v>2.3656106437563329E-2</v>
      </c>
      <c r="CN1437" s="65">
        <f>+CN1438-CN1436</f>
        <v>639217</v>
      </c>
      <c r="CO1437" s="65">
        <f>+CO1438-CO1436</f>
        <v>669438</v>
      </c>
      <c r="CP1437" s="65">
        <f>+CP1438-CP1436</f>
        <v>669438</v>
      </c>
      <c r="CQ1437" s="75">
        <f>CP1437/CL1437-1</f>
        <v>8.3811744135217747E-2</v>
      </c>
      <c r="CR1437" s="65">
        <f>+CR1438-CR1436</f>
        <v>690538</v>
      </c>
      <c r="CS1437" s="65">
        <f>+CS1438-CS1436</f>
        <v>737749</v>
      </c>
      <c r="CT1437" s="65">
        <f>+CT1438-CT1436</f>
        <v>737749</v>
      </c>
      <c r="CU1437" s="75">
        <f>CT1437/CP1437-1</f>
        <v>0.10204231011684417</v>
      </c>
      <c r="CV1437" s="65">
        <f>CV1438-CV1436</f>
        <v>757805</v>
      </c>
      <c r="CW1437" s="65">
        <f>CW1438-CW1436</f>
        <v>709413</v>
      </c>
      <c r="CX1437" s="65">
        <f t="shared" si="2028"/>
        <v>709413</v>
      </c>
      <c r="CY1437" s="75">
        <f>CX1437/CT1437-1</f>
        <v>-3.8408727087396954E-2</v>
      </c>
      <c r="CZ1437" s="65">
        <f>CZ1438-CZ1436</f>
        <v>688563</v>
      </c>
      <c r="DA1437" s="65">
        <f>DA1438-DA1436</f>
        <v>724783</v>
      </c>
      <c r="DB1437" s="65">
        <f t="shared" si="2029"/>
        <v>724783</v>
      </c>
      <c r="DC1437" s="75">
        <f>DB1437/CX1437-1</f>
        <v>2.1665799752753401E-2</v>
      </c>
      <c r="DD1437" s="65">
        <f>DD1438-DD1436</f>
        <v>710699</v>
      </c>
      <c r="DE1437" s="65">
        <f>DE1438-DE1436</f>
        <v>770848</v>
      </c>
      <c r="DF1437" s="65">
        <f t="shared" si="2030"/>
        <v>770848</v>
      </c>
      <c r="DG1437" s="75">
        <f>DF1437/DB1437-1</f>
        <v>6.3556954288386924E-2</v>
      </c>
      <c r="DH1437" s="65">
        <f t="shared" ref="DH1437:DI1437" si="2040">DH1445*DH1478</f>
        <v>770998.36987895821</v>
      </c>
      <c r="DI1437" s="65">
        <f t="shared" si="2040"/>
        <v>783863.9462588781</v>
      </c>
      <c r="DJ1437" s="65">
        <f t="shared" si="2031"/>
        <v>783863.9462588781</v>
      </c>
      <c r="DK1437" s="75">
        <f>DJ1437/DF1437-1</f>
        <v>1.6885230627669889E-2</v>
      </c>
      <c r="DL1437" s="65">
        <f t="shared" ref="DL1437:DM1437" si="2041">DL1445*DL1478</f>
        <v>794334.63364359539</v>
      </c>
      <c r="DM1437" s="65">
        <f t="shared" si="2041"/>
        <v>808939.55171193078</v>
      </c>
      <c r="DN1437" s="65">
        <f t="shared" si="2032"/>
        <v>808939.55171193078</v>
      </c>
      <c r="DO1437" s="75">
        <f>DN1437/DJ1437-1</f>
        <v>3.1989742062675797E-2</v>
      </c>
      <c r="DP1437" s="65">
        <f t="shared" ref="DP1437:DQ1437" si="2042">DP1445*DP1478</f>
        <v>821504.99025659519</v>
      </c>
      <c r="DQ1437" s="65">
        <f t="shared" si="2042"/>
        <v>837552.03376664058</v>
      </c>
      <c r="DR1437" s="65">
        <f t="shared" si="2033"/>
        <v>837552.03376664058</v>
      </c>
      <c r="DS1437" s="75">
        <f>DR1437/DN1437-1</f>
        <v>3.5370358630824938E-2</v>
      </c>
      <c r="DT1437" s="75"/>
      <c r="DU1437" s="75"/>
      <c r="DV1437" s="65"/>
      <c r="DW1437"/>
      <c r="DX1437"/>
    </row>
    <row r="1438" spans="1:128" s="20" customFormat="1" ht="13.95" customHeight="1">
      <c r="A1438" s="20" t="s">
        <v>797</v>
      </c>
      <c r="B1438" s="49"/>
      <c r="BH1438" s="49"/>
      <c r="BI1438" s="49"/>
      <c r="BJ1438" s="49"/>
      <c r="BK1438" s="49"/>
      <c r="BL1438" s="49"/>
      <c r="BM1438" s="49"/>
      <c r="BN1438" s="65"/>
      <c r="BO1438" s="49"/>
      <c r="BP1438" s="573">
        <v>990582</v>
      </c>
      <c r="BQ1438" s="573">
        <v>1024215</v>
      </c>
      <c r="BR1438" s="65">
        <f>BQ1438</f>
        <v>1024215</v>
      </c>
      <c r="BS1438" s="28"/>
      <c r="BT1438" s="573">
        <v>1027709</v>
      </c>
      <c r="BU1438" s="573">
        <v>894495</v>
      </c>
      <c r="BV1438" s="65">
        <f>BU1438</f>
        <v>894495</v>
      </c>
      <c r="BX1438" s="573">
        <v>899359</v>
      </c>
      <c r="BY1438" s="573">
        <v>903078</v>
      </c>
      <c r="BZ1438" s="65">
        <f>BY1438</f>
        <v>903078</v>
      </c>
      <c r="CB1438" s="573">
        <v>930195</v>
      </c>
      <c r="CC1438" s="573">
        <v>944115</v>
      </c>
      <c r="CD1438" s="65">
        <f>CC1438</f>
        <v>944115</v>
      </c>
      <c r="CE1438" s="75">
        <f>CD1438/BZ1438-1</f>
        <v>4.5441257565791648E-2</v>
      </c>
      <c r="CF1438" s="573">
        <v>967843</v>
      </c>
      <c r="CG1438" s="573">
        <v>977217</v>
      </c>
      <c r="CH1438" s="65">
        <f>CG1438</f>
        <v>977217</v>
      </c>
      <c r="CI1438" s="75">
        <f>CH1438/CD1438-1</f>
        <v>3.506140671422453E-2</v>
      </c>
      <c r="CJ1438" s="573">
        <v>1075063</v>
      </c>
      <c r="CK1438" s="573">
        <v>1010417</v>
      </c>
      <c r="CL1438" s="65">
        <f>CK1438</f>
        <v>1010417</v>
      </c>
      <c r="CM1438" s="75">
        <f>CL1438/CH1438-1</f>
        <v>3.3974030333078442E-2</v>
      </c>
      <c r="CN1438" s="573">
        <v>1045191</v>
      </c>
      <c r="CO1438" s="573">
        <v>1080118</v>
      </c>
      <c r="CP1438" s="65">
        <f>CO1438</f>
        <v>1080118</v>
      </c>
      <c r="CQ1438" s="75">
        <f>CP1438/CL1438-1</f>
        <v>6.8982410232606872E-2</v>
      </c>
      <c r="CR1438" s="573">
        <v>1102583</v>
      </c>
      <c r="CS1438" s="573">
        <v>1152309</v>
      </c>
      <c r="CT1438" s="65">
        <f>CS1438</f>
        <v>1152309</v>
      </c>
      <c r="CU1438" s="75">
        <f>CT1438/CP1438-1</f>
        <v>6.6836216043062002E-2</v>
      </c>
      <c r="CV1438" s="573">
        <v>1193451</v>
      </c>
      <c r="CW1438" s="573">
        <v>1162740</v>
      </c>
      <c r="CX1438" s="65">
        <f>SUM(CX1436:CX1437)</f>
        <v>1162740</v>
      </c>
      <c r="CY1438" s="75">
        <f>CX1438/CT1438-1</f>
        <v>9.05225941999932E-3</v>
      </c>
      <c r="CZ1438" s="573">
        <v>1150777</v>
      </c>
      <c r="DA1438" s="573">
        <v>1259705</v>
      </c>
      <c r="DB1438" s="65">
        <f>SUM(DB1436:DB1437)</f>
        <v>1259705</v>
      </c>
      <c r="DC1438" s="75">
        <f>DB1438/CX1438-1</f>
        <v>8.3393535958167675E-2</v>
      </c>
      <c r="DD1438" s="573">
        <f>122162+539983+436563+156713</f>
        <v>1255421</v>
      </c>
      <c r="DE1438" s="573">
        <v>1319100</v>
      </c>
      <c r="DF1438" s="65">
        <f>SUM(DF1436:DF1437)</f>
        <v>1319100</v>
      </c>
      <c r="DG1438" s="75">
        <f>DF1438/DB1438-1</f>
        <v>4.7149927959323712E-2</v>
      </c>
      <c r="DH1438" s="65">
        <f>SUM(DH1436:DH1437)</f>
        <v>1325491.0248382981</v>
      </c>
      <c r="DI1438" s="65">
        <f>SUM(DI1436:DI1437)</f>
        <v>1352212.0864839936</v>
      </c>
      <c r="DJ1438" s="65">
        <f>SUM(DJ1436:DJ1437)</f>
        <v>1352212.0864839936</v>
      </c>
      <c r="DK1438" s="75">
        <f>DJ1438/DF1438-1</f>
        <v>2.5102029022813666E-2</v>
      </c>
      <c r="DL1438" s="65">
        <f>SUM(DL1436:DL1437)</f>
        <v>1378604.7053428534</v>
      </c>
      <c r="DM1438" s="65">
        <f>SUM(DM1436:DM1437)</f>
        <v>1409586.7345671603</v>
      </c>
      <c r="DN1438" s="65">
        <f>SUM(DN1436:DN1437)</f>
        <v>1409586.7345671603</v>
      </c>
      <c r="DO1438" s="75">
        <f>DN1438/DJ1438-1</f>
        <v>4.2430213911452075E-2</v>
      </c>
      <c r="DP1438" s="65">
        <f>SUM(DP1436:DP1437)</f>
        <v>1435996.7808130183</v>
      </c>
      <c r="DQ1438" s="65">
        <f>SUM(DQ1436:DQ1437)</f>
        <v>1466217.0088292221</v>
      </c>
      <c r="DR1438" s="65">
        <f>SUM(DR1436:DR1437)</f>
        <v>1466217.0088292221</v>
      </c>
      <c r="DS1438" s="75">
        <f>DR1438/DN1438-1</f>
        <v>4.0175090239800815E-2</v>
      </c>
      <c r="DT1438" s="75"/>
      <c r="DU1438" s="75"/>
      <c r="DV1438" s="65"/>
      <c r="DW1438"/>
      <c r="DX1438"/>
    </row>
    <row r="1439" spans="1:128" s="20" customFormat="1" ht="13.8">
      <c r="B1439" s="49"/>
      <c r="BH1439" s="49"/>
      <c r="BI1439" s="49"/>
      <c r="BJ1439" s="49"/>
      <c r="BK1439" s="49"/>
      <c r="BL1439" s="49"/>
      <c r="BM1439" s="49"/>
      <c r="BN1439" s="65"/>
      <c r="BO1439" s="49"/>
      <c r="BP1439" s="49"/>
      <c r="BQ1439" s="49"/>
      <c r="BR1439" s="65"/>
      <c r="BS1439" s="28"/>
      <c r="BT1439" s="49"/>
      <c r="BU1439" s="65"/>
      <c r="BV1439" s="65"/>
      <c r="BX1439" s="49"/>
      <c r="BY1439" s="65"/>
      <c r="BZ1439" s="65"/>
      <c r="CB1439" s="49"/>
      <c r="CC1439" s="49"/>
      <c r="CD1439" s="49"/>
      <c r="CE1439" s="65"/>
      <c r="CF1439" s="49"/>
      <c r="CG1439" s="49"/>
      <c r="CH1439" s="49"/>
      <c r="CI1439" s="65"/>
      <c r="CJ1439" s="49"/>
      <c r="CK1439"/>
      <c r="CL1439"/>
      <c r="CM1439"/>
      <c r="CN1439" s="49"/>
      <c r="CO1439"/>
      <c r="CP1439"/>
      <c r="CQ1439"/>
      <c r="CR1439" s="49"/>
      <c r="CS1439"/>
      <c r="CT1439"/>
      <c r="CU1439"/>
      <c r="CV1439" s="49"/>
      <c r="CW1439" s="49"/>
      <c r="CX1439"/>
      <c r="CY1439"/>
      <c r="CZ1439" s="49"/>
      <c r="DA1439" s="49"/>
      <c r="DB1439"/>
      <c r="DC1439"/>
      <c r="DD1439" s="49"/>
      <c r="DE1439" s="49"/>
      <c r="DF1439"/>
      <c r="DG1439"/>
      <c r="DH1439"/>
      <c r="DI1439"/>
      <c r="DJ1439"/>
      <c r="DK1439"/>
      <c r="DL1439"/>
      <c r="DM1439"/>
      <c r="DN1439"/>
      <c r="DO1439"/>
      <c r="DP1439"/>
      <c r="DQ1439"/>
      <c r="DR1439"/>
      <c r="DS1439"/>
      <c r="DT1439"/>
      <c r="DU1439"/>
      <c r="DV1439"/>
      <c r="DW1439"/>
      <c r="DX1439"/>
    </row>
    <row r="1440" spans="1:128" s="47" customFormat="1" ht="13.8">
      <c r="A1440" s="574" t="s">
        <v>1194</v>
      </c>
      <c r="B1440" s="575"/>
      <c r="C1440" s="574"/>
      <c r="D1440" s="574"/>
      <c r="E1440" s="574"/>
      <c r="F1440" s="574"/>
      <c r="G1440" s="574"/>
      <c r="H1440" s="574"/>
      <c r="I1440" s="574"/>
      <c r="J1440" s="574"/>
      <c r="K1440" s="574"/>
      <c r="L1440" s="574"/>
      <c r="M1440" s="574"/>
      <c r="N1440" s="574"/>
      <c r="O1440" s="574"/>
      <c r="P1440" s="574"/>
      <c r="Q1440" s="574"/>
      <c r="R1440" s="574"/>
      <c r="S1440" s="574"/>
      <c r="T1440" s="574"/>
      <c r="U1440" s="574"/>
      <c r="V1440" s="574"/>
      <c r="W1440" s="574"/>
      <c r="X1440" s="574"/>
      <c r="Y1440" s="574"/>
      <c r="Z1440" s="574"/>
      <c r="AA1440" s="574"/>
      <c r="AB1440" s="574"/>
      <c r="AC1440" s="574"/>
      <c r="AD1440" s="574"/>
      <c r="AE1440" s="574"/>
      <c r="AF1440" s="574"/>
      <c r="AG1440" s="574"/>
      <c r="AH1440" s="574"/>
      <c r="AI1440" s="574"/>
      <c r="AJ1440" s="574"/>
      <c r="AK1440" s="574"/>
      <c r="AL1440" s="574"/>
      <c r="AM1440" s="574"/>
      <c r="AN1440" s="574"/>
      <c r="AO1440" s="574"/>
      <c r="AP1440" s="574"/>
      <c r="AQ1440" s="574"/>
      <c r="AR1440" s="574"/>
      <c r="AS1440" s="574"/>
      <c r="AT1440" s="574"/>
      <c r="AU1440" s="574"/>
      <c r="AV1440" s="574"/>
      <c r="AW1440" s="574"/>
      <c r="AX1440" s="574"/>
      <c r="AY1440" s="574"/>
      <c r="AZ1440" s="574"/>
      <c r="BA1440" s="574"/>
      <c r="BB1440" s="574"/>
      <c r="BC1440" s="574"/>
      <c r="BD1440" s="574"/>
      <c r="BE1440" s="574"/>
      <c r="BF1440" s="574"/>
      <c r="BG1440" s="574"/>
      <c r="BH1440" s="576"/>
      <c r="BI1440" s="576"/>
      <c r="BJ1440" s="576"/>
      <c r="BK1440" s="575"/>
      <c r="BL1440" s="576"/>
      <c r="BM1440" s="576"/>
      <c r="BN1440" s="576"/>
      <c r="BO1440" s="575"/>
      <c r="BP1440" s="577"/>
      <c r="BQ1440" s="577"/>
      <c r="BR1440" s="577"/>
      <c r="BS1440" s="574"/>
      <c r="BT1440" s="577"/>
      <c r="BU1440" s="577"/>
      <c r="BV1440" s="577"/>
      <c r="BW1440" s="578"/>
      <c r="BX1440" s="577"/>
      <c r="BY1440" s="577"/>
      <c r="BZ1440" s="577"/>
      <c r="CA1440" s="362"/>
      <c r="CB1440" s="577"/>
      <c r="CC1440" s="577"/>
      <c r="CD1440" s="577"/>
      <c r="CE1440" s="362"/>
      <c r="CF1440" s="577"/>
      <c r="CG1440" s="577"/>
      <c r="CH1440" s="577"/>
      <c r="CI1440" s="362"/>
      <c r="CJ1440" s="577"/>
      <c r="CK1440" s="577"/>
      <c r="CL1440" s="577"/>
      <c r="CM1440" s="362"/>
      <c r="CN1440" s="577"/>
      <c r="CO1440" s="577"/>
      <c r="CP1440" s="577"/>
      <c r="CQ1440" s="362"/>
      <c r="CR1440" s="577"/>
      <c r="CS1440" s="577"/>
      <c r="CT1440" s="577"/>
      <c r="CU1440" s="362"/>
      <c r="CV1440" s="577">
        <f>CV1432/CV1434</f>
        <v>0.99384414765474571</v>
      </c>
      <c r="CW1440" s="577">
        <f t="shared" ref="CW1440:CX1440" si="2043">CW1432/CW1434</f>
        <v>0.99332150099927297</v>
      </c>
      <c r="CX1440" s="577">
        <f t="shared" si="2043"/>
        <v>0.99332150099927297</v>
      </c>
      <c r="CY1440" s="335"/>
      <c r="CZ1440" s="577">
        <f t="shared" ref="CZ1440:DB1440" si="2044">CZ1432/CZ1434</f>
        <v>0.99413334864096903</v>
      </c>
      <c r="DA1440" s="577">
        <f t="shared" si="2044"/>
        <v>0.85074961321436149</v>
      </c>
      <c r="DB1440" s="577">
        <f t="shared" si="2044"/>
        <v>0.85074961321436149</v>
      </c>
      <c r="DC1440" s="335"/>
      <c r="DD1440" s="577">
        <f t="shared" ref="DD1440:DF1440" si="2045">DD1432/DD1434</f>
        <v>0.84450123865717563</v>
      </c>
      <c r="DE1440" s="577">
        <f t="shared" si="2045"/>
        <v>0.85230980555010472</v>
      </c>
      <c r="DF1440" s="577">
        <f t="shared" si="2045"/>
        <v>0.85230980555010472</v>
      </c>
      <c r="DG1440" s="362"/>
      <c r="DH1440" s="346">
        <f>DE1440</f>
        <v>0.85230980555010472</v>
      </c>
      <c r="DI1440" s="346">
        <f t="shared" ref="DI1440" si="2046">DH1440</f>
        <v>0.85230980555010472</v>
      </c>
      <c r="DJ1440" s="577">
        <f t="shared" ref="DJ1440" si="2047">DJ1432/DJ1434</f>
        <v>0.85230980555010472</v>
      </c>
      <c r="DK1440" s="362"/>
      <c r="DL1440" s="346">
        <f>DI1440</f>
        <v>0.85230980555010472</v>
      </c>
      <c r="DM1440" s="346">
        <f t="shared" ref="DM1440" si="2048">DL1440</f>
        <v>0.85230980555010472</v>
      </c>
      <c r="DN1440" s="577">
        <f t="shared" ref="DN1440" si="2049">DN1432/DN1434</f>
        <v>0.85230980555010472</v>
      </c>
      <c r="DO1440" s="362"/>
      <c r="DP1440" s="346">
        <f>DM1440</f>
        <v>0.85230980555010472</v>
      </c>
      <c r="DQ1440" s="346">
        <f t="shared" ref="DQ1440" si="2050">DP1440</f>
        <v>0.85230980555010472</v>
      </c>
      <c r="DR1440" s="577">
        <f t="shared" ref="DR1440" si="2051">DR1432/DR1434</f>
        <v>0.8523098055501046</v>
      </c>
      <c r="DS1440" s="362"/>
      <c r="DT1440" s="362"/>
      <c r="DU1440" s="362"/>
      <c r="DV1440" s="362"/>
      <c r="DW1440"/>
      <c r="DX1440"/>
    </row>
    <row r="1441" spans="1:128" s="47" customFormat="1" ht="13.8">
      <c r="A1441" s="47" t="s">
        <v>1193</v>
      </c>
      <c r="B1441" s="92"/>
      <c r="BH1441" s="73"/>
      <c r="BI1441" s="73"/>
      <c r="BJ1441" s="73"/>
      <c r="BK1441" s="92"/>
      <c r="BL1441" s="73"/>
      <c r="BM1441" s="73"/>
      <c r="BN1441" s="73"/>
      <c r="BO1441" s="92"/>
      <c r="BP1441" s="96"/>
      <c r="BQ1441" s="96"/>
      <c r="BR1441" s="96"/>
      <c r="BT1441" s="96"/>
      <c r="BU1441" s="96"/>
      <c r="BV1441" s="96"/>
      <c r="BW1441" s="78"/>
      <c r="BX1441" s="96"/>
      <c r="BY1441" s="96"/>
      <c r="BZ1441" s="96"/>
      <c r="CA1441" s="78"/>
      <c r="CB1441" s="96"/>
      <c r="CC1441" s="96"/>
      <c r="CD1441" s="96"/>
      <c r="CE1441" s="78"/>
      <c r="CF1441" s="96"/>
      <c r="CG1441" s="96"/>
      <c r="CH1441" s="96"/>
      <c r="CI1441" s="78"/>
      <c r="CJ1441" s="96"/>
      <c r="CK1441" s="96"/>
      <c r="CL1441" s="96"/>
      <c r="CM1441" s="78"/>
      <c r="CN1441" s="96"/>
      <c r="CO1441" s="96"/>
      <c r="CP1441" s="96"/>
      <c r="CQ1441" s="78"/>
      <c r="CR1441" s="96"/>
      <c r="CS1441" s="96"/>
      <c r="CT1441" s="96"/>
      <c r="CU1441" s="78"/>
      <c r="CV1441" s="96">
        <f>1-CV1440</f>
        <v>6.1558523452542868E-3</v>
      </c>
      <c r="CW1441" s="96">
        <f t="shared" ref="CW1441:CX1441" si="2052">1-CW1440</f>
        <v>6.678499000727034E-3</v>
      </c>
      <c r="CX1441" s="96">
        <f t="shared" si="2052"/>
        <v>6.678499000727034E-3</v>
      </c>
      <c r="CZ1441" s="96">
        <f t="shared" ref="CZ1441:DB1441" si="2053">1-CZ1440</f>
        <v>5.8666513590309721E-3</v>
      </c>
      <c r="DA1441" s="96">
        <f t="shared" si="2053"/>
        <v>0.14925038678563851</v>
      </c>
      <c r="DB1441" s="96">
        <f t="shared" si="2053"/>
        <v>0.14925038678563851</v>
      </c>
      <c r="DD1441" s="96">
        <f t="shared" ref="DD1441:DF1441" si="2054">1-DD1440</f>
        <v>0.15549876134282437</v>
      </c>
      <c r="DE1441" s="96">
        <f t="shared" si="2054"/>
        <v>0.14769019444989528</v>
      </c>
      <c r="DF1441" s="96">
        <f t="shared" si="2054"/>
        <v>0.14769019444989528</v>
      </c>
      <c r="DG1441" s="78"/>
      <c r="DH1441" s="96">
        <f t="shared" ref="DH1441" si="2055">1-DH1440</f>
        <v>0.14769019444989528</v>
      </c>
      <c r="DI1441" s="96">
        <f t="shared" ref="DI1441" si="2056">1-DI1440</f>
        <v>0.14769019444989528</v>
      </c>
      <c r="DJ1441" s="96">
        <f t="shared" ref="DJ1441" si="2057">1-DJ1440</f>
        <v>0.14769019444989528</v>
      </c>
      <c r="DK1441" s="78"/>
      <c r="DL1441" s="96">
        <f t="shared" ref="DL1441:DN1441" si="2058">1-DL1440</f>
        <v>0.14769019444989528</v>
      </c>
      <c r="DM1441" s="96">
        <f t="shared" si="2058"/>
        <v>0.14769019444989528</v>
      </c>
      <c r="DN1441" s="96">
        <f t="shared" si="2058"/>
        <v>0.14769019444989528</v>
      </c>
      <c r="DO1441" s="78"/>
      <c r="DP1441" s="96">
        <f t="shared" ref="DP1441:DR1441" si="2059">1-DP1440</f>
        <v>0.14769019444989528</v>
      </c>
      <c r="DQ1441" s="96">
        <f t="shared" si="2059"/>
        <v>0.14769019444989528</v>
      </c>
      <c r="DR1441" s="96">
        <f t="shared" si="2059"/>
        <v>0.1476901944498954</v>
      </c>
      <c r="DS1441" s="78"/>
      <c r="DT1441" s="78"/>
      <c r="DU1441" s="78"/>
      <c r="DV1441" s="78"/>
      <c r="DW1441" s="970"/>
      <c r="DX1441" s="970"/>
    </row>
    <row r="1442" spans="1:128" s="78" customFormat="1" ht="13.8">
      <c r="A1442" s="578" t="s">
        <v>1151</v>
      </c>
      <c r="B1442" s="923"/>
      <c r="C1442" s="578"/>
      <c r="D1442" s="578"/>
      <c r="E1442" s="578"/>
      <c r="F1442" s="578"/>
      <c r="G1442" s="578"/>
      <c r="H1442" s="578"/>
      <c r="I1442" s="578"/>
      <c r="J1442" s="578"/>
      <c r="K1442" s="578"/>
      <c r="L1442" s="578"/>
      <c r="M1442" s="578"/>
      <c r="N1442" s="578"/>
      <c r="O1442" s="578"/>
      <c r="P1442" s="578"/>
      <c r="Q1442" s="578"/>
      <c r="R1442" s="578"/>
      <c r="S1442" s="578"/>
      <c r="T1442" s="578"/>
      <c r="U1442" s="578"/>
      <c r="V1442" s="578"/>
      <c r="W1442" s="578"/>
      <c r="X1442" s="578"/>
      <c r="Y1442" s="578"/>
      <c r="Z1442" s="578"/>
      <c r="AA1442" s="578"/>
      <c r="AB1442" s="578"/>
      <c r="AC1442" s="578"/>
      <c r="AD1442" s="578"/>
      <c r="AE1442" s="578"/>
      <c r="AF1442" s="578"/>
      <c r="AG1442" s="578"/>
      <c r="AH1442" s="578"/>
      <c r="AI1442" s="578"/>
      <c r="AJ1442" s="578"/>
      <c r="AK1442" s="578"/>
      <c r="AL1442" s="578"/>
      <c r="AM1442" s="578"/>
      <c r="AN1442" s="578"/>
      <c r="AO1442" s="578"/>
      <c r="AP1442" s="578"/>
      <c r="AQ1442" s="578"/>
      <c r="AR1442" s="578"/>
      <c r="AS1442" s="578"/>
      <c r="AT1442" s="578"/>
      <c r="AU1442" s="578"/>
      <c r="AV1442" s="578"/>
      <c r="AW1442" s="578"/>
      <c r="AX1442" s="578"/>
      <c r="AY1442" s="578"/>
      <c r="AZ1442" s="578"/>
      <c r="BA1442" s="578"/>
      <c r="BB1442" s="578"/>
      <c r="BC1442" s="578"/>
      <c r="BD1442" s="578"/>
      <c r="BE1442" s="578"/>
      <c r="BF1442" s="578"/>
      <c r="BG1442" s="578"/>
      <c r="BH1442" s="980"/>
      <c r="BI1442" s="980"/>
      <c r="BJ1442" s="980"/>
      <c r="BK1442" s="923"/>
      <c r="BL1442" s="980"/>
      <c r="BM1442" s="980"/>
      <c r="BN1442" s="980"/>
      <c r="BO1442" s="923"/>
      <c r="BP1442" s="612"/>
      <c r="BQ1442" s="612"/>
      <c r="BR1442" s="612"/>
      <c r="BS1442" s="578"/>
      <c r="BT1442" s="612"/>
      <c r="BU1442" s="612"/>
      <c r="BV1442" s="612"/>
      <c r="BW1442" s="578"/>
      <c r="BX1442" s="612"/>
      <c r="BY1442" s="612"/>
      <c r="BZ1442" s="612"/>
      <c r="CA1442" s="362"/>
      <c r="CB1442" s="612"/>
      <c r="CC1442" s="612"/>
      <c r="CD1442" s="612"/>
      <c r="CE1442" s="362"/>
      <c r="CF1442" s="612"/>
      <c r="CG1442" s="612"/>
      <c r="CH1442" s="612"/>
      <c r="CI1442" s="362"/>
      <c r="CJ1442" s="612"/>
      <c r="CK1442" s="612"/>
      <c r="CL1442" s="612"/>
      <c r="CM1442" s="362"/>
      <c r="CN1442" s="612"/>
      <c r="CO1442" s="612"/>
      <c r="CP1442" s="612"/>
      <c r="CQ1442" s="362"/>
      <c r="CR1442" s="612"/>
      <c r="CS1442" s="612"/>
      <c r="CT1442" s="612"/>
      <c r="CU1442" s="362"/>
      <c r="CV1442" s="612">
        <f t="shared" ref="CV1442:CX1444" si="2060">+CV1434/CV1461</f>
        <v>1.1164878655625314</v>
      </c>
      <c r="CW1442" s="612">
        <f t="shared" si="2060"/>
        <v>1.1171000845025039</v>
      </c>
      <c r="CX1442" s="612">
        <f t="shared" si="2060"/>
        <v>1.1171000845025039</v>
      </c>
      <c r="CY1442" s="362"/>
      <c r="CZ1442" s="612">
        <f>+CZ1434/CZ1461</f>
        <v>1.1092221341407118</v>
      </c>
      <c r="DA1442" s="612">
        <f t="shared" ref="DA1442:DB1442" si="2061">+DA1434/DA1461</f>
        <v>1.0980368033924037</v>
      </c>
      <c r="DB1442" s="612">
        <f t="shared" si="2061"/>
        <v>1.0980368033924037</v>
      </c>
      <c r="DC1442" s="362"/>
      <c r="DD1442" s="612">
        <f>+DD1434/DD1461</f>
        <v>1.1067474388528511</v>
      </c>
      <c r="DE1442" s="612">
        <f t="shared" ref="DE1442:DF1442" si="2062">+DE1434/DE1461</f>
        <v>1.0914692155583339</v>
      </c>
      <c r="DF1442" s="612">
        <f t="shared" si="2062"/>
        <v>1.0914692155583339</v>
      </c>
      <c r="DG1442" s="362"/>
      <c r="DH1442" s="414">
        <f>DE1442</f>
        <v>1.0914692155583339</v>
      </c>
      <c r="DI1442" s="414">
        <f>DH1442</f>
        <v>1.0914692155583339</v>
      </c>
      <c r="DJ1442" s="612">
        <f>+DJ1434/DJ1461</f>
        <v>1.0914692155583339</v>
      </c>
      <c r="DK1442" s="362"/>
      <c r="DL1442" s="414">
        <f>DI1442</f>
        <v>1.0914692155583339</v>
      </c>
      <c r="DM1442" s="414">
        <f>DL1442</f>
        <v>1.0914692155583339</v>
      </c>
      <c r="DN1442" s="612">
        <f>+DN1434/DN1461</f>
        <v>1.0914692155583339</v>
      </c>
      <c r="DO1442" s="362"/>
      <c r="DP1442" s="414">
        <f>DM1442</f>
        <v>1.0914692155583339</v>
      </c>
      <c r="DQ1442" s="414">
        <f>DP1442</f>
        <v>1.0914692155583339</v>
      </c>
      <c r="DR1442" s="612">
        <f>+DR1434/DR1461</f>
        <v>1.0914692155583339</v>
      </c>
      <c r="DS1442" s="362"/>
      <c r="DT1442" s="362"/>
      <c r="DU1442" s="362"/>
      <c r="DV1442" s="362"/>
      <c r="DW1442" s="565"/>
      <c r="DX1442" s="565"/>
    </row>
    <row r="1443" spans="1:128" s="47" customFormat="1" ht="13.8">
      <c r="A1443" s="574" t="s">
        <v>1162</v>
      </c>
      <c r="B1443" s="575"/>
      <c r="C1443" s="574"/>
      <c r="D1443" s="574"/>
      <c r="E1443" s="574"/>
      <c r="F1443" s="574"/>
      <c r="G1443" s="574"/>
      <c r="H1443" s="574"/>
      <c r="I1443" s="574"/>
      <c r="J1443" s="574"/>
      <c r="K1443" s="574"/>
      <c r="L1443" s="574"/>
      <c r="M1443" s="574"/>
      <c r="N1443" s="574"/>
      <c r="O1443" s="574"/>
      <c r="P1443" s="574"/>
      <c r="Q1443" s="574"/>
      <c r="R1443" s="574"/>
      <c r="S1443" s="574"/>
      <c r="T1443" s="574"/>
      <c r="U1443" s="574"/>
      <c r="V1443" s="574"/>
      <c r="W1443" s="574"/>
      <c r="X1443" s="574"/>
      <c r="Y1443" s="574"/>
      <c r="Z1443" s="574"/>
      <c r="AA1443" s="574"/>
      <c r="AB1443" s="574"/>
      <c r="AC1443" s="574"/>
      <c r="AD1443" s="574"/>
      <c r="AE1443" s="574"/>
      <c r="AF1443" s="574"/>
      <c r="AG1443" s="574"/>
      <c r="AH1443" s="574"/>
      <c r="AI1443" s="574"/>
      <c r="AJ1443" s="574"/>
      <c r="AK1443" s="574"/>
      <c r="AL1443" s="574"/>
      <c r="AM1443" s="574"/>
      <c r="AN1443" s="574"/>
      <c r="AO1443" s="574"/>
      <c r="AP1443" s="574"/>
      <c r="AQ1443" s="574"/>
      <c r="AR1443" s="574"/>
      <c r="AS1443" s="574"/>
      <c r="AT1443" s="574"/>
      <c r="AU1443" s="574"/>
      <c r="AV1443" s="574"/>
      <c r="AW1443" s="574"/>
      <c r="AX1443" s="574"/>
      <c r="AY1443" s="574"/>
      <c r="AZ1443" s="574"/>
      <c r="BA1443" s="574"/>
      <c r="BB1443" s="574"/>
      <c r="BC1443" s="574"/>
      <c r="BD1443" s="574"/>
      <c r="BE1443" s="574"/>
      <c r="BF1443" s="574"/>
      <c r="BG1443" s="574"/>
      <c r="BH1443" s="576"/>
      <c r="BI1443" s="576"/>
      <c r="BJ1443" s="576"/>
      <c r="BK1443" s="575"/>
      <c r="BL1443" s="576"/>
      <c r="BM1443" s="576"/>
      <c r="BN1443" s="576"/>
      <c r="BO1443" s="575"/>
      <c r="BP1443" s="577"/>
      <c r="BQ1443" s="577"/>
      <c r="BR1443" s="577"/>
      <c r="BS1443" s="574"/>
      <c r="BT1443" s="577"/>
      <c r="BU1443" s="577"/>
      <c r="BV1443" s="577"/>
      <c r="BW1443" s="578"/>
      <c r="BX1443" s="577"/>
      <c r="BY1443" s="577"/>
      <c r="BZ1443" s="577"/>
      <c r="CA1443" s="362"/>
      <c r="CB1443" s="577"/>
      <c r="CC1443" s="577"/>
      <c r="CD1443" s="577"/>
      <c r="CE1443" s="362"/>
      <c r="CF1443" s="577"/>
      <c r="CG1443" s="577"/>
      <c r="CH1443" s="577"/>
      <c r="CI1443" s="362"/>
      <c r="CJ1443" s="577"/>
      <c r="CK1443" s="577"/>
      <c r="CL1443" s="577"/>
      <c r="CM1443" s="362"/>
      <c r="CN1443" s="577"/>
      <c r="CO1443" s="577"/>
      <c r="CP1443" s="577"/>
      <c r="CQ1443" s="362"/>
      <c r="CR1443" s="577"/>
      <c r="CS1443" s="577"/>
      <c r="CT1443" s="577"/>
      <c r="CU1443" s="362"/>
      <c r="CV1443" s="577">
        <f t="shared" si="2060"/>
        <v>1.107210356250127</v>
      </c>
      <c r="CW1443" s="577">
        <f t="shared" si="2060"/>
        <v>1.1317483409394369</v>
      </c>
      <c r="CX1443" s="577">
        <f t="shared" si="2060"/>
        <v>1.1317483409394369</v>
      </c>
      <c r="CY1443" s="335"/>
      <c r="CZ1443" s="577">
        <f>+CZ1435/CZ1462</f>
        <v>1.1285824788274261</v>
      </c>
      <c r="DA1443" s="577">
        <f t="shared" ref="DA1443:DB1443" si="2063">+DA1435/DA1462</f>
        <v>1.1259705044672468</v>
      </c>
      <c r="DB1443" s="577">
        <f t="shared" si="2063"/>
        <v>1.1259705044672468</v>
      </c>
      <c r="DC1443" s="335"/>
      <c r="DD1443" s="577">
        <f>+DD1435/DD1462</f>
        <v>1.0738236884802597</v>
      </c>
      <c r="DE1443" s="577">
        <f t="shared" ref="DE1443:DF1443" si="2064">+DE1435/DE1462</f>
        <v>1.0734606638493895</v>
      </c>
      <c r="DF1443" s="577">
        <f t="shared" si="2064"/>
        <v>1.0734606638493895</v>
      </c>
      <c r="DG1443" s="362"/>
      <c r="DH1443" s="346">
        <f>DE1443</f>
        <v>1.0734606638493895</v>
      </c>
      <c r="DI1443" s="346">
        <f>DH1443</f>
        <v>1.0734606638493895</v>
      </c>
      <c r="DJ1443" s="577">
        <f>+DJ1435/DJ1462</f>
        <v>1.0734606638493895</v>
      </c>
      <c r="DK1443" s="362"/>
      <c r="DL1443" s="346">
        <f>DI1443</f>
        <v>1.0734606638493895</v>
      </c>
      <c r="DM1443" s="346">
        <f>DL1443</f>
        <v>1.0734606638493895</v>
      </c>
      <c r="DN1443" s="577">
        <f>+DN1435/DN1462</f>
        <v>1.0734606638493895</v>
      </c>
      <c r="DO1443" s="362"/>
      <c r="DP1443" s="346">
        <f>DM1443</f>
        <v>1.0734606638493895</v>
      </c>
      <c r="DQ1443" s="346">
        <f>DP1443</f>
        <v>1.0734606638493895</v>
      </c>
      <c r="DR1443" s="577">
        <f>+DR1435/DR1462</f>
        <v>1.0734606638493895</v>
      </c>
      <c r="DS1443" s="362"/>
      <c r="DT1443" s="362"/>
      <c r="DU1443" s="362"/>
      <c r="DV1443" s="362"/>
      <c r="DW1443"/>
      <c r="DX1443"/>
    </row>
    <row r="1444" spans="1:128" s="78" customFormat="1" ht="13.8">
      <c r="A1444" s="78" t="s">
        <v>788</v>
      </c>
      <c r="B1444" s="95"/>
      <c r="BH1444" s="383"/>
      <c r="BI1444" s="383"/>
      <c r="BJ1444" s="383"/>
      <c r="BK1444" s="95"/>
      <c r="BL1444" s="383"/>
      <c r="BM1444" s="383"/>
      <c r="BN1444" s="383"/>
      <c r="BO1444" s="95"/>
      <c r="BP1444" s="97">
        <f>+BP1436/BP1463</f>
        <v>1.1025695241198348</v>
      </c>
      <c r="BQ1444" s="97">
        <f>+BQ1436/BQ1463</f>
        <v>1.1016247986474432</v>
      </c>
      <c r="BR1444" s="97">
        <f>+BR1436/BR1463</f>
        <v>1.1016247986474432</v>
      </c>
      <c r="BT1444" s="97">
        <f>+BT1436/BT1463</f>
        <v>1.0995719771082761</v>
      </c>
      <c r="BU1444" s="97">
        <f>+BU1436/BU1463</f>
        <v>1.0993396132993341</v>
      </c>
      <c r="BV1444" s="97">
        <f>+BV1436/BV1463</f>
        <v>1.0993396132993341</v>
      </c>
      <c r="BX1444" s="97">
        <f>+BX1436/BX1463</f>
        <v>1.0917464194381132</v>
      </c>
      <c r="BY1444" s="97">
        <f>+BY1436/BY1463</f>
        <v>1.0942992923402577</v>
      </c>
      <c r="BZ1444" s="97">
        <f>+BZ1436/BZ1463</f>
        <v>1.0942992923402577</v>
      </c>
      <c r="CB1444" s="97">
        <f>+CB1436/CB1463</f>
        <v>1.0917154190970442</v>
      </c>
      <c r="CC1444" s="97">
        <f>+CC1436/CC1463</f>
        <v>1.0899108489285116</v>
      </c>
      <c r="CD1444" s="97">
        <f>+CD1436/CD1463</f>
        <v>1.0899108489285116</v>
      </c>
      <c r="CF1444" s="97">
        <f>+CF1436/CF1463</f>
        <v>1.0896471087216932</v>
      </c>
      <c r="CG1444" s="97">
        <f>+CG1436/CG1463</f>
        <v>1.0872958162695459</v>
      </c>
      <c r="CH1444" s="97">
        <f>+CH1436/CH1463</f>
        <v>1.0872958162695459</v>
      </c>
      <c r="CJ1444" s="97">
        <f>+CJ1436/CJ1463</f>
        <v>1.0890741440296714</v>
      </c>
      <c r="CK1444" s="97">
        <f>+CK1436/CK1463</f>
        <v>1.0959871633877494</v>
      </c>
      <c r="CL1444" s="97">
        <f>+CL1436/CL1463</f>
        <v>1.0959871633877494</v>
      </c>
      <c r="CN1444" s="97">
        <f>+CN1436/CN1463</f>
        <v>1.1014602065234496</v>
      </c>
      <c r="CO1444" s="97">
        <f>+CO1436/CO1463</f>
        <v>1.1022835854546236</v>
      </c>
      <c r="CP1444" s="97">
        <f>+CP1436/CP1463</f>
        <v>1.1022835854546236</v>
      </c>
      <c r="CR1444" s="97">
        <f>+CR1436/CR1463</f>
        <v>1.1012770211037226</v>
      </c>
      <c r="CS1444" s="97">
        <f>+CS1436/CS1463</f>
        <v>1.1065999332665999</v>
      </c>
      <c r="CT1444" s="97">
        <f>+CT1436/CT1463</f>
        <v>1.1065999332665999</v>
      </c>
      <c r="CV1444" s="97">
        <f t="shared" si="2060"/>
        <v>1.114152798770367</v>
      </c>
      <c r="CW1444" s="97">
        <f t="shared" si="2060"/>
        <v>1.1207344539186286</v>
      </c>
      <c r="CX1444" s="97">
        <f t="shared" si="2060"/>
        <v>1.1207344539186286</v>
      </c>
      <c r="CZ1444" s="97">
        <f>+CZ1436/CZ1463</f>
        <v>1.1139270402298158</v>
      </c>
      <c r="DA1444" s="97">
        <f t="shared" ref="DA1444:DB1444" si="2065">+DA1436/DA1463</f>
        <v>1.1039471348910546</v>
      </c>
      <c r="DB1444" s="97">
        <f t="shared" si="2065"/>
        <v>1.1039471348910546</v>
      </c>
      <c r="DD1444" s="97">
        <f>+DD1436/DD1463</f>
        <v>1.0998641126027988</v>
      </c>
      <c r="DE1444" s="97">
        <f t="shared" ref="DE1444:DF1444" si="2066">+DE1436/DE1463</f>
        <v>1.0878080623495774</v>
      </c>
      <c r="DF1444" s="97">
        <f t="shared" si="2066"/>
        <v>1.0878080623495774</v>
      </c>
      <c r="DH1444" s="97">
        <f>+DH1436/DH1463</f>
        <v>1.0878600636687212</v>
      </c>
      <c r="DI1444" s="97">
        <f>+DI1436/DI1463</f>
        <v>1.0878602390600349</v>
      </c>
      <c r="DJ1444" s="97">
        <f>DI1444</f>
        <v>1.0878602390600349</v>
      </c>
      <c r="DL1444" s="97">
        <f>+DL1436/DL1463</f>
        <v>1.0878884255323222</v>
      </c>
      <c r="DM1444" s="97">
        <f>+DM1436/DM1463</f>
        <v>1.087916445062467</v>
      </c>
      <c r="DN1444" s="97">
        <f>DM1444</f>
        <v>1.087916445062467</v>
      </c>
      <c r="DP1444" s="97">
        <f>+DP1436/DP1463</f>
        <v>1.0879443778948021</v>
      </c>
      <c r="DQ1444" s="97">
        <f>+DQ1436/DQ1463</f>
        <v>1.0879721439666832</v>
      </c>
      <c r="DR1444" s="97">
        <f>DQ1444</f>
        <v>1.0879721439666832</v>
      </c>
      <c r="DW1444"/>
      <c r="DX1444"/>
    </row>
    <row r="1445" spans="1:128" s="20" customFormat="1" ht="13.8">
      <c r="A1445" s="574" t="s">
        <v>798</v>
      </c>
      <c r="B1445" s="575"/>
      <c r="C1445" s="574"/>
      <c r="D1445" s="574"/>
      <c r="E1445" s="574"/>
      <c r="F1445" s="574"/>
      <c r="G1445" s="574"/>
      <c r="H1445" s="574"/>
      <c r="I1445" s="574"/>
      <c r="J1445" s="574"/>
      <c r="K1445" s="574"/>
      <c r="L1445" s="574"/>
      <c r="M1445" s="574"/>
      <c r="N1445" s="574"/>
      <c r="O1445" s="574"/>
      <c r="P1445" s="574"/>
      <c r="Q1445" s="574"/>
      <c r="R1445" s="574"/>
      <c r="S1445" s="574"/>
      <c r="T1445" s="574"/>
      <c r="U1445" s="574"/>
      <c r="V1445" s="574"/>
      <c r="W1445" s="574"/>
      <c r="X1445" s="574"/>
      <c r="Y1445" s="574"/>
      <c r="Z1445" s="574"/>
      <c r="AA1445" s="574"/>
      <c r="AB1445" s="574"/>
      <c r="AC1445" s="574"/>
      <c r="AD1445" s="574"/>
      <c r="AE1445" s="574"/>
      <c r="AF1445" s="574"/>
      <c r="AG1445" s="574"/>
      <c r="AH1445" s="574"/>
      <c r="AI1445" s="574"/>
      <c r="AJ1445" s="574"/>
      <c r="AK1445" s="574"/>
      <c r="AL1445" s="574"/>
      <c r="AM1445" s="574"/>
      <c r="AN1445" s="574"/>
      <c r="AO1445" s="574"/>
      <c r="AP1445" s="574"/>
      <c r="AQ1445" s="574"/>
      <c r="AR1445" s="574"/>
      <c r="AS1445" s="574"/>
      <c r="AT1445" s="574"/>
      <c r="AU1445" s="574"/>
      <c r="AV1445" s="574"/>
      <c r="AW1445" s="574"/>
      <c r="AX1445" s="574"/>
      <c r="AY1445" s="574"/>
      <c r="AZ1445" s="574"/>
      <c r="BA1445" s="574"/>
      <c r="BB1445" s="574"/>
      <c r="BC1445" s="574"/>
      <c r="BD1445" s="574"/>
      <c r="BE1445" s="574"/>
      <c r="BF1445" s="574"/>
      <c r="BG1445" s="574"/>
      <c r="BH1445" s="575"/>
      <c r="BI1445" s="575"/>
      <c r="BJ1445" s="575"/>
      <c r="BK1445" s="575"/>
      <c r="BL1445" s="575"/>
      <c r="BM1445" s="575"/>
      <c r="BN1445" s="576"/>
      <c r="BO1445" s="575"/>
      <c r="BP1445" s="577">
        <f>BP1437/BP1478</f>
        <v>2.4725134932423489</v>
      </c>
      <c r="BQ1445" s="577">
        <f>BQ1437/BQ1478</f>
        <v>2.5494920964170915</v>
      </c>
      <c r="BR1445" s="577">
        <f>BR1437/BR1478</f>
        <v>2.5494920964170915</v>
      </c>
      <c r="BS1445" s="596"/>
      <c r="BT1445" s="577">
        <f>BT1437/BT1478</f>
        <v>2.7177373801662754</v>
      </c>
      <c r="BU1445" s="577">
        <f>BU1437/BU1478</f>
        <v>2.1080922595777953</v>
      </c>
      <c r="BV1445" s="577">
        <f>BV1437/BV1478</f>
        <v>2.1080922595777953</v>
      </c>
      <c r="BW1445" s="574"/>
      <c r="BX1445" s="577">
        <f>BX1437/BX1478</f>
        <v>2.1666686795734247</v>
      </c>
      <c r="BY1445" s="577">
        <f>BY1437/BY1478</f>
        <v>2.1693826558595894</v>
      </c>
      <c r="BZ1445" s="577">
        <f>BZ1437/BZ1478</f>
        <v>2.1693826558595894</v>
      </c>
      <c r="CA1445" s="362"/>
      <c r="CB1445" s="577">
        <f>CB1437/CB1478</f>
        <v>2.2152520934402871</v>
      </c>
      <c r="CC1445" s="577">
        <f>CC1437/CC1478</f>
        <v>2.1663233445056354</v>
      </c>
      <c r="CD1445" s="577">
        <f>CD1437/CD1478</f>
        <v>2.1663233445056354</v>
      </c>
      <c r="CE1445" s="362"/>
      <c r="CF1445" s="577">
        <f>CF1437/CF1478</f>
        <v>2.2230944715367182</v>
      </c>
      <c r="CG1445" s="577">
        <f>CG1437/CG1478</f>
        <v>2.1982680418380469</v>
      </c>
      <c r="CH1445" s="577">
        <f>CH1437/CH1478</f>
        <v>2.1982680418380469</v>
      </c>
      <c r="CI1445" s="362"/>
      <c r="CJ1445" s="577">
        <f>CJ1437/CJ1478</f>
        <v>2.2306192649500729</v>
      </c>
      <c r="CK1445" s="577">
        <f>CK1437/CK1478</f>
        <v>2.3492518693757085</v>
      </c>
      <c r="CL1445" s="577">
        <f>CL1437/CL1478</f>
        <v>2.3492518693757085</v>
      </c>
      <c r="CM1445" s="362"/>
      <c r="CN1445" s="577">
        <f>CN1437/CN1478</f>
        <v>2.5662090007627767</v>
      </c>
      <c r="CO1445" s="577">
        <f>CO1437/CO1478</f>
        <v>2.572861579141557</v>
      </c>
      <c r="CP1445" s="577">
        <f>CP1437/CP1478</f>
        <v>2.572861579141557</v>
      </c>
      <c r="CQ1445" s="362"/>
      <c r="CR1445" s="577">
        <f>CR1437/CR1478</f>
        <v>2.4677847624016782</v>
      </c>
      <c r="CS1445" s="577">
        <f>CS1437/CS1478</f>
        <v>2.4673879598662207</v>
      </c>
      <c r="CT1445" s="577">
        <f>CT1437/CT1478</f>
        <v>2.4673879598662207</v>
      </c>
      <c r="CU1445" s="362"/>
      <c r="CV1445" s="577">
        <f>CV1437/CV1478</f>
        <v>2.5252170146120396</v>
      </c>
      <c r="CW1445" s="577">
        <f>CW1437/CW1478</f>
        <v>2.3402234618442366</v>
      </c>
      <c r="CX1445" s="413">
        <f>CW1445</f>
        <v>2.3402234618442366</v>
      </c>
      <c r="CY1445" s="362"/>
      <c r="CZ1445" s="577">
        <f>CZ1437/CZ1478</f>
        <v>2.2908497493104791</v>
      </c>
      <c r="DA1445" s="577">
        <f>DA1437/DA1478</f>
        <v>2.2736079000944223</v>
      </c>
      <c r="DB1445" s="413">
        <f>DA1445</f>
        <v>2.2736079000944223</v>
      </c>
      <c r="DC1445" s="362"/>
      <c r="DD1445" s="577">
        <f>DD1437/DD1478</f>
        <v>2.1871093617767712</v>
      </c>
      <c r="DE1445" s="577">
        <f>DE1437/DE1478</f>
        <v>2.3683858004018754</v>
      </c>
      <c r="DF1445" s="413">
        <f>DE1445</f>
        <v>2.3683858004018754</v>
      </c>
      <c r="DG1445" s="362"/>
      <c r="DH1445" s="414">
        <f>DE1445</f>
        <v>2.3683858004018754</v>
      </c>
      <c r="DI1445" s="414">
        <f>DH1445</f>
        <v>2.3683858004018754</v>
      </c>
      <c r="DJ1445" s="413">
        <f>DI1445</f>
        <v>2.3683858004018754</v>
      </c>
      <c r="DK1445" s="362"/>
      <c r="DL1445" s="414">
        <f>DI1445</f>
        <v>2.3683858004018754</v>
      </c>
      <c r="DM1445" s="414">
        <f>DL1445</f>
        <v>2.3683858004018754</v>
      </c>
      <c r="DN1445" s="413">
        <f>DM1445</f>
        <v>2.3683858004018754</v>
      </c>
      <c r="DO1445" s="362"/>
      <c r="DP1445" s="414">
        <f>DM1445</f>
        <v>2.3683858004018754</v>
      </c>
      <c r="DQ1445" s="414">
        <f>DP1445</f>
        <v>2.3683858004018754</v>
      </c>
      <c r="DR1445" s="413">
        <f>DQ1445</f>
        <v>2.3683858004018754</v>
      </c>
      <c r="DS1445" s="362"/>
      <c r="DT1445" s="362"/>
      <c r="DU1445" s="362"/>
      <c r="DV1445" s="362"/>
      <c r="DW1445"/>
      <c r="DX1445"/>
    </row>
    <row r="1446" spans="1:128" s="20" customFormat="1" ht="13.8">
      <c r="B1446" s="49"/>
      <c r="BH1446" s="49"/>
      <c r="BI1446" s="49"/>
      <c r="BJ1446" s="49"/>
      <c r="BK1446" s="49"/>
      <c r="BL1446" s="49"/>
      <c r="BM1446" s="49"/>
      <c r="BN1446" s="65"/>
      <c r="BO1446" s="49"/>
      <c r="BP1446" s="49"/>
      <c r="BQ1446" s="49"/>
      <c r="BR1446" s="65"/>
      <c r="BS1446" s="28"/>
      <c r="BT1446" s="49"/>
      <c r="BU1446" s="49"/>
      <c r="BV1446" s="65"/>
      <c r="BX1446" s="49"/>
      <c r="BY1446" s="49"/>
      <c r="BZ1446" s="65"/>
      <c r="CB1446" s="49"/>
      <c r="CC1446" s="49"/>
      <c r="CD1446" s="65"/>
      <c r="CE1446" s="65"/>
      <c r="CF1446" s="49"/>
      <c r="CG1446" s="49"/>
      <c r="CH1446" s="65"/>
      <c r="CI1446" s="65"/>
      <c r="CJ1446" s="49"/>
      <c r="CK1446" s="49"/>
      <c r="CL1446" s="65"/>
      <c r="CM1446" s="65"/>
      <c r="CN1446" s="49"/>
      <c r="CO1446" s="49"/>
      <c r="CP1446" s="65"/>
      <c r="CQ1446" s="65"/>
      <c r="CR1446" s="49"/>
      <c r="CS1446" s="49"/>
      <c r="CT1446" s="65"/>
      <c r="CU1446" s="65"/>
      <c r="CV1446" s="49"/>
      <c r="CW1446" s="49"/>
      <c r="CX1446" s="49"/>
      <c r="CY1446" s="65"/>
      <c r="CZ1446" s="49"/>
      <c r="DA1446" s="49"/>
      <c r="DB1446" s="49"/>
      <c r="DC1446" s="65"/>
      <c r="DD1446" s="49"/>
      <c r="DE1446" s="49"/>
      <c r="DF1446" s="49"/>
      <c r="DG1446" s="65"/>
      <c r="DH1446" s="65"/>
      <c r="DI1446" s="65"/>
      <c r="DJ1446" s="65"/>
      <c r="DK1446" s="65"/>
      <c r="DL1446" s="65"/>
      <c r="DM1446" s="65"/>
      <c r="DN1446" s="65"/>
      <c r="DO1446" s="65"/>
      <c r="DP1446" s="65"/>
      <c r="DQ1446" s="65"/>
      <c r="DR1446" s="65"/>
      <c r="DS1446" s="65"/>
      <c r="DT1446" s="65"/>
      <c r="DU1446" s="65"/>
      <c r="DV1446" s="65"/>
      <c r="DW1446"/>
      <c r="DX1446"/>
    </row>
    <row r="1447" spans="1:128" s="20" customFormat="1" ht="13.8">
      <c r="A1447" s="540" t="s">
        <v>1199</v>
      </c>
      <c r="B1447" s="49"/>
      <c r="BH1447" s="49"/>
      <c r="BI1447" s="49"/>
      <c r="BJ1447" s="49"/>
      <c r="BK1447" s="49"/>
      <c r="BL1447" s="49"/>
      <c r="BM1447" s="49"/>
      <c r="BN1447" s="65"/>
      <c r="BO1447" s="49"/>
      <c r="BP1447" s="49"/>
      <c r="BQ1447" s="49"/>
      <c r="BR1447" s="65"/>
      <c r="BS1447" s="28"/>
      <c r="BT1447" s="49"/>
      <c r="BU1447" s="49"/>
      <c r="BV1447" s="65"/>
      <c r="BX1447" s="49"/>
      <c r="BY1447" s="49"/>
      <c r="BZ1447" s="65"/>
      <c r="CB1447" s="49"/>
      <c r="CC1447" s="49"/>
      <c r="CD1447" s="65"/>
      <c r="CE1447" s="65"/>
      <c r="CF1447" s="49"/>
      <c r="CG1447" s="49"/>
      <c r="CH1447" s="65"/>
      <c r="CI1447" s="65"/>
      <c r="CJ1447" s="49"/>
      <c r="CK1447" s="49"/>
      <c r="CL1447" s="65"/>
      <c r="CM1447" s="65"/>
      <c r="CN1447" s="49"/>
      <c r="CO1447" s="49"/>
      <c r="CP1447" s="65"/>
      <c r="CQ1447" s="65"/>
      <c r="CR1447" s="49"/>
      <c r="CS1447" s="49"/>
      <c r="CT1447" s="65"/>
      <c r="CU1447" s="65"/>
      <c r="CV1447" s="67">
        <f>133136+101134</f>
        <v>234270</v>
      </c>
      <c r="CW1447" s="67">
        <f>140016+93349</f>
        <v>233365</v>
      </c>
      <c r="CX1447" s="65">
        <f t="shared" ref="CX1447:CX1448" si="2067">CW1447</f>
        <v>233365</v>
      </c>
      <c r="CY1447" s="65"/>
      <c r="CZ1447" s="67">
        <f>131572+93895</f>
        <v>225467</v>
      </c>
      <c r="DA1447" s="67">
        <f>135855+88161</f>
        <v>224016</v>
      </c>
      <c r="DB1447" s="65">
        <f t="shared" ref="DB1447:DB1448" si="2068">DA1447</f>
        <v>224016</v>
      </c>
      <c r="DC1447" s="65"/>
      <c r="DD1447" s="67">
        <f>143127+90682</f>
        <v>233809</v>
      </c>
      <c r="DE1447" s="67">
        <f>140132+90877</f>
        <v>231009</v>
      </c>
      <c r="DF1447" s="65">
        <f t="shared" ref="DF1447:DF1448" si="2069">DE1447</f>
        <v>231009</v>
      </c>
      <c r="DG1447" s="65"/>
      <c r="DH1447" s="65">
        <f t="shared" ref="DH1447:DI1447" si="2070">DH1449*DH1454</f>
        <v>231054.06309333132</v>
      </c>
      <c r="DI1447" s="65">
        <f t="shared" si="2070"/>
        <v>234909.64024206743</v>
      </c>
      <c r="DJ1447" s="65">
        <f t="shared" ref="DJ1447:DJ1448" si="2071">DI1447</f>
        <v>234909.64024206743</v>
      </c>
      <c r="DK1447" s="65"/>
      <c r="DL1447" s="65">
        <f t="shared" ref="DL1447:DM1447" si="2072">DL1449*DL1454</f>
        <v>238047.51310682952</v>
      </c>
      <c r="DM1447" s="65">
        <f t="shared" si="2072"/>
        <v>242424.33904144709</v>
      </c>
      <c r="DN1447" s="65">
        <f t="shared" ref="DN1447:DN1448" si="2073">DM1447</f>
        <v>242424.33904144709</v>
      </c>
      <c r="DO1447" s="65"/>
      <c r="DP1447" s="65">
        <f t="shared" ref="DP1447:DQ1447" si="2074">DP1449*DP1454</f>
        <v>246189.97038869633</v>
      </c>
      <c r="DQ1447" s="65">
        <f t="shared" si="2074"/>
        <v>250998.97485418379</v>
      </c>
      <c r="DR1447" s="65">
        <f t="shared" ref="DR1447:DR1448" si="2075">DQ1447</f>
        <v>250998.97485418379</v>
      </c>
      <c r="DS1447" s="65"/>
      <c r="DT1447" s="65"/>
      <c r="DU1447" s="65"/>
      <c r="DV1447" s="65"/>
      <c r="DW1447"/>
      <c r="DX1447"/>
    </row>
    <row r="1448" spans="1:128" s="20" customFormat="1" ht="13.8">
      <c r="A1448" s="540" t="s">
        <v>1200</v>
      </c>
      <c r="B1448" s="49"/>
      <c r="BH1448" s="49"/>
      <c r="BI1448" s="49"/>
      <c r="BJ1448" s="49"/>
      <c r="BK1448" s="49"/>
      <c r="BL1448" s="49"/>
      <c r="BM1448" s="49"/>
      <c r="BN1448" s="65"/>
      <c r="BO1448" s="49"/>
      <c r="BP1448" s="49"/>
      <c r="BQ1448" s="49"/>
      <c r="BR1448" s="65"/>
      <c r="BS1448" s="28"/>
      <c r="BT1448" s="49"/>
      <c r="BU1448" s="49"/>
      <c r="BV1448" s="65"/>
      <c r="BX1448" s="49"/>
      <c r="BY1448" s="49"/>
      <c r="BZ1448" s="65"/>
      <c r="CB1448" s="49"/>
      <c r="CC1448" s="49"/>
      <c r="CD1448" s="65"/>
      <c r="CE1448" s="65"/>
      <c r="CF1448" s="49"/>
      <c r="CG1448" s="49"/>
      <c r="CH1448" s="65"/>
      <c r="CI1448" s="65"/>
      <c r="CJ1448" s="49"/>
      <c r="CK1448" s="49"/>
      <c r="CL1448" s="65"/>
      <c r="CM1448" s="65"/>
      <c r="CN1448" s="49"/>
      <c r="CO1448" s="49"/>
      <c r="CP1448" s="65"/>
      <c r="CQ1448" s="65"/>
      <c r="CR1448" s="49"/>
      <c r="CS1448" s="49"/>
      <c r="CT1448" s="65"/>
      <c r="CU1448" s="65"/>
      <c r="CV1448" s="67">
        <v>5526</v>
      </c>
      <c r="CW1448" s="67">
        <v>6428</v>
      </c>
      <c r="CX1448" s="65">
        <f t="shared" si="2067"/>
        <v>6428</v>
      </c>
      <c r="CY1448" s="65"/>
      <c r="CZ1448" s="67">
        <v>5805</v>
      </c>
      <c r="DA1448" s="67">
        <v>18541</v>
      </c>
      <c r="DB1448" s="65">
        <f t="shared" si="2068"/>
        <v>18541</v>
      </c>
      <c r="DC1448" s="65"/>
      <c r="DD1448" s="67">
        <f>3398+130+12847+841</f>
        <v>17216</v>
      </c>
      <c r="DE1448" s="67">
        <v>16064</v>
      </c>
      <c r="DF1448" s="65">
        <f t="shared" si="2069"/>
        <v>16064</v>
      </c>
      <c r="DG1448" s="65"/>
      <c r="DH1448" s="65">
        <f t="shared" ref="DH1448:DI1448" si="2076">DH1449*DH1455</f>
        <v>16067.133616141673</v>
      </c>
      <c r="DI1448" s="65">
        <f t="shared" si="2076"/>
        <v>16335.244344802879</v>
      </c>
      <c r="DJ1448" s="65">
        <f t="shared" si="2071"/>
        <v>16335.244344802879</v>
      </c>
      <c r="DK1448" s="65"/>
      <c r="DL1448" s="65">
        <f t="shared" ref="DL1448:DM1448" si="2077">DL1449*DL1455</f>
        <v>16553.44705421913</v>
      </c>
      <c r="DM1448" s="65">
        <f t="shared" si="2077"/>
        <v>16857.804597923903</v>
      </c>
      <c r="DN1448" s="65">
        <f t="shared" si="2073"/>
        <v>16857.804597923903</v>
      </c>
      <c r="DO1448" s="65"/>
      <c r="DP1448" s="65">
        <f t="shared" ref="DP1448:DQ1448" si="2078">DP1449*DP1455</f>
        <v>17119.660638001184</v>
      </c>
      <c r="DQ1448" s="65">
        <f t="shared" si="2078"/>
        <v>17454.071192280844</v>
      </c>
      <c r="DR1448" s="65">
        <f t="shared" si="2075"/>
        <v>17454.071192280844</v>
      </c>
      <c r="DS1448" s="65"/>
      <c r="DT1448" s="65"/>
      <c r="DU1448" s="65"/>
      <c r="DV1448" s="65"/>
      <c r="DW1448"/>
      <c r="DX1448"/>
    </row>
    <row r="1449" spans="1:128" s="21" customFormat="1" ht="13.8">
      <c r="A1449" s="542" t="s">
        <v>1203</v>
      </c>
      <c r="B1449" s="27"/>
      <c r="BH1449" s="27"/>
      <c r="BI1449" s="27"/>
      <c r="BJ1449" s="27"/>
      <c r="BK1449" s="27"/>
      <c r="BL1449" s="27"/>
      <c r="BM1449" s="27"/>
      <c r="BN1449" s="72"/>
      <c r="BO1449" s="27"/>
      <c r="BP1449" s="27"/>
      <c r="BQ1449" s="27"/>
      <c r="BR1449" s="72"/>
      <c r="BS1449" s="46"/>
      <c r="BT1449" s="27"/>
      <c r="BU1449" s="27"/>
      <c r="BV1449" s="72"/>
      <c r="BX1449" s="27"/>
      <c r="BY1449" s="27"/>
      <c r="BZ1449" s="72"/>
      <c r="CB1449" s="27"/>
      <c r="CC1449" s="27"/>
      <c r="CD1449" s="72"/>
      <c r="CE1449" s="72"/>
      <c r="CF1449" s="98">
        <v>258005</v>
      </c>
      <c r="CG1449" s="98">
        <v>276599</v>
      </c>
      <c r="CH1449" s="72">
        <f>CG1449</f>
        <v>276599</v>
      </c>
      <c r="CI1449" s="72"/>
      <c r="CJ1449" s="98">
        <f>307981+15971</f>
        <v>323952</v>
      </c>
      <c r="CK1449" s="98">
        <f>274414+11344</f>
        <v>285758</v>
      </c>
      <c r="CL1449" s="72">
        <f>CK1449</f>
        <v>285758</v>
      </c>
      <c r="CM1449" s="72"/>
      <c r="CN1449" s="98">
        <f>270749+6445</f>
        <v>277194</v>
      </c>
      <c r="CO1449" s="98">
        <f>287932+6649</f>
        <v>294581</v>
      </c>
      <c r="CP1449" s="72">
        <f>CO1449</f>
        <v>294581</v>
      </c>
      <c r="CQ1449" s="72"/>
      <c r="CR1449" s="98">
        <v>298844</v>
      </c>
      <c r="CS1449" s="98">
        <f>327238+5976</f>
        <v>333214</v>
      </c>
      <c r="CT1449" s="72">
        <f>CS1449</f>
        <v>333214</v>
      </c>
      <c r="CU1449" s="72"/>
      <c r="CV1449" s="72">
        <f>CV1447+CV1448</f>
        <v>239796</v>
      </c>
      <c r="CW1449" s="72">
        <f>CW1447+CW1448</f>
        <v>239793</v>
      </c>
      <c r="CX1449" s="72">
        <f>CW1449</f>
        <v>239793</v>
      </c>
      <c r="CY1449" s="72"/>
      <c r="CZ1449" s="72">
        <f>CZ1447+CZ1448</f>
        <v>231272</v>
      </c>
      <c r="DA1449" s="72">
        <f>DA1447+DA1448</f>
        <v>242557</v>
      </c>
      <c r="DB1449" s="72">
        <f>DA1449</f>
        <v>242557</v>
      </c>
      <c r="DC1449" s="72"/>
      <c r="DD1449" s="72">
        <f>DD1447+DD1448</f>
        <v>251025</v>
      </c>
      <c r="DE1449" s="72">
        <f>DE1447+DE1448</f>
        <v>247073</v>
      </c>
      <c r="DF1449" s="72">
        <f>DE1449</f>
        <v>247073</v>
      </c>
      <c r="DG1449" s="72"/>
      <c r="DH1449" s="72">
        <f>DH1452*DH1456</f>
        <v>247121.19670947301</v>
      </c>
      <c r="DI1449" s="72">
        <f>DI1452*DI1456</f>
        <v>251244.88458687029</v>
      </c>
      <c r="DJ1449" s="72">
        <f>DI1449</f>
        <v>251244.88458687029</v>
      </c>
      <c r="DK1449" s="72"/>
      <c r="DL1449" s="72">
        <f>DL1452*DL1456</f>
        <v>254600.96016104866</v>
      </c>
      <c r="DM1449" s="72">
        <f>DM1452*DM1456</f>
        <v>259282.143639371</v>
      </c>
      <c r="DN1449" s="72">
        <f>DM1449</f>
        <v>259282.143639371</v>
      </c>
      <c r="DO1449" s="72"/>
      <c r="DP1449" s="72">
        <f>DP1452*DP1456</f>
        <v>263309.63102669752</v>
      </c>
      <c r="DQ1449" s="72">
        <f>DQ1452*DQ1456</f>
        <v>268453.04604646465</v>
      </c>
      <c r="DR1449" s="72">
        <f>DQ1449</f>
        <v>268453.04604646465</v>
      </c>
      <c r="DS1449" s="72"/>
      <c r="DT1449" s="72"/>
      <c r="DU1449" s="72"/>
      <c r="DV1449" s="72"/>
      <c r="DW1449" s="565"/>
      <c r="DX1449" s="565"/>
    </row>
    <row r="1450" spans="1:128" s="20" customFormat="1" ht="13.8">
      <c r="A1450" s="540" t="s">
        <v>990</v>
      </c>
      <c r="B1450" s="49"/>
      <c r="BH1450" s="49"/>
      <c r="BI1450" s="49"/>
      <c r="BJ1450" s="49"/>
      <c r="BK1450" s="49"/>
      <c r="BL1450" s="49"/>
      <c r="BM1450" s="49"/>
      <c r="BN1450" s="65"/>
      <c r="BO1450" s="49"/>
      <c r="BP1450" s="49"/>
      <c r="BQ1450" s="49"/>
      <c r="BR1450" s="65"/>
      <c r="BS1450" s="28"/>
      <c r="BT1450" s="49"/>
      <c r="BU1450" s="49"/>
      <c r="BV1450" s="65"/>
      <c r="BX1450" s="49"/>
      <c r="BY1450" s="49"/>
      <c r="BZ1450" s="65"/>
      <c r="CB1450" s="49"/>
      <c r="CC1450" s="49"/>
      <c r="CD1450" s="65"/>
      <c r="CE1450" s="65"/>
      <c r="CF1450" s="67">
        <v>42661</v>
      </c>
      <c r="CG1450" s="67">
        <v>43348</v>
      </c>
      <c r="CH1450" s="65">
        <f>CG1450</f>
        <v>43348</v>
      </c>
      <c r="CI1450" s="65"/>
      <c r="CJ1450" s="67">
        <v>48436</v>
      </c>
      <c r="CK1450" s="67">
        <v>46430</v>
      </c>
      <c r="CL1450" s="65">
        <f>CK1450</f>
        <v>46430</v>
      </c>
      <c r="CM1450" s="65"/>
      <c r="CN1450" s="67">
        <v>43502</v>
      </c>
      <c r="CO1450" s="67">
        <v>45039</v>
      </c>
      <c r="CP1450" s="65">
        <f>CO1450</f>
        <v>45039</v>
      </c>
      <c r="CQ1450" s="65"/>
      <c r="CR1450" s="67">
        <v>47217</v>
      </c>
      <c r="CS1450" s="67">
        <v>48742</v>
      </c>
      <c r="CT1450" s="65">
        <f>CS1450</f>
        <v>48742</v>
      </c>
      <c r="CU1450" s="65"/>
      <c r="CV1450" s="67">
        <v>4318</v>
      </c>
      <c r="CW1450" s="67">
        <v>4019</v>
      </c>
      <c r="CX1450" s="65">
        <f>CW1450</f>
        <v>4019</v>
      </c>
      <c r="CY1450" s="65"/>
      <c r="CZ1450" s="67">
        <v>4427</v>
      </c>
      <c r="DA1450" s="67">
        <v>5394</v>
      </c>
      <c r="DB1450" s="65">
        <f>DA1450</f>
        <v>5394</v>
      </c>
      <c r="DC1450" s="65"/>
      <c r="DD1450" s="67">
        <v>18404</v>
      </c>
      <c r="DE1450" s="67">
        <v>16797</v>
      </c>
      <c r="DF1450" s="65">
        <f>DE1450</f>
        <v>16797</v>
      </c>
      <c r="DG1450" s="65"/>
      <c r="DH1450" s="65">
        <f>DH1452*DH1457</f>
        <v>16800.276602983806</v>
      </c>
      <c r="DI1450" s="65">
        <f>DI1452*DI1457</f>
        <v>17080.621218852972</v>
      </c>
      <c r="DJ1450" s="65">
        <f>DI1450</f>
        <v>17080.621218852972</v>
      </c>
      <c r="DK1450" s="65"/>
      <c r="DL1450" s="65">
        <f>DL1452*DL1457</f>
        <v>17308.780513553218</v>
      </c>
      <c r="DM1450" s="65">
        <f>DM1452*DM1457</f>
        <v>17627.025885914343</v>
      </c>
      <c r="DN1450" s="65">
        <f>DM1450</f>
        <v>17627.025885914343</v>
      </c>
      <c r="DO1450" s="65"/>
      <c r="DP1450" s="65">
        <f>DP1452*DP1457</f>
        <v>17900.830411884093</v>
      </c>
      <c r="DQ1450" s="65">
        <f>DQ1452*DQ1457</f>
        <v>18250.500113093971</v>
      </c>
      <c r="DR1450" s="65">
        <f>DQ1450</f>
        <v>18250.500113093971</v>
      </c>
      <c r="DS1450" s="65"/>
      <c r="DT1450" s="65"/>
      <c r="DU1450" s="65"/>
      <c r="DV1450" s="65"/>
      <c r="DW1450"/>
      <c r="DX1450"/>
    </row>
    <row r="1451" spans="1:128" s="20" customFormat="1" ht="13.8">
      <c r="A1451" s="540" t="s">
        <v>1175</v>
      </c>
      <c r="B1451" s="49"/>
      <c r="BH1451" s="49"/>
      <c r="BI1451" s="49"/>
      <c r="BJ1451" s="49"/>
      <c r="BK1451" s="49"/>
      <c r="BL1451" s="49"/>
      <c r="BM1451" s="49"/>
      <c r="BN1451" s="65"/>
      <c r="BO1451" s="49"/>
      <c r="BP1451" s="49"/>
      <c r="BQ1451" s="49"/>
      <c r="BR1451" s="65"/>
      <c r="BS1451" s="28"/>
      <c r="BT1451" s="49"/>
      <c r="BU1451" s="49"/>
      <c r="BV1451" s="65"/>
      <c r="BX1451" s="49"/>
      <c r="BY1451" s="49"/>
      <c r="BZ1451" s="65"/>
      <c r="CB1451" s="49"/>
      <c r="CC1451" s="49"/>
      <c r="CD1451" s="65"/>
      <c r="CE1451" s="65"/>
      <c r="CF1451" s="65">
        <f>CF1452-SUM(CF1449:CF1450)</f>
        <v>286949</v>
      </c>
      <c r="CG1451" s="65">
        <f>CG1452-SUM(CG1449:CG1450)</f>
        <v>283449</v>
      </c>
      <c r="CH1451" s="65">
        <f>CG1451</f>
        <v>283449</v>
      </c>
      <c r="CI1451" s="65"/>
      <c r="CJ1451" s="65">
        <f>CJ1452-SUM(CJ1449:CJ1450)</f>
        <v>322122</v>
      </c>
      <c r="CK1451" s="65">
        <f>CK1452-SUM(CK1449:CK1450)</f>
        <v>285482</v>
      </c>
      <c r="CL1451" s="65">
        <f>CK1451</f>
        <v>285482</v>
      </c>
      <c r="CM1451" s="65"/>
      <c r="CN1451" s="65">
        <f>CN1452-SUM(CN1449:CN1450)</f>
        <v>318521</v>
      </c>
      <c r="CO1451" s="65">
        <f>CO1452-SUM(CO1449:CO1450)</f>
        <v>329818</v>
      </c>
      <c r="CP1451" s="65">
        <f>CO1451</f>
        <v>329818</v>
      </c>
      <c r="CQ1451" s="65"/>
      <c r="CR1451" s="65">
        <f>CR1452-SUM(CR1449:CR1450)</f>
        <v>344477</v>
      </c>
      <c r="CS1451" s="65">
        <f>CS1452-SUM(CS1449:CS1450)</f>
        <v>355793</v>
      </c>
      <c r="CT1451" s="65">
        <f>CS1451</f>
        <v>355793</v>
      </c>
      <c r="CU1451" s="65"/>
      <c r="CV1451" s="65">
        <f>CV1452-SUM(CV1449:CV1450)</f>
        <v>513691</v>
      </c>
      <c r="CW1451" s="65">
        <f>CW1452-SUM(CW1449:CW1450)</f>
        <v>465601</v>
      </c>
      <c r="CX1451" s="65">
        <f>CW1451</f>
        <v>465601</v>
      </c>
      <c r="CY1451" s="65"/>
      <c r="CZ1451" s="65">
        <f>CZ1452-SUM(CZ1449:CZ1450)</f>
        <v>452864</v>
      </c>
      <c r="DA1451" s="65">
        <f>DA1452-SUM(DA1449:DA1450)</f>
        <v>476832</v>
      </c>
      <c r="DB1451" s="65">
        <f>DA1451</f>
        <v>476832</v>
      </c>
      <c r="DC1451" s="65"/>
      <c r="DD1451" s="65">
        <f>DD1452-SUM(DD1449:DD1450)</f>
        <v>441270</v>
      </c>
      <c r="DE1451" s="65">
        <f>DE1452-SUM(DE1449:DE1450)</f>
        <v>506978</v>
      </c>
      <c r="DF1451" s="65">
        <f>DE1451</f>
        <v>506978</v>
      </c>
      <c r="DG1451" s="65"/>
      <c r="DH1451" s="65">
        <f>DH1452-SUM(DH1449:DH1450)</f>
        <v>507076.89656650141</v>
      </c>
      <c r="DI1451" s="65">
        <f>DI1452-SUM(DI1449:DI1450)</f>
        <v>515538.44045315485</v>
      </c>
      <c r="DJ1451" s="65">
        <f>DI1451</f>
        <v>515538.44045315485</v>
      </c>
      <c r="DK1451" s="65"/>
      <c r="DL1451" s="65">
        <f>DL1452-SUM(DL1449:DL1450)</f>
        <v>522424.89296899352</v>
      </c>
      <c r="DM1451" s="65">
        <f>DM1452-SUM(DM1449:DM1450)</f>
        <v>532030.38218664541</v>
      </c>
      <c r="DN1451" s="65">
        <f>DM1451</f>
        <v>532030.38218664541</v>
      </c>
      <c r="DO1451" s="65"/>
      <c r="DP1451" s="65">
        <f>DP1452-SUM(DP1449:DP1450)</f>
        <v>540294.52881801361</v>
      </c>
      <c r="DQ1451" s="65">
        <f>DQ1452-SUM(DQ1449:DQ1450)</f>
        <v>550848.48760708189</v>
      </c>
      <c r="DR1451" s="65">
        <f>DQ1451</f>
        <v>550848.48760708189</v>
      </c>
      <c r="DS1451" s="65"/>
      <c r="DT1451" s="65"/>
      <c r="DU1451" s="65"/>
      <c r="DV1451" s="65"/>
      <c r="DW1451"/>
      <c r="DX1451"/>
    </row>
    <row r="1452" spans="1:128" s="21" customFormat="1" ht="13.8">
      <c r="A1452" s="542" t="s">
        <v>796</v>
      </c>
      <c r="B1452" s="27"/>
      <c r="BH1452" s="27"/>
      <c r="BI1452" s="27"/>
      <c r="BJ1452" s="27"/>
      <c r="BK1452" s="27"/>
      <c r="BL1452" s="27"/>
      <c r="BM1452" s="27"/>
      <c r="BN1452" s="72"/>
      <c r="BO1452" s="27"/>
      <c r="BP1452" s="27"/>
      <c r="BQ1452" s="27"/>
      <c r="BR1452" s="72"/>
      <c r="BS1452" s="46"/>
      <c r="BT1452" s="27"/>
      <c r="BU1452" s="27"/>
      <c r="BV1452" s="72"/>
      <c r="BX1452" s="27"/>
      <c r="BY1452" s="27"/>
      <c r="BZ1452" s="72"/>
      <c r="CB1452" s="27"/>
      <c r="CC1452" s="27"/>
      <c r="CD1452" s="72"/>
      <c r="CE1452" s="72"/>
      <c r="CF1452" s="72">
        <f>CF1437</f>
        <v>587615</v>
      </c>
      <c r="CG1452" s="72">
        <f>CG1437</f>
        <v>603396</v>
      </c>
      <c r="CH1452" s="72">
        <f>CG1452</f>
        <v>603396</v>
      </c>
      <c r="CI1452" s="72"/>
      <c r="CJ1452" s="72">
        <f>CJ1437</f>
        <v>694510</v>
      </c>
      <c r="CK1452" s="72">
        <f>CK1437</f>
        <v>617670</v>
      </c>
      <c r="CL1452" s="72">
        <f>CK1452</f>
        <v>617670</v>
      </c>
      <c r="CM1452" s="72"/>
      <c r="CN1452" s="72">
        <f>CN1437</f>
        <v>639217</v>
      </c>
      <c r="CO1452" s="72">
        <f>CO1437</f>
        <v>669438</v>
      </c>
      <c r="CP1452" s="72">
        <f>CO1452</f>
        <v>669438</v>
      </c>
      <c r="CQ1452" s="72"/>
      <c r="CR1452" s="72">
        <f>CR1437</f>
        <v>690538</v>
      </c>
      <c r="CS1452" s="72">
        <f>CS1437</f>
        <v>737749</v>
      </c>
      <c r="CT1452" s="72">
        <f>CS1452</f>
        <v>737749</v>
      </c>
      <c r="CU1452" s="72"/>
      <c r="CV1452" s="72">
        <f>CV1437</f>
        <v>757805</v>
      </c>
      <c r="CW1452" s="72">
        <f>CW1437</f>
        <v>709413</v>
      </c>
      <c r="CX1452" s="72">
        <f>CW1452</f>
        <v>709413</v>
      </c>
      <c r="CY1452" s="72"/>
      <c r="CZ1452" s="72">
        <f>CZ1437</f>
        <v>688563</v>
      </c>
      <c r="DA1452" s="72">
        <f>DA1437</f>
        <v>724783</v>
      </c>
      <c r="DB1452" s="72">
        <f>DA1452</f>
        <v>724783</v>
      </c>
      <c r="DC1452" s="72"/>
      <c r="DD1452" s="72">
        <f>DD1437</f>
        <v>710699</v>
      </c>
      <c r="DE1452" s="72">
        <f>DE1437</f>
        <v>770848</v>
      </c>
      <c r="DF1452" s="72">
        <f>DE1452</f>
        <v>770848</v>
      </c>
      <c r="DG1452" s="72"/>
      <c r="DH1452" s="72">
        <f>DH1437</f>
        <v>770998.36987895821</v>
      </c>
      <c r="DI1452" s="72">
        <f>DI1437</f>
        <v>783863.9462588781</v>
      </c>
      <c r="DJ1452" s="72">
        <f>DI1452</f>
        <v>783863.9462588781</v>
      </c>
      <c r="DK1452" s="72"/>
      <c r="DL1452" s="72">
        <f>DL1437</f>
        <v>794334.63364359539</v>
      </c>
      <c r="DM1452" s="72">
        <f>DM1437</f>
        <v>808939.55171193078</v>
      </c>
      <c r="DN1452" s="72">
        <f>DM1452</f>
        <v>808939.55171193078</v>
      </c>
      <c r="DO1452" s="72"/>
      <c r="DP1452" s="72">
        <f>DP1437</f>
        <v>821504.99025659519</v>
      </c>
      <c r="DQ1452" s="72">
        <f>DQ1437</f>
        <v>837552.03376664058</v>
      </c>
      <c r="DR1452" s="72">
        <f>DQ1452</f>
        <v>837552.03376664058</v>
      </c>
      <c r="DS1452" s="72"/>
      <c r="DT1452" s="72"/>
      <c r="DU1452" s="72"/>
      <c r="DV1452" s="72"/>
      <c r="DW1452"/>
      <c r="DX1452"/>
    </row>
    <row r="1453" spans="1:128" s="20" customFormat="1" ht="13.8">
      <c r="A1453" s="829" t="s">
        <v>991</v>
      </c>
      <c r="B1453" s="49"/>
      <c r="BH1453" s="49"/>
      <c r="BI1453" s="49"/>
      <c r="BJ1453" s="49"/>
      <c r="BK1453" s="49"/>
      <c r="BL1453" s="49"/>
      <c r="BM1453" s="49"/>
      <c r="BN1453" s="65"/>
      <c r="BO1453" s="49"/>
      <c r="BP1453" s="49"/>
      <c r="BQ1453" s="49"/>
      <c r="BR1453" s="65"/>
      <c r="BS1453" s="28"/>
      <c r="BT1453" s="49"/>
      <c r="BU1453" s="49"/>
      <c r="BV1453" s="65"/>
      <c r="BX1453" s="49"/>
      <c r="BY1453" s="49"/>
      <c r="BZ1453" s="65"/>
      <c r="CB1453" s="49"/>
      <c r="CC1453" s="49"/>
      <c r="CD1453" s="65"/>
      <c r="CE1453" s="65"/>
      <c r="CF1453" s="49"/>
      <c r="CG1453" s="49"/>
      <c r="CH1453" s="65"/>
      <c r="CI1453" s="65"/>
      <c r="CJ1453" s="49"/>
      <c r="CK1453" s="49"/>
      <c r="CL1453" s="65"/>
      <c r="CM1453" s="65"/>
      <c r="CN1453" s="49"/>
      <c r="CO1453" s="49"/>
      <c r="CP1453" s="65"/>
      <c r="CQ1453" s="65"/>
      <c r="CR1453" s="49"/>
      <c r="CS1453" s="49"/>
      <c r="CT1453" s="65"/>
      <c r="CU1453" s="65"/>
      <c r="CV1453" s="49"/>
      <c r="CW1453" s="49"/>
      <c r="CX1453" s="49"/>
      <c r="CY1453" s="65"/>
      <c r="CZ1453" s="49"/>
      <c r="DA1453" s="49"/>
      <c r="DB1453" s="49"/>
      <c r="DC1453" s="65"/>
      <c r="DD1453" s="49"/>
      <c r="DE1453" s="49"/>
      <c r="DF1453" s="49"/>
      <c r="DG1453" s="65"/>
      <c r="DH1453" s="49"/>
      <c r="DI1453" s="49"/>
      <c r="DJ1453" s="49"/>
      <c r="DK1453" s="65"/>
      <c r="DL1453" s="49"/>
      <c r="DM1453" s="49"/>
      <c r="DN1453" s="49"/>
      <c r="DO1453" s="65"/>
      <c r="DP1453" s="49"/>
      <c r="DQ1453" s="49"/>
      <c r="DR1453" s="49"/>
      <c r="DS1453" s="65"/>
      <c r="DT1453" s="65"/>
      <c r="DU1453" s="65"/>
      <c r="DV1453" s="65"/>
      <c r="DW1453"/>
      <c r="DX1453"/>
    </row>
    <row r="1454" spans="1:128" s="20" customFormat="1" ht="13.8">
      <c r="A1454" s="574" t="s">
        <v>1201</v>
      </c>
      <c r="B1454" s="575"/>
      <c r="C1454" s="574"/>
      <c r="D1454" s="574"/>
      <c r="E1454" s="574"/>
      <c r="F1454" s="574"/>
      <c r="G1454" s="574"/>
      <c r="H1454" s="574"/>
      <c r="I1454" s="574"/>
      <c r="J1454" s="574"/>
      <c r="K1454" s="574"/>
      <c r="L1454" s="574"/>
      <c r="M1454" s="574"/>
      <c r="N1454" s="574"/>
      <c r="O1454" s="574"/>
      <c r="P1454" s="574"/>
      <c r="Q1454" s="574"/>
      <c r="R1454" s="574"/>
      <c r="S1454" s="574"/>
      <c r="T1454" s="574"/>
      <c r="U1454" s="574"/>
      <c r="V1454" s="574"/>
      <c r="W1454" s="574"/>
      <c r="X1454" s="574"/>
      <c r="Y1454" s="574"/>
      <c r="Z1454" s="574"/>
      <c r="AA1454" s="574"/>
      <c r="AB1454" s="574"/>
      <c r="AC1454" s="574"/>
      <c r="AD1454" s="574"/>
      <c r="AE1454" s="574"/>
      <c r="AF1454" s="574"/>
      <c r="AG1454" s="574"/>
      <c r="AH1454" s="574"/>
      <c r="AI1454" s="574"/>
      <c r="AJ1454" s="574"/>
      <c r="AK1454" s="574"/>
      <c r="AL1454" s="574"/>
      <c r="AM1454" s="574"/>
      <c r="AN1454" s="574"/>
      <c r="AO1454" s="574"/>
      <c r="AP1454" s="574"/>
      <c r="AQ1454" s="574"/>
      <c r="AR1454" s="574"/>
      <c r="AS1454" s="574"/>
      <c r="AT1454" s="574"/>
      <c r="AU1454" s="574"/>
      <c r="AV1454" s="574"/>
      <c r="AW1454" s="574"/>
      <c r="AX1454" s="574"/>
      <c r="AY1454" s="574"/>
      <c r="AZ1454" s="574"/>
      <c r="BA1454" s="574"/>
      <c r="BB1454" s="574"/>
      <c r="BC1454" s="574"/>
      <c r="BD1454" s="574"/>
      <c r="BE1454" s="574"/>
      <c r="BF1454" s="574"/>
      <c r="BG1454" s="574"/>
      <c r="BH1454" s="576"/>
      <c r="BI1454" s="576"/>
      <c r="BJ1454" s="576"/>
      <c r="BK1454" s="575"/>
      <c r="BL1454" s="576"/>
      <c r="BM1454" s="576"/>
      <c r="BN1454" s="576"/>
      <c r="BO1454" s="575"/>
      <c r="BP1454" s="577"/>
      <c r="BQ1454" s="577"/>
      <c r="BR1454" s="577"/>
      <c r="BS1454" s="574"/>
      <c r="BT1454" s="577"/>
      <c r="BU1454" s="577"/>
      <c r="BV1454" s="577"/>
      <c r="BW1454" s="578"/>
      <c r="BX1454" s="577"/>
      <c r="BY1454" s="577"/>
      <c r="BZ1454" s="577"/>
      <c r="CA1454" s="362"/>
      <c r="CB1454" s="577"/>
      <c r="CC1454" s="577"/>
      <c r="CD1454" s="577"/>
      <c r="CE1454" s="362"/>
      <c r="CF1454" s="577"/>
      <c r="CG1454" s="577"/>
      <c r="CH1454" s="577"/>
      <c r="CI1454" s="362"/>
      <c r="CJ1454" s="577"/>
      <c r="CK1454" s="577"/>
      <c r="CL1454" s="577"/>
      <c r="CM1454" s="362"/>
      <c r="CN1454" s="577"/>
      <c r="CO1454" s="577"/>
      <c r="CP1454" s="577"/>
      <c r="CQ1454" s="362"/>
      <c r="CR1454" s="577"/>
      <c r="CS1454" s="577"/>
      <c r="CT1454" s="577"/>
      <c r="CU1454" s="362"/>
      <c r="CV1454" s="577">
        <f>CV1447/CV1449</f>
        <v>0.97695541210028525</v>
      </c>
      <c r="CW1454" s="577">
        <f>CW1447/CW1449</f>
        <v>0.97319354610017805</v>
      </c>
      <c r="CX1454" s="577">
        <f>CX1447/CX1449</f>
        <v>0.97319354610017805</v>
      </c>
      <c r="CY1454" s="335"/>
      <c r="CZ1454" s="577">
        <f>CZ1447/CZ1449</f>
        <v>0.97489968521913595</v>
      </c>
      <c r="DA1454" s="577">
        <f>DA1447/DA1449</f>
        <v>0.92356023532612952</v>
      </c>
      <c r="DB1454" s="577">
        <f>DB1447/DB1449</f>
        <v>0.92356023532612952</v>
      </c>
      <c r="DC1454" s="335"/>
      <c r="DD1454" s="577">
        <f>DD1447/DD1449</f>
        <v>0.93141718952295594</v>
      </c>
      <c r="DE1454" s="577">
        <f>DE1447/DE1449</f>
        <v>0.93498277836914601</v>
      </c>
      <c r="DF1454" s="577">
        <f>DF1447/DF1449</f>
        <v>0.93498277836914601</v>
      </c>
      <c r="DG1454" s="362"/>
      <c r="DH1454" s="346">
        <f>DE1454</f>
        <v>0.93498277836914601</v>
      </c>
      <c r="DI1454" s="346">
        <f t="shared" ref="DI1454" si="2079">DH1454</f>
        <v>0.93498277836914601</v>
      </c>
      <c r="DJ1454" s="577">
        <f>DJ1447/DJ1449</f>
        <v>0.93498277836914612</v>
      </c>
      <c r="DK1454" s="362"/>
      <c r="DL1454" s="346">
        <f>DI1454</f>
        <v>0.93498277836914601</v>
      </c>
      <c r="DM1454" s="346">
        <f t="shared" ref="DM1454" si="2080">DL1454</f>
        <v>0.93498277836914601</v>
      </c>
      <c r="DN1454" s="577">
        <f>DN1447/DN1449</f>
        <v>0.93498277836914601</v>
      </c>
      <c r="DO1454" s="362"/>
      <c r="DP1454" s="346">
        <f>DM1454</f>
        <v>0.93498277836914601</v>
      </c>
      <c r="DQ1454" s="346">
        <f t="shared" ref="DQ1454" si="2081">DP1454</f>
        <v>0.93498277836914601</v>
      </c>
      <c r="DR1454" s="577">
        <f>DR1447/DR1449</f>
        <v>0.93498277836914601</v>
      </c>
      <c r="DS1454" s="362"/>
      <c r="DT1454" s="362"/>
      <c r="DU1454" s="362"/>
      <c r="DV1454" s="362"/>
      <c r="DW1454"/>
      <c r="DX1454"/>
    </row>
    <row r="1455" spans="1:128" s="20" customFormat="1" ht="13.8">
      <c r="A1455" s="47" t="s">
        <v>1202</v>
      </c>
      <c r="B1455" s="92"/>
      <c r="C1455" s="47"/>
      <c r="D1455" s="47"/>
      <c r="E1455" s="47"/>
      <c r="F1455" s="47"/>
      <c r="G1455" s="47"/>
      <c r="H1455" s="47"/>
      <c r="I1455" s="47"/>
      <c r="J1455" s="47"/>
      <c r="K1455" s="47"/>
      <c r="L1455" s="47"/>
      <c r="M1455" s="47"/>
      <c r="N1455" s="47"/>
      <c r="O1455" s="47"/>
      <c r="P1455" s="47"/>
      <c r="Q1455" s="47"/>
      <c r="R1455" s="47"/>
      <c r="S1455" s="47"/>
      <c r="T1455" s="47"/>
      <c r="U1455" s="47"/>
      <c r="V1455" s="47"/>
      <c r="W1455" s="47"/>
      <c r="X1455" s="47"/>
      <c r="Y1455" s="47"/>
      <c r="Z1455" s="47"/>
      <c r="AA1455" s="47"/>
      <c r="AB1455" s="47"/>
      <c r="AC1455" s="47"/>
      <c r="AD1455" s="47"/>
      <c r="AE1455" s="47"/>
      <c r="AF1455" s="47"/>
      <c r="AG1455" s="47"/>
      <c r="AH1455" s="47"/>
      <c r="AI1455" s="47"/>
      <c r="AJ1455" s="47"/>
      <c r="AK1455" s="47"/>
      <c r="AL1455" s="47"/>
      <c r="AM1455" s="47"/>
      <c r="AN1455" s="47"/>
      <c r="AO1455" s="47"/>
      <c r="AP1455" s="47"/>
      <c r="AQ1455" s="47"/>
      <c r="AR1455" s="47"/>
      <c r="AS1455" s="47"/>
      <c r="AT1455" s="47"/>
      <c r="AU1455" s="47"/>
      <c r="AV1455" s="47"/>
      <c r="AW1455" s="47"/>
      <c r="AX1455" s="47"/>
      <c r="AY1455" s="47"/>
      <c r="AZ1455" s="47"/>
      <c r="BA1455" s="47"/>
      <c r="BB1455" s="47"/>
      <c r="BC1455" s="47"/>
      <c r="BD1455" s="47"/>
      <c r="BE1455" s="47"/>
      <c r="BF1455" s="47"/>
      <c r="BG1455" s="47"/>
      <c r="BH1455" s="73"/>
      <c r="BI1455" s="73"/>
      <c r="BJ1455" s="73"/>
      <c r="BK1455" s="92"/>
      <c r="BL1455" s="73"/>
      <c r="BM1455" s="73"/>
      <c r="BN1455" s="73"/>
      <c r="BO1455" s="92"/>
      <c r="BP1455" s="96"/>
      <c r="BQ1455" s="96"/>
      <c r="BR1455" s="96"/>
      <c r="BS1455" s="47"/>
      <c r="BT1455" s="96"/>
      <c r="BU1455" s="96"/>
      <c r="BV1455" s="96"/>
      <c r="BW1455" s="78"/>
      <c r="BX1455" s="96"/>
      <c r="BY1455" s="96"/>
      <c r="BZ1455" s="96"/>
      <c r="CA1455" s="78"/>
      <c r="CB1455" s="96"/>
      <c r="CC1455" s="96"/>
      <c r="CD1455" s="96"/>
      <c r="CE1455" s="78"/>
      <c r="CF1455" s="96"/>
      <c r="CG1455" s="96"/>
      <c r="CH1455" s="96"/>
      <c r="CI1455" s="78"/>
      <c r="CJ1455" s="96"/>
      <c r="CK1455" s="96"/>
      <c r="CL1455" s="96"/>
      <c r="CM1455" s="78"/>
      <c r="CN1455" s="96"/>
      <c r="CO1455" s="96"/>
      <c r="CP1455" s="96"/>
      <c r="CQ1455" s="78"/>
      <c r="CR1455" s="96"/>
      <c r="CS1455" s="96"/>
      <c r="CT1455" s="96"/>
      <c r="CU1455" s="78"/>
      <c r="CV1455" s="96">
        <f>1-CV1454</f>
        <v>2.3044587899714752E-2</v>
      </c>
      <c r="CW1455" s="96">
        <f t="shared" ref="CW1455" si="2082">1-CW1454</f>
        <v>2.6806453899821947E-2</v>
      </c>
      <c r="CX1455" s="96">
        <f t="shared" ref="CX1455" si="2083">1-CX1454</f>
        <v>2.6806453899821947E-2</v>
      </c>
      <c r="CY1455" s="47"/>
      <c r="CZ1455" s="96">
        <f t="shared" ref="CZ1455:DB1455" si="2084">1-CZ1454</f>
        <v>2.5100314780864053E-2</v>
      </c>
      <c r="DA1455" s="96">
        <f t="shared" si="2084"/>
        <v>7.6439764673870481E-2</v>
      </c>
      <c r="DB1455" s="96">
        <f t="shared" si="2084"/>
        <v>7.6439764673870481E-2</v>
      </c>
      <c r="DC1455" s="47"/>
      <c r="DD1455" s="96">
        <f t="shared" ref="DD1455:DF1455" si="2085">1-DD1454</f>
        <v>6.8582810477044065E-2</v>
      </c>
      <c r="DE1455" s="96">
        <f t="shared" si="2085"/>
        <v>6.5017221630853994E-2</v>
      </c>
      <c r="DF1455" s="96">
        <f t="shared" si="2085"/>
        <v>6.5017221630853994E-2</v>
      </c>
      <c r="DG1455" s="78"/>
      <c r="DH1455" s="96">
        <f t="shared" ref="DH1455" si="2086">1-DH1454</f>
        <v>6.5017221630853994E-2</v>
      </c>
      <c r="DI1455" s="96">
        <f t="shared" ref="DI1455" si="2087">1-DI1454</f>
        <v>6.5017221630853994E-2</v>
      </c>
      <c r="DJ1455" s="96">
        <f t="shared" ref="DJ1455" si="2088">1-DJ1454</f>
        <v>6.5017221630853883E-2</v>
      </c>
      <c r="DK1455" s="78"/>
      <c r="DL1455" s="96">
        <f t="shared" ref="DL1455:DN1455" si="2089">1-DL1454</f>
        <v>6.5017221630853994E-2</v>
      </c>
      <c r="DM1455" s="96">
        <f t="shared" si="2089"/>
        <v>6.5017221630853994E-2</v>
      </c>
      <c r="DN1455" s="96">
        <f t="shared" si="2089"/>
        <v>6.5017221630853994E-2</v>
      </c>
      <c r="DO1455" s="78"/>
      <c r="DP1455" s="96">
        <f t="shared" ref="DP1455:DR1455" si="2090">1-DP1454</f>
        <v>6.5017221630853994E-2</v>
      </c>
      <c r="DQ1455" s="96">
        <f t="shared" si="2090"/>
        <v>6.5017221630853994E-2</v>
      </c>
      <c r="DR1455" s="96">
        <f t="shared" si="2090"/>
        <v>6.5017221630853994E-2</v>
      </c>
      <c r="DS1455" s="78"/>
      <c r="DT1455" s="78"/>
      <c r="DU1455" s="78"/>
      <c r="DV1455" s="78"/>
      <c r="DW1455"/>
      <c r="DX1455"/>
    </row>
    <row r="1456" spans="1:128" s="47" customFormat="1" ht="13.8">
      <c r="A1456" s="921" t="str">
        <f>+A1449</f>
        <v>Corporate EAD: Total</v>
      </c>
      <c r="B1456" s="575"/>
      <c r="C1456" s="574"/>
      <c r="D1456" s="574"/>
      <c r="E1456" s="574"/>
      <c r="F1456" s="574"/>
      <c r="G1456" s="574"/>
      <c r="H1456" s="574"/>
      <c r="I1456" s="574"/>
      <c r="J1456" s="574"/>
      <c r="K1456" s="574"/>
      <c r="L1456" s="574"/>
      <c r="M1456" s="574"/>
      <c r="N1456" s="574"/>
      <c r="O1456" s="574"/>
      <c r="P1456" s="574"/>
      <c r="Q1456" s="574"/>
      <c r="R1456" s="574"/>
      <c r="S1456" s="574"/>
      <c r="T1456" s="574"/>
      <c r="U1456" s="574"/>
      <c r="V1456" s="574"/>
      <c r="W1456" s="574"/>
      <c r="X1456" s="574"/>
      <c r="Y1456" s="574"/>
      <c r="Z1456" s="574"/>
      <c r="AA1456" s="574"/>
      <c r="AB1456" s="574"/>
      <c r="AC1456" s="574"/>
      <c r="AD1456" s="574"/>
      <c r="AE1456" s="574"/>
      <c r="AF1456" s="574"/>
      <c r="AG1456" s="574"/>
      <c r="AH1456" s="574"/>
      <c r="AI1456" s="574"/>
      <c r="AJ1456" s="574"/>
      <c r="AK1456" s="574"/>
      <c r="AL1456" s="574"/>
      <c r="AM1456" s="574"/>
      <c r="AN1456" s="574"/>
      <c r="AO1456" s="574"/>
      <c r="AP1456" s="574"/>
      <c r="AQ1456" s="574"/>
      <c r="AR1456" s="574"/>
      <c r="AS1456" s="574"/>
      <c r="AT1456" s="574"/>
      <c r="AU1456" s="574"/>
      <c r="AV1456" s="574"/>
      <c r="AW1456" s="574"/>
      <c r="AX1456" s="574"/>
      <c r="AY1456" s="574"/>
      <c r="AZ1456" s="574"/>
      <c r="BA1456" s="574"/>
      <c r="BB1456" s="574"/>
      <c r="BC1456" s="574"/>
      <c r="BD1456" s="574"/>
      <c r="BE1456" s="574"/>
      <c r="BF1456" s="574"/>
      <c r="BG1456" s="574"/>
      <c r="BH1456" s="575"/>
      <c r="BI1456" s="575"/>
      <c r="BJ1456" s="575"/>
      <c r="BK1456" s="575"/>
      <c r="BL1456" s="575"/>
      <c r="BM1456" s="575"/>
      <c r="BN1456" s="576"/>
      <c r="BO1456" s="575"/>
      <c r="BP1456" s="575"/>
      <c r="BQ1456" s="575"/>
      <c r="BR1456" s="576"/>
      <c r="BS1456" s="596"/>
      <c r="BT1456" s="575"/>
      <c r="BU1456" s="575"/>
      <c r="BV1456" s="576"/>
      <c r="BW1456" s="574"/>
      <c r="BX1456" s="575"/>
      <c r="BY1456" s="575"/>
      <c r="BZ1456" s="576"/>
      <c r="CA1456" s="574"/>
      <c r="CB1456" s="575"/>
      <c r="CC1456" s="575"/>
      <c r="CD1456" s="576"/>
      <c r="CE1456" s="576"/>
      <c r="CF1456" s="577">
        <f t="shared" ref="CF1456:CH1458" si="2091">CF1449/CF$1452</f>
        <v>0.43907150089769664</v>
      </c>
      <c r="CG1456" s="577">
        <f t="shared" si="2091"/>
        <v>0.45840376800641702</v>
      </c>
      <c r="CH1456" s="577">
        <f t="shared" si="2091"/>
        <v>0.45840376800641702</v>
      </c>
      <c r="CI1456" s="576"/>
      <c r="CJ1456" s="577">
        <f t="shared" ref="CJ1456:CL1458" si="2092">CJ1449/CJ$1452</f>
        <v>0.46644684741760378</v>
      </c>
      <c r="CK1456" s="577">
        <f t="shared" si="2092"/>
        <v>0.46263862580342252</v>
      </c>
      <c r="CL1456" s="577">
        <f t="shared" si="2092"/>
        <v>0.46263862580342252</v>
      </c>
      <c r="CM1456" s="576"/>
      <c r="CN1456" s="577">
        <f t="shared" ref="CN1456:CP1456" si="2093">CN1449/CN$1452</f>
        <v>0.43364616397874273</v>
      </c>
      <c r="CO1456" s="577">
        <f t="shared" si="2093"/>
        <v>0.4400422443900705</v>
      </c>
      <c r="CP1456" s="577">
        <f t="shared" si="2093"/>
        <v>0.4400422443900705</v>
      </c>
      <c r="CQ1456" s="576"/>
      <c r="CR1456" s="577">
        <f t="shared" ref="CR1456:CT1456" si="2094">CR1449/CR$1452</f>
        <v>0.43276981136447235</v>
      </c>
      <c r="CS1456" s="577">
        <f t="shared" si="2094"/>
        <v>0.45166309950945377</v>
      </c>
      <c r="CT1456" s="577">
        <f t="shared" si="2094"/>
        <v>0.45166309950945377</v>
      </c>
      <c r="CU1456" s="576"/>
      <c r="CV1456" s="577">
        <f t="shared" ref="CV1456:CW1456" si="2095">CV1449/CV$1452</f>
        <v>0.31643496677905264</v>
      </c>
      <c r="CW1456" s="577">
        <f t="shared" si="2095"/>
        <v>0.33801607808145606</v>
      </c>
      <c r="CX1456" s="577">
        <f>CX1449/CX$1452</f>
        <v>0.33801607808145606</v>
      </c>
      <c r="CY1456" s="576"/>
      <c r="CZ1456" s="577">
        <f t="shared" ref="CZ1456:DA1456" si="2096">CZ1449/CZ$1452</f>
        <v>0.33587631051915368</v>
      </c>
      <c r="DA1456" s="577">
        <f t="shared" si="2096"/>
        <v>0.33466154697336997</v>
      </c>
      <c r="DB1456" s="577">
        <f>DB1449/DB$1452</f>
        <v>0.33466154697336997</v>
      </c>
      <c r="DC1456" s="576"/>
      <c r="DD1456" s="577">
        <f t="shared" ref="DD1456:DE1457" si="2097">DD1449/DD$1452</f>
        <v>0.35320860167243801</v>
      </c>
      <c r="DE1456" s="577">
        <f t="shared" si="2097"/>
        <v>0.32052103657270953</v>
      </c>
      <c r="DF1456" s="577">
        <f>DF1449/DF$1452</f>
        <v>0.32052103657270953</v>
      </c>
      <c r="DG1456" s="576"/>
      <c r="DH1456" s="961">
        <f>DE1456</f>
        <v>0.32052103657270953</v>
      </c>
      <c r="DI1456" s="961">
        <f>DH1456</f>
        <v>0.32052103657270953</v>
      </c>
      <c r="DJ1456" s="577">
        <f>DJ1449/DJ$1452</f>
        <v>0.32052103657270953</v>
      </c>
      <c r="DK1456" s="576"/>
      <c r="DL1456" s="961">
        <f>DI1456</f>
        <v>0.32052103657270953</v>
      </c>
      <c r="DM1456" s="961">
        <f>DL1456</f>
        <v>0.32052103657270953</v>
      </c>
      <c r="DN1456" s="577">
        <f>DN1449/DN$1452</f>
        <v>0.32052103657270953</v>
      </c>
      <c r="DO1456" s="576"/>
      <c r="DP1456" s="961">
        <f>DM1456</f>
        <v>0.32052103657270953</v>
      </c>
      <c r="DQ1456" s="961">
        <f>DP1456</f>
        <v>0.32052103657270953</v>
      </c>
      <c r="DR1456" s="577">
        <f>DR1449/DR$1452</f>
        <v>0.32052103657270953</v>
      </c>
      <c r="DS1456" s="576"/>
      <c r="DT1456" s="576"/>
      <c r="DU1456" s="576"/>
      <c r="DV1456" s="576"/>
      <c r="DW1456"/>
      <c r="DX1456"/>
    </row>
    <row r="1457" spans="1:128" s="47" customFormat="1" ht="13.8">
      <c r="A1457" s="921" t="str">
        <f>+A1450</f>
        <v>Specialised Lending EAD</v>
      </c>
      <c r="B1457" s="575"/>
      <c r="C1457" s="574"/>
      <c r="D1457" s="574"/>
      <c r="E1457" s="574"/>
      <c r="F1457" s="574"/>
      <c r="G1457" s="574"/>
      <c r="H1457" s="574"/>
      <c r="I1457" s="574"/>
      <c r="J1457" s="574"/>
      <c r="K1457" s="574"/>
      <c r="L1457" s="574"/>
      <c r="M1457" s="574"/>
      <c r="N1457" s="574"/>
      <c r="O1457" s="574"/>
      <c r="P1457" s="574"/>
      <c r="Q1457" s="574"/>
      <c r="R1457" s="574"/>
      <c r="S1457" s="574"/>
      <c r="T1457" s="574"/>
      <c r="U1457" s="574"/>
      <c r="V1457" s="574"/>
      <c r="W1457" s="574"/>
      <c r="X1457" s="574"/>
      <c r="Y1457" s="574"/>
      <c r="Z1457" s="574"/>
      <c r="AA1457" s="574"/>
      <c r="AB1457" s="574"/>
      <c r="AC1457" s="574"/>
      <c r="AD1457" s="574"/>
      <c r="AE1457" s="574"/>
      <c r="AF1457" s="574"/>
      <c r="AG1457" s="574"/>
      <c r="AH1457" s="574"/>
      <c r="AI1457" s="574"/>
      <c r="AJ1457" s="574"/>
      <c r="AK1457" s="574"/>
      <c r="AL1457" s="574"/>
      <c r="AM1457" s="574"/>
      <c r="AN1457" s="574"/>
      <c r="AO1457" s="574"/>
      <c r="AP1457" s="574"/>
      <c r="AQ1457" s="574"/>
      <c r="AR1457" s="574"/>
      <c r="AS1457" s="574"/>
      <c r="AT1457" s="574"/>
      <c r="AU1457" s="574"/>
      <c r="AV1457" s="574"/>
      <c r="AW1457" s="574"/>
      <c r="AX1457" s="574"/>
      <c r="AY1457" s="574"/>
      <c r="AZ1457" s="574"/>
      <c r="BA1457" s="574"/>
      <c r="BB1457" s="574"/>
      <c r="BC1457" s="574"/>
      <c r="BD1457" s="574"/>
      <c r="BE1457" s="574"/>
      <c r="BF1457" s="574"/>
      <c r="BG1457" s="574"/>
      <c r="BH1457" s="575"/>
      <c r="BI1457" s="575"/>
      <c r="BJ1457" s="575"/>
      <c r="BK1457" s="575"/>
      <c r="BL1457" s="575"/>
      <c r="BM1457" s="575"/>
      <c r="BN1457" s="576"/>
      <c r="BO1457" s="575"/>
      <c r="BP1457" s="575"/>
      <c r="BQ1457" s="575"/>
      <c r="BR1457" s="576"/>
      <c r="BS1457" s="596"/>
      <c r="BT1457" s="575"/>
      <c r="BU1457" s="575"/>
      <c r="BV1457" s="576"/>
      <c r="BW1457" s="574"/>
      <c r="BX1457" s="575"/>
      <c r="BY1457" s="575"/>
      <c r="BZ1457" s="576"/>
      <c r="CA1457" s="574"/>
      <c r="CB1457" s="575"/>
      <c r="CC1457" s="575"/>
      <c r="CD1457" s="576"/>
      <c r="CE1457" s="576"/>
      <c r="CF1457" s="577">
        <f t="shared" si="2091"/>
        <v>7.2600256970975899E-2</v>
      </c>
      <c r="CG1457" s="577">
        <f t="shared" si="2091"/>
        <v>7.1840051972502303E-2</v>
      </c>
      <c r="CH1457" s="577">
        <f t="shared" si="2091"/>
        <v>7.1840051972502303E-2</v>
      </c>
      <c r="CI1457" s="576"/>
      <c r="CJ1457" s="577">
        <f t="shared" si="2092"/>
        <v>6.9741256425393444E-2</v>
      </c>
      <c r="CK1457" s="577">
        <f t="shared" si="2092"/>
        <v>7.5169588939077506E-2</v>
      </c>
      <c r="CL1457" s="577">
        <f t="shared" si="2092"/>
        <v>7.5169588939077506E-2</v>
      </c>
      <c r="CM1457" s="576"/>
      <c r="CN1457" s="577">
        <f t="shared" ref="CN1457:CP1457" si="2098">CN1450/CN$1452</f>
        <v>6.8055136205701666E-2</v>
      </c>
      <c r="CO1457" s="577">
        <f t="shared" si="2098"/>
        <v>6.7278821937207037E-2</v>
      </c>
      <c r="CP1457" s="577">
        <f t="shared" si="2098"/>
        <v>6.7278821937207037E-2</v>
      </c>
      <c r="CQ1457" s="576"/>
      <c r="CR1457" s="577">
        <f t="shared" ref="CR1457:CT1457" si="2099">CR1450/CR$1452</f>
        <v>6.8377120448114365E-2</v>
      </c>
      <c r="CS1457" s="577">
        <f t="shared" si="2099"/>
        <v>6.6068540926521077E-2</v>
      </c>
      <c r="CT1457" s="577">
        <f t="shared" si="2099"/>
        <v>6.6068540926521077E-2</v>
      </c>
      <c r="CU1457" s="576"/>
      <c r="CV1457" s="577">
        <f t="shared" ref="CV1457:CW1457" si="2100">CV1450/CV$1452</f>
        <v>5.6980357743746744E-3</v>
      </c>
      <c r="CW1457" s="577">
        <f t="shared" si="2100"/>
        <v>5.6652471832345898E-3</v>
      </c>
      <c r="CX1457" s="577">
        <f>CX1450/CX$1452</f>
        <v>5.6652471832345898E-3</v>
      </c>
      <c r="CY1457" s="576"/>
      <c r="CZ1457" s="577">
        <f>CZ1450/CZ$1452</f>
        <v>6.4293318113230018E-3</v>
      </c>
      <c r="DA1457" s="577">
        <f t="shared" ref="DA1457" si="2101">DA1450/DA$1452</f>
        <v>7.4422275356899924E-3</v>
      </c>
      <c r="DB1457" s="577">
        <f>DB1450/DB$1452</f>
        <v>7.4422275356899924E-3</v>
      </c>
      <c r="DC1457" s="576"/>
      <c r="DD1457" s="577">
        <f>DD1450/DD$1452</f>
        <v>2.5895632328172685E-2</v>
      </c>
      <c r="DE1457" s="577">
        <f t="shared" si="2097"/>
        <v>2.1790288098302128E-2</v>
      </c>
      <c r="DF1457" s="577">
        <f>DF1450/DF$1452</f>
        <v>2.1790288098302128E-2</v>
      </c>
      <c r="DG1457" s="576"/>
      <c r="DH1457" s="961">
        <f>DE1457</f>
        <v>2.1790288098302128E-2</v>
      </c>
      <c r="DI1457" s="961">
        <f>DH1457</f>
        <v>2.1790288098302128E-2</v>
      </c>
      <c r="DJ1457" s="577">
        <f>DJ1450/DJ$1452</f>
        <v>2.1790288098302128E-2</v>
      </c>
      <c r="DK1457" s="576"/>
      <c r="DL1457" s="961">
        <f>DI1457</f>
        <v>2.1790288098302128E-2</v>
      </c>
      <c r="DM1457" s="961">
        <f>DL1457</f>
        <v>2.1790288098302128E-2</v>
      </c>
      <c r="DN1457" s="577">
        <f>DN1450/DN$1452</f>
        <v>2.1790288098302128E-2</v>
      </c>
      <c r="DO1457" s="576"/>
      <c r="DP1457" s="961">
        <f>DM1457</f>
        <v>2.1790288098302128E-2</v>
      </c>
      <c r="DQ1457" s="961">
        <f>DP1457</f>
        <v>2.1790288098302128E-2</v>
      </c>
      <c r="DR1457" s="577">
        <f>DR1450/DR$1452</f>
        <v>2.1790288098302128E-2</v>
      </c>
      <c r="DS1457" s="576"/>
      <c r="DT1457" s="576"/>
      <c r="DU1457" s="576"/>
      <c r="DV1457" s="576"/>
      <c r="DW1457"/>
      <c r="DX1457"/>
    </row>
    <row r="1458" spans="1:128" s="47" customFormat="1" ht="13.8">
      <c r="A1458" s="717" t="str">
        <f>+A1451</f>
        <v>Other Non Housing EAD</v>
      </c>
      <c r="B1458" s="92"/>
      <c r="BH1458" s="92"/>
      <c r="BI1458" s="92"/>
      <c r="BJ1458" s="92"/>
      <c r="BK1458" s="92"/>
      <c r="BL1458" s="92"/>
      <c r="BM1458" s="92"/>
      <c r="BN1458" s="73"/>
      <c r="BO1458" s="92"/>
      <c r="BP1458" s="92"/>
      <c r="BQ1458" s="92"/>
      <c r="BR1458" s="73"/>
      <c r="BS1458" s="53"/>
      <c r="BT1458" s="92"/>
      <c r="BU1458" s="92"/>
      <c r="BV1458" s="73"/>
      <c r="BX1458" s="92"/>
      <c r="BY1458" s="92"/>
      <c r="BZ1458" s="73"/>
      <c r="CB1458" s="92"/>
      <c r="CC1458" s="92"/>
      <c r="CD1458" s="73"/>
      <c r="CE1458" s="73"/>
      <c r="CF1458" s="75">
        <f t="shared" si="2091"/>
        <v>0.48832824213132747</v>
      </c>
      <c r="CG1458" s="75">
        <f t="shared" si="2091"/>
        <v>0.46975618002108066</v>
      </c>
      <c r="CH1458" s="75">
        <f t="shared" si="2091"/>
        <v>0.46975618002108066</v>
      </c>
      <c r="CI1458" s="73"/>
      <c r="CJ1458" s="75">
        <f t="shared" si="2092"/>
        <v>0.4638118961570028</v>
      </c>
      <c r="CK1458" s="75">
        <f t="shared" si="2092"/>
        <v>0.46219178525749993</v>
      </c>
      <c r="CL1458" s="75">
        <f t="shared" si="2092"/>
        <v>0.46219178525749993</v>
      </c>
      <c r="CM1458" s="73"/>
      <c r="CN1458" s="75">
        <f t="shared" ref="CN1458:CP1458" si="2102">CN1451/CN$1452</f>
        <v>0.49829869981555558</v>
      </c>
      <c r="CO1458" s="75">
        <f t="shared" si="2102"/>
        <v>0.49267893367272247</v>
      </c>
      <c r="CP1458" s="75">
        <f t="shared" si="2102"/>
        <v>0.49267893367272247</v>
      </c>
      <c r="CQ1458" s="73"/>
      <c r="CR1458" s="75">
        <f t="shared" ref="CR1458:CT1458" si="2103">CR1451/CR$1452</f>
        <v>0.49885306818741332</v>
      </c>
      <c r="CS1458" s="75">
        <f t="shared" si="2103"/>
        <v>0.48226835956402514</v>
      </c>
      <c r="CT1458" s="75">
        <f t="shared" si="2103"/>
        <v>0.48226835956402514</v>
      </c>
      <c r="CU1458" s="73"/>
      <c r="CV1458" s="75">
        <f t="shared" ref="CV1458" si="2104">CV1451/CV$1452</f>
        <v>0.67786699744657264</v>
      </c>
      <c r="CW1458" s="75">
        <f>CW1451/CW$1452</f>
        <v>0.65631867473530936</v>
      </c>
      <c r="CX1458" s="75">
        <f>CX1451/CX$1452</f>
        <v>0.65631867473530936</v>
      </c>
      <c r="CY1458" s="73"/>
      <c r="CZ1458" s="75">
        <f>CZ1451/CZ$1452</f>
        <v>0.65769435766952333</v>
      </c>
      <c r="DA1458" s="75">
        <f>DA1451/DA$1452</f>
        <v>0.65789622549094007</v>
      </c>
      <c r="DB1458" s="75">
        <f>DB1451/DB$1452</f>
        <v>0.65789622549094007</v>
      </c>
      <c r="DC1458" s="73"/>
      <c r="DD1458" s="75">
        <f>DD1451/DD$1452</f>
        <v>0.62089576599938934</v>
      </c>
      <c r="DE1458" s="75">
        <f>DE1451/DE$1452</f>
        <v>0.65768867532898834</v>
      </c>
      <c r="DF1458" s="75">
        <f>DF1451/DF$1452</f>
        <v>0.65768867532898834</v>
      </c>
      <c r="DG1458" s="73"/>
      <c r="DH1458" s="75">
        <f>DH1451/DH$1452</f>
        <v>0.65768867532898834</v>
      </c>
      <c r="DI1458" s="75">
        <f>DI1451/DI$1452</f>
        <v>0.65768867532898834</v>
      </c>
      <c r="DJ1458" s="75">
        <f>DJ1451/DJ$1452</f>
        <v>0.65768867532898834</v>
      </c>
      <c r="DK1458" s="73"/>
      <c r="DL1458" s="75">
        <f>DL1451/DL$1452</f>
        <v>0.65768867532898834</v>
      </c>
      <c r="DM1458" s="75">
        <f>DM1451/DM$1452</f>
        <v>0.65768867532898834</v>
      </c>
      <c r="DN1458" s="75">
        <f>DN1451/DN$1452</f>
        <v>0.65768867532898834</v>
      </c>
      <c r="DO1458" s="73"/>
      <c r="DP1458" s="75">
        <f>DP1451/DP$1452</f>
        <v>0.65768867532898845</v>
      </c>
      <c r="DQ1458" s="75">
        <f>DQ1451/DQ$1452</f>
        <v>0.65768867532898823</v>
      </c>
      <c r="DR1458" s="75">
        <f>DR1451/DR$1452</f>
        <v>0.65768867532898823</v>
      </c>
      <c r="DS1458" s="73"/>
      <c r="DT1458" s="73"/>
      <c r="DU1458" s="73"/>
      <c r="DV1458" s="73"/>
      <c r="DW1458"/>
      <c r="DX1458"/>
    </row>
    <row r="1459" spans="1:128" s="20" customFormat="1" ht="13.8">
      <c r="A1459" s="542"/>
      <c r="B1459" s="49"/>
      <c r="BH1459" s="49"/>
      <c r="BI1459" s="49"/>
      <c r="BJ1459" s="49"/>
      <c r="BK1459" s="49"/>
      <c r="BL1459" s="49"/>
      <c r="BM1459" s="49"/>
      <c r="BN1459" s="65"/>
      <c r="BO1459" s="49"/>
      <c r="BP1459" s="49"/>
      <c r="BQ1459" s="49"/>
      <c r="BR1459" s="65"/>
      <c r="BS1459" s="28"/>
      <c r="BT1459" s="49"/>
      <c r="BU1459" s="49"/>
      <c r="BV1459" s="65"/>
      <c r="BX1459" s="49"/>
      <c r="BY1459" s="49"/>
      <c r="BZ1459" s="65"/>
      <c r="CB1459" s="49"/>
      <c r="CC1459" s="49"/>
      <c r="CD1459" s="65"/>
      <c r="CE1459" s="65"/>
      <c r="CF1459" s="49"/>
      <c r="CG1459" s="49"/>
      <c r="CH1459" s="65"/>
      <c r="CI1459" s="65"/>
      <c r="CJ1459" s="49"/>
      <c r="CK1459" s="49"/>
      <c r="CL1459" s="65"/>
      <c r="CM1459" s="65"/>
      <c r="CN1459" s="49"/>
      <c r="CO1459" s="49"/>
      <c r="CP1459" s="65"/>
      <c r="CQ1459" s="65"/>
      <c r="CR1459" s="49"/>
      <c r="CS1459" s="49"/>
      <c r="CT1459" s="65"/>
      <c r="CU1459" s="65"/>
      <c r="CV1459" s="49"/>
      <c r="CW1459" s="49"/>
      <c r="CX1459" s="49"/>
      <c r="CY1459" s="65"/>
      <c r="CZ1459" s="49"/>
      <c r="DA1459" s="49"/>
      <c r="DB1459" s="49"/>
      <c r="DC1459" s="65"/>
      <c r="DD1459" s="49"/>
      <c r="DE1459" s="49"/>
      <c r="DF1459" s="49"/>
      <c r="DG1459" s="65"/>
      <c r="DH1459" s="49"/>
      <c r="DI1459" s="49"/>
      <c r="DJ1459" s="49"/>
      <c r="DK1459" s="65"/>
      <c r="DL1459" s="49"/>
      <c r="DM1459" s="49"/>
      <c r="DN1459" s="49"/>
      <c r="DO1459" s="65"/>
      <c r="DP1459" s="49"/>
      <c r="DQ1459" s="49"/>
      <c r="DR1459" s="49"/>
      <c r="DS1459" s="65"/>
      <c r="DT1459" s="65"/>
      <c r="DU1459" s="65"/>
      <c r="DV1459" s="65"/>
      <c r="DW1459"/>
      <c r="DX1459"/>
    </row>
    <row r="1460" spans="1:128" s="20" customFormat="1" ht="13.8">
      <c r="A1460" s="540" t="s">
        <v>992</v>
      </c>
      <c r="B1460" s="49"/>
      <c r="BH1460" s="49"/>
      <c r="BI1460" s="49"/>
      <c r="BJ1460" s="49"/>
      <c r="BK1460" s="49"/>
      <c r="BL1460" s="49"/>
      <c r="BM1460" s="49"/>
      <c r="BN1460" s="65"/>
      <c r="BO1460" s="49"/>
      <c r="BP1460" s="49"/>
      <c r="BQ1460" s="49"/>
      <c r="BR1460" s="65"/>
      <c r="BS1460" s="28"/>
      <c r="BT1460" s="49"/>
      <c r="BU1460" s="49"/>
      <c r="BV1460" s="65"/>
      <c r="BX1460" s="49"/>
      <c r="BY1460" s="49"/>
      <c r="BZ1460" s="65"/>
      <c r="CB1460" s="49"/>
      <c r="CC1460" s="49"/>
      <c r="CD1460" s="65"/>
      <c r="CE1460" s="65"/>
      <c r="CF1460" s="49"/>
      <c r="CG1460" s="49"/>
      <c r="CH1460" s="65"/>
      <c r="CI1460" s="65"/>
      <c r="CJ1460" s="49"/>
      <c r="CK1460" s="49"/>
      <c r="CL1460" s="65"/>
      <c r="CM1460" s="65"/>
      <c r="CN1460" s="49"/>
      <c r="CO1460" s="49"/>
      <c r="CP1460" s="65"/>
      <c r="CQ1460" s="65"/>
      <c r="CR1460" s="49"/>
      <c r="CS1460" s="49"/>
      <c r="CT1460" s="65"/>
      <c r="CU1460" s="65"/>
      <c r="CV1460" s="49"/>
      <c r="CW1460" s="49"/>
      <c r="CX1460" s="49"/>
      <c r="CY1460" s="65"/>
      <c r="CZ1460" s="49"/>
      <c r="DA1460" s="49"/>
      <c r="DB1460" s="49"/>
      <c r="DC1460" s="65"/>
      <c r="DD1460" s="49"/>
      <c r="DE1460" s="49"/>
      <c r="DF1460" s="49"/>
      <c r="DG1460" s="65"/>
      <c r="DH1460" s="49"/>
      <c r="DI1460" s="49"/>
      <c r="DJ1460" s="49"/>
      <c r="DK1460" s="65"/>
      <c r="DL1460" s="49"/>
      <c r="DM1460" s="49"/>
      <c r="DN1460" s="49"/>
      <c r="DO1460" s="65"/>
      <c r="DP1460" s="49"/>
      <c r="DQ1460" s="49"/>
      <c r="DR1460" s="49"/>
      <c r="DS1460" s="65"/>
      <c r="DT1460" s="65"/>
      <c r="DU1460" s="65"/>
      <c r="DV1460" s="65"/>
      <c r="DW1460"/>
      <c r="DX1460"/>
    </row>
    <row r="1461" spans="1:128" s="20" customFormat="1" ht="13.8">
      <c r="A1461" s="540" t="s">
        <v>1157</v>
      </c>
      <c r="B1461" s="49"/>
      <c r="BH1461" s="49"/>
      <c r="BI1461" s="49"/>
      <c r="BJ1461" s="49"/>
      <c r="BK1461" s="49"/>
      <c r="BL1461" s="49"/>
      <c r="BM1461" s="49"/>
      <c r="BN1461" s="65"/>
      <c r="BO1461" s="49"/>
      <c r="BP1461" s="49"/>
      <c r="BQ1461" s="49"/>
      <c r="BR1461" s="65"/>
      <c r="BS1461" s="28"/>
      <c r="BT1461" s="49"/>
      <c r="BU1461" s="49"/>
      <c r="BV1461" s="65"/>
      <c r="BX1461" s="49"/>
      <c r="BY1461" s="49"/>
      <c r="BZ1461" s="65"/>
      <c r="CB1461" s="49"/>
      <c r="CC1461" s="49"/>
      <c r="CD1461" s="65"/>
      <c r="CE1461" s="65"/>
      <c r="CF1461" s="49"/>
      <c r="CG1461" s="49"/>
      <c r="CH1461" s="65"/>
      <c r="CI1461" s="65"/>
      <c r="CJ1461" s="49"/>
      <c r="CK1461" s="49"/>
      <c r="CL1461" s="65"/>
      <c r="CM1461" s="65"/>
      <c r="CN1461" s="49"/>
      <c r="CO1461" s="49"/>
      <c r="CP1461" s="65"/>
      <c r="CQ1461" s="65"/>
      <c r="CR1461" s="49"/>
      <c r="CS1461" s="49"/>
      <c r="CT1461" s="65"/>
      <c r="CU1461" s="65"/>
      <c r="CV1461" s="65">
        <f>CV87</f>
        <v>292597</v>
      </c>
      <c r="CW1461" s="65">
        <f>CW87</f>
        <v>304133</v>
      </c>
      <c r="CX1461" s="65">
        <f>CX87</f>
        <v>304133</v>
      </c>
      <c r="CY1461" s="65"/>
      <c r="CZ1461" s="65">
        <f>CZ87</f>
        <v>314103</v>
      </c>
      <c r="DA1461" s="65">
        <f>DA87</f>
        <v>382030</v>
      </c>
      <c r="DB1461" s="65">
        <f>DB87</f>
        <v>382030</v>
      </c>
      <c r="DC1461" s="65"/>
      <c r="DD1461" s="65">
        <f>DD87</f>
        <v>391719</v>
      </c>
      <c r="DE1461" s="65">
        <f>DE87</f>
        <v>401534</v>
      </c>
      <c r="DF1461" s="65">
        <f>DF87</f>
        <v>401534</v>
      </c>
      <c r="DG1461" s="65"/>
      <c r="DH1461" s="65">
        <f>DH87</f>
        <v>407557.00999999995</v>
      </c>
      <c r="DI1461" s="65">
        <f>DI87</f>
        <v>417745.93524999992</v>
      </c>
      <c r="DJ1461" s="65">
        <f>DJ87</f>
        <v>417745.93524999992</v>
      </c>
      <c r="DK1461" s="65"/>
      <c r="DL1461" s="65">
        <f>DL87</f>
        <v>430278.31330749992</v>
      </c>
      <c r="DM1461" s="65">
        <f>DM87</f>
        <v>443186.66270672495</v>
      </c>
      <c r="DN1461" s="65">
        <f>DN87</f>
        <v>443186.66270672495</v>
      </c>
      <c r="DO1461" s="65"/>
      <c r="DP1461" s="65">
        <f>DP87</f>
        <v>454266.32927439304</v>
      </c>
      <c r="DQ1461" s="65">
        <f>DQ87</f>
        <v>465622.98750625283</v>
      </c>
      <c r="DR1461" s="65">
        <f>DR87</f>
        <v>465622.98750625283</v>
      </c>
      <c r="DS1461" s="65"/>
      <c r="DT1461" s="65"/>
      <c r="DU1461" s="65"/>
      <c r="DV1461" s="65"/>
      <c r="DW1461"/>
      <c r="DX1461"/>
    </row>
    <row r="1462" spans="1:128" s="20" customFormat="1" ht="13.8">
      <c r="A1462" s="540" t="s">
        <v>1158</v>
      </c>
      <c r="B1462" s="49"/>
      <c r="BH1462" s="49"/>
      <c r="BI1462" s="49"/>
      <c r="BJ1462" s="49"/>
      <c r="BK1462" s="49"/>
      <c r="BL1462" s="49"/>
      <c r="BM1462" s="49"/>
      <c r="BN1462" s="65"/>
      <c r="BO1462" s="49"/>
      <c r="BP1462" s="49"/>
      <c r="BQ1462" s="49"/>
      <c r="BR1462" s="65"/>
      <c r="BS1462" s="28"/>
      <c r="BT1462" s="49"/>
      <c r="BU1462" s="49"/>
      <c r="BV1462" s="65"/>
      <c r="BX1462" s="49"/>
      <c r="BY1462" s="49"/>
      <c r="BZ1462" s="65"/>
      <c r="CB1462" s="49"/>
      <c r="CC1462" s="49"/>
      <c r="CD1462" s="65"/>
      <c r="CE1462" s="65"/>
      <c r="CF1462" s="49"/>
      <c r="CG1462" s="49"/>
      <c r="CH1462" s="65"/>
      <c r="CI1462" s="65"/>
      <c r="CJ1462" s="49"/>
      <c r="CK1462" s="49"/>
      <c r="CL1462" s="65"/>
      <c r="CM1462" s="65"/>
      <c r="CN1462" s="49"/>
      <c r="CO1462" s="49"/>
      <c r="CP1462" s="65"/>
      <c r="CQ1462" s="65"/>
      <c r="CR1462" s="49"/>
      <c r="CS1462" s="49"/>
      <c r="CT1462" s="65"/>
      <c r="CU1462" s="65"/>
      <c r="CV1462" s="65">
        <f>CV1463-CV1461</f>
        <v>98414</v>
      </c>
      <c r="CW1462" s="65">
        <f>CW1463-CW1461</f>
        <v>100358</v>
      </c>
      <c r="CX1462" s="65">
        <f>CX1463-CX1461</f>
        <v>100358</v>
      </c>
      <c r="CY1462" s="65"/>
      <c r="CZ1462" s="65">
        <f>CZ1463-CZ1461</f>
        <v>100838</v>
      </c>
      <c r="DA1462" s="65">
        <f>DA1463-DA1461</f>
        <v>102524</v>
      </c>
      <c r="DB1462" s="65">
        <f>DB1463-DB1461</f>
        <v>102524</v>
      </c>
      <c r="DC1462" s="65"/>
      <c r="DD1462" s="65">
        <f>DD1463-DD1461</f>
        <v>103544</v>
      </c>
      <c r="DE1462" s="65">
        <f>DE1463-DE1461</f>
        <v>102463</v>
      </c>
      <c r="DF1462" s="65">
        <f>DF1463-DF1461</f>
        <v>102463</v>
      </c>
      <c r="DG1462" s="65"/>
      <c r="DH1462" s="65">
        <f>DH1463-DH1461</f>
        <v>102152.53213482001</v>
      </c>
      <c r="DI1462" s="65">
        <f>DI1463-DI1461</f>
        <v>104699.98180658492</v>
      </c>
      <c r="DJ1462" s="65">
        <f>DJ1463-DJ1461</f>
        <v>104699.98180658492</v>
      </c>
      <c r="DK1462" s="65"/>
      <c r="DL1462" s="65">
        <f>DL1463-DL1461</f>
        <v>106789.69659743557</v>
      </c>
      <c r="DM1462" s="65">
        <f>DM1463-DM1461</f>
        <v>108921.16283565026</v>
      </c>
      <c r="DN1462" s="65">
        <f>DN1463-DN1461</f>
        <v>108921.16283565026</v>
      </c>
      <c r="DO1462" s="65"/>
      <c r="DP1462" s="65">
        <f>DP1463-DP1461</f>
        <v>110552.79479284934</v>
      </c>
      <c r="DQ1462" s="65">
        <f>DQ1463-DQ1461</f>
        <v>112208.8793745531</v>
      </c>
      <c r="DR1462" s="65">
        <f>DR1463-DR1461</f>
        <v>112208.8793745531</v>
      </c>
      <c r="DS1462" s="65"/>
      <c r="DT1462" s="65"/>
      <c r="DU1462" s="65"/>
      <c r="DV1462" s="65"/>
      <c r="DW1462"/>
      <c r="DX1462"/>
    </row>
    <row r="1463" spans="1:128" s="21" customFormat="1" ht="13.8">
      <c r="A1463" s="21" t="s">
        <v>1159</v>
      </c>
      <c r="B1463" s="27"/>
      <c r="BH1463" s="72">
        <f>BH149</f>
        <v>238282</v>
      </c>
      <c r="BI1463" s="72">
        <f>BI149</f>
        <v>253277</v>
      </c>
      <c r="BJ1463" s="72">
        <f>BJ149</f>
        <v>253277</v>
      </c>
      <c r="BK1463" s="27"/>
      <c r="BL1463" s="72">
        <f>BL149</f>
        <v>264713</v>
      </c>
      <c r="BM1463" s="72">
        <f>BM149</f>
        <v>271388</v>
      </c>
      <c r="BN1463" s="72">
        <f>BN149</f>
        <v>271388</v>
      </c>
      <c r="BO1463" s="27"/>
      <c r="BP1463" s="72">
        <f>BP149</f>
        <v>288497</v>
      </c>
      <c r="BQ1463" s="72">
        <f>BQ149</f>
        <v>300468</v>
      </c>
      <c r="BR1463" s="72">
        <f>BR149</f>
        <v>300468</v>
      </c>
      <c r="BT1463" s="72">
        <f>BT149</f>
        <v>313301</v>
      </c>
      <c r="BU1463" s="72">
        <f>BU149</f>
        <v>323144</v>
      </c>
      <c r="BV1463" s="72">
        <f>BV149</f>
        <v>323144</v>
      </c>
      <c r="BX1463" s="72">
        <f>BX149</f>
        <v>330814</v>
      </c>
      <c r="BY1463" s="72">
        <f>BY149</f>
        <v>337309</v>
      </c>
      <c r="BZ1463" s="72">
        <f>BZ149</f>
        <v>337309</v>
      </c>
      <c r="CB1463" s="72">
        <f>CB149</f>
        <v>345111</v>
      </c>
      <c r="CC1463" s="72">
        <f>CC149</f>
        <v>346154</v>
      </c>
      <c r="CD1463" s="72">
        <f>CD149</f>
        <v>346154</v>
      </c>
      <c r="CF1463" s="72">
        <f>CF149</f>
        <v>348946</v>
      </c>
      <c r="CG1463" s="72">
        <f>CG149</f>
        <v>343808</v>
      </c>
      <c r="CH1463" s="72">
        <f>CH149</f>
        <v>343808</v>
      </c>
      <c r="CJ1463" s="72">
        <f>CJ149</f>
        <v>349428</v>
      </c>
      <c r="CK1463" s="72">
        <f>CK149</f>
        <v>358350</v>
      </c>
      <c r="CL1463" s="72">
        <f>CL149</f>
        <v>358350</v>
      </c>
      <c r="CN1463" s="72">
        <f>CN149</f>
        <v>368578</v>
      </c>
      <c r="CO1463" s="72">
        <f>CO149</f>
        <v>372572</v>
      </c>
      <c r="CP1463" s="72">
        <f>CP149</f>
        <v>372572</v>
      </c>
      <c r="CR1463" s="72">
        <f>CR149</f>
        <v>374152</v>
      </c>
      <c r="CS1463" s="72">
        <f>CS149</f>
        <v>374625</v>
      </c>
      <c r="CT1463" s="72">
        <f>CT149</f>
        <v>374625</v>
      </c>
      <c r="CV1463" s="72">
        <f>CV149</f>
        <v>391011</v>
      </c>
      <c r="CW1463" s="72">
        <f>CW149</f>
        <v>404491</v>
      </c>
      <c r="CX1463" s="72">
        <f>CW1463</f>
        <v>404491</v>
      </c>
      <c r="CZ1463" s="72">
        <f>CZ149</f>
        <v>414941</v>
      </c>
      <c r="DA1463" s="72">
        <f>DA149</f>
        <v>484554</v>
      </c>
      <c r="DB1463" s="72">
        <f>DA1463</f>
        <v>484554</v>
      </c>
      <c r="DD1463" s="72">
        <f>DD149</f>
        <v>495263</v>
      </c>
      <c r="DE1463" s="72">
        <f>DE149</f>
        <v>503997</v>
      </c>
      <c r="DF1463" s="72">
        <f>DE1463</f>
        <v>503997</v>
      </c>
      <c r="DH1463" s="72">
        <f>DH149</f>
        <v>509709.54213481996</v>
      </c>
      <c r="DI1463" s="72">
        <f>DI149</f>
        <v>522445.91705658485</v>
      </c>
      <c r="DJ1463" s="72">
        <f>DI1463</f>
        <v>522445.91705658485</v>
      </c>
      <c r="DL1463" s="72">
        <f>DL149</f>
        <v>537068.00990493549</v>
      </c>
      <c r="DM1463" s="72">
        <f>DM149</f>
        <v>552107.82554237521</v>
      </c>
      <c r="DN1463" s="72">
        <f>DM1463</f>
        <v>552107.82554237521</v>
      </c>
      <c r="DP1463" s="72">
        <f>DP149</f>
        <v>564819.12406724237</v>
      </c>
      <c r="DQ1463" s="72">
        <f>DQ149</f>
        <v>577831.86688080593</v>
      </c>
      <c r="DR1463" s="72">
        <f>DQ1463</f>
        <v>577831.86688080593</v>
      </c>
      <c r="DW1463"/>
      <c r="DX1463"/>
    </row>
    <row r="1464" spans="1:128" s="47" customFormat="1" ht="13.8">
      <c r="A1464" s="574" t="s">
        <v>1195</v>
      </c>
      <c r="B1464" s="575"/>
      <c r="C1464" s="574"/>
      <c r="D1464" s="574"/>
      <c r="E1464" s="574"/>
      <c r="F1464" s="574"/>
      <c r="G1464" s="574"/>
      <c r="H1464" s="574"/>
      <c r="I1464" s="574"/>
      <c r="J1464" s="574"/>
      <c r="K1464" s="574"/>
      <c r="L1464" s="574"/>
      <c r="M1464" s="574"/>
      <c r="N1464" s="574"/>
      <c r="O1464" s="574"/>
      <c r="P1464" s="574"/>
      <c r="Q1464" s="574"/>
      <c r="R1464" s="574"/>
      <c r="S1464" s="574"/>
      <c r="T1464" s="574"/>
      <c r="U1464" s="574"/>
      <c r="V1464" s="574"/>
      <c r="W1464" s="574"/>
      <c r="X1464" s="574"/>
      <c r="Y1464" s="574"/>
      <c r="Z1464" s="574"/>
      <c r="AA1464" s="574"/>
      <c r="AB1464" s="574"/>
      <c r="AC1464" s="574"/>
      <c r="AD1464" s="574"/>
      <c r="AE1464" s="574"/>
      <c r="AF1464" s="574"/>
      <c r="AG1464" s="574"/>
      <c r="AH1464" s="574"/>
      <c r="AI1464" s="574"/>
      <c r="AJ1464" s="574"/>
      <c r="AK1464" s="574"/>
      <c r="AL1464" s="574"/>
      <c r="AM1464" s="574"/>
      <c r="AN1464" s="574"/>
      <c r="AO1464" s="574"/>
      <c r="AP1464" s="574"/>
      <c r="AQ1464" s="574"/>
      <c r="AR1464" s="574"/>
      <c r="AS1464" s="574"/>
      <c r="AT1464" s="574"/>
      <c r="AU1464" s="574"/>
      <c r="AV1464" s="574"/>
      <c r="AW1464" s="574"/>
      <c r="AX1464" s="574"/>
      <c r="AY1464" s="574"/>
      <c r="AZ1464" s="574"/>
      <c r="BA1464" s="574"/>
      <c r="BB1464" s="574"/>
      <c r="BC1464" s="574"/>
      <c r="BD1464" s="574"/>
      <c r="BE1464" s="574"/>
      <c r="BF1464" s="574"/>
      <c r="BG1464" s="574"/>
      <c r="BH1464" s="576"/>
      <c r="BI1464" s="576"/>
      <c r="BJ1464" s="576"/>
      <c r="BK1464" s="575"/>
      <c r="BL1464" s="576"/>
      <c r="BM1464" s="576"/>
      <c r="BN1464" s="576"/>
      <c r="BO1464" s="575"/>
      <c r="BP1464" s="577"/>
      <c r="BQ1464" s="577"/>
      <c r="BR1464" s="577"/>
      <c r="BS1464" s="574"/>
      <c r="BT1464" s="577"/>
      <c r="BU1464" s="577"/>
      <c r="BV1464" s="577"/>
      <c r="BW1464" s="574"/>
      <c r="BX1464" s="577"/>
      <c r="BY1464" s="577"/>
      <c r="BZ1464" s="577"/>
      <c r="CA1464" s="574"/>
      <c r="CB1464" s="577"/>
      <c r="CC1464" s="577"/>
      <c r="CD1464" s="577"/>
      <c r="CE1464" s="574"/>
      <c r="CF1464" s="577"/>
      <c r="CG1464" s="577"/>
      <c r="CH1464" s="577"/>
      <c r="CI1464" s="574"/>
      <c r="CJ1464" s="577"/>
      <c r="CK1464" s="577"/>
      <c r="CL1464" s="577"/>
      <c r="CM1464" s="574"/>
      <c r="CN1464" s="577"/>
      <c r="CO1464" s="577"/>
      <c r="CP1464" s="577"/>
      <c r="CQ1464" s="574"/>
      <c r="CR1464" s="577"/>
      <c r="CS1464" s="577"/>
      <c r="CT1464" s="577"/>
      <c r="CU1464" s="574"/>
      <c r="CV1464" s="577">
        <f>+CV1412/CV1432</f>
        <v>0.26712046077555673</v>
      </c>
      <c r="CW1464" s="577">
        <f>+CW1412/CW1432</f>
        <v>0.28532230249082902</v>
      </c>
      <c r="CX1464" s="1241">
        <f>CX1412/CX1432</f>
        <v>0.28532230249082902</v>
      </c>
      <c r="CY1464" s="574"/>
      <c r="CZ1464" s="577">
        <f>+CZ1412/CZ1432</f>
        <v>0.29257490631297528</v>
      </c>
      <c r="DA1464" s="577">
        <f>+DA1412/DA1432</f>
        <v>0.2547782837127846</v>
      </c>
      <c r="DB1464" s="1241">
        <f>DB1412/DB1432</f>
        <v>0.2547782837127846</v>
      </c>
      <c r="DC1464" s="574"/>
      <c r="DD1464" s="577">
        <f>+DD1412/DD1432</f>
        <v>0.25878673658909646</v>
      </c>
      <c r="DE1464" s="577">
        <f>+DE1412/DE1432</f>
        <v>0.2520111903837659</v>
      </c>
      <c r="DF1464" s="1241">
        <f>DF1412/DF1432</f>
        <v>0.2520111903837659</v>
      </c>
      <c r="DG1464" s="574"/>
      <c r="DH1464" s="1243">
        <f t="shared" ref="DH1464:DH1465" si="2105">DE1464</f>
        <v>0.2520111903837659</v>
      </c>
      <c r="DI1464" s="1243">
        <f t="shared" ref="DI1464:DI1465" si="2106">DH1464</f>
        <v>0.2520111903837659</v>
      </c>
      <c r="DJ1464" s="1241">
        <f>DJ1412/DJ1432</f>
        <v>0.2520111903837659</v>
      </c>
      <c r="DK1464" s="574"/>
      <c r="DL1464" s="1243">
        <f t="shared" ref="DL1464:DL1465" si="2107">DI1464</f>
        <v>0.2520111903837659</v>
      </c>
      <c r="DM1464" s="1243">
        <f t="shared" ref="DM1464:DM1465" si="2108">DL1464</f>
        <v>0.2520111903837659</v>
      </c>
      <c r="DN1464" s="1241">
        <f>DN1412/DN1432</f>
        <v>0.2520111903837659</v>
      </c>
      <c r="DO1464" s="574"/>
      <c r="DP1464" s="1243">
        <f t="shared" ref="DP1464:DP1465" si="2109">DM1464</f>
        <v>0.2520111903837659</v>
      </c>
      <c r="DQ1464" s="1243">
        <f t="shared" ref="DQ1464:DQ1465" si="2110">DP1464</f>
        <v>0.2520111903837659</v>
      </c>
      <c r="DR1464" s="1241">
        <f>DR1412/DR1432</f>
        <v>0.2520111903837659</v>
      </c>
      <c r="DS1464" s="574"/>
      <c r="DT1464" s="574"/>
      <c r="DU1464" s="574"/>
      <c r="DV1464" s="574"/>
      <c r="DW1464"/>
      <c r="DX1464"/>
    </row>
    <row r="1465" spans="1:128" s="47" customFormat="1" ht="13.8">
      <c r="A1465" s="574" t="s">
        <v>1196</v>
      </c>
      <c r="B1465" s="575"/>
      <c r="C1465" s="574"/>
      <c r="D1465" s="574"/>
      <c r="E1465" s="574"/>
      <c r="F1465" s="574"/>
      <c r="G1465" s="574"/>
      <c r="H1465" s="574"/>
      <c r="I1465" s="574"/>
      <c r="J1465" s="574"/>
      <c r="K1465" s="574"/>
      <c r="L1465" s="574"/>
      <c r="M1465" s="574"/>
      <c r="N1465" s="574"/>
      <c r="O1465" s="574"/>
      <c r="P1465" s="574"/>
      <c r="Q1465" s="574"/>
      <c r="R1465" s="574"/>
      <c r="S1465" s="574"/>
      <c r="T1465" s="574"/>
      <c r="U1465" s="574"/>
      <c r="V1465" s="574"/>
      <c r="W1465" s="574"/>
      <c r="X1465" s="574"/>
      <c r="Y1465" s="574"/>
      <c r="Z1465" s="574"/>
      <c r="AA1465" s="574"/>
      <c r="AB1465" s="574"/>
      <c r="AC1465" s="574"/>
      <c r="AD1465" s="574"/>
      <c r="AE1465" s="574"/>
      <c r="AF1465" s="574"/>
      <c r="AG1465" s="574"/>
      <c r="AH1465" s="574"/>
      <c r="AI1465" s="574"/>
      <c r="AJ1465" s="574"/>
      <c r="AK1465" s="574"/>
      <c r="AL1465" s="574"/>
      <c r="AM1465" s="574"/>
      <c r="AN1465" s="574"/>
      <c r="AO1465" s="574"/>
      <c r="AP1465" s="574"/>
      <c r="AQ1465" s="574"/>
      <c r="AR1465" s="574"/>
      <c r="AS1465" s="574"/>
      <c r="AT1465" s="574"/>
      <c r="AU1465" s="574"/>
      <c r="AV1465" s="574"/>
      <c r="AW1465" s="574"/>
      <c r="AX1465" s="574"/>
      <c r="AY1465" s="574"/>
      <c r="AZ1465" s="574"/>
      <c r="BA1465" s="574"/>
      <c r="BB1465" s="574"/>
      <c r="BC1465" s="574"/>
      <c r="BD1465" s="574"/>
      <c r="BE1465" s="574"/>
      <c r="BF1465" s="574"/>
      <c r="BG1465" s="574"/>
      <c r="BH1465" s="576"/>
      <c r="BI1465" s="576"/>
      <c r="BJ1465" s="576"/>
      <c r="BK1465" s="575"/>
      <c r="BL1465" s="576"/>
      <c r="BM1465" s="576"/>
      <c r="BN1465" s="576"/>
      <c r="BO1465" s="575"/>
      <c r="BP1465" s="577"/>
      <c r="BQ1465" s="577"/>
      <c r="BR1465" s="577"/>
      <c r="BS1465" s="574"/>
      <c r="BT1465" s="577"/>
      <c r="BU1465" s="577"/>
      <c r="BV1465" s="577"/>
      <c r="BW1465" s="574"/>
      <c r="BX1465" s="577"/>
      <c r="BY1465" s="577"/>
      <c r="BZ1465" s="577"/>
      <c r="CA1465" s="574"/>
      <c r="CB1465" s="577"/>
      <c r="CC1465" s="577"/>
      <c r="CD1465" s="577"/>
      <c r="CE1465" s="574"/>
      <c r="CF1465" s="577"/>
      <c r="CG1465" s="577"/>
      <c r="CH1465" s="577"/>
      <c r="CI1465" s="574"/>
      <c r="CJ1465" s="577"/>
      <c r="CK1465" s="577"/>
      <c r="CL1465" s="577"/>
      <c r="CM1465" s="574"/>
      <c r="CN1465" s="577"/>
      <c r="CO1465" s="577"/>
      <c r="CP1465" s="577"/>
      <c r="CQ1465" s="574"/>
      <c r="CR1465" s="577"/>
      <c r="CS1465" s="577"/>
      <c r="CT1465" s="577"/>
      <c r="CU1465" s="574"/>
      <c r="CV1465" s="577">
        <f t="shared" ref="CV1465:CW1465" si="2111">+CV1413/CV1433</f>
        <v>0.89955246146195922</v>
      </c>
      <c r="CW1465" s="577">
        <f t="shared" si="2111"/>
        <v>0.91009255178492732</v>
      </c>
      <c r="CX1465" s="1241">
        <f>CX1413/CX1433</f>
        <v>0.91009255178492732</v>
      </c>
      <c r="CY1465" s="574"/>
      <c r="CZ1465" s="577">
        <f>+CZ1413/CZ1433</f>
        <v>0.90655577299412915</v>
      </c>
      <c r="DA1465" s="577">
        <f t="shared" ref="DA1465" si="2112">+DA1413/DA1433</f>
        <v>0.3511851520572451</v>
      </c>
      <c r="DB1465" s="1241">
        <f>DB1413/DB1433</f>
        <v>0.3511851520572451</v>
      </c>
      <c r="DC1465" s="574"/>
      <c r="DD1465" s="577">
        <f>+DD1413/DD1433</f>
        <v>0.32589669801524906</v>
      </c>
      <c r="DE1465" s="577">
        <f t="shared" ref="DE1465:DE1468" si="2113">+DE1413/DE1433</f>
        <v>0.34617702040879383</v>
      </c>
      <c r="DF1465" s="1241">
        <f>DF1413/DF1433</f>
        <v>0.34617702040879383</v>
      </c>
      <c r="DG1465" s="574"/>
      <c r="DH1465" s="1243">
        <f t="shared" si="2105"/>
        <v>0.34617702040879383</v>
      </c>
      <c r="DI1465" s="1243">
        <f t="shared" si="2106"/>
        <v>0.34617702040879383</v>
      </c>
      <c r="DJ1465" s="1241">
        <f>DJ1413/DJ1433</f>
        <v>0.34617702040879383</v>
      </c>
      <c r="DK1465" s="574"/>
      <c r="DL1465" s="1243">
        <f t="shared" si="2107"/>
        <v>0.34617702040879383</v>
      </c>
      <c r="DM1465" s="1243">
        <f t="shared" si="2108"/>
        <v>0.34617702040879383</v>
      </c>
      <c r="DN1465" s="1241">
        <f>DN1413/DN1433</f>
        <v>0.34617702040879383</v>
      </c>
      <c r="DO1465" s="574"/>
      <c r="DP1465" s="1243">
        <f t="shared" si="2109"/>
        <v>0.34617702040879383</v>
      </c>
      <c r="DQ1465" s="1243">
        <f t="shared" si="2110"/>
        <v>0.34617702040879383</v>
      </c>
      <c r="DR1465" s="1241">
        <f>DR1413/DR1433</f>
        <v>0.34617702040879383</v>
      </c>
      <c r="DS1465" s="574"/>
      <c r="DT1465" s="574"/>
      <c r="DU1465" s="574"/>
      <c r="DV1465" s="574"/>
      <c r="DW1465"/>
      <c r="DX1465"/>
    </row>
    <row r="1466" spans="1:128" s="78" customFormat="1" ht="13.8">
      <c r="A1466" s="78" t="s">
        <v>1204</v>
      </c>
      <c r="B1466" s="95"/>
      <c r="BH1466" s="383"/>
      <c r="BI1466" s="383"/>
      <c r="BJ1466" s="383"/>
      <c r="BK1466" s="95"/>
      <c r="BL1466" s="383"/>
      <c r="BM1466" s="383"/>
      <c r="BN1466" s="383"/>
      <c r="BO1466" s="95"/>
      <c r="BP1466" s="97"/>
      <c r="BQ1466" s="97"/>
      <c r="BR1466" s="97"/>
      <c r="BT1466" s="97"/>
      <c r="BU1466" s="97"/>
      <c r="BV1466" s="97"/>
      <c r="BX1466" s="97"/>
      <c r="BY1466" s="97"/>
      <c r="BZ1466" s="97"/>
      <c r="CB1466" s="97"/>
      <c r="CC1466" s="97"/>
      <c r="CD1466" s="97"/>
      <c r="CF1466" s="97"/>
      <c r="CG1466" s="97"/>
      <c r="CH1466" s="97"/>
      <c r="CJ1466" s="97"/>
      <c r="CK1466" s="97"/>
      <c r="CL1466" s="97"/>
      <c r="CN1466" s="97"/>
      <c r="CO1466" s="97"/>
      <c r="CP1466" s="97"/>
      <c r="CR1466" s="97"/>
      <c r="CS1466" s="97"/>
      <c r="CT1466" s="97"/>
      <c r="CV1466" s="97">
        <f t="shared" ref="CV1466:CW1468" si="2114">+CV1414/CV1434</f>
        <v>0.27101361879019592</v>
      </c>
      <c r="CW1466" s="97">
        <f t="shared" si="2114"/>
        <v>0.28949482997642362</v>
      </c>
      <c r="CX1466" s="1242">
        <f>CX1414/CX1434</f>
        <v>0.28949482997642362</v>
      </c>
      <c r="CZ1466" s="97">
        <f>+CZ1414/CZ1434</f>
        <v>0.29617691799890933</v>
      </c>
      <c r="DA1466" s="97">
        <f t="shared" ref="DA1466" si="2115">+DA1414/DA1434</f>
        <v>0.26916704610198744</v>
      </c>
      <c r="DB1466" s="1242">
        <f>DB1414/DB1434</f>
        <v>0.26916704610198744</v>
      </c>
      <c r="DD1466" s="97">
        <f>+DD1414/DD1434</f>
        <v>0.26922225246462794</v>
      </c>
      <c r="DE1466" s="97">
        <f t="shared" si="2113"/>
        <v>0.26591856013069809</v>
      </c>
      <c r="DF1466" s="1242">
        <f>DF1414/DF1434</f>
        <v>0.26591856013069809</v>
      </c>
      <c r="DH1466" s="97">
        <f>+DH1414/DH1434</f>
        <v>0.26591856013069809</v>
      </c>
      <c r="DI1466" s="97">
        <f>+DI1414/DI1434</f>
        <v>0.26591856013069809</v>
      </c>
      <c r="DJ1466" s="97">
        <f>+DJ1414/DJ1434</f>
        <v>0.26591856013069809</v>
      </c>
      <c r="DL1466" s="97">
        <f>+DL1414/DL1434</f>
        <v>0.26591856013069809</v>
      </c>
      <c r="DM1466" s="97">
        <f>+DM1414/DM1434</f>
        <v>0.26591856013069803</v>
      </c>
      <c r="DN1466" s="97">
        <f>+DN1414/DN1434</f>
        <v>0.26591856013069803</v>
      </c>
      <c r="DP1466" s="97">
        <f>+DP1414/DP1434</f>
        <v>0.26591856013069809</v>
      </c>
      <c r="DQ1466" s="97">
        <f>+DQ1414/DQ1434</f>
        <v>0.26591856013069809</v>
      </c>
      <c r="DR1466" s="97">
        <f>+DR1414/DR1434</f>
        <v>0.26591856013069809</v>
      </c>
      <c r="DW1466" s="565"/>
      <c r="DX1466" s="565"/>
    </row>
    <row r="1467" spans="1:128" s="47" customFormat="1" ht="13.8">
      <c r="A1467" s="574" t="s">
        <v>1160</v>
      </c>
      <c r="B1467" s="575"/>
      <c r="C1467" s="574"/>
      <c r="D1467" s="574"/>
      <c r="E1467" s="574"/>
      <c r="F1467" s="574"/>
      <c r="G1467" s="574"/>
      <c r="H1467" s="574"/>
      <c r="I1467" s="574"/>
      <c r="J1467" s="574"/>
      <c r="K1467" s="574"/>
      <c r="L1467" s="574"/>
      <c r="M1467" s="574"/>
      <c r="N1467" s="574"/>
      <c r="O1467" s="574"/>
      <c r="P1467" s="574"/>
      <c r="Q1467" s="574"/>
      <c r="R1467" s="574"/>
      <c r="S1467" s="574"/>
      <c r="T1467" s="574"/>
      <c r="U1467" s="574"/>
      <c r="V1467" s="574"/>
      <c r="W1467" s="574"/>
      <c r="X1467" s="574"/>
      <c r="Y1467" s="574"/>
      <c r="Z1467" s="574"/>
      <c r="AA1467" s="574"/>
      <c r="AB1467" s="574"/>
      <c r="AC1467" s="574"/>
      <c r="AD1467" s="574"/>
      <c r="AE1467" s="574"/>
      <c r="AF1467" s="574"/>
      <c r="AG1467" s="574"/>
      <c r="AH1467" s="574"/>
      <c r="AI1467" s="574"/>
      <c r="AJ1467" s="574"/>
      <c r="AK1467" s="574"/>
      <c r="AL1467" s="574"/>
      <c r="AM1467" s="574"/>
      <c r="AN1467" s="574"/>
      <c r="AO1467" s="574"/>
      <c r="AP1467" s="574"/>
      <c r="AQ1467" s="574"/>
      <c r="AR1467" s="574"/>
      <c r="AS1467" s="574"/>
      <c r="AT1467" s="574"/>
      <c r="AU1467" s="574"/>
      <c r="AV1467" s="574"/>
      <c r="AW1467" s="574"/>
      <c r="AX1467" s="574"/>
      <c r="AY1467" s="574"/>
      <c r="AZ1467" s="574"/>
      <c r="BA1467" s="574"/>
      <c r="BB1467" s="574"/>
      <c r="BC1467" s="574"/>
      <c r="BD1467" s="574"/>
      <c r="BE1467" s="574"/>
      <c r="BF1467" s="574"/>
      <c r="BG1467" s="574"/>
      <c r="BH1467" s="576"/>
      <c r="BI1467" s="576"/>
      <c r="BJ1467" s="576"/>
      <c r="BK1467" s="575"/>
      <c r="BL1467" s="576"/>
      <c r="BM1467" s="576"/>
      <c r="BN1467" s="576"/>
      <c r="BO1467" s="575"/>
      <c r="BP1467" s="577"/>
      <c r="BQ1467" s="577"/>
      <c r="BR1467" s="577"/>
      <c r="BS1467" s="574"/>
      <c r="BT1467" s="577"/>
      <c r="BU1467" s="577"/>
      <c r="BV1467" s="577"/>
      <c r="BW1467" s="574"/>
      <c r="BX1467" s="577"/>
      <c r="BY1467" s="577"/>
      <c r="BZ1467" s="577"/>
      <c r="CA1467" s="574"/>
      <c r="CB1467" s="577"/>
      <c r="CC1467" s="577"/>
      <c r="CD1467" s="577"/>
      <c r="CE1467" s="574"/>
      <c r="CF1467" s="577"/>
      <c r="CG1467" s="577"/>
      <c r="CH1467" s="577"/>
      <c r="CI1467" s="574"/>
      <c r="CJ1467" s="577"/>
      <c r="CK1467" s="577"/>
      <c r="CL1467" s="577"/>
      <c r="CM1467" s="574"/>
      <c r="CN1467" s="577"/>
      <c r="CO1467" s="577"/>
      <c r="CP1467" s="577"/>
      <c r="CQ1467" s="574"/>
      <c r="CR1467" s="577"/>
      <c r="CS1467" s="577"/>
      <c r="CT1467" s="577"/>
      <c r="CU1467" s="574"/>
      <c r="CV1467" s="577">
        <f t="shared" si="2114"/>
        <v>0.18839912125292324</v>
      </c>
      <c r="CW1467" s="577">
        <f t="shared" si="2114"/>
        <v>0.19275092295483559</v>
      </c>
      <c r="CX1467" s="1241">
        <f>CX1415/CX1435</f>
        <v>0.19275092295483559</v>
      </c>
      <c r="CY1467" s="574"/>
      <c r="CZ1467" s="577">
        <f>+CZ1415/CZ1435</f>
        <v>0.16</v>
      </c>
      <c r="DA1467" s="577">
        <f t="shared" ref="DA1467" si="2116">+DA1415/DA1435</f>
        <v>0.22000000000000003</v>
      </c>
      <c r="DB1467" s="1241">
        <f>DB1415/DB1435</f>
        <v>0.22000000000000003</v>
      </c>
      <c r="DC1467" s="574"/>
      <c r="DD1467" s="577">
        <f>+DD1415/DD1435</f>
        <v>0.24450480267654784</v>
      </c>
      <c r="DE1467" s="577">
        <f t="shared" si="2113"/>
        <v>0.26508773524865897</v>
      </c>
      <c r="DF1467" s="1241">
        <f>DF1415/DF1435</f>
        <v>0.26508773524865897</v>
      </c>
      <c r="DG1467" s="574"/>
      <c r="DH1467" s="1243">
        <f>DE1467</f>
        <v>0.26508773524865897</v>
      </c>
      <c r="DI1467" s="1243">
        <f>DH1467</f>
        <v>0.26508773524865897</v>
      </c>
      <c r="DJ1467" s="1241">
        <f>DJ1415/DJ1435</f>
        <v>0.26508773524865897</v>
      </c>
      <c r="DK1467" s="574"/>
      <c r="DL1467" s="1243">
        <f>DI1467</f>
        <v>0.26508773524865897</v>
      </c>
      <c r="DM1467" s="1243">
        <f>DL1467</f>
        <v>0.26508773524865897</v>
      </c>
      <c r="DN1467" s="1241">
        <f>DN1415/DN1435</f>
        <v>0.26508773524865897</v>
      </c>
      <c r="DO1467" s="574"/>
      <c r="DP1467" s="1243">
        <f>DM1467</f>
        <v>0.26508773524865897</v>
      </c>
      <c r="DQ1467" s="1243">
        <f>DP1467</f>
        <v>0.26508773524865897</v>
      </c>
      <c r="DR1467" s="1241">
        <f>DR1415/DR1435</f>
        <v>0.26508773524865897</v>
      </c>
      <c r="DS1467" s="574"/>
      <c r="DT1467" s="574"/>
      <c r="DU1467" s="574"/>
      <c r="DV1467" s="574"/>
      <c r="DW1467"/>
      <c r="DX1467"/>
    </row>
    <row r="1468" spans="1:128" s="47" customFormat="1" ht="13.8">
      <c r="A1468" s="78" t="s">
        <v>1161</v>
      </c>
      <c r="B1468" s="95"/>
      <c r="C1468" s="78"/>
      <c r="D1468" s="78"/>
      <c r="E1468" s="78"/>
      <c r="F1468" s="78"/>
      <c r="G1468" s="78"/>
      <c r="H1468" s="78"/>
      <c r="I1468" s="78"/>
      <c r="J1468" s="78"/>
      <c r="K1468" s="78"/>
      <c r="L1468" s="78"/>
      <c r="M1468" s="78"/>
      <c r="N1468" s="78"/>
      <c r="O1468" s="78"/>
      <c r="P1468" s="78"/>
      <c r="Q1468" s="78"/>
      <c r="R1468" s="78"/>
      <c r="S1468" s="78"/>
      <c r="T1468" s="78"/>
      <c r="U1468" s="78"/>
      <c r="V1468" s="78"/>
      <c r="W1468" s="78"/>
      <c r="X1468" s="78"/>
      <c r="Y1468" s="78"/>
      <c r="Z1468" s="78"/>
      <c r="AA1468" s="78"/>
      <c r="AB1468" s="78"/>
      <c r="AC1468" s="78"/>
      <c r="AD1468" s="78"/>
      <c r="AE1468" s="78"/>
      <c r="AF1468" s="78"/>
      <c r="AG1468" s="78"/>
      <c r="AH1468" s="78"/>
      <c r="AI1468" s="78"/>
      <c r="AJ1468" s="78"/>
      <c r="AK1468" s="78"/>
      <c r="AL1468" s="78"/>
      <c r="AM1468" s="78"/>
      <c r="AN1468" s="78"/>
      <c r="AO1468" s="78"/>
      <c r="AP1468" s="78"/>
      <c r="AQ1468" s="78"/>
      <c r="AR1468" s="78"/>
      <c r="AS1468" s="78"/>
      <c r="AT1468" s="78"/>
      <c r="AU1468" s="78"/>
      <c r="AV1468" s="78"/>
      <c r="AW1468" s="78"/>
      <c r="AX1468" s="78"/>
      <c r="AY1468" s="78"/>
      <c r="AZ1468" s="78"/>
      <c r="BA1468" s="78"/>
      <c r="BB1468" s="78"/>
      <c r="BC1468" s="78"/>
      <c r="BD1468" s="78"/>
      <c r="BE1468" s="78"/>
      <c r="BF1468" s="78"/>
      <c r="BG1468" s="78"/>
      <c r="BH1468" s="383"/>
      <c r="BI1468" s="383"/>
      <c r="BJ1468" s="383"/>
      <c r="BK1468" s="95"/>
      <c r="BL1468" s="383"/>
      <c r="BM1468" s="383"/>
      <c r="BN1468" s="383"/>
      <c r="BO1468" s="95"/>
      <c r="BP1468" s="97">
        <f>+BP1416/BP1436</f>
        <v>0.17637886371067127</v>
      </c>
      <c r="BQ1468" s="97">
        <f>+BQ1416/BQ1436</f>
        <v>0.17485642124089509</v>
      </c>
      <c r="BR1468" s="97">
        <f>+BR1416/BR1436</f>
        <v>0.17485642124089509</v>
      </c>
      <c r="BS1468" s="78"/>
      <c r="BT1468" s="97">
        <f>+BT1416/BT1436</f>
        <v>0.17368511191679464</v>
      </c>
      <c r="BU1468" s="97">
        <f>+BU1416/BU1436</f>
        <v>0.24424833565567425</v>
      </c>
      <c r="BV1468" s="97">
        <f>+BV1416/BV1436</f>
        <v>0.24424833565567425</v>
      </c>
      <c r="BW1468" s="78"/>
      <c r="BX1468" s="97">
        <f>+BX1416/BX1436</f>
        <v>0.24523971038168149</v>
      </c>
      <c r="BY1468" s="97">
        <f>+BY1416/BY1436</f>
        <v>0.26337719476480359</v>
      </c>
      <c r="BZ1468" s="97">
        <f>+BZ1416/BZ1436</f>
        <v>0.26337719476480359</v>
      </c>
      <c r="CA1468" s="78"/>
      <c r="CB1468" s="97">
        <f>+CB1416/CB1436</f>
        <v>0.26510299578249458</v>
      </c>
      <c r="CC1468" s="97">
        <f>+CC1416/CC1436</f>
        <v>0.25999729641616109</v>
      </c>
      <c r="CD1468" s="97">
        <f>+CD1416/CD1436</f>
        <v>0.25999729641616109</v>
      </c>
      <c r="CE1468" s="78"/>
      <c r="CF1468" s="97">
        <f>+CF1416/CF1436</f>
        <v>0.2677340963842747</v>
      </c>
      <c r="CG1468" s="97">
        <f>+CG1416/CG1436</f>
        <v>0.28277437597138738</v>
      </c>
      <c r="CH1468" s="97">
        <f>+CH1416/CH1436</f>
        <v>0.28277437597138738</v>
      </c>
      <c r="CI1468" s="78"/>
      <c r="CJ1468" s="97">
        <f>+CJ1416/CJ1436</f>
        <v>0.28269124143023444</v>
      </c>
      <c r="CK1468" s="97">
        <f>+CK1416/CK1436</f>
        <v>0.28151201664175668</v>
      </c>
      <c r="CL1468" s="97">
        <f>+CL1416/CL1436</f>
        <v>0.28151201664175668</v>
      </c>
      <c r="CM1468" s="78"/>
      <c r="CN1468" s="97">
        <f>+CN1416/CN1436</f>
        <v>0.27196076596038171</v>
      </c>
      <c r="CO1468" s="97">
        <f>+CO1416/CO1436</f>
        <v>0.26985730982760298</v>
      </c>
      <c r="CP1468" s="97">
        <f>+CP1416/CP1436</f>
        <v>0.26985730982760298</v>
      </c>
      <c r="CQ1468" s="78"/>
      <c r="CR1468" s="97">
        <f>+CR1416/CR1436</f>
        <v>0.27072043102088367</v>
      </c>
      <c r="CS1468" s="97">
        <f>+CS1416/CS1436</f>
        <v>0.27454168274797375</v>
      </c>
      <c r="CT1468" s="97">
        <f>+CT1416/CT1436</f>
        <v>0.27454168274797375</v>
      </c>
      <c r="CU1468" s="78"/>
      <c r="CV1468" s="97">
        <f t="shared" si="2114"/>
        <v>0.25034984883902245</v>
      </c>
      <c r="CW1468" s="97">
        <f t="shared" si="2114"/>
        <v>0.26525587452150484</v>
      </c>
      <c r="CX1468" s="1242">
        <f>CW1468</f>
        <v>0.26525587452150484</v>
      </c>
      <c r="CY1468" s="78"/>
      <c r="CZ1468" s="97">
        <f>+CZ1416/CZ1436</f>
        <v>0.26264812402912935</v>
      </c>
      <c r="DA1468" s="97">
        <f t="shared" ref="DA1468" si="2117">+DA1416/DA1436</f>
        <v>0.25855653721477151</v>
      </c>
      <c r="DB1468" s="1242">
        <f>DA1468</f>
        <v>0.25855653721477151</v>
      </c>
      <c r="DC1468" s="78"/>
      <c r="DD1468" s="97">
        <f>+DD1416/DD1436</f>
        <v>0.26417695631900306</v>
      </c>
      <c r="DE1468" s="97">
        <f t="shared" si="2113"/>
        <v>0.2657518805220957</v>
      </c>
      <c r="DF1468" s="1242">
        <f>DE1468</f>
        <v>0.2657518805220957</v>
      </c>
      <c r="DG1468" s="78"/>
      <c r="DH1468" s="97">
        <f>+DH1416/DH1436</f>
        <v>0.26575425581617867</v>
      </c>
      <c r="DI1468" s="97">
        <f>+DI1416/DI1436</f>
        <v>0.2657542638272441</v>
      </c>
      <c r="DJ1468" s="97">
        <f>DI1468</f>
        <v>0.2657542638272441</v>
      </c>
      <c r="DK1468" s="78"/>
      <c r="DL1468" s="97">
        <f>+DL1416/DL1436</f>
        <v>0.26575555122159139</v>
      </c>
      <c r="DM1468" s="97">
        <f>+DM1416/DM1436</f>
        <v>0.26575683092487323</v>
      </c>
      <c r="DN1468" s="97">
        <f>DM1468</f>
        <v>0.26575683092487323</v>
      </c>
      <c r="DO1468" s="78"/>
      <c r="DP1468" s="97">
        <f>+DP1416/DP1436</f>
        <v>0.26575810660289656</v>
      </c>
      <c r="DQ1468" s="97">
        <f>+DQ1416/DQ1436</f>
        <v>0.26575937460013743</v>
      </c>
      <c r="DR1468" s="97">
        <f>DQ1468</f>
        <v>0.26575937460013743</v>
      </c>
      <c r="DS1468" s="78"/>
      <c r="DT1468" s="78"/>
      <c r="DU1468" s="78"/>
      <c r="DV1468" s="78"/>
      <c r="DW1468"/>
      <c r="DX1468"/>
    </row>
    <row r="1469" spans="1:128" s="78" customFormat="1" ht="13.8">
      <c r="A1469" s="78" t="s">
        <v>518</v>
      </c>
      <c r="B1469" s="95"/>
      <c r="BH1469" s="97">
        <f>+BH1416/BH1463</f>
        <v>0.19482797693489226</v>
      </c>
      <c r="BI1469" s="97">
        <f>+BI1416/BI1463</f>
        <v>0.19536317944385001</v>
      </c>
      <c r="BJ1469" s="97">
        <f>+BJ1416/BJ1463</f>
        <v>0.19536317944385001</v>
      </c>
      <c r="BK1469" s="95"/>
      <c r="BL1469" s="97">
        <f>+BL1416/BL1463</f>
        <v>0.19792001148413566</v>
      </c>
      <c r="BM1469" s="97">
        <f>+BM1416/BM1463</f>
        <v>0.19312570931655049</v>
      </c>
      <c r="BN1469" s="97">
        <f>+BN1416/BN1463</f>
        <v>0.19312570931655049</v>
      </c>
      <c r="BO1469" s="95"/>
      <c r="BP1469" s="97">
        <f>+BP1416/BP1463</f>
        <v>0.19446995982627202</v>
      </c>
      <c r="BQ1469" s="97">
        <f>+BQ1416/BQ1463</f>
        <v>0.1926261698417136</v>
      </c>
      <c r="BR1469" s="97">
        <f>+BR1416/BR1463</f>
        <v>0.1926261698417136</v>
      </c>
      <c r="BT1469" s="97">
        <f>+BT1416/BT1463</f>
        <v>0.19097928190462207</v>
      </c>
      <c r="BU1469" s="97">
        <f>+BU1416/BU1463</f>
        <v>0.26851187086871486</v>
      </c>
      <c r="BV1469" s="97">
        <f>+BV1416/BV1463</f>
        <v>0.26851187086871486</v>
      </c>
      <c r="BX1469" s="97">
        <f>+BX1416/BX1463</f>
        <v>0.2677395757132407</v>
      </c>
      <c r="BY1469" s="97">
        <f>+BY1416/BY1463</f>
        <v>0.28821347784968676</v>
      </c>
      <c r="BZ1469" s="97">
        <f>+BZ1416/BZ1463</f>
        <v>0.28821347784968676</v>
      </c>
      <c r="CB1469" s="97">
        <f>+CB1416/CB1463</f>
        <v>0.28941702814456799</v>
      </c>
      <c r="CC1469" s="97">
        <f>+CC1416/CC1463</f>
        <v>0.28337387405605596</v>
      </c>
      <c r="CD1469" s="97">
        <f>+CD1416/CD1463</f>
        <v>0.28337387405605596</v>
      </c>
      <c r="CF1469" s="97">
        <f>+CF1416/CF1463</f>
        <v>0.29173568403134009</v>
      </c>
      <c r="CG1469" s="97">
        <f>+CG1416/CG1463</f>
        <v>0.30745939594192107</v>
      </c>
      <c r="CH1469" s="97">
        <f>+CH1416/CH1463</f>
        <v>0.30745939594192107</v>
      </c>
      <c r="CJ1469" s="97">
        <f>+CJ1416/CJ1463</f>
        <v>0.30787172178531774</v>
      </c>
      <c r="CK1469" s="97">
        <f>+CK1416/CK1463</f>
        <v>0.3085335565787638</v>
      </c>
      <c r="CL1469" s="97">
        <f>+CL1416/CL1463</f>
        <v>0.3085335565787638</v>
      </c>
      <c r="CN1469" s="97">
        <f>+CN1416/CN1463</f>
        <v>0.29955396144099755</v>
      </c>
      <c r="CO1469" s="97">
        <f>+CO1416/CO1463</f>
        <v>0.29745928303790947</v>
      </c>
      <c r="CP1469" s="97">
        <f>+CP1416/CP1463</f>
        <v>0.29745928303790947</v>
      </c>
      <c r="CR1469" s="97">
        <f>+CR1416/CR1463</f>
        <v>0.29813818982659451</v>
      </c>
      <c r="CS1469" s="97">
        <f>+CS1416/CS1463</f>
        <v>0.30380780780780781</v>
      </c>
      <c r="CT1469" s="97">
        <f>+CT1416/CT1463</f>
        <v>0.30380780780780781</v>
      </c>
      <c r="CV1469" s="97">
        <f>+CV1414/CV1463</f>
        <v>0.22642585502709642</v>
      </c>
      <c r="CW1469" s="97">
        <f>+CW1414/CW1463</f>
        <v>0.24315744973312137</v>
      </c>
      <c r="CX1469" s="97">
        <f>+CX1414/CX1463</f>
        <v>0.24315744973312137</v>
      </c>
      <c r="CZ1469" s="97">
        <f>+CZ1414/CZ1463</f>
        <v>0.24868836774384792</v>
      </c>
      <c r="DA1469" s="97">
        <f>+DA1414/DA1463</f>
        <v>0.23302046830693793</v>
      </c>
      <c r="DB1469" s="97">
        <f>+DB1414/DB1463</f>
        <v>0.23302046830693793</v>
      </c>
      <c r="DD1469" s="97">
        <f>+DD1414/DD1463</f>
        <v>0.23566670637620821</v>
      </c>
      <c r="DE1469" s="97">
        <f>+DE1414/DE1463</f>
        <v>0.23123550338593285</v>
      </c>
      <c r="DF1469" s="97">
        <f>+DF1414/DF1463</f>
        <v>0.23123550338593285</v>
      </c>
      <c r="DH1469" s="97">
        <f>+DH1414/DH1463</f>
        <v>0.23207360314379175</v>
      </c>
      <c r="DI1469" s="97">
        <f>+DI1414/DI1463</f>
        <v>0.23207642990703661</v>
      </c>
      <c r="DJ1469" s="97">
        <f>+DJ1414/DJ1463</f>
        <v>0.23207642990703661</v>
      </c>
      <c r="DL1469" s="97">
        <f>+DL1414/DL1463</f>
        <v>0.23253070829820119</v>
      </c>
      <c r="DM1469" s="97">
        <f>+DM1414/DM1463</f>
        <v>0.23298229610051474</v>
      </c>
      <c r="DN1469" s="97">
        <f>+DN1414/DN1463</f>
        <v>0.23298229610051474</v>
      </c>
      <c r="DP1469" s="97">
        <f>+DP1414/DP1463</f>
        <v>0.23343248660340432</v>
      </c>
      <c r="DQ1469" s="97">
        <f>+DQ1414/DQ1463</f>
        <v>0.23387998944570937</v>
      </c>
      <c r="DR1469" s="97">
        <f>+DR1414/DR1463</f>
        <v>0.23387998944570937</v>
      </c>
      <c r="DW1469"/>
      <c r="DX1469"/>
    </row>
    <row r="1470" spans="1:128" s="78" customFormat="1" ht="14.4" thickBot="1">
      <c r="B1470" s="95"/>
      <c r="BH1470" s="97"/>
      <c r="BI1470" s="97"/>
      <c r="BJ1470" s="97"/>
      <c r="BK1470" s="95"/>
      <c r="BL1470" s="97"/>
      <c r="BM1470" s="97"/>
      <c r="BN1470" s="97"/>
      <c r="BO1470" s="95"/>
      <c r="BP1470" s="97"/>
      <c r="BQ1470" s="97"/>
      <c r="BR1470" s="97"/>
      <c r="BT1470" s="97"/>
      <c r="BU1470" s="97"/>
      <c r="BV1470" s="97"/>
      <c r="BX1470" s="97"/>
      <c r="BY1470" s="97"/>
      <c r="BZ1470" s="97"/>
      <c r="CB1470" s="97"/>
      <c r="CC1470" s="97"/>
      <c r="CD1470" s="97"/>
      <c r="CF1470" s="97"/>
      <c r="CG1470" s="97"/>
      <c r="CH1470" s="97"/>
      <c r="CJ1470" s="97"/>
      <c r="CK1470" s="97"/>
      <c r="CL1470" s="97"/>
      <c r="CN1470" s="97"/>
      <c r="CO1470" s="97"/>
      <c r="CP1470" s="97"/>
      <c r="CR1470" s="97"/>
      <c r="CS1470" s="97"/>
      <c r="CT1470" s="97"/>
      <c r="CV1470" s="97"/>
      <c r="CW1470" s="97"/>
      <c r="CX1470" s="97"/>
      <c r="CZ1470" s="97"/>
      <c r="DA1470" s="97"/>
      <c r="DB1470" s="97"/>
      <c r="DD1470" s="97"/>
      <c r="DE1470" s="97"/>
      <c r="DF1470" s="97"/>
      <c r="DH1470" s="97"/>
      <c r="DI1470" s="97"/>
      <c r="DJ1470" s="97"/>
      <c r="DL1470" s="97"/>
      <c r="DM1470" s="97"/>
      <c r="DN1470" s="97"/>
      <c r="DP1470" s="97"/>
      <c r="DQ1470" s="97"/>
      <c r="DR1470" s="97"/>
      <c r="DW1470"/>
      <c r="DX1470"/>
    </row>
    <row r="1471" spans="1:128" s="47" customFormat="1" ht="14.4" thickBot="1">
      <c r="A1471" s="921" t="s">
        <v>1205</v>
      </c>
      <c r="B1471" s="575"/>
      <c r="C1471" s="574"/>
      <c r="D1471" s="574"/>
      <c r="E1471" s="574"/>
      <c r="F1471" s="574"/>
      <c r="G1471" s="574"/>
      <c r="H1471" s="574"/>
      <c r="I1471" s="574"/>
      <c r="J1471" s="574"/>
      <c r="K1471" s="574"/>
      <c r="L1471" s="574"/>
      <c r="M1471" s="574"/>
      <c r="N1471" s="574"/>
      <c r="O1471" s="574"/>
      <c r="P1471" s="574"/>
      <c r="Q1471" s="574"/>
      <c r="R1471" s="574"/>
      <c r="S1471" s="574"/>
      <c r="T1471" s="574"/>
      <c r="U1471" s="574"/>
      <c r="V1471" s="574"/>
      <c r="W1471" s="574"/>
      <c r="X1471" s="574"/>
      <c r="Y1471" s="574"/>
      <c r="Z1471" s="574"/>
      <c r="AA1471" s="574"/>
      <c r="AB1471" s="574"/>
      <c r="AC1471" s="574"/>
      <c r="AD1471" s="574"/>
      <c r="AE1471" s="574"/>
      <c r="AF1471" s="574"/>
      <c r="AG1471" s="574"/>
      <c r="AH1471" s="574"/>
      <c r="AI1471" s="574"/>
      <c r="AJ1471" s="574"/>
      <c r="AK1471" s="574"/>
      <c r="AL1471" s="574"/>
      <c r="AM1471" s="574"/>
      <c r="AN1471" s="574"/>
      <c r="AO1471" s="574"/>
      <c r="AP1471" s="574"/>
      <c r="AQ1471" s="574"/>
      <c r="AR1471" s="574"/>
      <c r="AS1471" s="574"/>
      <c r="AT1471" s="574"/>
      <c r="AU1471" s="574"/>
      <c r="AV1471" s="574"/>
      <c r="AW1471" s="574"/>
      <c r="AX1471" s="574"/>
      <c r="AY1471" s="574"/>
      <c r="AZ1471" s="574"/>
      <c r="BA1471" s="574"/>
      <c r="BB1471" s="574"/>
      <c r="BC1471" s="574"/>
      <c r="BD1471" s="574"/>
      <c r="BE1471" s="574"/>
      <c r="BF1471" s="574"/>
      <c r="BG1471" s="574"/>
      <c r="BH1471" s="577"/>
      <c r="BI1471" s="577"/>
      <c r="BJ1471" s="577"/>
      <c r="BK1471" s="575"/>
      <c r="BL1471" s="577"/>
      <c r="BM1471" s="577"/>
      <c r="BN1471" s="577"/>
      <c r="BO1471" s="575"/>
      <c r="BP1471" s="577"/>
      <c r="BQ1471" s="577"/>
      <c r="BR1471" s="577"/>
      <c r="BS1471" s="574"/>
      <c r="BT1471" s="577"/>
      <c r="BU1471" s="577"/>
      <c r="BV1471" s="577"/>
      <c r="BW1471" s="574"/>
      <c r="BX1471" s="577"/>
      <c r="BY1471" s="577"/>
      <c r="BZ1471" s="577"/>
      <c r="CA1471" s="574"/>
      <c r="CB1471" s="577"/>
      <c r="CC1471" s="577"/>
      <c r="CD1471" s="577"/>
      <c r="CE1471" s="574"/>
      <c r="CF1471" s="577"/>
      <c r="CG1471" s="577"/>
      <c r="CH1471" s="577"/>
      <c r="CI1471" s="574"/>
      <c r="CJ1471" s="577"/>
      <c r="CK1471" s="577"/>
      <c r="CL1471" s="577"/>
      <c r="CM1471" s="574"/>
      <c r="CN1471" s="577"/>
      <c r="CO1471" s="577"/>
      <c r="CP1471" s="577"/>
      <c r="CQ1471" s="574"/>
      <c r="CR1471" s="577"/>
      <c r="CS1471" s="577"/>
      <c r="CT1471" s="577"/>
      <c r="CU1471" s="574"/>
      <c r="CV1471" s="577">
        <f t="shared" ref="CV1471:CX1471" si="2118">CV1425/CV1447</f>
        <v>0.43320954454262178</v>
      </c>
      <c r="CW1471" s="577">
        <f t="shared" si="2118"/>
        <v>0.41774473464315559</v>
      </c>
      <c r="CX1471" s="577">
        <f t="shared" si="2118"/>
        <v>0.41774473464315559</v>
      </c>
      <c r="CY1471" s="577"/>
      <c r="CZ1471" s="577">
        <f t="shared" ref="CZ1471:DB1472" si="2119">CZ1425/CZ1447</f>
        <v>0.42590268198893849</v>
      </c>
      <c r="DA1471" s="577">
        <f t="shared" si="2119"/>
        <v>0.42911220627098062</v>
      </c>
      <c r="DB1471" s="577">
        <f t="shared" si="2119"/>
        <v>0.42911220627098062</v>
      </c>
      <c r="DC1471" s="577"/>
      <c r="DD1471" s="577">
        <f t="shared" ref="DD1471:DF1471" si="2120">DD1425/DD1447</f>
        <v>0.43268650907364559</v>
      </c>
      <c r="DE1471" s="577">
        <f>DE1425/DE1447</f>
        <v>0.42471938322749331</v>
      </c>
      <c r="DF1471" s="577">
        <f t="shared" si="2120"/>
        <v>0.42471938322749331</v>
      </c>
      <c r="DG1471" s="577"/>
      <c r="DH1471" s="1538">
        <f>DE1471</f>
        <v>0.42471938322749331</v>
      </c>
      <c r="DI1471" s="1270">
        <f>DH1471</f>
        <v>0.42471938322749331</v>
      </c>
      <c r="DJ1471" s="577">
        <f t="shared" ref="DJ1471:DJ1473" si="2121">DJ1425/DJ1447</f>
        <v>0.42471938322749331</v>
      </c>
      <c r="DK1471" s="577"/>
      <c r="DL1471" s="1270">
        <f t="shared" ref="DL1471:DL1472" si="2122">DI1471</f>
        <v>0.42471938322749331</v>
      </c>
      <c r="DM1471" s="1270">
        <f>DL1471</f>
        <v>0.42471938322749331</v>
      </c>
      <c r="DN1471" s="577">
        <f t="shared" ref="DN1471:DN1473" si="2123">DN1425/DN1447</f>
        <v>0.42471938322749336</v>
      </c>
      <c r="DO1471" s="577"/>
      <c r="DP1471" s="1270">
        <f t="shared" ref="DP1471:DP1472" si="2124">DM1471</f>
        <v>0.42471938322749331</v>
      </c>
      <c r="DQ1471" s="1270">
        <f>DP1471</f>
        <v>0.42471938322749331</v>
      </c>
      <c r="DR1471" s="577">
        <f t="shared" ref="DR1471:DR1473" si="2125">DR1425/DR1447</f>
        <v>0.42471938322749331</v>
      </c>
      <c r="DS1471" s="577"/>
      <c r="DT1471" s="577"/>
      <c r="DU1471" s="577"/>
      <c r="DV1471" s="577"/>
      <c r="DW1471"/>
      <c r="DX1471"/>
    </row>
    <row r="1472" spans="1:128" s="47" customFormat="1" ht="14.4" thickBot="1">
      <c r="A1472" s="921" t="s">
        <v>1206</v>
      </c>
      <c r="B1472" s="575"/>
      <c r="C1472" s="574"/>
      <c r="D1472" s="574"/>
      <c r="E1472" s="574"/>
      <c r="F1472" s="574"/>
      <c r="G1472" s="574"/>
      <c r="H1472" s="574"/>
      <c r="I1472" s="574"/>
      <c r="J1472" s="574"/>
      <c r="K1472" s="574"/>
      <c r="L1472" s="574"/>
      <c r="M1472" s="574"/>
      <c r="N1472" s="574"/>
      <c r="O1472" s="574"/>
      <c r="P1472" s="574"/>
      <c r="Q1472" s="574"/>
      <c r="R1472" s="574"/>
      <c r="S1472" s="574"/>
      <c r="T1472" s="574"/>
      <c r="U1472" s="574"/>
      <c r="V1472" s="574"/>
      <c r="W1472" s="574"/>
      <c r="X1472" s="574"/>
      <c r="Y1472" s="574"/>
      <c r="Z1472" s="574"/>
      <c r="AA1472" s="574"/>
      <c r="AB1472" s="574"/>
      <c r="AC1472" s="574"/>
      <c r="AD1472" s="574"/>
      <c r="AE1472" s="574"/>
      <c r="AF1472" s="574"/>
      <c r="AG1472" s="574"/>
      <c r="AH1472" s="574"/>
      <c r="AI1472" s="574"/>
      <c r="AJ1472" s="574"/>
      <c r="AK1472" s="574"/>
      <c r="AL1472" s="574"/>
      <c r="AM1472" s="574"/>
      <c r="AN1472" s="574"/>
      <c r="AO1472" s="574"/>
      <c r="AP1472" s="574"/>
      <c r="AQ1472" s="574"/>
      <c r="AR1472" s="574"/>
      <c r="AS1472" s="574"/>
      <c r="AT1472" s="574"/>
      <c r="AU1472" s="574"/>
      <c r="AV1472" s="574"/>
      <c r="AW1472" s="574"/>
      <c r="AX1472" s="574"/>
      <c r="AY1472" s="574"/>
      <c r="AZ1472" s="574"/>
      <c r="BA1472" s="574"/>
      <c r="BB1472" s="574"/>
      <c r="BC1472" s="574"/>
      <c r="BD1472" s="574"/>
      <c r="BE1472" s="574"/>
      <c r="BF1472" s="574"/>
      <c r="BG1472" s="574"/>
      <c r="BH1472" s="577"/>
      <c r="BI1472" s="577"/>
      <c r="BJ1472" s="577"/>
      <c r="BK1472" s="575"/>
      <c r="BL1472" s="577"/>
      <c r="BM1472" s="577"/>
      <c r="BN1472" s="577"/>
      <c r="BO1472" s="575"/>
      <c r="BP1472" s="577"/>
      <c r="BQ1472" s="577"/>
      <c r="BR1472" s="577"/>
      <c r="BS1472" s="574"/>
      <c r="BT1472" s="577"/>
      <c r="BU1472" s="577"/>
      <c r="BV1472" s="577"/>
      <c r="BW1472" s="574"/>
      <c r="BX1472" s="577"/>
      <c r="BY1472" s="577"/>
      <c r="BZ1472" s="577"/>
      <c r="CA1472" s="574"/>
      <c r="CB1472" s="577"/>
      <c r="CC1472" s="577"/>
      <c r="CD1472" s="577"/>
      <c r="CE1472" s="574"/>
      <c r="CF1472" s="577"/>
      <c r="CG1472" s="577"/>
      <c r="CH1472" s="577"/>
      <c r="CI1472" s="574"/>
      <c r="CJ1472" s="577"/>
      <c r="CK1472" s="577"/>
      <c r="CL1472" s="577"/>
      <c r="CM1472" s="574"/>
      <c r="CN1472" s="577"/>
      <c r="CO1472" s="577"/>
      <c r="CP1472" s="577"/>
      <c r="CQ1472" s="574"/>
      <c r="CR1472" s="577"/>
      <c r="CS1472" s="577"/>
      <c r="CT1472" s="577"/>
      <c r="CU1472" s="574"/>
      <c r="CV1472" s="577">
        <f t="shared" ref="CV1472:CX1472" si="2126">CV1426/CV1448</f>
        <v>0.88870792616720951</v>
      </c>
      <c r="CW1472" s="577">
        <f t="shared" si="2126"/>
        <v>0.87289981331673927</v>
      </c>
      <c r="CX1472" s="577">
        <f t="shared" si="2126"/>
        <v>0.87289981331673927</v>
      </c>
      <c r="CY1472" s="577"/>
      <c r="CZ1472" s="577">
        <f t="shared" si="2119"/>
        <v>0.87889750215331608</v>
      </c>
      <c r="DA1472" s="577">
        <f t="shared" si="2119"/>
        <v>0.79278356075724066</v>
      </c>
      <c r="DB1472" s="577">
        <f t="shared" si="2119"/>
        <v>0.79278356075724066</v>
      </c>
      <c r="DC1472" s="577"/>
      <c r="DD1472" s="577">
        <f>DD1426/DD1448</f>
        <v>0.80320631970260226</v>
      </c>
      <c r="DE1472" s="577">
        <f t="shared" ref="DE1472:DF1472" si="2127">DE1426/DE1448</f>
        <v>0.76176543824701193</v>
      </c>
      <c r="DF1472" s="577">
        <f t="shared" si="2127"/>
        <v>0.76176543824701193</v>
      </c>
      <c r="DG1472" s="577"/>
      <c r="DH1472" s="1270">
        <f t="shared" ref="DH1472" si="2128">DE1472</f>
        <v>0.76176543824701193</v>
      </c>
      <c r="DI1472" s="1270">
        <f>DH1472</f>
        <v>0.76176543824701193</v>
      </c>
      <c r="DJ1472" s="577">
        <f t="shared" si="2121"/>
        <v>0.76176543824701193</v>
      </c>
      <c r="DK1472" s="577"/>
      <c r="DL1472" s="1270">
        <f t="shared" si="2122"/>
        <v>0.76176543824701193</v>
      </c>
      <c r="DM1472" s="1270">
        <f>DL1472</f>
        <v>0.76176543824701193</v>
      </c>
      <c r="DN1472" s="577">
        <f t="shared" si="2123"/>
        <v>0.76176543824701193</v>
      </c>
      <c r="DO1472" s="577"/>
      <c r="DP1472" s="1270">
        <f t="shared" si="2124"/>
        <v>0.76176543824701193</v>
      </c>
      <c r="DQ1472" s="1270">
        <f>DP1472</f>
        <v>0.76176543824701193</v>
      </c>
      <c r="DR1472" s="577">
        <f t="shared" si="2125"/>
        <v>0.76176543824701193</v>
      </c>
      <c r="DS1472" s="577"/>
      <c r="DT1472" s="577"/>
      <c r="DU1472" s="577"/>
      <c r="DV1472" s="577"/>
      <c r="DW1472"/>
      <c r="DX1472"/>
    </row>
    <row r="1473" spans="1:128" s="78" customFormat="1" ht="14.4" thickBot="1">
      <c r="A1473" s="829" t="s">
        <v>1207</v>
      </c>
      <c r="B1473" s="95"/>
      <c r="BH1473" s="97"/>
      <c r="BI1473" s="97"/>
      <c r="BJ1473" s="97"/>
      <c r="BK1473" s="95"/>
      <c r="BL1473" s="97"/>
      <c r="BM1473" s="97"/>
      <c r="BN1473" s="97"/>
      <c r="BO1473" s="95"/>
      <c r="BP1473" s="97"/>
      <c r="BQ1473" s="97"/>
      <c r="BR1473" s="97"/>
      <c r="BT1473" s="97"/>
      <c r="BU1473" s="97"/>
      <c r="BV1473" s="97"/>
      <c r="BX1473" s="97"/>
      <c r="BY1473" s="97"/>
      <c r="BZ1473" s="97"/>
      <c r="CB1473" s="97"/>
      <c r="CC1473" s="97"/>
      <c r="CD1473" s="97"/>
      <c r="CF1473" s="97">
        <f t="shared" ref="CF1473:CH1474" si="2129">CF1427/CF1449</f>
        <v>0.49607178155462106</v>
      </c>
      <c r="CG1473" s="97">
        <f t="shared" si="2129"/>
        <v>0.49488609864822358</v>
      </c>
      <c r="CH1473" s="97">
        <f t="shared" si="2129"/>
        <v>0.49488609864822358</v>
      </c>
      <c r="CJ1473" s="97">
        <f t="shared" ref="CJ1473:CL1474" si="2130">CJ1427/CJ1449</f>
        <v>0.5090754185805304</v>
      </c>
      <c r="CK1473" s="97">
        <f t="shared" si="2130"/>
        <v>0.52351990145507732</v>
      </c>
      <c r="CL1473" s="97">
        <f t="shared" si="2130"/>
        <v>0.52351990145507732</v>
      </c>
      <c r="CN1473" s="97">
        <f t="shared" ref="CN1473:CP1474" si="2131">CN1427/CN1449</f>
        <v>0.51264096625468081</v>
      </c>
      <c r="CO1473" s="97">
        <f t="shared" si="2131"/>
        <v>0.48519761966997194</v>
      </c>
      <c r="CP1473" s="97">
        <f t="shared" si="2131"/>
        <v>0.48519761966997194</v>
      </c>
      <c r="CR1473" s="97">
        <f t="shared" ref="CR1473:CT1474" si="2132">CR1427/CR1449</f>
        <v>0.49320715824978917</v>
      </c>
      <c r="CS1473" s="97">
        <f t="shared" si="2132"/>
        <v>0.45707563307664145</v>
      </c>
      <c r="CT1473" s="97">
        <f t="shared" si="2132"/>
        <v>0.45707563307664145</v>
      </c>
      <c r="CV1473" s="97">
        <f t="shared" ref="CV1473:CX1474" si="2133">CV1427/CV1449</f>
        <v>0.44370631703614738</v>
      </c>
      <c r="CW1473" s="97">
        <f t="shared" si="2133"/>
        <v>0.42994582827688882</v>
      </c>
      <c r="CX1473" s="97">
        <f t="shared" si="2133"/>
        <v>0.42994582827688882</v>
      </c>
      <c r="CY1473" s="97"/>
      <c r="CZ1473" s="97">
        <f>CZ1427/CZ1449</f>
        <v>0.4372729945691653</v>
      </c>
      <c r="DA1473" s="97">
        <f t="shared" ref="DA1473:DB1473" si="2134">DA1427/DA1449</f>
        <v>0.45691115902653812</v>
      </c>
      <c r="DB1473" s="97">
        <f t="shared" si="2134"/>
        <v>0.45691115902653812</v>
      </c>
      <c r="DC1473" s="97"/>
      <c r="DD1473" s="97">
        <f>DD1427/DD1449</f>
        <v>0.45809779902400161</v>
      </c>
      <c r="DE1473" s="97">
        <f t="shared" ref="DE1473:DF1473" si="2135">DE1427/DE1449</f>
        <v>0.44663318128650237</v>
      </c>
      <c r="DF1473" s="97">
        <f t="shared" si="2135"/>
        <v>0.44663318128650237</v>
      </c>
      <c r="DG1473" s="97"/>
      <c r="DH1473" s="97">
        <f>DH1427/DH1449</f>
        <v>0.44663318128650231</v>
      </c>
      <c r="DI1473" s="97">
        <f t="shared" ref="DI1473" si="2136">DI1427/DI1449</f>
        <v>0.44663318128650237</v>
      </c>
      <c r="DJ1473" s="97">
        <f t="shared" si="2121"/>
        <v>0.44663318128650237</v>
      </c>
      <c r="DK1473" s="97"/>
      <c r="DL1473" s="97">
        <f>DL1427/DL1449</f>
        <v>0.44663318128650231</v>
      </c>
      <c r="DM1473" s="97">
        <f t="shared" ref="DM1473" si="2137">DM1427/DM1449</f>
        <v>0.44663318128650242</v>
      </c>
      <c r="DN1473" s="97">
        <f t="shared" si="2123"/>
        <v>0.44663318128650242</v>
      </c>
      <c r="DO1473" s="97"/>
      <c r="DP1473" s="97">
        <f>DP1427/DP1449</f>
        <v>0.44663318128650237</v>
      </c>
      <c r="DQ1473" s="97">
        <f t="shared" ref="DQ1473" si="2138">DQ1427/DQ1449</f>
        <v>0.44663318128650231</v>
      </c>
      <c r="DR1473" s="97">
        <f t="shared" si="2125"/>
        <v>0.44663318128650231</v>
      </c>
      <c r="DS1473" s="97"/>
      <c r="DT1473" s="97"/>
      <c r="DU1473" s="97"/>
      <c r="DV1473" s="97"/>
      <c r="DW1473" s="565"/>
      <c r="DX1473" s="565"/>
    </row>
    <row r="1474" spans="1:128" s="47" customFormat="1" ht="14.4" thickBot="1">
      <c r="A1474" s="921" t="s">
        <v>993</v>
      </c>
      <c r="B1474" s="575"/>
      <c r="C1474" s="574"/>
      <c r="D1474" s="574"/>
      <c r="E1474" s="574"/>
      <c r="F1474" s="574"/>
      <c r="G1474" s="574"/>
      <c r="H1474" s="574"/>
      <c r="I1474" s="574"/>
      <c r="J1474" s="574"/>
      <c r="K1474" s="574"/>
      <c r="L1474" s="574"/>
      <c r="M1474" s="574"/>
      <c r="N1474" s="574"/>
      <c r="O1474" s="574"/>
      <c r="P1474" s="574"/>
      <c r="Q1474" s="574"/>
      <c r="R1474" s="574"/>
      <c r="S1474" s="574"/>
      <c r="T1474" s="574"/>
      <c r="U1474" s="574"/>
      <c r="V1474" s="574"/>
      <c r="W1474" s="574"/>
      <c r="X1474" s="574"/>
      <c r="Y1474" s="574"/>
      <c r="Z1474" s="574"/>
      <c r="AA1474" s="574"/>
      <c r="AB1474" s="574"/>
      <c r="AC1474" s="574"/>
      <c r="AD1474" s="574"/>
      <c r="AE1474" s="574"/>
      <c r="AF1474" s="574"/>
      <c r="AG1474" s="574"/>
      <c r="AH1474" s="574"/>
      <c r="AI1474" s="574"/>
      <c r="AJ1474" s="574"/>
      <c r="AK1474" s="574"/>
      <c r="AL1474" s="574"/>
      <c r="AM1474" s="574"/>
      <c r="AN1474" s="574"/>
      <c r="AO1474" s="574"/>
      <c r="AP1474" s="574"/>
      <c r="AQ1474" s="574"/>
      <c r="AR1474" s="574"/>
      <c r="AS1474" s="574"/>
      <c r="AT1474" s="574"/>
      <c r="AU1474" s="574"/>
      <c r="AV1474" s="574"/>
      <c r="AW1474" s="574"/>
      <c r="AX1474" s="574"/>
      <c r="AY1474" s="574"/>
      <c r="AZ1474" s="574"/>
      <c r="BA1474" s="574"/>
      <c r="BB1474" s="574"/>
      <c r="BC1474" s="574"/>
      <c r="BD1474" s="574"/>
      <c r="BE1474" s="574"/>
      <c r="BF1474" s="574"/>
      <c r="BG1474" s="574"/>
      <c r="BH1474" s="577"/>
      <c r="BI1474" s="577"/>
      <c r="BJ1474" s="577"/>
      <c r="BK1474" s="575"/>
      <c r="BL1474" s="577"/>
      <c r="BM1474" s="577"/>
      <c r="BN1474" s="577"/>
      <c r="BO1474" s="575"/>
      <c r="BP1474" s="577"/>
      <c r="BQ1474" s="577"/>
      <c r="BR1474" s="577"/>
      <c r="BS1474" s="574"/>
      <c r="BT1474" s="577"/>
      <c r="BU1474" s="577"/>
      <c r="BV1474" s="577"/>
      <c r="BW1474" s="574"/>
      <c r="BX1474" s="577"/>
      <c r="BY1474" s="577"/>
      <c r="BZ1474" s="577"/>
      <c r="CA1474" s="574"/>
      <c r="CB1474" s="577"/>
      <c r="CC1474" s="577"/>
      <c r="CD1474" s="577"/>
      <c r="CE1474" s="574"/>
      <c r="CF1474" s="577">
        <f t="shared" si="2129"/>
        <v>0.83673612901713512</v>
      </c>
      <c r="CG1474" s="577">
        <f t="shared" si="2129"/>
        <v>0.83782412106671589</v>
      </c>
      <c r="CH1474" s="577">
        <f t="shared" si="2129"/>
        <v>0.83782412106671589</v>
      </c>
      <c r="CI1474" s="574"/>
      <c r="CJ1474" s="577">
        <f t="shared" si="2130"/>
        <v>0.84796432405648692</v>
      </c>
      <c r="CK1474" s="577">
        <f t="shared" si="2130"/>
        <v>0.83999569244023264</v>
      </c>
      <c r="CL1474" s="577">
        <f t="shared" si="2130"/>
        <v>0.83999569244023264</v>
      </c>
      <c r="CM1474" s="574"/>
      <c r="CN1474" s="577">
        <f t="shared" si="2131"/>
        <v>0.83849018435933975</v>
      </c>
      <c r="CO1474" s="577">
        <f t="shared" si="2131"/>
        <v>0.82099957814338687</v>
      </c>
      <c r="CP1474" s="577">
        <f t="shared" si="2131"/>
        <v>0.82099957814338687</v>
      </c>
      <c r="CQ1474" s="574"/>
      <c r="CR1474" s="577">
        <f t="shared" si="2132"/>
        <v>0.81394413029205581</v>
      </c>
      <c r="CS1474" s="577">
        <f t="shared" si="2132"/>
        <v>0.81638012391777115</v>
      </c>
      <c r="CT1474" s="577">
        <f t="shared" si="2132"/>
        <v>0.81638012391777115</v>
      </c>
      <c r="CU1474" s="574"/>
      <c r="CV1474" s="577">
        <f t="shared" si="2133"/>
        <v>0.82839277443260773</v>
      </c>
      <c r="CW1474" s="577">
        <f t="shared" si="2133"/>
        <v>0.83826822592684747</v>
      </c>
      <c r="CX1474" s="577">
        <f t="shared" si="2133"/>
        <v>0.83826822592684747</v>
      </c>
      <c r="CY1474" s="577"/>
      <c r="CZ1474" s="577">
        <f>CZ1428/CZ1450</f>
        <v>0.80844815902416989</v>
      </c>
      <c r="DA1474" s="577">
        <f t="shared" ref="DA1474:DB1474" si="2139">DA1428/DA1450</f>
        <v>0.78642936596218016</v>
      </c>
      <c r="DB1474" s="577">
        <f t="shared" si="2139"/>
        <v>0.78642936596218016</v>
      </c>
      <c r="DC1474" s="577"/>
      <c r="DD1474" s="577">
        <f>DD1428/DD1450</f>
        <v>0.83460117365790043</v>
      </c>
      <c r="DE1474" s="577">
        <f t="shared" ref="DE1474:DF1474" si="2140">DE1428/DE1450</f>
        <v>0.82080133357147111</v>
      </c>
      <c r="DF1474" s="577">
        <f t="shared" si="2140"/>
        <v>0.82080133357147111</v>
      </c>
      <c r="DG1474" s="577"/>
      <c r="DH1474" s="1270">
        <f t="shared" ref="DH1474" si="2141">DE1474</f>
        <v>0.82080133357147111</v>
      </c>
      <c r="DI1474" s="1270">
        <f t="shared" ref="DI1474" si="2142">DF1474</f>
        <v>0.82080133357147111</v>
      </c>
      <c r="DJ1474" s="577">
        <f>DJ1428/DJ1450</f>
        <v>0.82080133357147111</v>
      </c>
      <c r="DK1474" s="577"/>
      <c r="DL1474" s="1270">
        <f t="shared" ref="DL1474" si="2143">DI1474</f>
        <v>0.82080133357147111</v>
      </c>
      <c r="DM1474" s="1270">
        <f t="shared" ref="DM1474" si="2144">DJ1474</f>
        <v>0.82080133357147111</v>
      </c>
      <c r="DN1474" s="577">
        <f>DN1428/DN1450</f>
        <v>0.82080133357147111</v>
      </c>
      <c r="DO1474" s="577"/>
      <c r="DP1474" s="1270">
        <f t="shared" ref="DP1474" si="2145">DM1474</f>
        <v>0.82080133357147111</v>
      </c>
      <c r="DQ1474" s="1270">
        <f t="shared" ref="DQ1474" si="2146">DN1474</f>
        <v>0.82080133357147111</v>
      </c>
      <c r="DR1474" s="577">
        <f>DR1428/DR1450</f>
        <v>0.82080133357147111</v>
      </c>
      <c r="DS1474" s="577"/>
      <c r="DT1474" s="577"/>
      <c r="DU1474" s="577"/>
      <c r="DV1474" s="577"/>
      <c r="DW1474"/>
      <c r="DX1474"/>
    </row>
    <row r="1475" spans="1:128" s="47" customFormat="1" ht="13.8">
      <c r="A1475" s="717" t="s">
        <v>994</v>
      </c>
      <c r="B1475" s="92"/>
      <c r="BH1475" s="96"/>
      <c r="BI1475" s="96"/>
      <c r="BJ1475" s="96"/>
      <c r="BK1475" s="92"/>
      <c r="BL1475" s="96"/>
      <c r="BM1475" s="96"/>
      <c r="BN1475" s="96"/>
      <c r="BO1475" s="92"/>
      <c r="BP1475" s="96"/>
      <c r="BQ1475" s="96"/>
      <c r="BR1475" s="96"/>
      <c r="BT1475" s="96"/>
      <c r="BU1475" s="96"/>
      <c r="BV1475" s="96"/>
      <c r="BX1475" s="96"/>
      <c r="BY1475" s="96"/>
      <c r="BZ1475" s="96"/>
      <c r="CB1475" s="96"/>
      <c r="CC1475" s="96"/>
      <c r="CD1475" s="96"/>
      <c r="CF1475" s="96">
        <f>SUM(CF1427:CF1428)/SUM(CF1449:CF1450)</f>
        <v>0.54440808072745173</v>
      </c>
      <c r="CG1475" s="96">
        <f>SUM(CG1427:CG1428)/SUM(CG1449:CG1450)</f>
        <v>0.54134903593407657</v>
      </c>
      <c r="CH1475" s="96">
        <f>SUM(CH1427:CH1428)/SUM(CH1449:CH1450)</f>
        <v>0.54134903593407657</v>
      </c>
      <c r="CJ1475" s="96">
        <f>SUM(CJ1427:CJ1428)/SUM(CJ1449:CJ1450)</f>
        <v>0.55315423697863519</v>
      </c>
      <c r="CK1475" s="96">
        <f>SUM(CK1427:CK1428)/SUM(CK1449:CK1450)</f>
        <v>0.56775380206389148</v>
      </c>
      <c r="CL1475" s="96">
        <f>SUM(CL1427:CL1428)/SUM(CL1449:CL1450)</f>
        <v>0.56775380206389148</v>
      </c>
      <c r="CN1475" s="96">
        <f>SUM(CN1427:CN1428)/SUM(CN1449:CN1450)</f>
        <v>0.55684199366378129</v>
      </c>
      <c r="CO1475" s="96">
        <f>SUM(CO1427:CO1428)/SUM(CO1449:CO1450)</f>
        <v>0.52973028679111944</v>
      </c>
      <c r="CP1475" s="96">
        <f>SUM(CP1427:CP1428)/SUM(CP1449:CP1450)</f>
        <v>0.52973028679111944</v>
      </c>
      <c r="CR1475" s="96">
        <f>SUM(CR1427:CR1428)/SUM(CR1449:CR1450)</f>
        <v>0.5369689158847718</v>
      </c>
      <c r="CS1475" s="96">
        <f>SUM(CS1427:CS1428)/SUM(CS1449:CS1450)</f>
        <v>0.50292703871650135</v>
      </c>
      <c r="CT1475" s="96">
        <f>SUM(CT1427:CT1428)/SUM(CT1449:CT1450)</f>
        <v>0.50292703871650135</v>
      </c>
      <c r="CV1475" s="96">
        <f>SUM(CV1427:CV1428)/SUM(CV1449:CV1450)</f>
        <v>0.45051082690873934</v>
      </c>
      <c r="CW1475" s="96">
        <f>SUM(CW1427:CW1428)/SUM(CW1449:CW1450)</f>
        <v>0.43667661969058125</v>
      </c>
      <c r="CX1475" s="96">
        <f>SUM(CX1427:CX1428)/SUM(CX1449:CX1450)</f>
        <v>0.43667661969058125</v>
      </c>
      <c r="CY1475" s="96"/>
      <c r="CZ1475" s="96">
        <f>SUM(CZ1427:CZ1428)/SUM(CZ1449:CZ1450)</f>
        <v>0.44424456616277541</v>
      </c>
      <c r="DA1475" s="96">
        <f>SUM(DA1427:DA1428)/SUM(DA1449:DA1450)</f>
        <v>0.4640795963718638</v>
      </c>
      <c r="DB1475" s="96">
        <f>SUM(DB1427:DB1428)/SUM(DB1449:DB1450)</f>
        <v>0.4640795963718638</v>
      </c>
      <c r="DC1475" s="96"/>
      <c r="DD1475" s="96">
        <f>SUM(DD1427:DD1428)/SUM(DD1449:DD1450)</f>
        <v>0.48381577335773063</v>
      </c>
      <c r="DE1475" s="96">
        <f>SUM(DE1427:DE1428)/SUM(DE1449:DE1450)</f>
        <v>0.47045135862356463</v>
      </c>
      <c r="DF1475" s="96">
        <f>SUM(DF1427:DF1428)/SUM(DF1449:DF1450)</f>
        <v>0.47045135862356463</v>
      </c>
      <c r="DG1475" s="96"/>
      <c r="DH1475" s="96">
        <f>SUM(DH1427:DH1428)/SUM(DH1449:DH1450)</f>
        <v>0.47045135862356463</v>
      </c>
      <c r="DI1475" s="96">
        <f>SUM(DI1427:DI1428)/SUM(DI1449:DI1450)</f>
        <v>0.47045135862356463</v>
      </c>
      <c r="DJ1475" s="96">
        <f>SUM(DJ1427:DJ1428)/SUM(DJ1449:DJ1450)</f>
        <v>0.47045135862356463</v>
      </c>
      <c r="DK1475" s="96"/>
      <c r="DL1475" s="96">
        <f>SUM(DL1427:DL1428)/SUM(DL1449:DL1450)</f>
        <v>0.47045135862356463</v>
      </c>
      <c r="DM1475" s="96">
        <f>SUM(DM1427:DM1428)/SUM(DM1449:DM1450)</f>
        <v>0.47045135862356463</v>
      </c>
      <c r="DN1475" s="96">
        <f>SUM(DN1427:DN1428)/SUM(DN1449:DN1450)</f>
        <v>0.47045135862356463</v>
      </c>
      <c r="DO1475" s="96"/>
      <c r="DP1475" s="96">
        <f>SUM(DP1427:DP1428)/SUM(DP1449:DP1450)</f>
        <v>0.47045135862356458</v>
      </c>
      <c r="DQ1475" s="96">
        <f>SUM(DQ1427:DQ1428)/SUM(DQ1449:DQ1450)</f>
        <v>0.47045135862356452</v>
      </c>
      <c r="DR1475" s="96">
        <f>SUM(DR1427:DR1428)/SUM(DR1449:DR1450)</f>
        <v>0.47045135862356452</v>
      </c>
      <c r="DS1475" s="96"/>
      <c r="DT1475" s="96"/>
      <c r="DU1475" s="96"/>
      <c r="DV1475" s="96"/>
      <c r="DW1475"/>
      <c r="DX1475"/>
    </row>
    <row r="1476" spans="1:128" s="78" customFormat="1" ht="13.8">
      <c r="A1476" s="921" t="s">
        <v>995</v>
      </c>
      <c r="B1476" s="923"/>
      <c r="C1476" s="578"/>
      <c r="D1476" s="578"/>
      <c r="E1476" s="578"/>
      <c r="F1476" s="578"/>
      <c r="G1476" s="578"/>
      <c r="H1476" s="578"/>
      <c r="I1476" s="578"/>
      <c r="J1476" s="578"/>
      <c r="K1476" s="578"/>
      <c r="L1476" s="578"/>
      <c r="M1476" s="578"/>
      <c r="N1476" s="578"/>
      <c r="O1476" s="578"/>
      <c r="P1476" s="578"/>
      <c r="Q1476" s="578"/>
      <c r="R1476" s="578"/>
      <c r="S1476" s="578"/>
      <c r="T1476" s="578"/>
      <c r="U1476" s="578"/>
      <c r="V1476" s="578"/>
      <c r="W1476" s="578"/>
      <c r="X1476" s="578"/>
      <c r="Y1476" s="578"/>
      <c r="Z1476" s="578"/>
      <c r="AA1476" s="578"/>
      <c r="AB1476" s="578"/>
      <c r="AC1476" s="578"/>
      <c r="AD1476" s="578"/>
      <c r="AE1476" s="578"/>
      <c r="AF1476" s="578"/>
      <c r="AG1476" s="578"/>
      <c r="AH1476" s="578"/>
      <c r="AI1476" s="578"/>
      <c r="AJ1476" s="578"/>
      <c r="AK1476" s="578"/>
      <c r="AL1476" s="578"/>
      <c r="AM1476" s="578"/>
      <c r="AN1476" s="578"/>
      <c r="AO1476" s="578"/>
      <c r="AP1476" s="578"/>
      <c r="AQ1476" s="578"/>
      <c r="AR1476" s="578"/>
      <c r="AS1476" s="578"/>
      <c r="AT1476" s="578"/>
      <c r="AU1476" s="578"/>
      <c r="AV1476" s="578"/>
      <c r="AW1476" s="578"/>
      <c r="AX1476" s="578"/>
      <c r="AY1476" s="578"/>
      <c r="AZ1476" s="578"/>
      <c r="BA1476" s="578"/>
      <c r="BB1476" s="578"/>
      <c r="BC1476" s="578"/>
      <c r="BD1476" s="578"/>
      <c r="BE1476" s="578"/>
      <c r="BF1476" s="578"/>
      <c r="BG1476" s="578"/>
      <c r="BH1476" s="612"/>
      <c r="BI1476" s="612"/>
      <c r="BJ1476" s="612"/>
      <c r="BK1476" s="923"/>
      <c r="BL1476" s="612"/>
      <c r="BM1476" s="612"/>
      <c r="BN1476" s="612"/>
      <c r="BO1476" s="923"/>
      <c r="BP1476" s="612"/>
      <c r="BQ1476" s="612"/>
      <c r="BR1476" s="612"/>
      <c r="BS1476" s="578"/>
      <c r="BT1476" s="612"/>
      <c r="BU1476" s="612"/>
      <c r="BV1476" s="612"/>
      <c r="BW1476" s="578"/>
      <c r="BX1476" s="612"/>
      <c r="BY1476" s="612"/>
      <c r="BZ1476" s="612"/>
      <c r="CA1476" s="578"/>
      <c r="CB1476" s="612"/>
      <c r="CC1476" s="612"/>
      <c r="CD1476" s="612"/>
      <c r="CE1476" s="578"/>
      <c r="CF1476" s="577">
        <f>CF1429/CF1451</f>
        <v>0.23935960745637727</v>
      </c>
      <c r="CG1476" s="577">
        <f>CG1429/CG1451</f>
        <v>0.23064113826473193</v>
      </c>
      <c r="CH1476" s="577">
        <f>CH1429/CH1451</f>
        <v>0.23064113826473193</v>
      </c>
      <c r="CI1476" s="578"/>
      <c r="CJ1476" s="577">
        <f>CJ1429/CJ1451</f>
        <v>0.17264266333873501</v>
      </c>
      <c r="CK1476" s="577">
        <f>CK1429/CK1451</f>
        <v>0.16345338760412215</v>
      </c>
      <c r="CL1476" s="577">
        <f>CL1429/CL1451</f>
        <v>0.16345338760412215</v>
      </c>
      <c r="CM1476" s="578"/>
      <c r="CN1476" s="577">
        <f>CN1429/CN1451</f>
        <v>0.13283896509178358</v>
      </c>
      <c r="CO1476" s="577">
        <f>CO1429/CO1451</f>
        <v>0.12867096398619846</v>
      </c>
      <c r="CP1476" s="577">
        <f>CP1429/CP1451</f>
        <v>0.12867096398619846</v>
      </c>
      <c r="CQ1476" s="578"/>
      <c r="CR1476" s="577">
        <f>CR1429/CR1451</f>
        <v>0.12247261791062974</v>
      </c>
      <c r="CS1476" s="577">
        <f>CS1429/CS1451</f>
        <v>0.12188828897701753</v>
      </c>
      <c r="CT1476" s="577">
        <f>CT1429/CT1451</f>
        <v>0.12188828897701753</v>
      </c>
      <c r="CU1476" s="578"/>
      <c r="CV1476" s="577">
        <f>CV1429/CV1451</f>
        <v>0.23472494116633386</v>
      </c>
      <c r="CW1476" s="577">
        <f>CW1429/CW1451</f>
        <v>0.24899291490093403</v>
      </c>
      <c r="CX1476" s="577">
        <f>CX1429/CX1451</f>
        <v>0.24899291490093403</v>
      </c>
      <c r="CY1476" s="612"/>
      <c r="CZ1476" s="577">
        <f>CZ1429/CZ1451</f>
        <v>0.25295532433578288</v>
      </c>
      <c r="DA1476" s="577">
        <f>DA1429/DA1451</f>
        <v>0.21288298604120526</v>
      </c>
      <c r="DB1476" s="577">
        <f>DB1429/DB1451</f>
        <v>0.21288298604120526</v>
      </c>
      <c r="DC1476" s="612"/>
      <c r="DD1476" s="577">
        <f>DD1429/DD1451</f>
        <v>0.1878283137308224</v>
      </c>
      <c r="DE1476" s="577">
        <f>DE1429/DE1451</f>
        <v>0.15831258950092508</v>
      </c>
      <c r="DF1476" s="577">
        <f>DF1429/DF1451</f>
        <v>0.15831258950092508</v>
      </c>
      <c r="DG1476" s="612"/>
      <c r="DH1476" s="616">
        <f>DE1476</f>
        <v>0.15831258950092508</v>
      </c>
      <c r="DI1476" s="616">
        <f>DH1476</f>
        <v>0.15831258950092508</v>
      </c>
      <c r="DJ1476" s="577">
        <f>DJ1429/DJ1451</f>
        <v>0.15831258950092508</v>
      </c>
      <c r="DK1476" s="612"/>
      <c r="DL1476" s="616">
        <f>DI1476</f>
        <v>0.15831258950092508</v>
      </c>
      <c r="DM1476" s="616">
        <f>DL1476</f>
        <v>0.15831258950092508</v>
      </c>
      <c r="DN1476" s="577">
        <f>DN1429/DN1451</f>
        <v>0.15831258950092508</v>
      </c>
      <c r="DO1476" s="612"/>
      <c r="DP1476" s="616">
        <f>DM1476</f>
        <v>0.15831258950092508</v>
      </c>
      <c r="DQ1476" s="616">
        <f>DP1476</f>
        <v>0.15831258950092508</v>
      </c>
      <c r="DR1476" s="577">
        <f>DR1429/DR1451</f>
        <v>0.15831258950092508</v>
      </c>
      <c r="DS1476" s="612"/>
      <c r="DT1476" s="612"/>
      <c r="DU1476" s="612"/>
      <c r="DV1476" s="612"/>
      <c r="DW1476"/>
      <c r="DX1476"/>
    </row>
    <row r="1477" spans="1:128" s="78" customFormat="1" ht="13.8">
      <c r="A1477" s="717"/>
      <c r="B1477" s="95"/>
      <c r="BH1477" s="97"/>
      <c r="BI1477" s="97"/>
      <c r="BJ1477" s="97"/>
      <c r="BK1477" s="95"/>
      <c r="BL1477" s="97"/>
      <c r="BM1477" s="97"/>
      <c r="BN1477" s="97"/>
      <c r="BO1477" s="95"/>
      <c r="BP1477" s="97"/>
      <c r="BQ1477" s="97"/>
      <c r="BR1477" s="97"/>
      <c r="BT1477" s="97"/>
      <c r="BU1477" s="97"/>
      <c r="BV1477" s="97"/>
      <c r="BX1477" s="97"/>
      <c r="BY1477" s="97"/>
      <c r="BZ1477" s="97"/>
      <c r="CB1477" s="97"/>
      <c r="CC1477" s="97"/>
      <c r="CD1477" s="97"/>
      <c r="CF1477" s="97"/>
      <c r="CG1477" s="97"/>
      <c r="CH1477" s="97"/>
      <c r="CJ1477" s="97"/>
      <c r="CK1477" s="97"/>
      <c r="CL1477" s="97"/>
      <c r="CN1477" s="97"/>
      <c r="CO1477" s="97"/>
      <c r="CP1477" s="97"/>
      <c r="CR1477" s="97"/>
      <c r="CS1477" s="97"/>
      <c r="CT1477" s="97"/>
      <c r="CV1477" s="97"/>
      <c r="CW1477" s="97"/>
      <c r="CX1477" s="97"/>
      <c r="CZ1477" s="97"/>
      <c r="DA1477" s="97"/>
      <c r="DB1477" s="97"/>
      <c r="DD1477" s="97"/>
      <c r="DE1477" s="97"/>
      <c r="DF1477" s="97"/>
      <c r="DH1477" s="97"/>
      <c r="DI1477" s="97"/>
      <c r="DJ1477" s="97"/>
      <c r="DL1477" s="97"/>
      <c r="DM1477" s="97"/>
      <c r="DN1477" s="97"/>
      <c r="DP1477" s="97"/>
      <c r="DQ1477" s="97"/>
      <c r="DR1477" s="97"/>
      <c r="DW1477"/>
      <c r="DX1477"/>
    </row>
    <row r="1478" spans="1:128" s="20" customFormat="1" ht="13.8">
      <c r="A1478" s="20" t="s">
        <v>604</v>
      </c>
      <c r="B1478" s="49"/>
      <c r="BH1478" s="65">
        <f>+BH150</f>
        <v>219295</v>
      </c>
      <c r="BI1478" s="65">
        <f>+BI150</f>
        <v>233540</v>
      </c>
      <c r="BJ1478" s="65">
        <f>+BJ150</f>
        <v>233540</v>
      </c>
      <c r="BK1478" s="49"/>
      <c r="BL1478" s="65">
        <f>+BL150</f>
        <v>247587</v>
      </c>
      <c r="BM1478" s="65">
        <f>+BM150</f>
        <v>252995</v>
      </c>
      <c r="BN1478" s="65">
        <f>+BN150</f>
        <v>252995</v>
      </c>
      <c r="BO1478" s="49"/>
      <c r="BP1478" s="65">
        <f>+BP150</f>
        <v>271988</v>
      </c>
      <c r="BQ1478" s="65">
        <f>+BQ150</f>
        <v>271902</v>
      </c>
      <c r="BR1478" s="65">
        <f>+BR150</f>
        <v>271902</v>
      </c>
      <c r="BT1478" s="65">
        <f>+BT150</f>
        <v>251390</v>
      </c>
      <c r="BU1478" s="65">
        <f>+BU150</f>
        <v>255800</v>
      </c>
      <c r="BV1478" s="65">
        <f>+BV150</f>
        <v>255800</v>
      </c>
      <c r="BX1478" s="65">
        <f>+BX150</f>
        <v>248397</v>
      </c>
      <c r="BY1478" s="65">
        <f>+BY150</f>
        <v>246135</v>
      </c>
      <c r="BZ1478" s="65">
        <f>+BZ150</f>
        <v>246135</v>
      </c>
      <c r="CB1478" s="65">
        <f>+CB150</f>
        <v>249828</v>
      </c>
      <c r="CC1478" s="65">
        <f>+CC150</f>
        <v>261659</v>
      </c>
      <c r="CD1478" s="65">
        <f>+CD150</f>
        <v>261659</v>
      </c>
      <c r="CF1478" s="65">
        <f>+CF150</f>
        <v>264323</v>
      </c>
      <c r="CG1478" s="65">
        <f>+CG150</f>
        <v>274487</v>
      </c>
      <c r="CH1478" s="65">
        <f>+CH150</f>
        <v>274487</v>
      </c>
      <c r="CJ1478" s="65">
        <f>+CJ150</f>
        <v>311353</v>
      </c>
      <c r="CK1478" s="65">
        <f>+CK150</f>
        <v>262922</v>
      </c>
      <c r="CL1478" s="65">
        <f>+CL150</f>
        <v>262922</v>
      </c>
      <c r="CN1478" s="65">
        <f>+CN150</f>
        <v>249090</v>
      </c>
      <c r="CO1478" s="65">
        <f>+CO150</f>
        <v>260192</v>
      </c>
      <c r="CP1478" s="65">
        <f>+CP150</f>
        <v>260192</v>
      </c>
      <c r="CR1478" s="65">
        <f>+CR150</f>
        <v>279821</v>
      </c>
      <c r="CS1478" s="65">
        <f>+CS150</f>
        <v>299000</v>
      </c>
      <c r="CT1478" s="65">
        <f>+CT150</f>
        <v>299000</v>
      </c>
      <c r="CV1478" s="65">
        <f>+CV150</f>
        <v>300095</v>
      </c>
      <c r="CW1478" s="65">
        <f>+CW150</f>
        <v>303139</v>
      </c>
      <c r="CX1478" s="65">
        <f>CW1478</f>
        <v>303139</v>
      </c>
      <c r="CZ1478" s="65">
        <f>+CZ150</f>
        <v>300571</v>
      </c>
      <c r="DA1478" s="65">
        <f>+DA150</f>
        <v>318781</v>
      </c>
      <c r="DB1478" s="65">
        <f>DA1478</f>
        <v>318781</v>
      </c>
      <c r="DD1478" s="65">
        <f>+DD150</f>
        <v>324949</v>
      </c>
      <c r="DE1478" s="65">
        <f>+DE150</f>
        <v>325474</v>
      </c>
      <c r="DF1478" s="65">
        <f>DE1478</f>
        <v>325474</v>
      </c>
      <c r="DH1478" s="65">
        <f>+DH150</f>
        <v>325537.4904494583</v>
      </c>
      <c r="DI1478" s="65">
        <f>+DI150</f>
        <v>330969.70355331025</v>
      </c>
      <c r="DJ1478" s="65">
        <f>DI1478</f>
        <v>330969.70355331025</v>
      </c>
      <c r="DL1478" s="65">
        <f>+DL150</f>
        <v>335390.72625279636</v>
      </c>
      <c r="DM1478" s="65">
        <f>+DM150</f>
        <v>341557.3390005409</v>
      </c>
      <c r="DN1478" s="65">
        <f>DM1478</f>
        <v>341557.3390005409</v>
      </c>
      <c r="DP1478" s="65">
        <f>+DP150</f>
        <v>346862.82535438251</v>
      </c>
      <c r="DQ1478" s="65">
        <f>+DQ150</f>
        <v>353638.34457398031</v>
      </c>
      <c r="DR1478" s="65">
        <f>DQ1478</f>
        <v>353638.34457398031</v>
      </c>
      <c r="DW1478"/>
      <c r="DX1478"/>
    </row>
    <row r="1479" spans="1:128" s="78" customFormat="1" ht="13.8">
      <c r="A1479" s="78" t="s">
        <v>387</v>
      </c>
      <c r="B1479" s="95"/>
      <c r="BH1479" s="97">
        <f>+BH1417/BH1478</f>
        <v>0.9743450603068925</v>
      </c>
      <c r="BI1479" s="97">
        <f>+BI1417/BI1478</f>
        <v>0.9565855956153122</v>
      </c>
      <c r="BJ1479" s="97">
        <f>+BJ1417/BJ1478</f>
        <v>0.9565855956153122</v>
      </c>
      <c r="BK1479" s="95"/>
      <c r="BL1479" s="97">
        <f>+BL1417/BL1478</f>
        <v>0.96886750919878672</v>
      </c>
      <c r="BM1479" s="97">
        <f>+BM1417/BM1478</f>
        <v>0.96586098539496823</v>
      </c>
      <c r="BN1479" s="97">
        <f>+BN1417/BN1478</f>
        <v>0.96586098539496823</v>
      </c>
      <c r="BO1479" s="95"/>
      <c r="BP1479" s="97">
        <f>+BP1417/BP1478</f>
        <v>0.98937820786211161</v>
      </c>
      <c r="BQ1479" s="97">
        <f>+BQ1417/BQ1478</f>
        <v>1.0183522004251533</v>
      </c>
      <c r="BR1479" s="97">
        <f>+BR1417/BR1478</f>
        <v>1.0183522004251533</v>
      </c>
      <c r="BT1479" s="97">
        <f>+BT1417/BT1478</f>
        <v>1.0345638251322646</v>
      </c>
      <c r="BU1479" s="97">
        <f>+BU1417/BU1478</f>
        <v>0.98063721657544956</v>
      </c>
      <c r="BV1479" s="97">
        <f>+BV1417/BV1478</f>
        <v>0.98063721657544956</v>
      </c>
      <c r="BX1479" s="97">
        <f>+BX1417/BX1478</f>
        <v>0.96755194305889358</v>
      </c>
      <c r="BY1479" s="97">
        <f>+BY1417/BY1478</f>
        <v>0.92589838909541511</v>
      </c>
      <c r="BZ1479" s="97">
        <f>+BZ1417/BZ1478</f>
        <v>0.92589838909541511</v>
      </c>
      <c r="CB1479" s="97">
        <f>+CB1417/CB1478</f>
        <v>0.92128984741502151</v>
      </c>
      <c r="CC1479" s="97">
        <f>+CC1417/CC1478</f>
        <v>0.86906622741812822</v>
      </c>
      <c r="CD1479" s="97">
        <f>+CD1417/CD1478</f>
        <v>0.86906622741812822</v>
      </c>
      <c r="CF1479" s="97">
        <f>+CF1417/CF1478</f>
        <v>0.87911002826087781</v>
      </c>
      <c r="CG1479" s="97">
        <f>+CG1417/CG1478</f>
        <v>0.86917777526804552</v>
      </c>
      <c r="CH1479" s="97">
        <f>+CH1417/CH1478</f>
        <v>0.86917777526804552</v>
      </c>
      <c r="CJ1479" s="97">
        <f>+CJ1417/CJ1478</f>
        <v>0.84020388433707083</v>
      </c>
      <c r="CK1479" s="97">
        <f>+CK1417/CK1478</f>
        <v>0.89480530347403409</v>
      </c>
      <c r="CL1479" s="97">
        <f>+CL1417/CL1478</f>
        <v>0.89480530347403409</v>
      </c>
      <c r="CN1479" s="97">
        <f>+CN1417/CN1478</f>
        <v>0.88678389337187358</v>
      </c>
      <c r="CO1479" s="97">
        <f>+CO1417/CO1478</f>
        <v>0.85454203050055344</v>
      </c>
      <c r="CP1479" s="97">
        <f>+CP1417/CP1478</f>
        <v>0.85454203050055344</v>
      </c>
      <c r="CR1479" s="97">
        <f>+CR1417/CR1478</f>
        <v>0.81485306678197844</v>
      </c>
      <c r="CS1479" s="97">
        <f>+CS1417/CS1478</f>
        <v>0.7875016722408027</v>
      </c>
      <c r="CT1479" s="97">
        <f>+CT1417/CT1478</f>
        <v>0.7875016722408027</v>
      </c>
      <c r="CV1479" s="97">
        <f>+CV1417/CV1478</f>
        <v>0.76826368234284215</v>
      </c>
      <c r="CW1479" s="97">
        <f>+CW1417/CW1478</f>
        <v>0.73365139480828856</v>
      </c>
      <c r="CX1479" s="97">
        <f>+CX1417/CX1478</f>
        <v>0.73365139480828856</v>
      </c>
      <c r="CZ1479" s="97">
        <f>+CZ1417/CZ1478</f>
        <v>0.72948607816456013</v>
      </c>
      <c r="DA1479" s="97">
        <f>+DA1417/DA1478</f>
        <v>0.67939563524802293</v>
      </c>
      <c r="DB1479" s="97">
        <f>+DB1417/DB1478</f>
        <v>0.67939563524802293</v>
      </c>
      <c r="DD1479" s="97">
        <f>+DD1417/DD1478</f>
        <v>0.65621682171663864</v>
      </c>
      <c r="DE1479" s="97">
        <f>+DE1417/DE1478</f>
        <v>0.628004080203027</v>
      </c>
      <c r="DF1479" s="97">
        <f>+DF1417/DF1478</f>
        <v>0.628004080203027</v>
      </c>
      <c r="DH1479" s="97">
        <f>+DH1417/DH1478</f>
        <v>0.62800408020302689</v>
      </c>
      <c r="DI1479" s="97">
        <f>+DI1417/DI1478</f>
        <v>0.628004080203027</v>
      </c>
      <c r="DJ1479" s="97">
        <f>+DJ1417/DJ1478</f>
        <v>0.628004080203027</v>
      </c>
      <c r="DL1479" s="97">
        <f>+DL1417/DL1478</f>
        <v>0.62800408020302689</v>
      </c>
      <c r="DM1479" s="97">
        <f>+DM1417/DM1478</f>
        <v>0.62800408020302689</v>
      </c>
      <c r="DN1479" s="97">
        <f>+DN1417/DN1478</f>
        <v>0.62800408020302689</v>
      </c>
      <c r="DP1479" s="97">
        <f>+DP1417/DP1478</f>
        <v>0.62800408020302689</v>
      </c>
      <c r="DQ1479" s="97">
        <f>+DQ1417/DQ1478</f>
        <v>0.62800408020302689</v>
      </c>
      <c r="DR1479" s="97">
        <f>+DR1417/DR1478</f>
        <v>0.62800408020302689</v>
      </c>
      <c r="DW1479"/>
      <c r="DX1479"/>
    </row>
    <row r="1480" spans="1:128" s="78" customFormat="1" ht="13.8">
      <c r="A1480" s="362" t="s">
        <v>984</v>
      </c>
      <c r="B1480" s="363"/>
      <c r="C1480" s="362"/>
      <c r="D1480" s="362"/>
      <c r="E1480" s="362"/>
      <c r="F1480" s="362"/>
      <c r="G1480" s="362"/>
      <c r="H1480" s="362"/>
      <c r="I1480" s="362"/>
      <c r="J1480" s="362"/>
      <c r="K1480" s="362"/>
      <c r="L1480" s="362"/>
      <c r="M1480" s="362"/>
      <c r="N1480" s="362"/>
      <c r="O1480" s="362"/>
      <c r="P1480" s="362"/>
      <c r="Q1480" s="362"/>
      <c r="R1480" s="362"/>
      <c r="S1480" s="362"/>
      <c r="T1480" s="362"/>
      <c r="U1480" s="362"/>
      <c r="V1480" s="362"/>
      <c r="W1480" s="362"/>
      <c r="X1480" s="362"/>
      <c r="Y1480" s="362"/>
      <c r="Z1480" s="362"/>
      <c r="AA1480" s="362"/>
      <c r="AB1480" s="362"/>
      <c r="AC1480" s="362"/>
      <c r="AD1480" s="362"/>
      <c r="AE1480" s="362"/>
      <c r="AF1480" s="362"/>
      <c r="AG1480" s="362"/>
      <c r="AH1480" s="362"/>
      <c r="AI1480" s="362"/>
      <c r="AJ1480" s="362"/>
      <c r="AK1480" s="362"/>
      <c r="AL1480" s="362"/>
      <c r="AM1480" s="362"/>
      <c r="AN1480" s="362"/>
      <c r="AO1480" s="362"/>
      <c r="AP1480" s="362"/>
      <c r="AQ1480" s="362"/>
      <c r="AR1480" s="362"/>
      <c r="AS1480" s="362"/>
      <c r="AT1480" s="362"/>
      <c r="AU1480" s="362"/>
      <c r="AV1480" s="362"/>
      <c r="AW1480" s="362"/>
      <c r="AX1480" s="362"/>
      <c r="AY1480" s="362"/>
      <c r="AZ1480" s="362"/>
      <c r="BA1480" s="362"/>
      <c r="BB1480" s="362"/>
      <c r="BC1480" s="362"/>
      <c r="BD1480" s="362"/>
      <c r="BE1480" s="362"/>
      <c r="BF1480" s="362"/>
      <c r="BG1480" s="362"/>
      <c r="BH1480" s="413"/>
      <c r="BI1480" s="413"/>
      <c r="BJ1480" s="413"/>
      <c r="BK1480" s="363"/>
      <c r="BL1480" s="413"/>
      <c r="BM1480" s="413"/>
      <c r="BN1480" s="413"/>
      <c r="BO1480" s="363"/>
      <c r="BP1480" s="413"/>
      <c r="BQ1480" s="413"/>
      <c r="BR1480" s="413"/>
      <c r="BS1480" s="362"/>
      <c r="BT1480" s="413"/>
      <c r="BU1480" s="413"/>
      <c r="BV1480" s="413"/>
      <c r="BW1480" s="362"/>
      <c r="BX1480" s="413">
        <f>BX1417/BX1437</f>
        <v>0.44656202038670073</v>
      </c>
      <c r="BY1480" s="413">
        <f>BY1417/BY1437</f>
        <v>0.42680270656471164</v>
      </c>
      <c r="BZ1480" s="413">
        <f>BZ1417/BZ1437</f>
        <v>0.42680270656471164</v>
      </c>
      <c r="CA1480" s="362"/>
      <c r="CB1480" s="413">
        <f>CB1417/CB1437</f>
        <v>0.41588487835903959</v>
      </c>
      <c r="CC1480" s="413">
        <f>CC1417/CC1437</f>
        <v>0.40117105769196842</v>
      </c>
      <c r="CD1480" s="413">
        <f>CD1417/CD1437</f>
        <v>0.40117105769196842</v>
      </c>
      <c r="CE1480" s="362"/>
      <c r="CF1480" s="413">
        <f>CF1417/CF1437</f>
        <v>0.39544429601014269</v>
      </c>
      <c r="CG1480" s="413">
        <f>CG1417/CG1437</f>
        <v>0.3953920808225444</v>
      </c>
      <c r="CH1480" s="413">
        <f>CH1417/CH1437</f>
        <v>0.3953920808225444</v>
      </c>
      <c r="CI1480" s="362"/>
      <c r="CJ1480" s="413">
        <f>CJ1417/CJ1437</f>
        <v>0.37666844249902809</v>
      </c>
      <c r="CK1480" s="413">
        <f>CK1417/CK1437</f>
        <v>0.38088947172438359</v>
      </c>
      <c r="CL1480" s="413">
        <f>CL1417/CL1437</f>
        <v>0.38088947172438359</v>
      </c>
      <c r="CM1480" s="362"/>
      <c r="CN1480" s="413">
        <f>CN1417/CN1437</f>
        <v>0.34556183580849698</v>
      </c>
      <c r="CO1480" s="413">
        <f>CO1417/CO1437</f>
        <v>0.33213680729208678</v>
      </c>
      <c r="CP1480" s="413">
        <f>CP1417/CP1437</f>
        <v>0.33213680729208678</v>
      </c>
      <c r="CQ1480" s="362"/>
      <c r="CR1480" s="413">
        <f>CR1417/CR1437</f>
        <v>0.33019616588804673</v>
      </c>
      <c r="CS1480" s="413">
        <f>CS1417/CS1437</f>
        <v>0.31916410594931338</v>
      </c>
      <c r="CT1480" s="413">
        <f>CT1417/CT1437</f>
        <v>0.31916410594931338</v>
      </c>
      <c r="CU1480" s="362"/>
      <c r="CV1480" s="413">
        <f>CV1417/CV1437</f>
        <v>0.30423669644918577</v>
      </c>
      <c r="CW1480" s="413">
        <f>CW1417/CW1437</f>
        <v>0.31349629929362693</v>
      </c>
      <c r="CX1480" s="413">
        <f>CX1417/CX1437</f>
        <v>0.31349629929362693</v>
      </c>
      <c r="CY1480" s="362"/>
      <c r="CZ1480" s="413">
        <f>CZ1417/CZ1437</f>
        <v>0.31843471113028143</v>
      </c>
      <c r="DA1480" s="413">
        <f>DA1417/DA1437</f>
        <v>0.29881829457920506</v>
      </c>
      <c r="DB1480" s="413">
        <f>DB1417/DB1437</f>
        <v>0.29881829457920506</v>
      </c>
      <c r="DC1480" s="362"/>
      <c r="DD1480" s="413">
        <f>DD1417/DD1437</f>
        <v>0.3000384128864681</v>
      </c>
      <c r="DE1480" s="413">
        <f>DE1417/DE1437</f>
        <v>0.2651612250404749</v>
      </c>
      <c r="DF1480" s="413">
        <f>DF1417/DF1437</f>
        <v>0.2651612250404749</v>
      </c>
      <c r="DG1480" s="362"/>
      <c r="DH1480" s="413">
        <f>DH1417/DH1437</f>
        <v>0.26516122504047485</v>
      </c>
      <c r="DI1480" s="413">
        <f>DI1417/DI1437</f>
        <v>0.2651612250404749</v>
      </c>
      <c r="DJ1480" s="413">
        <f>DJ1417/DJ1437</f>
        <v>0.2651612250404749</v>
      </c>
      <c r="DK1480" s="362"/>
      <c r="DL1480" s="413">
        <f>DL1417/DL1437</f>
        <v>0.2651612250404749</v>
      </c>
      <c r="DM1480" s="413">
        <f>DM1417/DM1437</f>
        <v>0.2651612250404749</v>
      </c>
      <c r="DN1480" s="413">
        <f>DN1417/DN1437</f>
        <v>0.2651612250404749</v>
      </c>
      <c r="DO1480" s="362"/>
      <c r="DP1480" s="413">
        <f>DP1417/DP1437</f>
        <v>0.2651612250404749</v>
      </c>
      <c r="DQ1480" s="413">
        <f>DQ1417/DQ1437</f>
        <v>0.2651612250404749</v>
      </c>
      <c r="DR1480" s="413">
        <f>DR1417/DR1437</f>
        <v>0.2651612250404749</v>
      </c>
      <c r="DS1480" s="362"/>
      <c r="DT1480" s="362"/>
      <c r="DU1480" s="362"/>
      <c r="DV1480" s="362"/>
      <c r="DW1480"/>
      <c r="DX1480"/>
    </row>
    <row r="1481" spans="1:128" s="20" customFormat="1" ht="13.8">
      <c r="A1481" s="20" t="s">
        <v>549</v>
      </c>
      <c r="B1481" s="49"/>
      <c r="BH1481" s="65">
        <f>BH154</f>
        <v>459715</v>
      </c>
      <c r="BI1481" s="65">
        <f>BI154</f>
        <v>488571</v>
      </c>
      <c r="BJ1481" s="65">
        <f>BJ154</f>
        <v>488571</v>
      </c>
      <c r="BK1481" s="49"/>
      <c r="BL1481" s="65">
        <f>BL154</f>
        <v>514485</v>
      </c>
      <c r="BM1481" s="65">
        <f>BM154</f>
        <v>526577</v>
      </c>
      <c r="BN1481" s="65">
        <f>BN154</f>
        <v>526577</v>
      </c>
      <c r="BO1481" s="49"/>
      <c r="BP1481" s="65">
        <f>BP154</f>
        <v>563034</v>
      </c>
      <c r="BQ1481" s="65">
        <f>BQ154</f>
        <v>574994</v>
      </c>
      <c r="BR1481" s="65">
        <f>BR154</f>
        <v>574994</v>
      </c>
      <c r="BS1481" s="75">
        <f>+BR1481/BN1481-1</f>
        <v>9.1946666869232807E-2</v>
      </c>
      <c r="BT1481" s="65">
        <f>BT154</f>
        <v>566464</v>
      </c>
      <c r="BU1481" s="65">
        <f>BU154</f>
        <v>580579</v>
      </c>
      <c r="BV1481" s="65">
        <f>BV154</f>
        <v>580579</v>
      </c>
      <c r="BW1481" s="75">
        <f>+BV1481/BR1481-1</f>
        <v>9.7131448328156011E-3</v>
      </c>
      <c r="BX1481" s="65">
        <f>BX154</f>
        <v>580816</v>
      </c>
      <c r="BY1481" s="65">
        <f>BY154</f>
        <v>584502</v>
      </c>
      <c r="BZ1481" s="65">
        <f>BZ154</f>
        <v>584502</v>
      </c>
      <c r="CA1481" s="75">
        <f>+BZ1481/BV1481-1</f>
        <v>6.757047705824748E-3</v>
      </c>
      <c r="CB1481" s="65">
        <f>CB154</f>
        <v>595983</v>
      </c>
      <c r="CC1481" s="65">
        <f>CC154</f>
        <v>608810</v>
      </c>
      <c r="CD1481" s="65">
        <f>CD154</f>
        <v>608810</v>
      </c>
      <c r="CE1481" s="75">
        <f>+CD1481/BZ1481-1</f>
        <v>4.1587539478051383E-2</v>
      </c>
      <c r="CF1481" s="65">
        <f>CF154</f>
        <v>614216</v>
      </c>
      <c r="CG1481" s="65">
        <f>CG154</f>
        <v>619165</v>
      </c>
      <c r="CH1481" s="65">
        <f>CH154</f>
        <v>619165</v>
      </c>
      <c r="CI1481" s="75">
        <f>+CH1481/CD1481-1</f>
        <v>1.7008590529064893E-2</v>
      </c>
      <c r="CJ1481" s="65">
        <f>CJ154</f>
        <v>661939</v>
      </c>
      <c r="CK1481" s="65">
        <f>CK154</f>
        <v>622534</v>
      </c>
      <c r="CL1481" s="65">
        <f>CL154</f>
        <v>622534</v>
      </c>
      <c r="CM1481" s="75">
        <f>+CL1481/CH1481-1</f>
        <v>5.441199034183164E-3</v>
      </c>
      <c r="CN1481" s="65">
        <f>CN154</f>
        <v>619046</v>
      </c>
      <c r="CO1481" s="65">
        <f>CO154</f>
        <v>634198</v>
      </c>
      <c r="CP1481" s="65">
        <f>CP154</f>
        <v>634198</v>
      </c>
      <c r="CQ1481" s="75">
        <f>+CP1481/CL1481-1</f>
        <v>1.8736326048055307E-2</v>
      </c>
      <c r="CR1481" s="65">
        <f>CR154</f>
        <v>655455</v>
      </c>
      <c r="CS1481" s="65">
        <f>CS154</f>
        <v>676507</v>
      </c>
      <c r="CT1481" s="65">
        <f>CT154</f>
        <v>676507</v>
      </c>
      <c r="CU1481" s="75">
        <f>+CT1481/CP1481-1</f>
        <v>6.6712603950185967E-2</v>
      </c>
      <c r="CV1481" s="65">
        <f>CV154</f>
        <v>694271</v>
      </c>
      <c r="CW1481" s="65">
        <f>CW154</f>
        <v>711105</v>
      </c>
      <c r="CX1481" s="65">
        <f>CX154</f>
        <v>711105</v>
      </c>
      <c r="CY1481" s="75">
        <f>+CX1481/CT1481-1</f>
        <v>5.1142116785192204E-2</v>
      </c>
      <c r="CZ1481" s="65">
        <f>CZ154</f>
        <v>719154</v>
      </c>
      <c r="DA1481" s="65">
        <f>DA154</f>
        <v>807572</v>
      </c>
      <c r="DB1481" s="65">
        <f>DB154</f>
        <v>807572</v>
      </c>
      <c r="DC1481" s="75">
        <f>+DB1481/CX1481-1</f>
        <v>0.13565788455994543</v>
      </c>
      <c r="DD1481" s="65">
        <f>DD154</f>
        <v>824547</v>
      </c>
      <c r="DE1481" s="65">
        <f>DE154</f>
        <v>833971</v>
      </c>
      <c r="DF1481" s="65">
        <f>DF154</f>
        <v>833971</v>
      </c>
      <c r="DG1481" s="75">
        <f>+DF1481/DB1481-1</f>
        <v>3.2689345346297305E-2</v>
      </c>
      <c r="DH1481" s="65">
        <f>DH154</f>
        <v>839814.53258427838</v>
      </c>
      <c r="DI1481" s="65">
        <f>DI154</f>
        <v>858051.63310989505</v>
      </c>
      <c r="DJ1481" s="65">
        <f>DJ154</f>
        <v>858051.63310989505</v>
      </c>
      <c r="DK1481" s="75">
        <f>+DJ1481/DF1481-1</f>
        <v>2.8874664838339781E-2</v>
      </c>
      <c r="DL1481" s="65">
        <f>DL154</f>
        <v>877164.28884523176</v>
      </c>
      <c r="DM1481" s="65">
        <f>DM154</f>
        <v>898441.30052072858</v>
      </c>
      <c r="DN1481" s="65">
        <f>DN154</f>
        <v>898441.30052072858</v>
      </c>
      <c r="DO1481" s="75">
        <f>+DN1481/DJ1481-1</f>
        <v>4.7071371759350278E-2</v>
      </c>
      <c r="DP1481" s="65">
        <f>DP154</f>
        <v>916529.72743910458</v>
      </c>
      <c r="DQ1481" s="65">
        <f>DQ154</f>
        <v>936390.7061425281</v>
      </c>
      <c r="DR1481" s="65">
        <f>DR154</f>
        <v>936390.7061425281</v>
      </c>
      <c r="DS1481" s="75">
        <f>+DR1481/DN1481-1</f>
        <v>4.2239159753457933E-2</v>
      </c>
      <c r="DT1481" s="75"/>
      <c r="DU1481" s="75"/>
      <c r="DV1481" s="75"/>
      <c r="DW1481"/>
      <c r="DX1481"/>
    </row>
    <row r="1482" spans="1:128" s="20" customFormat="1" ht="13.8">
      <c r="A1482" s="78" t="s">
        <v>388</v>
      </c>
      <c r="B1482" s="49"/>
      <c r="BH1482" s="79">
        <f>+BH1418/BH1481</f>
        <v>0.56577009669034073</v>
      </c>
      <c r="BI1482" s="79">
        <f>+BI1418/BI1481</f>
        <v>0.55853089929611044</v>
      </c>
      <c r="BJ1482" s="79">
        <f>+BJ1418/BJ1481</f>
        <v>0.55853089929611044</v>
      </c>
      <c r="BK1482" s="49"/>
      <c r="BL1482" s="79">
        <f>+BL1418/BL1481</f>
        <v>0.56808458944381279</v>
      </c>
      <c r="BM1482" s="79">
        <f>+BM1418/BM1481</f>
        <v>0.56358329361138071</v>
      </c>
      <c r="BN1482" s="79">
        <f>+BN1418/BN1481</f>
        <v>0.56358329361138071</v>
      </c>
      <c r="BO1482" s="49"/>
      <c r="BP1482" s="79">
        <f>+BP1418/BP1481</f>
        <v>0.57759034090303607</v>
      </c>
      <c r="BQ1482" s="79">
        <f>+BQ1418/BQ1481</f>
        <v>0.58221477093674023</v>
      </c>
      <c r="BR1482" s="79">
        <f>+BR1418/BR1481</f>
        <v>0.58221477093674023</v>
      </c>
      <c r="BT1482" s="79">
        <f>+BT1418/BT1481</f>
        <v>0.56475433566828603</v>
      </c>
      <c r="BU1482" s="79">
        <f>+BU1418/BU1481</f>
        <v>0.58151431588121516</v>
      </c>
      <c r="BV1482" s="79">
        <f>+BV1418/BV1481</f>
        <v>0.58151431588121516</v>
      </c>
      <c r="BX1482" s="79">
        <f>+BX1418/BX1481</f>
        <v>0.56628777444147549</v>
      </c>
      <c r="BY1482" s="79">
        <f>+BY1418/BY1481</f>
        <v>0.55622221994107801</v>
      </c>
      <c r="BZ1482" s="79">
        <f>+BZ1418/BZ1481</f>
        <v>0.55622221994107801</v>
      </c>
      <c r="CB1482" s="79">
        <f>+CB1418/CB1481</f>
        <v>0.55378257433517397</v>
      </c>
      <c r="CC1482" s="79">
        <f>+CC1418/CC1481</f>
        <v>0.53463313677502011</v>
      </c>
      <c r="CD1482" s="79">
        <f>+CD1418/CD1481</f>
        <v>0.53463313677502011</v>
      </c>
      <c r="CF1482" s="79">
        <f>+CF1418/CF1481</f>
        <v>0.54405779074462401</v>
      </c>
      <c r="CG1482" s="79">
        <f>+CG1418/CG1481</f>
        <v>0.55604725719315529</v>
      </c>
      <c r="CH1482" s="79">
        <f>+CH1418/CH1481</f>
        <v>0.55604725719315529</v>
      </c>
      <c r="CJ1482" s="79">
        <f>+CJ1418/CJ1481</f>
        <v>0.55772359688732642</v>
      </c>
      <c r="CK1482" s="79">
        <f>+CK1418/CK1481</f>
        <v>0.55551504014238584</v>
      </c>
      <c r="CL1482" s="79">
        <f>+CL1418/CL1481</f>
        <v>0.55551504014238584</v>
      </c>
      <c r="CN1482" s="79">
        <f>+CN1418/CN1481</f>
        <v>0.53517509199639446</v>
      </c>
      <c r="CO1482" s="79">
        <f>+CO1418/CO1481</f>
        <v>0.52534066647955369</v>
      </c>
      <c r="CP1482" s="79">
        <f>+CP1418/CP1481</f>
        <v>0.52534066647955369</v>
      </c>
      <c r="CR1482" s="79">
        <f>+CR1418/CR1481</f>
        <v>0.51805539663287337</v>
      </c>
      <c r="CS1482" s="79">
        <f>+CS1418/CS1481</f>
        <v>0.5162947316140114</v>
      </c>
      <c r="CT1482" s="79">
        <f>+CT1418/CT1481</f>
        <v>0.5162947316140114</v>
      </c>
      <c r="CV1482" s="79">
        <f>+CV1418/CV1481</f>
        <v>0.48916921490311421</v>
      </c>
      <c r="CW1482" s="79">
        <f>+CW1418/CW1481</f>
        <v>0.48185007839911126</v>
      </c>
      <c r="CX1482" s="79">
        <f>CW1482</f>
        <v>0.48185007839911126</v>
      </c>
      <c r="CZ1482" s="79">
        <f>+CZ1418/CZ1481</f>
        <v>0.47369826212466315</v>
      </c>
      <c r="DA1482" s="79">
        <f>+DA1418/DA1481</f>
        <v>0.43944812351096868</v>
      </c>
      <c r="DB1482" s="79">
        <f>DA1482</f>
        <v>0.43944812351096868</v>
      </c>
      <c r="DD1482" s="79">
        <f>+DD1418/DD1481</f>
        <v>0.43313480007810351</v>
      </c>
      <c r="DE1482" s="79">
        <f>+DE1418/DE1481</f>
        <v>0.41979637181628615</v>
      </c>
      <c r="DF1482" s="79">
        <f>DE1482</f>
        <v>0.41979637181628615</v>
      </c>
      <c r="DH1482" s="79">
        <f>+DH1418/DH1481</f>
        <v>0.41889922296654963</v>
      </c>
      <c r="DI1482" s="79">
        <f>+DI1418/DI1481</f>
        <v>0.41826301822586121</v>
      </c>
      <c r="DJ1482" s="79">
        <f>DI1482</f>
        <v>0.41826301822586121</v>
      </c>
      <c r="DL1482" s="79">
        <f>+DL1418/DL1481</f>
        <v>0.41713937077560109</v>
      </c>
      <c r="DM1482" s="79">
        <f>+DM1418/DM1481</f>
        <v>0.41641618002016045</v>
      </c>
      <c r="DN1482" s="79">
        <f>DM1482</f>
        <v>0.41641618002016045</v>
      </c>
      <c r="DP1482" s="79">
        <f>+DP1418/DP1481</f>
        <v>0.41584842582198084</v>
      </c>
      <c r="DQ1482" s="79">
        <f>+DQ1418/DQ1481</f>
        <v>0.41559568176140377</v>
      </c>
      <c r="DR1482" s="79">
        <f>DQ1482</f>
        <v>0.41559568176140377</v>
      </c>
      <c r="DW1482"/>
      <c r="DX1482"/>
    </row>
    <row r="1483" spans="1:128" s="20" customFormat="1" ht="13.8">
      <c r="A1483" s="78" t="s">
        <v>389</v>
      </c>
      <c r="B1483" s="49"/>
      <c r="BH1483" s="79">
        <f>BH1422/BH1481</f>
        <v>0.59814885309376464</v>
      </c>
      <c r="BI1483" s="79">
        <f>BI1422/BI1481</f>
        <v>0.58875987318117529</v>
      </c>
      <c r="BJ1483" s="79">
        <f>BJ1422/BJ1481</f>
        <v>0.58875987318117529</v>
      </c>
      <c r="BK1483" s="49"/>
      <c r="BL1483" s="79">
        <f>BL1422/BL1481</f>
        <v>0.59346336627890028</v>
      </c>
      <c r="BM1483" s="79">
        <f>BM1422/BM1481</f>
        <v>0.5865903751967898</v>
      </c>
      <c r="BN1483" s="79">
        <f>BN1422/BN1481</f>
        <v>0.5865903751967898</v>
      </c>
      <c r="BO1483" s="49"/>
      <c r="BP1483" s="79">
        <f>BP1422/BP1481</f>
        <v>0.60333301363683189</v>
      </c>
      <c r="BQ1483" s="79">
        <f>BQ1422/BQ1481</f>
        <v>0.60826895584997409</v>
      </c>
      <c r="BR1483" s="79">
        <f>BR1422/BR1481</f>
        <v>0.60826895584997409</v>
      </c>
      <c r="BT1483" s="79">
        <f>BT1422/BT1481</f>
        <v>0.59016636538244271</v>
      </c>
      <c r="BU1483" s="79">
        <f>BU1422/BU1481</f>
        <v>0.60634814555814109</v>
      </c>
      <c r="BV1483" s="79">
        <f>BV1422/BV1481</f>
        <v>0.60634814555814109</v>
      </c>
      <c r="BX1483" s="79">
        <f>BX1422/BX1481</f>
        <v>0.5884979063937632</v>
      </c>
      <c r="BY1483" s="79">
        <f>BY1422/BY1481</f>
        <v>0.57627518810885159</v>
      </c>
      <c r="BZ1483" s="79">
        <f>BZ1422/BZ1481</f>
        <v>0.57627518810885159</v>
      </c>
      <c r="CB1483" s="79">
        <f>CB1422/CB1481</f>
        <v>0.57522110529998338</v>
      </c>
      <c r="CC1483" s="79">
        <f>CC1422/CC1481</f>
        <v>0.55449154908756426</v>
      </c>
      <c r="CD1483" s="79">
        <f>CD1422/CD1481</f>
        <v>0.55449154908756426</v>
      </c>
      <c r="CF1483" s="79">
        <f>CF1422/CF1481</f>
        <v>0.56254314443127496</v>
      </c>
      <c r="CG1483" s="79">
        <f>CG1422/CG1481</f>
        <v>0.57836925536811679</v>
      </c>
      <c r="CH1483" s="79">
        <f>CH1422/CH1481</f>
        <v>0.57836925536811679</v>
      </c>
      <c r="CJ1483" s="79">
        <f>CJ1422/CJ1481</f>
        <v>0.58313077186870699</v>
      </c>
      <c r="CK1483" s="79">
        <f>CK1422/CK1481</f>
        <v>0.57834110265463412</v>
      </c>
      <c r="CL1483" s="79">
        <f>CL1422/CL1481</f>
        <v>0.57834110265463412</v>
      </c>
      <c r="CN1483" s="79">
        <f>CN1422/CN1481</f>
        <v>0.55224005970477152</v>
      </c>
      <c r="CO1483" s="79">
        <f>CO1422/CO1481</f>
        <v>0.54004900677706336</v>
      </c>
      <c r="CP1483" s="79">
        <f>CP1422/CP1481</f>
        <v>0.54004900677706336</v>
      </c>
      <c r="CR1483" s="79">
        <f>CR1422/CR1481</f>
        <v>0.53217535910169267</v>
      </c>
      <c r="CS1483" s="79">
        <f>CS1422/CS1481</f>
        <v>0.53132044457780925</v>
      </c>
      <c r="CT1483" s="79">
        <f>CT1422/CT1481</f>
        <v>0.53132044457780925</v>
      </c>
      <c r="CV1483" s="79">
        <f>CV1422/CV1481</f>
        <v>0.49734757753096415</v>
      </c>
      <c r="CW1483" s="79">
        <f>CW1422/CW1481</f>
        <v>0.49084312443310057</v>
      </c>
      <c r="CX1483" s="79">
        <f>CW1483</f>
        <v>0.49084312443310057</v>
      </c>
      <c r="CZ1483" s="79">
        <f>CZ1422/CZ1481</f>
        <v>0.48452348175773202</v>
      </c>
      <c r="DA1483" s="79">
        <f>DA1422/DA1481</f>
        <v>0.4472480472329402</v>
      </c>
      <c r="DB1483" s="79">
        <f>DA1483</f>
        <v>0.4472480472329402</v>
      </c>
      <c r="DD1483" s="79">
        <f>DD1422/DD1481</f>
        <v>0.45853177562952746</v>
      </c>
      <c r="DE1483" s="79">
        <f>DE1422/DE1481</f>
        <v>0.44316049359030468</v>
      </c>
      <c r="DF1483" s="79">
        <f>DE1483</f>
        <v>0.44316049359030468</v>
      </c>
      <c r="DH1483" s="79">
        <f ca="1">DH1422/DH1481</f>
        <v>0.44225439094845592</v>
      </c>
      <c r="DI1483" s="79">
        <f ca="1">DI1422/DI1481</f>
        <v>0.4416166057494762</v>
      </c>
      <c r="DJ1483" s="79">
        <f ca="1">DI1483</f>
        <v>0.4416166057494762</v>
      </c>
      <c r="DL1483" s="79">
        <f ca="1">DL1422/DL1481</f>
        <v>0.44049184464481561</v>
      </c>
      <c r="DM1483" s="79">
        <f ca="1">DM1422/DM1481</f>
        <v>0.4397658707711527</v>
      </c>
      <c r="DN1483" s="79">
        <f ca="1">DM1483</f>
        <v>0.4397658707711527</v>
      </c>
      <c r="DP1483" s="79">
        <f ca="1">DP1422/DP1481</f>
        <v>0.4391953959700105</v>
      </c>
      <c r="DQ1483" s="79">
        <f ca="1">DQ1422/DQ1481</f>
        <v>0.43894025435170536</v>
      </c>
      <c r="DR1483" s="79">
        <f ca="1">DQ1483</f>
        <v>0.43894025435170536</v>
      </c>
      <c r="DW1483"/>
      <c r="DX1483"/>
    </row>
    <row r="1484" spans="1:128" s="20" customFormat="1" ht="13.8">
      <c r="A1484" s="78" t="s">
        <v>1014</v>
      </c>
      <c r="B1484" s="49"/>
      <c r="BH1484" s="79"/>
      <c r="BI1484" s="79"/>
      <c r="BJ1484" s="79"/>
      <c r="BK1484" s="49"/>
      <c r="BL1484" s="79"/>
      <c r="BM1484" s="79"/>
      <c r="BN1484" s="79"/>
      <c r="BO1484" s="49"/>
      <c r="BP1484" s="79"/>
      <c r="BQ1484" s="79"/>
      <c r="BR1484" s="79"/>
      <c r="BT1484" s="79"/>
      <c r="BU1484" s="79"/>
      <c r="BV1484" s="79"/>
      <c r="BX1484" s="79"/>
      <c r="BY1484" s="79"/>
      <c r="BZ1484" s="79"/>
      <c r="CB1484" s="79"/>
      <c r="CC1484" s="79"/>
      <c r="CD1484" s="79"/>
      <c r="CF1484" s="79"/>
      <c r="CG1484" s="79"/>
      <c r="CH1484" s="79">
        <f>CH1422/CH1438</f>
        <v>0.3664549429655849</v>
      </c>
      <c r="CJ1484" s="79">
        <f>CJ1422/CJ1438</f>
        <v>0.35904593498241499</v>
      </c>
      <c r="CK1484" s="79"/>
      <c r="CL1484" s="79">
        <f>CL1422/CL1438</f>
        <v>0.35632516079994697</v>
      </c>
      <c r="CN1484" s="79">
        <f>CN1422/CN1438</f>
        <v>0.32708088760810228</v>
      </c>
      <c r="CO1484" s="79"/>
      <c r="CP1484" s="79">
        <f>CP1422/CP1438</f>
        <v>0.3170931324170137</v>
      </c>
      <c r="CR1484" s="79">
        <f>CR1422/CR1438</f>
        <v>0.31636348465376302</v>
      </c>
      <c r="CS1484" s="79"/>
      <c r="CT1484" s="79">
        <f>CT1422/CT1438</f>
        <v>0.31193195575145211</v>
      </c>
      <c r="CV1484" s="79">
        <f>CV1422/CV1438</f>
        <v>0.28932398565169409</v>
      </c>
      <c r="CW1484" s="79">
        <f>CW1422/CW1438</f>
        <v>0.30018834821198204</v>
      </c>
      <c r="CX1484" s="79">
        <f>CX1422/CX1438</f>
        <v>0.30018834821198204</v>
      </c>
      <c r="CZ1484" s="79">
        <f>CZ1422/CZ1438</f>
        <v>0.30279280868491465</v>
      </c>
      <c r="DA1484" s="79">
        <f>DA1422/DA1438</f>
        <v>0.28672189123644026</v>
      </c>
      <c r="DB1484" s="79">
        <f>DB1422/DB1438</f>
        <v>0.28672189123644026</v>
      </c>
      <c r="DD1484" s="79">
        <f>DD1422/DD1438</f>
        <v>0.30115873479892402</v>
      </c>
      <c r="DE1484" s="79">
        <f>DE1422/DE1438</f>
        <v>0.28017815177014632</v>
      </c>
      <c r="DF1484" s="79">
        <f>DF1422/DF1438</f>
        <v>0.28017815177014632</v>
      </c>
      <c r="DH1484" s="79">
        <f ca="1">DH1422/DH1438</f>
        <v>0.28020684988269323</v>
      </c>
      <c r="DI1484" s="79">
        <f ca="1">DI1422/DI1438</f>
        <v>0.28022959827039839</v>
      </c>
      <c r="DJ1484" s="79">
        <f ca="1">DJ1422/DJ1438</f>
        <v>0.28022959827039839</v>
      </c>
      <c r="DL1484" s="79">
        <f ca="1">DL1422/DL1438</f>
        <v>0.28027157759765653</v>
      </c>
      <c r="DM1484" s="79">
        <f ca="1">DM1422/DM1438</f>
        <v>0.28029762991603996</v>
      </c>
      <c r="DN1484" s="79">
        <f ca="1">DN1422/DN1438</f>
        <v>0.28029762991603996</v>
      </c>
      <c r="DP1484" s="79">
        <f ca="1">DP1422/DP1438</f>
        <v>0.28031792406456491</v>
      </c>
      <c r="DQ1484" s="79">
        <f ca="1">DQ1422/DQ1438</f>
        <v>0.28032656302014558</v>
      </c>
      <c r="DR1484" s="79">
        <f ca="1">DR1422/DR1438</f>
        <v>0.28032656302014558</v>
      </c>
      <c r="DW1484" s="540"/>
      <c r="DX1484" s="717"/>
    </row>
    <row r="1485" spans="1:128" s="20" customFormat="1" ht="13.8">
      <c r="A1485" s="578" t="s">
        <v>913</v>
      </c>
      <c r="B1485" s="547"/>
      <c r="C1485" s="533"/>
      <c r="D1485" s="533"/>
      <c r="E1485" s="533"/>
      <c r="F1485" s="533"/>
      <c r="G1485" s="533"/>
      <c r="H1485" s="533"/>
      <c r="I1485" s="533"/>
      <c r="J1485" s="533"/>
      <c r="K1485" s="533"/>
      <c r="L1485" s="533"/>
      <c r="M1485" s="533"/>
      <c r="N1485" s="533"/>
      <c r="O1485" s="533"/>
      <c r="P1485" s="533"/>
      <c r="Q1485" s="533"/>
      <c r="R1485" s="533"/>
      <c r="S1485" s="533"/>
      <c r="T1485" s="533"/>
      <c r="U1485" s="533"/>
      <c r="V1485" s="533"/>
      <c r="W1485" s="533"/>
      <c r="X1485" s="533"/>
      <c r="Y1485" s="533"/>
      <c r="Z1485" s="533"/>
      <c r="AA1485" s="533"/>
      <c r="AB1485" s="533"/>
      <c r="AC1485" s="533"/>
      <c r="AD1485" s="533"/>
      <c r="AE1485" s="533"/>
      <c r="AF1485" s="533"/>
      <c r="AG1485" s="533"/>
      <c r="AH1485" s="533"/>
      <c r="AI1485" s="533"/>
      <c r="AJ1485" s="533"/>
      <c r="AK1485" s="533"/>
      <c r="AL1485" s="533"/>
      <c r="AM1485" s="533"/>
      <c r="AN1485" s="533"/>
      <c r="AO1485" s="533"/>
      <c r="AP1485" s="533"/>
      <c r="AQ1485" s="533"/>
      <c r="AR1485" s="533"/>
      <c r="AS1485" s="533"/>
      <c r="AT1485" s="533"/>
      <c r="AU1485" s="533"/>
      <c r="AV1485" s="533"/>
      <c r="AW1485" s="533"/>
      <c r="AX1485" s="533"/>
      <c r="AY1485" s="533"/>
      <c r="AZ1485" s="533"/>
      <c r="BA1485" s="533"/>
      <c r="BB1485" s="533"/>
      <c r="BC1485" s="533"/>
      <c r="BD1485" s="533"/>
      <c r="BE1485" s="533"/>
      <c r="BF1485" s="533"/>
      <c r="BG1485" s="533"/>
      <c r="BH1485" s="549">
        <f>+BH1403/BH1488</f>
        <v>1.0183904970042965E-2</v>
      </c>
      <c r="BI1485" s="348">
        <f>+BI1403/BI1488</f>
        <v>6.1209539185911703E-3</v>
      </c>
      <c r="BJ1485" s="348">
        <f>+BJ1403/BJ1488</f>
        <v>6.1209539185911703E-3</v>
      </c>
      <c r="BK1485" s="533"/>
      <c r="BL1485" s="549">
        <f>+BL1403/BL1488</f>
        <v>9.628429890961826E-3</v>
      </c>
      <c r="BM1485" s="348">
        <f>+BM1403/BM1488</f>
        <v>9.1284458328800191E-3</v>
      </c>
      <c r="BN1485" s="348">
        <f>+BN1403/BN1488</f>
        <v>9.1284458328800191E-3</v>
      </c>
      <c r="BO1485" s="533"/>
      <c r="BP1485" s="549">
        <f>+BP1403/BP1488</f>
        <v>7.0248707398205068E-3</v>
      </c>
      <c r="BQ1485" s="348">
        <f>+BQ1403/BQ1488</f>
        <v>7.7177210922575569E-3</v>
      </c>
      <c r="BR1485" s="348">
        <f>+BR1403/BR1488</f>
        <v>7.7177210922575569E-3</v>
      </c>
      <c r="BS1485" s="533"/>
      <c r="BT1485" s="549">
        <f>+BT1403/BT1488</f>
        <v>6.7677302469177168E-3</v>
      </c>
      <c r="BU1485" s="348">
        <f>+BU1403/BU1488</f>
        <v>6.7638099006524432E-3</v>
      </c>
      <c r="BV1485" s="348">
        <f>+BV1403/BV1488</f>
        <v>6.7638099006524432E-3</v>
      </c>
      <c r="BW1485" s="533"/>
      <c r="BX1485" s="549">
        <f>+BX1403/BX1488</f>
        <v>7.0528972873729378E-3</v>
      </c>
      <c r="BY1485" s="348">
        <f>+BY1403/BY1488</f>
        <v>5.9766461687279764E-3</v>
      </c>
      <c r="BZ1485" s="348">
        <f>+BZ1403/BZ1488</f>
        <v>5.9766461687279764E-3</v>
      </c>
      <c r="CA1485" s="533"/>
      <c r="CB1485" s="549">
        <f>+CB1403/CB1488</f>
        <v>7.0088813363685916E-3</v>
      </c>
      <c r="CC1485" s="348">
        <f>+CC1403/CC1488</f>
        <v>7.2181190904830666E-3</v>
      </c>
      <c r="CD1485" s="348">
        <f>+CD1403/CD1488</f>
        <v>7.2181190904830666E-3</v>
      </c>
      <c r="CE1485" s="325"/>
      <c r="CF1485" s="549">
        <f>+CF1403/CF1488</f>
        <v>5.9065359543799155E-3</v>
      </c>
      <c r="CG1485" s="348">
        <f>+CG1403/CG1488</f>
        <v>5.4090305431351588E-3</v>
      </c>
      <c r="CH1485" s="348">
        <f>+CH1403/CH1488</f>
        <v>5.4090305431351588E-3</v>
      </c>
      <c r="CI1485" s="325"/>
      <c r="CJ1485" s="549">
        <f>+CJ1403/CJ1488</f>
        <v>6.1758938393241475E-3</v>
      </c>
      <c r="CK1485" s="348">
        <f>+CK1403/CK1488</f>
        <v>7.9028212985687227E-3</v>
      </c>
      <c r="CL1485" s="348">
        <f>+CL1403/CL1488</f>
        <v>7.9028212985687227E-3</v>
      </c>
      <c r="CM1485" s="325"/>
      <c r="CN1485" s="549">
        <f>+CN1403/CN1488</f>
        <v>8.7937317533748581E-3</v>
      </c>
      <c r="CO1485" s="348">
        <f>+CO1403/CO1488</f>
        <v>7.280940934171181E-3</v>
      </c>
      <c r="CP1485" s="348">
        <f>+CP1403/CP1488</f>
        <v>7.280940934171181E-3</v>
      </c>
      <c r="CQ1485" s="325"/>
      <c r="CR1485" s="549">
        <f>+CR1403/CR1488</f>
        <v>7.5735161855034743E-3</v>
      </c>
      <c r="CS1485" s="348">
        <f>+CS1403/CS1488</f>
        <v>8.5490946635854801E-3</v>
      </c>
      <c r="CT1485" s="348">
        <f>+CT1403/CT1488</f>
        <v>8.5490946635854801E-3</v>
      </c>
      <c r="CU1485" s="325"/>
      <c r="CV1485" s="549">
        <f>+CV1403/CV1488</f>
        <v>1.0562103313694558E-2</v>
      </c>
      <c r="CW1485" s="549">
        <f>+CW1403/CW1488</f>
        <v>9.2832858345777078E-3</v>
      </c>
      <c r="CX1485" s="348">
        <f>+CX1403/CX1488</f>
        <v>9.2832858345777078E-3</v>
      </c>
      <c r="CY1485" s="325"/>
      <c r="CZ1485" s="549">
        <f>+CZ1403/CZ1488</f>
        <v>1.0886492508481701E-2</v>
      </c>
      <c r="DA1485" s="549">
        <f>+DA1403/DA1488</f>
        <v>6.3647421111938263E-3</v>
      </c>
      <c r="DB1485" s="348">
        <f>+DB1403/DB1488</f>
        <v>6.3647421111938263E-3</v>
      </c>
      <c r="DC1485" s="325"/>
      <c r="DD1485" s="549">
        <f>+DD1403/DD1488</f>
        <v>5.2617477692845664E-3</v>
      </c>
      <c r="DE1485" s="549">
        <f>+DE1403/DE1488</f>
        <v>5.315671478396556E-3</v>
      </c>
      <c r="DF1485" s="348">
        <f>+DF1403/DF1488</f>
        <v>5.315671478396556E-3</v>
      </c>
      <c r="DG1485" s="325"/>
      <c r="DH1485" s="1742">
        <v>5.7999999999999996E-3</v>
      </c>
      <c r="DI1485" s="1314">
        <f>DH1485</f>
        <v>5.7999999999999996E-3</v>
      </c>
      <c r="DJ1485" s="348">
        <f ca="1">+DJ1403/DJ1488</f>
        <v>5.7999999999999996E-3</v>
      </c>
      <c r="DK1485" s="325"/>
      <c r="DL1485" s="1314">
        <f>DI1485</f>
        <v>5.7999999999999996E-3</v>
      </c>
      <c r="DM1485" s="1314">
        <f>DL1485</f>
        <v>5.7999999999999996E-3</v>
      </c>
      <c r="DN1485" s="348">
        <f ca="1">+DN1403/DN1488</f>
        <v>5.7999999999999996E-3</v>
      </c>
      <c r="DO1485" s="325"/>
      <c r="DP1485" s="1314">
        <f>DM1485</f>
        <v>5.7999999999999996E-3</v>
      </c>
      <c r="DQ1485" s="1314">
        <f>DP1485</f>
        <v>5.7999999999999996E-3</v>
      </c>
      <c r="DR1485" s="348">
        <f ca="1">+DR1403/DR1488</f>
        <v>5.7999999999999996E-3</v>
      </c>
      <c r="DS1485" s="325"/>
      <c r="DT1485" s="325"/>
      <c r="DU1485" s="325"/>
      <c r="DV1485" s="325"/>
      <c r="DW1485" s="540"/>
      <c r="DX1485" s="717"/>
    </row>
    <row r="1486" spans="1:128" s="20" customFormat="1" ht="13.8">
      <c r="A1486" s="362" t="s">
        <v>14</v>
      </c>
      <c r="B1486" s="324"/>
      <c r="C1486" s="325"/>
      <c r="D1486" s="325"/>
      <c r="E1486" s="325"/>
      <c r="F1486" s="325"/>
      <c r="G1486" s="325"/>
      <c r="H1486" s="325"/>
      <c r="I1486" s="325"/>
      <c r="J1486" s="325"/>
      <c r="K1486" s="325"/>
      <c r="L1486" s="325"/>
      <c r="M1486" s="325"/>
      <c r="N1486" s="325"/>
      <c r="O1486" s="325"/>
      <c r="P1486" s="325"/>
      <c r="Q1486" s="325"/>
      <c r="R1486" s="325"/>
      <c r="S1486" s="325"/>
      <c r="T1486" s="325"/>
      <c r="U1486" s="325"/>
      <c r="V1486" s="325"/>
      <c r="W1486" s="325"/>
      <c r="X1486" s="325"/>
      <c r="Y1486" s="325"/>
      <c r="Z1486" s="325"/>
      <c r="AA1486" s="325"/>
      <c r="AB1486" s="325"/>
      <c r="AC1486" s="325"/>
      <c r="AD1486" s="325"/>
      <c r="AE1486" s="325"/>
      <c r="AF1486" s="325"/>
      <c r="AG1486" s="325"/>
      <c r="AH1486" s="325"/>
      <c r="AI1486" s="325"/>
      <c r="AJ1486" s="325"/>
      <c r="AK1486" s="325"/>
      <c r="AL1486" s="325"/>
      <c r="AM1486" s="325"/>
      <c r="AN1486" s="325"/>
      <c r="AO1486" s="325"/>
      <c r="AP1486" s="325"/>
      <c r="AQ1486" s="325"/>
      <c r="AR1486" s="325"/>
      <c r="AS1486" s="325"/>
      <c r="AT1486" s="325"/>
      <c r="AU1486" s="325"/>
      <c r="AV1486" s="325"/>
      <c r="AW1486" s="325"/>
      <c r="AX1486" s="325"/>
      <c r="AY1486" s="325"/>
      <c r="AZ1486" s="325"/>
      <c r="BA1486" s="325"/>
      <c r="BB1486" s="325"/>
      <c r="BC1486" s="325"/>
      <c r="BD1486" s="325"/>
      <c r="BE1486" s="325"/>
      <c r="BF1486" s="325"/>
      <c r="BG1486" s="325"/>
      <c r="BH1486" s="348">
        <f>+BH1404/BH1488</f>
        <v>1.8775552681266076E-2</v>
      </c>
      <c r="BI1486" s="348">
        <f>+BI1404/BI1488</f>
        <v>2.6012987290094523E-2</v>
      </c>
      <c r="BJ1486" s="348">
        <f>+BJ1404/BJ1488</f>
        <v>2.6012987290094523E-2</v>
      </c>
      <c r="BK1486" s="324"/>
      <c r="BL1486" s="348">
        <f>+BL1404/BL1488</f>
        <v>2.2172224744685321E-2</v>
      </c>
      <c r="BM1486" s="348">
        <f>+BM1404/BM1488</f>
        <v>1.7649451101682184E-2</v>
      </c>
      <c r="BN1486" s="348">
        <f>+BN1404/BN1488</f>
        <v>1.7649451101682184E-2</v>
      </c>
      <c r="BO1486" s="324"/>
      <c r="BP1486" s="348">
        <f>+BP1404/BP1488</f>
        <v>8.9409559730585387E-3</v>
      </c>
      <c r="BQ1486" s="348">
        <f>+BQ1404/BQ1488</f>
        <v>8.3526238903247549E-3</v>
      </c>
      <c r="BR1486" s="348">
        <f>+BR1404/BR1488</f>
        <v>8.3526238903247549E-3</v>
      </c>
      <c r="BS1486" s="325"/>
      <c r="BT1486" s="348">
        <f>+BT1404/BT1488</f>
        <v>1.1482466898549948E-2</v>
      </c>
      <c r="BU1486" s="348">
        <f>+BU1404/BU1488</f>
        <v>1.2788716198712602E-2</v>
      </c>
      <c r="BV1486" s="348">
        <f>+BV1404/BV1488</f>
        <v>1.2788716198712602E-2</v>
      </c>
      <c r="BW1486" s="325"/>
      <c r="BX1486" s="348">
        <f>+BX1404/BX1488</f>
        <v>1.1524677332458832E-2</v>
      </c>
      <c r="BY1486" s="348">
        <f>+BY1404/BY1488</f>
        <v>1.2939555969625309E-2</v>
      </c>
      <c r="BZ1486" s="348">
        <f>+BZ1404/BZ1488</f>
        <v>1.2939555969625309E-2</v>
      </c>
      <c r="CA1486" s="325"/>
      <c r="CB1486" s="348">
        <f>+CB1404/CB1488</f>
        <v>9.639082155033292E-3</v>
      </c>
      <c r="CC1486" s="348">
        <f>+CC1404/CC1488</f>
        <v>9.344962053983219E-3</v>
      </c>
      <c r="CD1486" s="348">
        <f>+CD1404/CD1488</f>
        <v>9.344962053983219E-3</v>
      </c>
      <c r="CE1486" s="325"/>
      <c r="CF1486" s="348">
        <f>+CF1404/CF1488</f>
        <v>7.3908208962836768E-3</v>
      </c>
      <c r="CG1486" s="348">
        <f>+CG1404/CG1488</f>
        <v>7.0550799735409021E-3</v>
      </c>
      <c r="CH1486" s="348">
        <f>+CH1404/CH1488</f>
        <v>7.0550799735409021E-3</v>
      </c>
      <c r="CI1486" s="325"/>
      <c r="CJ1486" s="348">
        <f>+CJ1404/CJ1488</f>
        <v>6.9663595531999079E-3</v>
      </c>
      <c r="CK1486" s="348">
        <f>+CK1404/CK1488</f>
        <v>1.299739227045168E-2</v>
      </c>
      <c r="CL1486" s="348">
        <f>+CL1404/CL1488</f>
        <v>1.299739227045168E-2</v>
      </c>
      <c r="CM1486" s="325"/>
      <c r="CN1486" s="348">
        <f>+CN1404/CN1488</f>
        <v>9.9672113117537479E-3</v>
      </c>
      <c r="CO1486" s="348">
        <f>+CO1404/CO1488</f>
        <v>1.8425571865962036E-2</v>
      </c>
      <c r="CP1486" s="348">
        <f>+CP1404/CP1488</f>
        <v>1.8425571865962036E-2</v>
      </c>
      <c r="CQ1486" s="325"/>
      <c r="CR1486" s="348">
        <f>+CR1404/CR1488</f>
        <v>3.2832003585747831E-2</v>
      </c>
      <c r="CS1486" s="348">
        <f>+CS1404/CS1488</f>
        <v>3.5057551193714086E-2</v>
      </c>
      <c r="CT1486" s="348">
        <f>+CT1404/CT1488</f>
        <v>3.5057551193714086E-2</v>
      </c>
      <c r="CU1486" s="325"/>
      <c r="CV1486" s="348">
        <f>+CV1404/CV1488</f>
        <v>2.8695048850965185E-2</v>
      </c>
      <c r="CW1486" s="348">
        <f>+CW1404/CW1488</f>
        <v>2.8673812433127149E-2</v>
      </c>
      <c r="CX1486" s="348">
        <f>+CX1404/CX1488</f>
        <v>2.8673812433127149E-2</v>
      </c>
      <c r="CY1486" s="325"/>
      <c r="CZ1486" s="348">
        <f>+CZ1404/CZ1488</f>
        <v>2.4043336737943229E-2</v>
      </c>
      <c r="DA1486" s="348">
        <f>+DA1404/DA1488</f>
        <v>1.8754957835515798E-2</v>
      </c>
      <c r="DB1486" s="348">
        <f>+DB1404/DB1488</f>
        <v>1.8754957835515798E-2</v>
      </c>
      <c r="DC1486" s="325"/>
      <c r="DD1486" s="348">
        <f>+DD1404/DD1488</f>
        <v>1.6395556916925954E-2</v>
      </c>
      <c r="DE1486" s="348">
        <f>+DE1404/DE1488</f>
        <v>1.9117143676548137E-2</v>
      </c>
      <c r="DF1486" s="348">
        <f>+DF1404/DF1488</f>
        <v>1.9117143676548137E-2</v>
      </c>
      <c r="DG1486" s="325"/>
      <c r="DH1486" s="1742">
        <v>2.0500000000000001E-2</v>
      </c>
      <c r="DI1486" s="1316">
        <f>DH1486</f>
        <v>2.0500000000000001E-2</v>
      </c>
      <c r="DJ1486" s="1317">
        <f ca="1">+DJ1404/DJ1488</f>
        <v>2.0500000000000001E-2</v>
      </c>
      <c r="DK1486" s="1255"/>
      <c r="DL1486" s="1315">
        <f>DI1486</f>
        <v>2.0500000000000001E-2</v>
      </c>
      <c r="DM1486" s="1316">
        <f>DL1486</f>
        <v>2.0500000000000001E-2</v>
      </c>
      <c r="DN1486" s="348">
        <f ca="1">+DN1404/DN1488</f>
        <v>2.0500000000000001E-2</v>
      </c>
      <c r="DO1486" s="325"/>
      <c r="DP1486" s="1315">
        <f>DM1486</f>
        <v>2.0500000000000001E-2</v>
      </c>
      <c r="DQ1486" s="1316">
        <f>DP1486</f>
        <v>2.0500000000000001E-2</v>
      </c>
      <c r="DR1486" s="348">
        <f ca="1">+DR1404/DR1488</f>
        <v>2.0500000000000001E-2</v>
      </c>
      <c r="DS1486" s="325"/>
      <c r="DT1486" s="325"/>
      <c r="DU1486" s="325"/>
      <c r="DV1486" s="325"/>
      <c r="DW1486" s="540"/>
      <c r="DX1486" s="717"/>
    </row>
    <row r="1487" spans="1:128" s="20" customFormat="1" ht="13.8">
      <c r="A1487" s="578" t="s">
        <v>914</v>
      </c>
      <c r="B1487" s="547"/>
      <c r="C1487" s="533"/>
      <c r="D1487" s="533"/>
      <c r="E1487" s="533"/>
      <c r="F1487" s="533"/>
      <c r="G1487" s="533"/>
      <c r="H1487" s="533"/>
      <c r="I1487" s="533"/>
      <c r="J1487" s="533"/>
      <c r="K1487" s="533"/>
      <c r="L1487" s="533"/>
      <c r="M1487" s="533"/>
      <c r="N1487" s="533"/>
      <c r="O1487" s="533"/>
      <c r="P1487" s="533"/>
      <c r="Q1487" s="533"/>
      <c r="R1487" s="533"/>
      <c r="S1487" s="533"/>
      <c r="T1487" s="533"/>
      <c r="U1487" s="533"/>
      <c r="V1487" s="533"/>
      <c r="W1487" s="533"/>
      <c r="X1487" s="533"/>
      <c r="Y1487" s="533"/>
      <c r="Z1487" s="533"/>
      <c r="AA1487" s="533"/>
      <c r="AB1487" s="533"/>
      <c r="AC1487" s="533"/>
      <c r="AD1487" s="533"/>
      <c r="AE1487" s="533"/>
      <c r="AF1487" s="533"/>
      <c r="AG1487" s="533"/>
      <c r="AH1487" s="533"/>
      <c r="AI1487" s="533"/>
      <c r="AJ1487" s="533"/>
      <c r="AK1487" s="533"/>
      <c r="AL1487" s="533"/>
      <c r="AM1487" s="533"/>
      <c r="AN1487" s="533"/>
      <c r="AO1487" s="533"/>
      <c r="AP1487" s="533"/>
      <c r="AQ1487" s="533"/>
      <c r="AR1487" s="533"/>
      <c r="AS1487" s="533"/>
      <c r="AT1487" s="533"/>
      <c r="AU1487" s="533"/>
      <c r="AV1487" s="533"/>
      <c r="AW1487" s="533"/>
      <c r="AX1487" s="533"/>
      <c r="AY1487" s="533"/>
      <c r="AZ1487" s="533"/>
      <c r="BA1487" s="533"/>
      <c r="BB1487" s="533"/>
      <c r="BC1487" s="533"/>
      <c r="BD1487" s="533"/>
      <c r="BE1487" s="533"/>
      <c r="BF1487" s="533"/>
      <c r="BG1487" s="533"/>
      <c r="BH1487" s="549">
        <f>+BH1405/BH1488</f>
        <v>4.1813478435395388E-2</v>
      </c>
      <c r="BI1487" s="549">
        <f>+BI1405/BI1488</f>
        <v>4.128621113948179E-2</v>
      </c>
      <c r="BJ1487" s="549">
        <f>+BJ1405/BJ1488</f>
        <v>4.128621113948179E-2</v>
      </c>
      <c r="BK1487" s="533"/>
      <c r="BL1487" s="549">
        <f>+BL1405/BL1488</f>
        <v>4.3302182796500478E-2</v>
      </c>
      <c r="BM1487" s="549">
        <f>+BM1405/BM1488</f>
        <v>4.1405687405127886E-2</v>
      </c>
      <c r="BN1487" s="549">
        <f>+BN1405/BN1488</f>
        <v>4.1405687405127886E-2</v>
      </c>
      <c r="BO1487" s="533"/>
      <c r="BP1487" s="549">
        <f>+BP1405/BP1488</f>
        <v>3.8872811703932274E-2</v>
      </c>
      <c r="BQ1487" s="549">
        <f>+BQ1405/BQ1488</f>
        <v>4.2572199123497023E-2</v>
      </c>
      <c r="BR1487" s="549">
        <f>+BR1405/BR1488</f>
        <v>4.2572199123497023E-2</v>
      </c>
      <c r="BS1487" s="533"/>
      <c r="BT1487" s="549">
        <f>+BT1405/BT1488</f>
        <v>4.2096421446746149E-2</v>
      </c>
      <c r="BU1487" s="549">
        <f>+BU1405/BU1488</f>
        <v>4.2258509141745976E-2</v>
      </c>
      <c r="BV1487" s="549">
        <f>+BV1405/BV1488</f>
        <v>4.2258509141745976E-2</v>
      </c>
      <c r="BW1487" s="533"/>
      <c r="BX1487" s="549">
        <f>+BX1405/BX1488</f>
        <v>4.3029031434081676E-2</v>
      </c>
      <c r="BY1487" s="549">
        <f>+BY1405/BY1488</f>
        <v>4.1573519545850673E-2</v>
      </c>
      <c r="BZ1487" s="549">
        <f>+BZ1405/BZ1488</f>
        <v>4.1573519545850673E-2</v>
      </c>
      <c r="CA1487" s="533"/>
      <c r="CB1487" s="549">
        <f>+CB1405/CB1488</f>
        <v>3.9947844859833062E-2</v>
      </c>
      <c r="CC1487" s="549">
        <f>+CC1405/CC1488</f>
        <v>3.9884136889804939E-2</v>
      </c>
      <c r="CD1487" s="549">
        <f>+CD1405/CD1488</f>
        <v>3.9884136889804939E-2</v>
      </c>
      <c r="CE1487" s="325"/>
      <c r="CF1487" s="549">
        <f>+CF1405/CF1488</f>
        <v>3.849245616003754E-2</v>
      </c>
      <c r="CG1487" s="549">
        <f>+CG1405/CG1488</f>
        <v>4.7522415320184641E-2</v>
      </c>
      <c r="CH1487" s="549">
        <f>+CH1405/CH1488</f>
        <v>4.7522415320184641E-2</v>
      </c>
      <c r="CI1487" s="325"/>
      <c r="CJ1487" s="549">
        <f>+CJ1405/CJ1488</f>
        <v>4.1655543042988637E-2</v>
      </c>
      <c r="CK1487" s="549">
        <f>+CK1405/CK1488</f>
        <v>4.5633348236472526E-2</v>
      </c>
      <c r="CL1487" s="549">
        <f>+CL1405/CL1488</f>
        <v>4.5633348236472526E-2</v>
      </c>
      <c r="CM1487" s="325"/>
      <c r="CN1487" s="549">
        <f>+CN1405/CN1488</f>
        <v>4.6349005586548288E-2</v>
      </c>
      <c r="CO1487" s="549">
        <f>+CO1405/CO1488</f>
        <v>4.9470964604635813E-2</v>
      </c>
      <c r="CP1487" s="549">
        <f>+CP1405/CP1488</f>
        <v>4.9470964604635813E-2</v>
      </c>
      <c r="CQ1487" s="325"/>
      <c r="CR1487" s="549">
        <f>+CR1405/CR1488</f>
        <v>4.7167131431222545E-2</v>
      </c>
      <c r="CS1487" s="549">
        <f>+CS1405/CS1488</f>
        <v>4.414637538464939E-2</v>
      </c>
      <c r="CT1487" s="549">
        <f>+CT1405/CT1488</f>
        <v>4.414637538464939E-2</v>
      </c>
      <c r="CU1487" s="325"/>
      <c r="CV1487" s="549">
        <f>+CV1405/CV1488</f>
        <v>3.8082785220434526E-2</v>
      </c>
      <c r="CW1487" s="549">
        <f>+CW1405/CW1488</f>
        <v>3.8275465046131524E-2</v>
      </c>
      <c r="CX1487" s="549">
        <f>+CX1405/CX1488</f>
        <v>3.8275465046131524E-2</v>
      </c>
      <c r="CY1487" s="325"/>
      <c r="CZ1487" s="549">
        <f>+CZ1405/CZ1488</f>
        <v>3.9711883740372343E-2</v>
      </c>
      <c r="DA1487" s="549">
        <f>+DA1405/DA1488</f>
        <v>4.0394918294870699E-2</v>
      </c>
      <c r="DB1487" s="549">
        <f>+DB1405/DB1488</f>
        <v>4.0394918294870699E-2</v>
      </c>
      <c r="DC1487" s="325"/>
      <c r="DD1487" s="549">
        <f>+DD1405/DD1488</f>
        <v>3.8881966883385577E-2</v>
      </c>
      <c r="DE1487" s="549">
        <f>+DE1405/DE1488</f>
        <v>4.1456069964875705E-2</v>
      </c>
      <c r="DF1487" s="549">
        <f>+DF1405/DF1488</f>
        <v>4.1456069964875705E-2</v>
      </c>
      <c r="DG1487" s="325"/>
      <c r="DH1487" s="1314">
        <f>DE1487</f>
        <v>4.1456069964875705E-2</v>
      </c>
      <c r="DI1487" s="1314">
        <f>DH1487</f>
        <v>4.1456069964875705E-2</v>
      </c>
      <c r="DJ1487" s="549">
        <f ca="1">+DJ1405/DJ1488</f>
        <v>4.1456069964875705E-2</v>
      </c>
      <c r="DK1487" s="325"/>
      <c r="DL1487" s="1296">
        <v>3.9E-2</v>
      </c>
      <c r="DM1487" s="1296">
        <v>3.6900000000000002E-2</v>
      </c>
      <c r="DN1487" s="549">
        <f ca="1">+DN1405/DN1488</f>
        <v>3.6900000000000002E-2</v>
      </c>
      <c r="DO1487" s="325"/>
      <c r="DP1487" s="1296">
        <v>3.9E-2</v>
      </c>
      <c r="DQ1487" s="1296">
        <v>3.6900000000000002E-2</v>
      </c>
      <c r="DR1487" s="549">
        <f ca="1">+DR1405/DR1488</f>
        <v>3.6900000000000002E-2</v>
      </c>
      <c r="DS1487" s="325"/>
      <c r="DT1487" s="325"/>
      <c r="DU1487" s="325"/>
      <c r="DV1487" s="325"/>
      <c r="DW1487" s="540"/>
      <c r="DX1487" s="717"/>
    </row>
    <row r="1488" spans="1:128" s="20" customFormat="1" ht="13.8">
      <c r="A1488" s="20" t="s">
        <v>186</v>
      </c>
      <c r="B1488" s="49"/>
      <c r="BH1488" s="65">
        <f>BH370</f>
        <v>672630</v>
      </c>
      <c r="BI1488" s="65">
        <f>BI370</f>
        <v>702995</v>
      </c>
      <c r="BJ1488" s="65">
        <f>BJ370</f>
        <v>702995</v>
      </c>
      <c r="BK1488" s="49"/>
      <c r="BL1488" s="65">
        <f>BL370</f>
        <v>737815</v>
      </c>
      <c r="BM1488" s="65">
        <f>BM370</f>
        <v>772092</v>
      </c>
      <c r="BN1488" s="65">
        <f>BN370</f>
        <v>772092</v>
      </c>
      <c r="BO1488" s="49"/>
      <c r="BP1488" s="65">
        <f>BP370</f>
        <v>860087</v>
      </c>
      <c r="BQ1488" s="65">
        <f>BQ370</f>
        <v>889900</v>
      </c>
      <c r="BR1488" s="65">
        <f>BR370</f>
        <v>889900</v>
      </c>
      <c r="BT1488" s="65">
        <f>BT370</f>
        <v>895278</v>
      </c>
      <c r="BU1488" s="65">
        <f>BU370</f>
        <v>914869</v>
      </c>
      <c r="BV1488" s="65">
        <f>BV370</f>
        <v>914869</v>
      </c>
      <c r="BX1488" s="65">
        <f>BX370</f>
        <v>896511</v>
      </c>
      <c r="BY1488" s="65">
        <f>BY370</f>
        <v>897326</v>
      </c>
      <c r="BZ1488" s="65">
        <f>BZ370</f>
        <v>897326</v>
      </c>
      <c r="CB1488" s="65">
        <f>CB370</f>
        <v>935670</v>
      </c>
      <c r="CC1488" s="65">
        <f>CC370</f>
        <v>943182</v>
      </c>
      <c r="CD1488" s="65">
        <f>CD370</f>
        <v>943182</v>
      </c>
      <c r="CF1488" s="65">
        <f>CF370</f>
        <v>980270</v>
      </c>
      <c r="CG1488" s="65">
        <f>CG370</f>
        <v>981137</v>
      </c>
      <c r="CH1488" s="65">
        <f>CH370</f>
        <v>981137</v>
      </c>
      <c r="CJ1488" s="65">
        <f>CJ370</f>
        <v>1149955</v>
      </c>
      <c r="CK1488" s="65">
        <f>CK370</f>
        <v>1042286</v>
      </c>
      <c r="CL1488" s="65">
        <f>CL370</f>
        <v>1042286</v>
      </c>
      <c r="CN1488" s="65">
        <f>CN370</f>
        <v>1018339</v>
      </c>
      <c r="CO1488" s="65">
        <f>CO370</f>
        <v>978857</v>
      </c>
      <c r="CP1488" s="65">
        <f>CP370</f>
        <v>978857</v>
      </c>
      <c r="CR1488" s="65">
        <f>CR370</f>
        <v>1017361</v>
      </c>
      <c r="CS1488" s="65">
        <f>CS370</f>
        <v>1085729</v>
      </c>
      <c r="CT1488" s="65">
        <f>CT370</f>
        <v>1085729</v>
      </c>
      <c r="CV1488" s="65">
        <f>CV370</f>
        <v>1111237</v>
      </c>
      <c r="CW1488" s="65">
        <f>CW370</f>
        <v>1105643</v>
      </c>
      <c r="CX1488" s="65">
        <f>CW1488</f>
        <v>1105643</v>
      </c>
      <c r="CZ1488" s="65">
        <f>CZ370</f>
        <v>1089699</v>
      </c>
      <c r="DA1488" s="65">
        <f>DA370</f>
        <v>1229115</v>
      </c>
      <c r="DB1488" s="65">
        <f>DA1488</f>
        <v>1229115</v>
      </c>
      <c r="DD1488" s="65">
        <f>DD370</f>
        <v>1302609</v>
      </c>
      <c r="DE1488" s="65">
        <f>DE370</f>
        <v>1297108</v>
      </c>
      <c r="DF1488" s="65">
        <f>DE1488</f>
        <v>1297108</v>
      </c>
      <c r="DH1488" s="65">
        <f ca="1">DH370</f>
        <v>1305696.1052797078</v>
      </c>
      <c r="DI1488" s="65">
        <f ca="1">DI370</f>
        <v>1333959.8410581651</v>
      </c>
      <c r="DJ1488" s="65">
        <f ca="1">DI1488</f>
        <v>1333959.8410581651</v>
      </c>
      <c r="DL1488" s="65">
        <f ca="1">DL370</f>
        <v>1363608.0766438828</v>
      </c>
      <c r="DM1488" s="65">
        <f ca="1">DM370</f>
        <v>1396518.0991681463</v>
      </c>
      <c r="DN1488" s="65">
        <f ca="1">DM1488</f>
        <v>1396518.0991681463</v>
      </c>
      <c r="DP1488" s="65">
        <f ca="1">DP370</f>
        <v>1424468.3741539924</v>
      </c>
      <c r="DQ1488" s="65">
        <f ca="1">DQ370</f>
        <v>1455186.8090801614</v>
      </c>
      <c r="DR1488" s="65">
        <f ca="1">DQ1488</f>
        <v>1455186.8090801614</v>
      </c>
      <c r="DW1488" s="540"/>
      <c r="DX1488" s="717"/>
    </row>
    <row r="1489" spans="1:128" s="78" customFormat="1" ht="13.8">
      <c r="A1489" s="78" t="s">
        <v>217</v>
      </c>
      <c r="B1489" s="95"/>
      <c r="BH1489" s="79"/>
      <c r="BI1489" s="79">
        <f>+BI1488/BH1488-1</f>
        <v>4.5143689695672284E-2</v>
      </c>
      <c r="BJ1489" s="95"/>
      <c r="BK1489" s="95"/>
      <c r="BL1489" s="79">
        <f>+BL1488/BI1488-1</f>
        <v>4.9530935497407613E-2</v>
      </c>
      <c r="BM1489" s="79">
        <f>+BM1488/BL1488-1</f>
        <v>4.6457445294552091E-2</v>
      </c>
      <c r="BN1489" s="95"/>
      <c r="BO1489" s="95"/>
      <c r="BP1489" s="79">
        <f>+BP1488/BM1488-1</f>
        <v>0.11396957875486335</v>
      </c>
      <c r="BQ1489" s="79">
        <f>+BQ1488/BP1488-1</f>
        <v>3.4662772486969251E-2</v>
      </c>
      <c r="BR1489" s="95"/>
      <c r="BT1489" s="79">
        <f>+BT1488/BQ1488-1</f>
        <v>6.043375660186534E-3</v>
      </c>
      <c r="BU1489" s="79">
        <f>+BU1488/BT1488-1</f>
        <v>2.1882588425047755E-2</v>
      </c>
      <c r="BV1489" s="95"/>
      <c r="BX1489" s="79">
        <f>+BX1488/BU1488-1</f>
        <v>-2.0066260852646622E-2</v>
      </c>
      <c r="BY1489" s="79">
        <f>+BY1488/BX1488-1</f>
        <v>9.0907975473819569E-4</v>
      </c>
      <c r="BZ1489" s="95"/>
      <c r="CB1489" s="79">
        <f>+CB1488/BY1488-1</f>
        <v>4.2731404194239264E-2</v>
      </c>
      <c r="CC1489" s="79">
        <f>+CC1488/CB1488-1</f>
        <v>8.0284715765173154E-3</v>
      </c>
      <c r="CD1489" s="95"/>
      <c r="CF1489" s="79">
        <f>+CF1488/CC1488-1</f>
        <v>3.9322209287284915E-2</v>
      </c>
      <c r="CG1489" s="79">
        <f>+CG1488/CF1488-1</f>
        <v>8.8445020249516837E-4</v>
      </c>
      <c r="CH1489" s="95"/>
      <c r="CJ1489" s="79">
        <f>+CJ1488/CG1488-1</f>
        <v>0.17206363637290201</v>
      </c>
      <c r="CK1489" s="79">
        <f>+CK1488/CJ1488-1</f>
        <v>-9.3628881130131125E-2</v>
      </c>
      <c r="CL1489" s="95"/>
      <c r="CN1489" s="79">
        <f>+CN1488/CK1488-1</f>
        <v>-2.2975459710674384E-2</v>
      </c>
      <c r="CO1489" s="79">
        <f>+CO1488/CN1488-1</f>
        <v>-3.877097901582871E-2</v>
      </c>
      <c r="CP1489" s="95"/>
      <c r="CR1489" s="79">
        <f>+CR1488/CO1488-1</f>
        <v>3.9335674158738287E-2</v>
      </c>
      <c r="CS1489" s="79">
        <f>+CS1488/CR1488-1</f>
        <v>6.7201317919597825E-2</v>
      </c>
      <c r="CT1489" s="95"/>
      <c r="CV1489" s="79">
        <f>+CV1488/CS1488-1</f>
        <v>2.3493892122251392E-2</v>
      </c>
      <c r="CW1489" s="79">
        <f>+CW1488/CT1488-1</f>
        <v>1.8341593528403477E-2</v>
      </c>
      <c r="CX1489" s="95"/>
      <c r="CZ1489" s="79">
        <f>+CZ1488/CW1488-1</f>
        <v>-1.44205679410081E-2</v>
      </c>
      <c r="DA1489" s="79">
        <f>+DA1488/CX1488-1</f>
        <v>0.11167438314175548</v>
      </c>
      <c r="DB1489" s="95"/>
      <c r="DD1489" s="79">
        <f>+DD1488/DA1488-1</f>
        <v>5.9794242198655034E-2</v>
      </c>
      <c r="DE1489" s="79">
        <f>+DE1488/DB1488-1</f>
        <v>5.5318664242157922E-2</v>
      </c>
      <c r="DF1489" s="95"/>
      <c r="DH1489" s="79">
        <f ca="1">+DH1488/DE1488-1</f>
        <v>6.6209639287613253E-3</v>
      </c>
      <c r="DI1489" s="79">
        <f ca="1">+DI1488/DH1488-1</f>
        <v>2.1646488539079023E-2</v>
      </c>
      <c r="DJ1489" s="95"/>
      <c r="DL1489" s="79">
        <f ca="1">+DL1488/DI1488-1</f>
        <v>2.22257332441127E-2</v>
      </c>
      <c r="DM1489" s="79">
        <f ca="1">+DM1488/DL1488-1</f>
        <v>2.4134517159257296E-2</v>
      </c>
      <c r="DN1489" s="95"/>
      <c r="DP1489" s="79">
        <f ca="1">+DP1488/DM1488-1</f>
        <v>2.001425903645293E-2</v>
      </c>
      <c r="DQ1489" s="79">
        <f ca="1">+DQ1488/DP1488-1</f>
        <v>2.1564841651477984E-2</v>
      </c>
      <c r="DR1489" s="95"/>
      <c r="DW1489" s="540"/>
      <c r="DX1489" s="728" t="s">
        <v>1002</v>
      </c>
    </row>
    <row r="1490" spans="1:128" s="78" customFormat="1" ht="13.8">
      <c r="A1490" s="78" t="s">
        <v>390</v>
      </c>
      <c r="B1490" s="95"/>
      <c r="BH1490" s="97">
        <f>+BH1407/BH1488</f>
        <v>0.47958312891188321</v>
      </c>
      <c r="BI1490" s="97">
        <f>+BI1407/BI1488</f>
        <v>0.48259944949821831</v>
      </c>
      <c r="BJ1490" s="97">
        <f>+BJ1407/BJ1488</f>
        <v>0.48259944949821831</v>
      </c>
      <c r="BK1490" s="95"/>
      <c r="BL1490" s="97">
        <f>+BL1407/BL1488</f>
        <v>0.48893015186733801</v>
      </c>
      <c r="BM1490" s="97">
        <f>+BM1407/BM1488</f>
        <v>0.46824601213326911</v>
      </c>
      <c r="BN1490" s="97">
        <f>+BN1407/BN1488</f>
        <v>0.46824601213326911</v>
      </c>
      <c r="BO1490" s="95"/>
      <c r="BP1490" s="97">
        <f>+BP1407/BP1488</f>
        <v>0.44979519513723609</v>
      </c>
      <c r="BQ1490" s="97">
        <f>+BQ1407/BQ1488</f>
        <v>0.45166535565793908</v>
      </c>
      <c r="BR1490" s="97">
        <f>+BR1407/BR1488</f>
        <v>0.45166535565793908</v>
      </c>
      <c r="BT1490" s="97">
        <f>+BT1407/BT1488</f>
        <v>0.43375912286462975</v>
      </c>
      <c r="BU1490" s="97">
        <f>+BU1407/BU1488</f>
        <v>0.4466016446070421</v>
      </c>
      <c r="BV1490" s="97">
        <f>+BV1407/BV1488</f>
        <v>0.4466016446070421</v>
      </c>
      <c r="BX1490" s="97">
        <f>+BX1407/BX1488</f>
        <v>0.44287242432050472</v>
      </c>
      <c r="BY1490" s="97">
        <f>+BY1407/BY1488</f>
        <v>0.43586500335441075</v>
      </c>
      <c r="BZ1490" s="97">
        <f>+BZ1407/BZ1488</f>
        <v>0.43586500335441075</v>
      </c>
      <c r="CB1490" s="97">
        <f>+CB1407/CB1488</f>
        <v>0.42298780552972737</v>
      </c>
      <c r="CC1490" s="97">
        <f>+CC1407/CC1488</f>
        <v>0.41436329361671448</v>
      </c>
      <c r="CD1490" s="97">
        <f>+CD1407/CD1488</f>
        <v>0.41436329361671448</v>
      </c>
      <c r="CF1490" s="97">
        <f>+CF1407/CF1488</f>
        <v>0.40426719169208486</v>
      </c>
      <c r="CG1490" s="97">
        <f>+CG1407/CG1488</f>
        <v>0.42497734770985091</v>
      </c>
      <c r="CH1490" s="97">
        <f>+CH1407/CH1488</f>
        <v>0.42497734770985091</v>
      </c>
      <c r="CJ1490" s="97">
        <f>+CJ1407/CJ1488</f>
        <v>0.39046049628028923</v>
      </c>
      <c r="CK1490" s="97">
        <f>+CK1407/CK1488</f>
        <v>0.41196370286082706</v>
      </c>
      <c r="CL1490" s="97">
        <f>+CL1407/CL1488</f>
        <v>0.41196370286082706</v>
      </c>
      <c r="CN1490" s="97">
        <f>+CN1407/CN1488</f>
        <v>0.40081544554416554</v>
      </c>
      <c r="CO1490" s="97">
        <f>+CO1407/CO1488</f>
        <v>0.42507332531718117</v>
      </c>
      <c r="CP1490" s="97">
        <f>+CP1407/CP1488</f>
        <v>0.42507332531718117</v>
      </c>
      <c r="CR1490" s="97">
        <f>+CR1407/CR1488</f>
        <v>0.43043718011600601</v>
      </c>
      <c r="CS1490" s="97">
        <f>+CS1407/CS1488</f>
        <v>0.4188135345007824</v>
      </c>
      <c r="CT1490" s="97">
        <f>+CT1407/CT1488</f>
        <v>0.4188135345007824</v>
      </c>
      <c r="CV1490" s="97">
        <f>+CV1407/CV1488</f>
        <v>0.39191821816588179</v>
      </c>
      <c r="CW1490" s="97">
        <f>+CW1407/CW1488</f>
        <v>0.39192307100935836</v>
      </c>
      <c r="CX1490" s="79">
        <f>CW1490</f>
        <v>0.39192307100935836</v>
      </c>
      <c r="CZ1490" s="97">
        <f>+CZ1407/CZ1488</f>
        <v>0.39715462710344784</v>
      </c>
      <c r="DA1490" s="97">
        <f>+DA1407/DA1488</f>
        <v>0.36333622159033124</v>
      </c>
      <c r="DB1490" s="79">
        <f>DA1490</f>
        <v>0.36333622159033124</v>
      </c>
      <c r="DD1490" s="97">
        <f>+DD1407/DD1488</f>
        <v>0.36004587715884045</v>
      </c>
      <c r="DE1490" s="97">
        <f>+DE1407/DE1488</f>
        <v>0.35351489621527277</v>
      </c>
      <c r="DF1490" s="79">
        <f>DE1490</f>
        <v>0.35351489621527277</v>
      </c>
      <c r="DH1490" s="97">
        <f ca="1">+DH1407/DH1488</f>
        <v>0.35809682915354046</v>
      </c>
      <c r="DI1490" s="97">
        <f ca="1">+DI1407/DI1488</f>
        <v>0.35762544950754815</v>
      </c>
      <c r="DJ1490" s="79">
        <f ca="1">DI1490</f>
        <v>0.35762544950754815</v>
      </c>
      <c r="DL1490" s="97">
        <f ca="1">+DL1407/DL1488</f>
        <v>0.35498828411543715</v>
      </c>
      <c r="DM1490" s="97">
        <f ca="1">+DM1407/DM1488</f>
        <v>0.35294270634624697</v>
      </c>
      <c r="DN1490" s="79">
        <f ca="1">DM1490</f>
        <v>0.35294270634624697</v>
      </c>
      <c r="DP1490" s="97">
        <f ca="1">+DP1407/DP1488</f>
        <v>0.35406170822950944</v>
      </c>
      <c r="DQ1490" s="97">
        <f ca="1">+DQ1407/DQ1488</f>
        <v>0.3523754945131406</v>
      </c>
      <c r="DR1490" s="79">
        <f ca="1">DQ1490</f>
        <v>0.3523754945131406</v>
      </c>
      <c r="DW1490" s="540"/>
      <c r="DX1490" s="717"/>
    </row>
    <row r="1491" spans="1:128" s="20" customFormat="1" ht="13.8">
      <c r="A1491" s="47" t="s">
        <v>217</v>
      </c>
      <c r="B1491" s="49"/>
      <c r="BH1491" s="49"/>
      <c r="BI1491" s="49"/>
      <c r="BJ1491" s="49"/>
      <c r="BK1491" s="49"/>
      <c r="BL1491" s="49"/>
      <c r="BM1491" s="49"/>
      <c r="BN1491" s="66"/>
      <c r="BO1491" s="77"/>
      <c r="BP1491" s="49"/>
      <c r="BT1491" s="49"/>
      <c r="BX1491" s="49"/>
      <c r="CB1491" s="49"/>
      <c r="CF1491" s="49"/>
      <c r="CJ1491" s="49"/>
      <c r="CN1491" s="49"/>
      <c r="CR1491" s="49"/>
      <c r="CV1491" s="49"/>
      <c r="CW1491" s="49"/>
      <c r="CZ1491" s="49"/>
      <c r="DA1491" s="49"/>
      <c r="DD1491" s="49"/>
      <c r="DE1491" s="49"/>
      <c r="DH1491" s="48"/>
      <c r="DI1491" s="48"/>
      <c r="DL1491" s="48"/>
      <c r="DM1491" s="48"/>
      <c r="DP1491" s="48"/>
      <c r="DQ1491" s="48"/>
      <c r="DW1491" s="540"/>
      <c r="DX1491" s="717"/>
    </row>
    <row r="1492" spans="1:128" s="20" customFormat="1" ht="13.8">
      <c r="A1492" s="574" t="str">
        <f>A1403</f>
        <v>Market Risk</v>
      </c>
      <c r="B1492" s="547"/>
      <c r="C1492" s="533"/>
      <c r="D1492" s="533"/>
      <c r="E1492" s="533"/>
      <c r="F1492" s="533"/>
      <c r="G1492" s="533"/>
      <c r="H1492" s="533"/>
      <c r="I1492" s="533"/>
      <c r="J1492" s="533"/>
      <c r="K1492" s="533"/>
      <c r="L1492" s="533"/>
      <c r="M1492" s="533"/>
      <c r="N1492" s="533"/>
      <c r="O1492" s="533"/>
      <c r="P1492" s="533"/>
      <c r="Q1492" s="533"/>
      <c r="R1492" s="533"/>
      <c r="S1492" s="533"/>
      <c r="T1492" s="533"/>
      <c r="U1492" s="533"/>
      <c r="V1492" s="533"/>
      <c r="W1492" s="533"/>
      <c r="X1492" s="533"/>
      <c r="Y1492" s="533"/>
      <c r="Z1492" s="533"/>
      <c r="AA1492" s="533"/>
      <c r="AB1492" s="533"/>
      <c r="AC1492" s="533"/>
      <c r="AD1492" s="533"/>
      <c r="AE1492" s="533"/>
      <c r="AF1492" s="533"/>
      <c r="AG1492" s="533"/>
      <c r="AH1492" s="533"/>
      <c r="AI1492" s="533"/>
      <c r="AJ1492" s="533"/>
      <c r="AK1492" s="533"/>
      <c r="AL1492" s="533"/>
      <c r="AM1492" s="533"/>
      <c r="AN1492" s="533"/>
      <c r="AO1492" s="533"/>
      <c r="AP1492" s="533"/>
      <c r="AQ1492" s="533"/>
      <c r="AR1492" s="533"/>
      <c r="AS1492" s="533"/>
      <c r="AT1492" s="533"/>
      <c r="AU1492" s="533"/>
      <c r="AV1492" s="533"/>
      <c r="AW1492" s="533"/>
      <c r="AX1492" s="533"/>
      <c r="AY1492" s="533"/>
      <c r="AZ1492" s="533"/>
      <c r="BA1492" s="533"/>
      <c r="BB1492" s="533"/>
      <c r="BC1492" s="533"/>
      <c r="BD1492" s="533"/>
      <c r="BE1492" s="533"/>
      <c r="BF1492" s="533"/>
      <c r="BG1492" s="533"/>
      <c r="BH1492" s="547"/>
      <c r="BI1492" s="547"/>
      <c r="BJ1492" s="547"/>
      <c r="BK1492" s="547"/>
      <c r="BL1492" s="577">
        <f>+BL1403/BI1403-1</f>
        <v>0.6509412038112945</v>
      </c>
      <c r="BM1492" s="577">
        <f>+BM1403/BL1403-1</f>
        <v>-7.8828828828828579E-3</v>
      </c>
      <c r="BN1492" s="549"/>
      <c r="BO1492" s="620"/>
      <c r="BP1492" s="577">
        <f>+BP1403/BM1403-1</f>
        <v>-0.14273552780930765</v>
      </c>
      <c r="BQ1492" s="577">
        <f>+BQ1403/BP1403-1</f>
        <v>0.13670969877524008</v>
      </c>
      <c r="BR1492" s="533"/>
      <c r="BS1492" s="533"/>
      <c r="BT1492" s="577">
        <f>+BT1403/BQ1403-1</f>
        <v>-0.11779266161910307</v>
      </c>
      <c r="BU1492" s="577">
        <f>+BU1403/BT1403-1</f>
        <v>2.1290642020135309E-2</v>
      </c>
      <c r="BV1492" s="533"/>
      <c r="BW1492" s="533"/>
      <c r="BX1492" s="577">
        <f>+BX1403/BU1403-1</f>
        <v>2.1816418875242327E-2</v>
      </c>
      <c r="BY1492" s="577">
        <f>+BY1403/BX1403-1</f>
        <v>-0.15182666455796301</v>
      </c>
      <c r="BZ1492" s="533"/>
      <c r="CA1492" s="533"/>
      <c r="CB1492" s="577">
        <f>+CB1403/BY1403-1</f>
        <v>0.22282304680216303</v>
      </c>
      <c r="CC1492" s="577">
        <f>+CC1403/CB1403-1</f>
        <v>3.8121378469045508E-2</v>
      </c>
      <c r="CD1492" s="533"/>
      <c r="CE1492" s="533"/>
      <c r="CF1492" s="577">
        <f>+CF1403/CC1403-1</f>
        <v>-0.14952996474735603</v>
      </c>
      <c r="CG1492" s="577">
        <f>+CG1403/CF1403-1</f>
        <v>-8.341968911917097E-2</v>
      </c>
      <c r="CH1492" s="533"/>
      <c r="CI1492" s="533"/>
      <c r="CJ1492" s="577">
        <f>+CJ1403/CG1403-1</f>
        <v>0.338232523082721</v>
      </c>
      <c r="CK1492" s="577">
        <f>+CK1403/CJ1403-1</f>
        <v>0.15981413686285562</v>
      </c>
      <c r="CL1492" s="533"/>
      <c r="CM1492" s="533"/>
      <c r="CN1492" s="577">
        <f>+CN1403/CK1403-1</f>
        <v>8.7167658127959236E-2</v>
      </c>
      <c r="CO1492" s="577">
        <f>+CO1403/CN1403-1</f>
        <v>-0.20413176996091564</v>
      </c>
      <c r="CP1492" s="533"/>
      <c r="CQ1492" s="533"/>
      <c r="CR1492" s="577">
        <f>+CR1403/CO1403-1</f>
        <v>8.1100042093447344E-2</v>
      </c>
      <c r="CS1492" s="577">
        <f>+CS1403/CR1403-1</f>
        <v>0.20467229072031157</v>
      </c>
      <c r="CT1492" s="533"/>
      <c r="CU1492" s="533"/>
      <c r="CV1492" s="577">
        <f>+CV1403/CS1403-1</f>
        <v>0.26449041154923503</v>
      </c>
      <c r="CW1492" s="577">
        <f>+CW1403/CT1403-1</f>
        <v>0.1057961646196941</v>
      </c>
      <c r="CX1492" s="533"/>
      <c r="CY1492" s="533"/>
      <c r="CZ1492" s="577">
        <f>+CZ1403/CW1403-1</f>
        <v>0.1557872174590802</v>
      </c>
      <c r="DA1492" s="577">
        <f>+DA1403/CX1403-1</f>
        <v>-0.23782151208106006</v>
      </c>
      <c r="DB1492" s="533"/>
      <c r="DC1492" s="533"/>
      <c r="DD1492" s="577">
        <f>+DD1403/DA1403-1</f>
        <v>-0.12386552473475654</v>
      </c>
      <c r="DE1492" s="577">
        <f>+DE1403/DB1403-1</f>
        <v>-0.11862456857982873</v>
      </c>
      <c r="DF1492" s="533"/>
      <c r="DG1492" s="533"/>
      <c r="DH1492" s="577">
        <f ca="1">+DH1403/DE1403-1</f>
        <v>9.8337550489094205E-2</v>
      </c>
      <c r="DI1492" s="577">
        <f ca="1">+DI1403/DH1403-1</f>
        <v>2.1646488539079023E-2</v>
      </c>
      <c r="DJ1492" s="533"/>
      <c r="DK1492" s="533"/>
      <c r="DL1492" s="577">
        <f ca="1">+DL1403/DI1403-1</f>
        <v>2.22257332441127E-2</v>
      </c>
      <c r="DM1492" s="577">
        <f ca="1">+DM1403/DL1403-1</f>
        <v>2.4134517159257296E-2</v>
      </c>
      <c r="DN1492" s="533"/>
      <c r="DO1492" s="533"/>
      <c r="DP1492" s="577">
        <f ca="1">+DP1403/DM1403-1</f>
        <v>2.001425903645293E-2</v>
      </c>
      <c r="DQ1492" s="577">
        <f ca="1">+DQ1403/DP1403-1</f>
        <v>2.1564841651477762E-2</v>
      </c>
      <c r="DR1492" s="533"/>
      <c r="DS1492" s="533"/>
      <c r="DT1492" s="533"/>
      <c r="DU1492" s="533"/>
      <c r="DV1492" s="533"/>
      <c r="DW1492" s="540"/>
      <c r="DX1492" s="717"/>
    </row>
    <row r="1493" spans="1:128" s="20" customFormat="1" ht="13.8">
      <c r="A1493" s="574" t="str">
        <f>A1405</f>
        <v>Operational Risk</v>
      </c>
      <c r="B1493" s="547"/>
      <c r="C1493" s="533"/>
      <c r="D1493" s="533"/>
      <c r="E1493" s="533"/>
      <c r="F1493" s="533"/>
      <c r="G1493" s="533"/>
      <c r="H1493" s="533"/>
      <c r="I1493" s="533"/>
      <c r="J1493" s="533"/>
      <c r="K1493" s="533"/>
      <c r="L1493" s="533"/>
      <c r="M1493" s="533"/>
      <c r="N1493" s="533"/>
      <c r="O1493" s="533"/>
      <c r="P1493" s="533"/>
      <c r="Q1493" s="533"/>
      <c r="R1493" s="533"/>
      <c r="S1493" s="533"/>
      <c r="T1493" s="533"/>
      <c r="U1493" s="533"/>
      <c r="V1493" s="533"/>
      <c r="W1493" s="533"/>
      <c r="X1493" s="533"/>
      <c r="Y1493" s="533"/>
      <c r="Z1493" s="533"/>
      <c r="AA1493" s="533"/>
      <c r="AB1493" s="533"/>
      <c r="AC1493" s="533"/>
      <c r="AD1493" s="533"/>
      <c r="AE1493" s="533"/>
      <c r="AF1493" s="533"/>
      <c r="AG1493" s="533"/>
      <c r="AH1493" s="533"/>
      <c r="AI1493" s="533"/>
      <c r="AJ1493" s="533"/>
      <c r="AK1493" s="533"/>
      <c r="AL1493" s="533"/>
      <c r="AM1493" s="533"/>
      <c r="AN1493" s="533"/>
      <c r="AO1493" s="533"/>
      <c r="AP1493" s="533"/>
      <c r="AQ1493" s="533"/>
      <c r="AR1493" s="533"/>
      <c r="AS1493" s="533"/>
      <c r="AT1493" s="533"/>
      <c r="AU1493" s="533"/>
      <c r="AV1493" s="533"/>
      <c r="AW1493" s="533"/>
      <c r="AX1493" s="533"/>
      <c r="AY1493" s="533"/>
      <c r="AZ1493" s="533"/>
      <c r="BA1493" s="533"/>
      <c r="BB1493" s="533"/>
      <c r="BC1493" s="533"/>
      <c r="BD1493" s="533"/>
      <c r="BE1493" s="533"/>
      <c r="BF1493" s="533"/>
      <c r="BG1493" s="533"/>
      <c r="BH1493" s="547"/>
      <c r="BI1493" s="547"/>
      <c r="BJ1493" s="547"/>
      <c r="BK1493" s="547"/>
      <c r="BL1493" s="577">
        <f>+BL1405/BI1405-1</f>
        <v>0.10077866593164275</v>
      </c>
      <c r="BM1493" s="577">
        <f>+BM1405/BL1405-1</f>
        <v>6.2599768380855458E-4</v>
      </c>
      <c r="BN1493" s="549"/>
      <c r="BO1493" s="620"/>
      <c r="BP1493" s="577">
        <f>+BP1405/BM1405-1</f>
        <v>4.5825643592229959E-2</v>
      </c>
      <c r="BQ1493" s="577">
        <f>+BQ1405/BP1405-1</f>
        <v>0.13312795358018792</v>
      </c>
      <c r="BR1493" s="533"/>
      <c r="BS1493" s="533"/>
      <c r="BT1493" s="577">
        <f>+BT1405/BQ1405-1</f>
        <v>-5.1999472086577958E-3</v>
      </c>
      <c r="BU1493" s="577">
        <f>+BU1405/BT1405-1</f>
        <v>2.5817236255571974E-2</v>
      </c>
      <c r="BV1493" s="533"/>
      <c r="BW1493" s="533"/>
      <c r="BX1493" s="577">
        <f>+BX1405/BU1405-1</f>
        <v>-2.1985980704068986E-3</v>
      </c>
      <c r="BY1493" s="577">
        <f>+BY1405/BX1405-1</f>
        <v>-3.2947946909995807E-2</v>
      </c>
      <c r="BZ1493" s="533"/>
      <c r="CA1493" s="533"/>
      <c r="CB1493" s="577">
        <f>+CB1405/BY1405-1</f>
        <v>1.9568422463476232E-3</v>
      </c>
      <c r="CC1493" s="577">
        <f>+CC1405/CB1405-1</f>
        <v>6.4208892931671979E-3</v>
      </c>
      <c r="CD1493" s="533"/>
      <c r="CE1493" s="533"/>
      <c r="CF1493" s="577">
        <f>+CF1405/CC1405-1</f>
        <v>3.0570471582753722E-3</v>
      </c>
      <c r="CG1493" s="577">
        <f>+CG1405/CF1405-1</f>
        <v>0.23568229401319796</v>
      </c>
      <c r="CH1493" s="533"/>
      <c r="CI1493" s="533"/>
      <c r="CJ1493" s="577">
        <f>+CJ1405/CG1405-1</f>
        <v>2.7366705271736791E-2</v>
      </c>
      <c r="CK1493" s="577">
        <f>+CK1405/CJ1405-1</f>
        <v>-7.0769487704062106E-3</v>
      </c>
      <c r="CL1493" s="533"/>
      <c r="CM1493" s="533"/>
      <c r="CN1493" s="577">
        <f>+CN1405/CK1405-1</f>
        <v>-7.6530075899333694E-3</v>
      </c>
      <c r="CO1493" s="577">
        <f>+CO1405/CN1405-1</f>
        <v>2.597512659166501E-2</v>
      </c>
      <c r="CP1493" s="533"/>
      <c r="CQ1493" s="533"/>
      <c r="CR1493" s="577">
        <f>+CR1405/CO1405-1</f>
        <v>-9.06556530717606E-3</v>
      </c>
      <c r="CS1493" s="577">
        <f>+CS1405/CR1405-1</f>
        <v>-1.1461676322260805E-3</v>
      </c>
      <c r="CT1493" s="533"/>
      <c r="CU1493" s="533"/>
      <c r="CV1493" s="577">
        <f>+CV1405/CS1405-1</f>
        <v>-0.11708497632012682</v>
      </c>
      <c r="CW1493" s="577">
        <f>+CW1405/CT1405-1</f>
        <v>-0.11708497632012682</v>
      </c>
      <c r="CX1493" s="533"/>
      <c r="CY1493" s="533"/>
      <c r="CZ1493" s="577">
        <f>+CZ1405/CW1405-1</f>
        <v>2.2566695810392501E-2</v>
      </c>
      <c r="DA1493" s="577">
        <f>+DA1405/CX1405-1</f>
        <v>0.17323188166071968</v>
      </c>
      <c r="DB1493" s="533"/>
      <c r="DC1493" s="533"/>
      <c r="DD1493" s="577">
        <f>+DD1405/DA1405-1</f>
        <v>2.0100704934541858E-2</v>
      </c>
      <c r="DE1493" s="577">
        <f>+DE1405/DB1405-1</f>
        <v>8.3041289023162213E-2</v>
      </c>
      <c r="DF1493" s="533"/>
      <c r="DG1493" s="533"/>
      <c r="DH1493" s="577">
        <f ca="1">+DH1405/DE1405-1</f>
        <v>6.6209639287613253E-3</v>
      </c>
      <c r="DI1493" s="577">
        <f ca="1">+DI1405/DH1405-1</f>
        <v>2.1646488539078801E-2</v>
      </c>
      <c r="DJ1493" s="533"/>
      <c r="DK1493" s="533"/>
      <c r="DL1493" s="577">
        <f ca="1">+DL1405/DI1405-1</f>
        <v>-3.8336156073208061E-2</v>
      </c>
      <c r="DM1493" s="577">
        <f ca="1">+DM1405/DL1405-1</f>
        <v>-3.1011187610856639E-2</v>
      </c>
      <c r="DN1493" s="533"/>
      <c r="DO1493" s="533"/>
      <c r="DP1493" s="577">
        <f ca="1">+DP1405/DM1405-1</f>
        <v>7.8063851014137153E-2</v>
      </c>
      <c r="DQ1493" s="577">
        <f ca="1">+DQ1405/DP1405-1</f>
        <v>-3.3442495975909425E-2</v>
      </c>
      <c r="DR1493" s="533"/>
      <c r="DS1493" s="533"/>
      <c r="DT1493" s="533"/>
      <c r="DU1493" s="533"/>
      <c r="DV1493" s="533"/>
      <c r="DW1493" s="540"/>
      <c r="DX1493" s="717"/>
    </row>
    <row r="1494" spans="1:128" s="78" customFormat="1" ht="13.8">
      <c r="B1494" s="95"/>
      <c r="BH1494" s="97"/>
      <c r="BI1494" s="97"/>
      <c r="BJ1494" s="97"/>
      <c r="BK1494" s="95"/>
      <c r="BL1494" s="97"/>
      <c r="BM1494" s="97"/>
      <c r="BN1494" s="97"/>
      <c r="BO1494" s="95"/>
      <c r="BP1494" s="97"/>
      <c r="BQ1494" s="97"/>
      <c r="BR1494" s="97"/>
      <c r="BT1494" s="97"/>
      <c r="BU1494" s="97"/>
      <c r="BV1494" s="97"/>
      <c r="BX1494" s="97"/>
      <c r="BY1494" s="97"/>
      <c r="BZ1494" s="97"/>
      <c r="CB1494" s="97"/>
      <c r="CC1494" s="97"/>
      <c r="CD1494" s="97"/>
      <c r="CF1494" s="97"/>
      <c r="CG1494" s="97"/>
      <c r="CH1494" s="97"/>
      <c r="CJ1494" s="97"/>
      <c r="CK1494" s="97"/>
      <c r="CL1494" s="97"/>
      <c r="CN1494" s="97"/>
      <c r="CO1494" s="97"/>
      <c r="CP1494" s="97"/>
      <c r="CR1494" s="97"/>
      <c r="CS1494" s="97"/>
      <c r="CT1494" s="97"/>
      <c r="CV1494" s="97"/>
      <c r="CW1494" s="97"/>
      <c r="CX1494" s="79"/>
      <c r="CZ1494" s="97"/>
      <c r="DA1494" s="97"/>
      <c r="DB1494" s="79"/>
      <c r="DD1494" s="97"/>
      <c r="DE1494" s="97"/>
      <c r="DF1494" s="79"/>
      <c r="DH1494" s="65"/>
      <c r="DI1494" s="65"/>
      <c r="DJ1494" s="65"/>
      <c r="DL1494" s="65"/>
      <c r="DM1494" s="65"/>
      <c r="DN1494" s="65"/>
      <c r="DP1494" s="65"/>
      <c r="DQ1494" s="65"/>
      <c r="DR1494" s="65"/>
      <c r="DW1494" s="540"/>
      <c r="DX1494" s="717"/>
    </row>
    <row r="1495" spans="1:128" s="78" customFormat="1" ht="13.8">
      <c r="A1495" s="21" t="s">
        <v>1133</v>
      </c>
      <c r="B1495" s="95"/>
      <c r="BH1495" s="97"/>
      <c r="BI1495" s="97"/>
      <c r="BJ1495" s="97"/>
      <c r="BK1495" s="95"/>
      <c r="BL1495" s="97"/>
      <c r="BM1495" s="97"/>
      <c r="BN1495" s="97"/>
      <c r="BO1495" s="95"/>
      <c r="BP1495" s="97"/>
      <c r="BQ1495" s="97"/>
      <c r="BR1495" s="97"/>
      <c r="BT1495" s="97"/>
      <c r="BU1495" s="97"/>
      <c r="BV1495" s="97"/>
      <c r="BX1495" s="97"/>
      <c r="BY1495" s="97"/>
      <c r="BZ1495" s="97"/>
      <c r="CB1495" s="97"/>
      <c r="CC1495" s="97"/>
      <c r="CD1495" s="97"/>
      <c r="CF1495" s="97"/>
      <c r="CG1495" s="97"/>
      <c r="CH1495" s="97"/>
      <c r="CJ1495" s="97"/>
      <c r="CK1495" s="97"/>
      <c r="CL1495" s="97"/>
      <c r="CN1495" s="97"/>
      <c r="CO1495" s="97"/>
      <c r="CP1495" s="97"/>
      <c r="CR1495" s="97"/>
      <c r="CS1495" s="97"/>
      <c r="CT1495" s="97"/>
      <c r="CV1495" s="97"/>
      <c r="CW1495" s="97"/>
      <c r="CX1495" s="79"/>
      <c r="CZ1495" s="97"/>
      <c r="DA1495" s="97"/>
      <c r="DB1495" s="79"/>
      <c r="DD1495" s="65"/>
      <c r="DE1495" s="97"/>
      <c r="DF1495" s="79"/>
      <c r="DH1495" s="65"/>
      <c r="DI1495" s="65"/>
      <c r="DJ1495" s="65"/>
      <c r="DL1495" s="65"/>
      <c r="DM1495" s="65"/>
      <c r="DN1495" s="65"/>
      <c r="DP1495" s="65"/>
      <c r="DQ1495" s="65"/>
      <c r="DR1495" s="65"/>
      <c r="DW1495" s="540"/>
      <c r="DX1495" s="717"/>
    </row>
    <row r="1496" spans="1:128" s="78" customFormat="1" ht="13.8">
      <c r="A1496" s="20" t="s">
        <v>1134</v>
      </c>
      <c r="B1496" s="95"/>
      <c r="BH1496" s="97"/>
      <c r="BI1496" s="97"/>
      <c r="BJ1496" s="97"/>
      <c r="BK1496" s="95"/>
      <c r="BL1496" s="97"/>
      <c r="BM1496" s="97"/>
      <c r="BN1496" s="97"/>
      <c r="BO1496" s="95"/>
      <c r="BP1496" s="97"/>
      <c r="BQ1496" s="97"/>
      <c r="BR1496" s="97"/>
      <c r="BT1496" s="97"/>
      <c r="BU1496" s="97"/>
      <c r="BV1496" s="97"/>
      <c r="BX1496" s="97"/>
      <c r="BY1496" s="97"/>
      <c r="BZ1496" s="97"/>
      <c r="CB1496" s="97"/>
      <c r="CC1496" s="97"/>
      <c r="CD1496" s="97"/>
      <c r="CF1496" s="97"/>
      <c r="CG1496" s="97"/>
      <c r="CH1496" s="97"/>
      <c r="CJ1496" s="97"/>
      <c r="CK1496" s="97"/>
      <c r="CL1496" s="97"/>
      <c r="CN1496" s="97"/>
      <c r="CO1496" s="97"/>
      <c r="CP1496" s="97"/>
      <c r="CR1496" s="97"/>
      <c r="CS1496" s="97"/>
      <c r="CT1496" s="97"/>
      <c r="CV1496" s="67">
        <v>546653</v>
      </c>
      <c r="CW1496" s="67">
        <v>544739</v>
      </c>
      <c r="CX1496" s="65">
        <f>CW1496</f>
        <v>544739</v>
      </c>
      <c r="CZ1496" s="67">
        <v>541800</v>
      </c>
      <c r="DA1496" s="67">
        <v>558503</v>
      </c>
      <c r="DB1496" s="65">
        <f>DA1496</f>
        <v>558503</v>
      </c>
      <c r="DD1496" s="67">
        <f>554974+27287+4736+2396</f>
        <v>589393</v>
      </c>
      <c r="DE1496" s="67">
        <f>539346+26205+3768+2491</f>
        <v>571810</v>
      </c>
      <c r="DF1496" s="65">
        <f>DE1496</f>
        <v>571810</v>
      </c>
      <c r="DH1496" s="65">
        <f>DH1500*DH1501</f>
        <v>583216.05092885112</v>
      </c>
      <c r="DI1496" s="65">
        <f>DI1500*DI1501</f>
        <v>594973.31805295718</v>
      </c>
      <c r="DJ1496" s="65">
        <f>DI1496</f>
        <v>594973.31805295718</v>
      </c>
      <c r="DL1496" s="65">
        <f>DL1500*DL1501</f>
        <v>606586.07035085547</v>
      </c>
      <c r="DM1496" s="65">
        <f>DM1500*DM1501</f>
        <v>620218.16320955055</v>
      </c>
      <c r="DN1496" s="65">
        <f>DM1496</f>
        <v>620218.16320955055</v>
      </c>
      <c r="DP1496" s="65">
        <f>DP1500*DP1501</f>
        <v>631838.5835577281</v>
      </c>
      <c r="DQ1496" s="65">
        <f>DQ1500*DQ1501</f>
        <v>645135.48388485773</v>
      </c>
      <c r="DR1496" s="65">
        <f>DQ1496</f>
        <v>645135.48388485773</v>
      </c>
      <c r="DW1496" s="540"/>
      <c r="DX1496" s="717"/>
    </row>
    <row r="1497" spans="1:128" s="78" customFormat="1" ht="13.8">
      <c r="A1497" s="20" t="s">
        <v>1135</v>
      </c>
      <c r="B1497" s="95"/>
      <c r="BH1497" s="97"/>
      <c r="BI1497" s="97"/>
      <c r="BJ1497" s="97"/>
      <c r="BK1497" s="95"/>
      <c r="BL1497" s="97"/>
      <c r="BM1497" s="97"/>
      <c r="BN1497" s="97"/>
      <c r="BO1497" s="95"/>
      <c r="BP1497" s="97"/>
      <c r="BQ1497" s="97"/>
      <c r="BR1497" s="97"/>
      <c r="BT1497" s="97"/>
      <c r="BU1497" s="97"/>
      <c r="BV1497" s="97"/>
      <c r="BX1497" s="97"/>
      <c r="BY1497" s="97"/>
      <c r="BZ1497" s="97"/>
      <c r="CB1497" s="97"/>
      <c r="CC1497" s="97"/>
      <c r="CD1497" s="97"/>
      <c r="CF1497" s="97"/>
      <c r="CG1497" s="97"/>
      <c r="CH1497" s="97"/>
      <c r="CJ1497" s="97"/>
      <c r="CK1497" s="97"/>
      <c r="CL1497" s="97"/>
      <c r="CN1497" s="97"/>
      <c r="CO1497" s="97"/>
      <c r="CP1497" s="97"/>
      <c r="CR1497" s="97"/>
      <c r="CS1497" s="97"/>
      <c r="CT1497" s="97"/>
      <c r="CV1497" s="65">
        <f>CV1403</f>
        <v>11737</v>
      </c>
      <c r="CW1497" s="65">
        <f>CW1403</f>
        <v>10264</v>
      </c>
      <c r="CX1497" s="65">
        <f t="shared" ref="CX1497:CX1498" si="2147">CW1497</f>
        <v>10264</v>
      </c>
      <c r="CZ1497" s="65">
        <f>CZ1403</f>
        <v>11863</v>
      </c>
      <c r="DA1497" s="65">
        <f>DA1403</f>
        <v>7823</v>
      </c>
      <c r="DB1497" s="65">
        <f t="shared" ref="DB1497:DB1498" si="2148">DA1497</f>
        <v>7823</v>
      </c>
      <c r="DD1497" s="65">
        <f>DD1403</f>
        <v>6854</v>
      </c>
      <c r="DE1497" s="65">
        <f>DE1403</f>
        <v>6895</v>
      </c>
      <c r="DF1497" s="65">
        <f t="shared" ref="DF1497:DF1498" si="2149">DE1497</f>
        <v>6895</v>
      </c>
      <c r="DH1497" s="65">
        <f ca="1">DH1403</f>
        <v>7573.0374106223044</v>
      </c>
      <c r="DI1497" s="65">
        <f ca="1">DI1403</f>
        <v>7736.967078137357</v>
      </c>
      <c r="DJ1497" s="65">
        <f t="shared" ref="DJ1497:DJ1498" ca="1" si="2150">DI1497</f>
        <v>7736.967078137357</v>
      </c>
      <c r="DL1497" s="65">
        <f ca="1">DL1403</f>
        <v>7908.9268445345197</v>
      </c>
      <c r="DM1497" s="65">
        <f ca="1">DM1403</f>
        <v>8099.8049751752478</v>
      </c>
      <c r="DN1497" s="65">
        <f t="shared" ref="DN1497:DN1498" ca="1" si="2151">DM1497</f>
        <v>8099.8049751752478</v>
      </c>
      <c r="DP1497" s="65">
        <f ca="1">DP1403</f>
        <v>8261.9165700931553</v>
      </c>
      <c r="DQ1497" s="65">
        <f ca="1">DQ1403</f>
        <v>8440.083492664935</v>
      </c>
      <c r="DR1497" s="65">
        <f t="shared" ref="DR1497:DR1498" ca="1" si="2152">DQ1497</f>
        <v>8440.083492664935</v>
      </c>
      <c r="DW1497" s="540"/>
      <c r="DX1497" s="717"/>
    </row>
    <row r="1498" spans="1:128" s="78" customFormat="1" ht="13.8">
      <c r="A1498" s="20" t="s">
        <v>1136</v>
      </c>
      <c r="B1498" s="95"/>
      <c r="BH1498" s="97"/>
      <c r="BI1498" s="97"/>
      <c r="BJ1498" s="97"/>
      <c r="BK1498" s="95"/>
      <c r="BL1498" s="97"/>
      <c r="BM1498" s="97"/>
      <c r="BN1498" s="97"/>
      <c r="BO1498" s="95"/>
      <c r="BP1498" s="97"/>
      <c r="BQ1498" s="97"/>
      <c r="BR1498" s="97"/>
      <c r="BT1498" s="97"/>
      <c r="BU1498" s="97"/>
      <c r="BV1498" s="97"/>
      <c r="BX1498" s="97"/>
      <c r="BY1498" s="97"/>
      <c r="BZ1498" s="97"/>
      <c r="CB1498" s="97"/>
      <c r="CC1498" s="97"/>
      <c r="CD1498" s="97"/>
      <c r="CF1498" s="97"/>
      <c r="CG1498" s="97"/>
      <c r="CH1498" s="97"/>
      <c r="CJ1498" s="97"/>
      <c r="CK1498" s="97"/>
      <c r="CL1498" s="97"/>
      <c r="CN1498" s="97"/>
      <c r="CO1498" s="97"/>
      <c r="CP1498" s="97"/>
      <c r="CR1498" s="97"/>
      <c r="CS1498" s="97"/>
      <c r="CT1498" s="97"/>
      <c r="CV1498" s="65">
        <f>CV1405</f>
        <v>42319</v>
      </c>
      <c r="CW1498" s="65">
        <f>CW1405</f>
        <v>42319</v>
      </c>
      <c r="CX1498" s="65">
        <f t="shared" si="2147"/>
        <v>42319</v>
      </c>
      <c r="CZ1498" s="65">
        <f>CZ1405</f>
        <v>43274</v>
      </c>
      <c r="DA1498" s="65">
        <f>DA1405</f>
        <v>49650</v>
      </c>
      <c r="DB1498" s="65">
        <f t="shared" si="2148"/>
        <v>49650</v>
      </c>
      <c r="DD1498" s="65">
        <f>DD1405</f>
        <v>50648</v>
      </c>
      <c r="DE1498" s="65">
        <f>DE1405</f>
        <v>53773</v>
      </c>
      <c r="DF1498" s="65">
        <f t="shared" si="2149"/>
        <v>53773</v>
      </c>
      <c r="DH1498" s="65">
        <f ca="1">DH1405</f>
        <v>54129.029093341283</v>
      </c>
      <c r="DI1498" s="65">
        <f ca="1">DI1405</f>
        <v>55300.732501241764</v>
      </c>
      <c r="DJ1498" s="65">
        <f t="shared" ca="1" si="2150"/>
        <v>55300.732501241764</v>
      </c>
      <c r="DL1498" s="65">
        <f ca="1">DL1405</f>
        <v>53180.714989111431</v>
      </c>
      <c r="DM1498" s="65">
        <f ca="1">DM1405</f>
        <v>51531.5178593046</v>
      </c>
      <c r="DN1498" s="65">
        <f t="shared" ca="1" si="2151"/>
        <v>51531.5178593046</v>
      </c>
      <c r="DP1498" s="65">
        <f ca="1">DP1405</f>
        <v>55554.266592005704</v>
      </c>
      <c r="DQ1498" s="65">
        <f ca="1">DQ1405</f>
        <v>53696.393255057956</v>
      </c>
      <c r="DR1498" s="65">
        <f t="shared" ca="1" si="2152"/>
        <v>53696.393255057956</v>
      </c>
      <c r="DW1498" s="540"/>
      <c r="DX1498" s="717"/>
    </row>
    <row r="1499" spans="1:128" s="78" customFormat="1" ht="13.8">
      <c r="A1499" s="21" t="s">
        <v>1142</v>
      </c>
      <c r="B1499" s="95"/>
      <c r="BH1499" s="97"/>
      <c r="BI1499" s="97"/>
      <c r="BJ1499" s="97"/>
      <c r="BK1499" s="95"/>
      <c r="BL1499" s="97"/>
      <c r="BM1499" s="97"/>
      <c r="BN1499" s="97"/>
      <c r="BO1499" s="95"/>
      <c r="BP1499" s="97"/>
      <c r="BQ1499" s="97"/>
      <c r="BR1499" s="97"/>
      <c r="BT1499" s="97"/>
      <c r="BU1499" s="97"/>
      <c r="BV1499" s="97"/>
      <c r="BX1499" s="97"/>
      <c r="BY1499" s="97"/>
      <c r="BZ1499" s="97"/>
      <c r="CB1499" s="97"/>
      <c r="CC1499" s="97"/>
      <c r="CD1499" s="97"/>
      <c r="CF1499" s="97"/>
      <c r="CG1499" s="97"/>
      <c r="CH1499" s="97"/>
      <c r="CJ1499" s="97"/>
      <c r="CK1499" s="97"/>
      <c r="CL1499" s="97"/>
      <c r="CN1499" s="97"/>
      <c r="CO1499" s="97"/>
      <c r="CP1499" s="97"/>
      <c r="CR1499" s="97"/>
      <c r="CS1499" s="97"/>
      <c r="CT1499" s="97"/>
      <c r="CV1499" s="72">
        <f>CV1496+CV1497+CV1498</f>
        <v>600709</v>
      </c>
      <c r="CW1499" s="72">
        <f>CW1496+CW1497+CW1498</f>
        <v>597322</v>
      </c>
      <c r="CX1499" s="72">
        <f>CX1496+CX1497+CX1498</f>
        <v>597322</v>
      </c>
      <c r="CZ1499" s="72">
        <f>CZ1496+CZ1497+CZ1498</f>
        <v>596937</v>
      </c>
      <c r="DA1499" s="72">
        <f>DA1496+DA1497+DA1498</f>
        <v>615976</v>
      </c>
      <c r="DB1499" s="72">
        <f>DB1496+DB1497+DB1498</f>
        <v>615976</v>
      </c>
      <c r="DD1499" s="72">
        <f>DD1496+DD1497+DD1498</f>
        <v>646895</v>
      </c>
      <c r="DE1499" s="72">
        <f>DE1496+DE1497+DE1498</f>
        <v>632478</v>
      </c>
      <c r="DF1499" s="72">
        <f>DF1496+DF1497+DF1498</f>
        <v>632478</v>
      </c>
      <c r="DH1499" s="72">
        <f ca="1">DH1496+DH1497+DH1498</f>
        <v>644918.11743281479</v>
      </c>
      <c r="DI1499" s="72">
        <f ca="1">DI1496+DI1497+DI1498</f>
        <v>658011.01763233624</v>
      </c>
      <c r="DJ1499" s="72">
        <f ca="1">DJ1496+DJ1497+DJ1498</f>
        <v>658011.01763233624</v>
      </c>
      <c r="DL1499" s="72">
        <f ca="1">DL1496+DL1497+DL1498</f>
        <v>667675.71218450135</v>
      </c>
      <c r="DM1499" s="72">
        <f ca="1">DM1496+DM1497+DM1498</f>
        <v>679849.4860440304</v>
      </c>
      <c r="DN1499" s="72">
        <f ca="1">DN1496+DN1497+DN1498</f>
        <v>679849.4860440304</v>
      </c>
      <c r="DP1499" s="72">
        <f ca="1">DP1496+DP1497+DP1498</f>
        <v>695654.76671982696</v>
      </c>
      <c r="DQ1499" s="72">
        <f ca="1">DQ1496+DQ1497+DQ1498</f>
        <v>707271.96063258068</v>
      </c>
      <c r="DR1499" s="72">
        <f ca="1">DR1496+DR1497+DR1498</f>
        <v>707271.96063258068</v>
      </c>
      <c r="DW1499" s="540"/>
      <c r="DX1499" s="717"/>
    </row>
    <row r="1500" spans="1:128" s="78" customFormat="1" ht="13.8">
      <c r="A1500" s="20" t="s">
        <v>797</v>
      </c>
      <c r="B1500" s="95"/>
      <c r="BH1500" s="97"/>
      <c r="BI1500" s="97"/>
      <c r="BJ1500" s="97"/>
      <c r="BK1500" s="95"/>
      <c r="BL1500" s="97"/>
      <c r="BM1500" s="97"/>
      <c r="BN1500" s="97"/>
      <c r="BO1500" s="95"/>
      <c r="BP1500" s="97"/>
      <c r="BQ1500" s="97"/>
      <c r="BR1500" s="97"/>
      <c r="BT1500" s="97"/>
      <c r="BU1500" s="97"/>
      <c r="BV1500" s="97"/>
      <c r="BX1500" s="97"/>
      <c r="BY1500" s="97"/>
      <c r="BZ1500" s="97"/>
      <c r="CB1500" s="97"/>
      <c r="CC1500" s="97"/>
      <c r="CD1500" s="97"/>
      <c r="CF1500" s="97"/>
      <c r="CG1500" s="97"/>
      <c r="CH1500" s="97"/>
      <c r="CJ1500" s="97"/>
      <c r="CK1500" s="97"/>
      <c r="CL1500" s="97"/>
      <c r="CN1500" s="97"/>
      <c r="CO1500" s="97"/>
      <c r="CP1500" s="97"/>
      <c r="CR1500" s="97"/>
      <c r="CS1500" s="97"/>
      <c r="CT1500" s="97"/>
      <c r="CV1500" s="65">
        <f>CV1438</f>
        <v>1193451</v>
      </c>
      <c r="CW1500" s="65">
        <f>CW1438</f>
        <v>1162740</v>
      </c>
      <c r="CX1500" s="65">
        <f>CX1438</f>
        <v>1162740</v>
      </c>
      <c r="CZ1500" s="65">
        <f>CZ1438</f>
        <v>1150777</v>
      </c>
      <c r="DA1500" s="65">
        <f>DA1438</f>
        <v>1259705</v>
      </c>
      <c r="DB1500" s="65">
        <f>DB1438</f>
        <v>1259705</v>
      </c>
      <c r="DD1500" s="65">
        <f>DD1438</f>
        <v>1255421</v>
      </c>
      <c r="DE1500" s="65">
        <f>DE1438</f>
        <v>1319100</v>
      </c>
      <c r="DF1500" s="65">
        <f>DF1438</f>
        <v>1319100</v>
      </c>
      <c r="DH1500" s="65">
        <f>DH1438</f>
        <v>1325491.0248382981</v>
      </c>
      <c r="DI1500" s="65">
        <f>DI1438</f>
        <v>1352212.0864839936</v>
      </c>
      <c r="DJ1500" s="65">
        <f>DJ1438</f>
        <v>1352212.0864839936</v>
      </c>
      <c r="DL1500" s="65">
        <f>DL1438</f>
        <v>1378604.7053428534</v>
      </c>
      <c r="DM1500" s="65">
        <f>DM1438</f>
        <v>1409586.7345671603</v>
      </c>
      <c r="DN1500" s="65">
        <f>DN1438</f>
        <v>1409586.7345671603</v>
      </c>
      <c r="DP1500" s="65">
        <f>DP1438</f>
        <v>1435996.7808130183</v>
      </c>
      <c r="DQ1500" s="65">
        <f>DQ1438</f>
        <v>1466217.0088292221</v>
      </c>
      <c r="DR1500" s="65">
        <f>DR1438</f>
        <v>1466217.0088292221</v>
      </c>
      <c r="DW1500" s="540"/>
      <c r="DX1500" s="717"/>
    </row>
    <row r="1501" spans="1:128" s="47" customFormat="1" ht="13.8">
      <c r="A1501" s="921" t="s">
        <v>1137</v>
      </c>
      <c r="B1501" s="575"/>
      <c r="C1501" s="574"/>
      <c r="D1501" s="574"/>
      <c r="E1501" s="574"/>
      <c r="F1501" s="574"/>
      <c r="G1501" s="574"/>
      <c r="H1501" s="574"/>
      <c r="I1501" s="574"/>
      <c r="J1501" s="574"/>
      <c r="K1501" s="574"/>
      <c r="L1501" s="574"/>
      <c r="M1501" s="574"/>
      <c r="N1501" s="574"/>
      <c r="O1501" s="574"/>
      <c r="P1501" s="574"/>
      <c r="Q1501" s="574"/>
      <c r="R1501" s="574"/>
      <c r="S1501" s="574"/>
      <c r="T1501" s="574"/>
      <c r="U1501" s="574"/>
      <c r="V1501" s="574"/>
      <c r="W1501" s="574"/>
      <c r="X1501" s="574"/>
      <c r="Y1501" s="574"/>
      <c r="Z1501" s="574"/>
      <c r="AA1501" s="574"/>
      <c r="AB1501" s="574"/>
      <c r="AC1501" s="574"/>
      <c r="AD1501" s="574"/>
      <c r="AE1501" s="574"/>
      <c r="AF1501" s="574"/>
      <c r="AG1501" s="574"/>
      <c r="AH1501" s="574"/>
      <c r="AI1501" s="574"/>
      <c r="AJ1501" s="574"/>
      <c r="AK1501" s="574"/>
      <c r="AL1501" s="574"/>
      <c r="AM1501" s="574"/>
      <c r="AN1501" s="574"/>
      <c r="AO1501" s="574"/>
      <c r="AP1501" s="574"/>
      <c r="AQ1501" s="574"/>
      <c r="AR1501" s="574"/>
      <c r="AS1501" s="574"/>
      <c r="AT1501" s="574"/>
      <c r="AU1501" s="574"/>
      <c r="AV1501" s="574"/>
      <c r="AW1501" s="574"/>
      <c r="AX1501" s="574"/>
      <c r="AY1501" s="574"/>
      <c r="AZ1501" s="574"/>
      <c r="BA1501" s="574"/>
      <c r="BB1501" s="574"/>
      <c r="BC1501" s="574"/>
      <c r="BD1501" s="574"/>
      <c r="BE1501" s="574"/>
      <c r="BF1501" s="574"/>
      <c r="BG1501" s="574"/>
      <c r="BH1501" s="577"/>
      <c r="BI1501" s="577"/>
      <c r="BJ1501" s="577"/>
      <c r="BK1501" s="575"/>
      <c r="BL1501" s="577"/>
      <c r="BM1501" s="577"/>
      <c r="BN1501" s="577"/>
      <c r="BO1501" s="575"/>
      <c r="BP1501" s="577"/>
      <c r="BQ1501" s="577"/>
      <c r="BR1501" s="577"/>
      <c r="BS1501" s="574"/>
      <c r="BT1501" s="577"/>
      <c r="BU1501" s="577"/>
      <c r="BV1501" s="577"/>
      <c r="BW1501" s="574"/>
      <c r="BX1501" s="577"/>
      <c r="BY1501" s="577"/>
      <c r="BZ1501" s="577"/>
      <c r="CA1501" s="574"/>
      <c r="CB1501" s="577"/>
      <c r="CC1501" s="577"/>
      <c r="CD1501" s="577"/>
      <c r="CE1501" s="574"/>
      <c r="CF1501" s="577"/>
      <c r="CG1501" s="577"/>
      <c r="CH1501" s="577"/>
      <c r="CI1501" s="574"/>
      <c r="CJ1501" s="577"/>
      <c r="CK1501" s="577"/>
      <c r="CL1501" s="577"/>
      <c r="CM1501" s="574"/>
      <c r="CN1501" s="577"/>
      <c r="CO1501" s="577"/>
      <c r="CP1501" s="577"/>
      <c r="CQ1501" s="574"/>
      <c r="CR1501" s="577"/>
      <c r="CS1501" s="577"/>
      <c r="CT1501" s="577"/>
      <c r="CU1501" s="574"/>
      <c r="CV1501" s="577">
        <f>CV1496/CV1500</f>
        <v>0.45804394147727889</v>
      </c>
      <c r="CW1501" s="577">
        <f>CW1496/CW1500</f>
        <v>0.4684959664241361</v>
      </c>
      <c r="CX1501" s="577">
        <f>CX1496/CX1500</f>
        <v>0.4684959664241361</v>
      </c>
      <c r="CY1501" s="577"/>
      <c r="CZ1501" s="577">
        <f>CZ1496/CZ1500</f>
        <v>0.47081232940873863</v>
      </c>
      <c r="DA1501" s="577">
        <f>DA1496/DA1500</f>
        <v>0.4433601517815679</v>
      </c>
      <c r="DB1501" s="577">
        <f>DB1496/DB1500</f>
        <v>0.4433601517815679</v>
      </c>
      <c r="DC1501" s="577"/>
      <c r="DD1501" s="577">
        <f>DD1496/DD1500</f>
        <v>0.46947836622137118</v>
      </c>
      <c r="DE1501" s="577">
        <f>DE1496/DE1500</f>
        <v>0.43348495186111741</v>
      </c>
      <c r="DF1501" s="577">
        <f>DF1496/DF1500</f>
        <v>0.43348495186111741</v>
      </c>
      <c r="DG1501" s="576"/>
      <c r="DH1501" s="1539">
        <v>0.44</v>
      </c>
      <c r="DI1501" s="961">
        <f>DH1501</f>
        <v>0.44</v>
      </c>
      <c r="DJ1501" s="577">
        <f>DJ1503/DJ$1452</f>
        <v>9.2490540413318391E-7</v>
      </c>
      <c r="DK1501" s="576"/>
      <c r="DL1501" s="961">
        <f>DI1501</f>
        <v>0.44</v>
      </c>
      <c r="DM1501" s="961">
        <f>DL1501</f>
        <v>0.44</v>
      </c>
      <c r="DN1501" s="577">
        <f>DN1503/DN$1452</f>
        <v>8.9623507524846267E-7</v>
      </c>
      <c r="DO1501" s="576"/>
      <c r="DP1501" s="961">
        <f>DM1501</f>
        <v>0.44</v>
      </c>
      <c r="DQ1501" s="961">
        <f>DP1501</f>
        <v>0.44</v>
      </c>
      <c r="DR1501" s="577">
        <f>DR1503/DR$1452</f>
        <v>8.6561786106533421E-7</v>
      </c>
      <c r="DS1501" s="576"/>
      <c r="DT1501" s="576"/>
      <c r="DU1501" s="576"/>
      <c r="DV1501" s="576"/>
      <c r="DW1501" s="935"/>
      <c r="DX1501" s="940"/>
    </row>
    <row r="1502" spans="1:128" s="78" customFormat="1" ht="13.8">
      <c r="A1502" s="21"/>
      <c r="B1502" s="95"/>
      <c r="BH1502" s="97"/>
      <c r="BI1502" s="97"/>
      <c r="BJ1502" s="97"/>
      <c r="BK1502" s="95"/>
      <c r="BL1502" s="97"/>
      <c r="BM1502" s="97"/>
      <c r="BN1502" s="97"/>
      <c r="BO1502" s="95"/>
      <c r="BP1502" s="97"/>
      <c r="BQ1502" s="97"/>
      <c r="BR1502" s="97"/>
      <c r="BT1502" s="97"/>
      <c r="BU1502" s="97"/>
      <c r="BV1502" s="97"/>
      <c r="BX1502" s="97"/>
      <c r="BY1502" s="97"/>
      <c r="BZ1502" s="97"/>
      <c r="CB1502" s="97"/>
      <c r="CC1502" s="97"/>
      <c r="CD1502" s="97"/>
      <c r="CF1502" s="97"/>
      <c r="CG1502" s="97"/>
      <c r="CH1502" s="97"/>
      <c r="CJ1502" s="97"/>
      <c r="CK1502" s="97"/>
      <c r="CL1502" s="97"/>
      <c r="CN1502" s="97"/>
      <c r="CO1502" s="97"/>
      <c r="CP1502" s="97"/>
      <c r="CR1502" s="97"/>
      <c r="CS1502" s="97"/>
      <c r="CT1502" s="97"/>
      <c r="CV1502" s="72"/>
      <c r="CW1502" s="72"/>
      <c r="CX1502" s="72"/>
      <c r="CZ1502" s="72"/>
      <c r="DA1502" s="72"/>
      <c r="DB1502" s="72"/>
      <c r="DD1502" s="72"/>
      <c r="DE1502" s="72"/>
      <c r="DF1502" s="72"/>
      <c r="DH1502" s="72"/>
      <c r="DI1502" s="72"/>
      <c r="DJ1502" s="72"/>
      <c r="DL1502" s="72"/>
      <c r="DM1502" s="72"/>
      <c r="DN1502" s="72"/>
      <c r="DP1502" s="72"/>
      <c r="DQ1502" s="72"/>
      <c r="DR1502" s="72"/>
      <c r="DW1502" s="540"/>
      <c r="DX1502" s="717"/>
    </row>
    <row r="1503" spans="1:128" s="78" customFormat="1" ht="13.8">
      <c r="A1503" s="47" t="s">
        <v>1141</v>
      </c>
      <c r="B1503" s="95"/>
      <c r="BH1503" s="97"/>
      <c r="BI1503" s="97"/>
      <c r="BJ1503" s="97"/>
      <c r="BK1503" s="95"/>
      <c r="BL1503" s="97"/>
      <c r="BM1503" s="97"/>
      <c r="BN1503" s="97"/>
      <c r="BO1503" s="95"/>
      <c r="BP1503" s="97"/>
      <c r="BQ1503" s="97"/>
      <c r="BR1503" s="97"/>
      <c r="BT1503" s="97"/>
      <c r="BU1503" s="97"/>
      <c r="BV1503" s="97"/>
      <c r="BX1503" s="97"/>
      <c r="BY1503" s="97"/>
      <c r="BZ1503" s="97"/>
      <c r="CB1503" s="97"/>
      <c r="CC1503" s="97"/>
      <c r="CD1503" s="97"/>
      <c r="CF1503" s="97"/>
      <c r="CG1503" s="97"/>
      <c r="CH1503" s="97"/>
      <c r="CJ1503" s="97"/>
      <c r="CK1503" s="97"/>
      <c r="CL1503" s="97"/>
      <c r="CN1503" s="97"/>
      <c r="CO1503" s="97"/>
      <c r="CP1503" s="97"/>
      <c r="CR1503" s="97"/>
      <c r="CS1503" s="97"/>
      <c r="CT1503" s="97"/>
      <c r="CV1503" s="1230">
        <v>0.72499999999999998</v>
      </c>
      <c r="CW1503" s="1230">
        <v>0.72499999999999998</v>
      </c>
      <c r="CX1503" s="1231">
        <f>CW1503</f>
        <v>0.72499999999999998</v>
      </c>
      <c r="CZ1503" s="1230">
        <v>0.72499999999999998</v>
      </c>
      <c r="DA1503" s="1230">
        <v>0.72499999999999998</v>
      </c>
      <c r="DB1503" s="1231">
        <f>DA1503</f>
        <v>0.72499999999999998</v>
      </c>
      <c r="DD1503" s="1230">
        <v>0.72499999999999998</v>
      </c>
      <c r="DE1503" s="1230">
        <v>0.72499999999999998</v>
      </c>
      <c r="DF1503" s="1231">
        <f>DE1503</f>
        <v>0.72499999999999998</v>
      </c>
      <c r="DH1503" s="1231">
        <f>DE1503</f>
        <v>0.72499999999999998</v>
      </c>
      <c r="DI1503" s="1231">
        <f>DH1503</f>
        <v>0.72499999999999998</v>
      </c>
      <c r="DJ1503" s="1231">
        <f>DI1503</f>
        <v>0.72499999999999998</v>
      </c>
      <c r="DL1503" s="1231">
        <f>DI1503</f>
        <v>0.72499999999999998</v>
      </c>
      <c r="DM1503" s="1231">
        <f>DL1503</f>
        <v>0.72499999999999998</v>
      </c>
      <c r="DN1503" s="1231">
        <f>DM1503</f>
        <v>0.72499999999999998</v>
      </c>
      <c r="DP1503" s="1231">
        <f>DM1503</f>
        <v>0.72499999999999998</v>
      </c>
      <c r="DQ1503" s="1231">
        <f>DP1503</f>
        <v>0.72499999999999998</v>
      </c>
      <c r="DR1503" s="1231">
        <f>DQ1503</f>
        <v>0.72499999999999998</v>
      </c>
      <c r="DW1503" s="717"/>
      <c r="DX1503" s="717"/>
    </row>
    <row r="1504" spans="1:128" s="78" customFormat="1" ht="13.8">
      <c r="A1504" s="21" t="s">
        <v>1140</v>
      </c>
      <c r="B1504" s="95"/>
      <c r="BH1504" s="97"/>
      <c r="BI1504" s="97"/>
      <c r="BJ1504" s="97"/>
      <c r="BK1504" s="95"/>
      <c r="BL1504" s="97"/>
      <c r="BM1504" s="97"/>
      <c r="BN1504" s="97"/>
      <c r="BO1504" s="95"/>
      <c r="BP1504" s="97"/>
      <c r="BQ1504" s="97"/>
      <c r="BR1504" s="97"/>
      <c r="BT1504" s="97"/>
      <c r="BU1504" s="97"/>
      <c r="BV1504" s="97"/>
      <c r="BX1504" s="97"/>
      <c r="BY1504" s="97"/>
      <c r="BZ1504" s="97"/>
      <c r="CB1504" s="97"/>
      <c r="CC1504" s="97"/>
      <c r="CD1504" s="97"/>
      <c r="CF1504" s="97"/>
      <c r="CG1504" s="97"/>
      <c r="CH1504" s="97"/>
      <c r="CJ1504" s="97"/>
      <c r="CK1504" s="97"/>
      <c r="CL1504" s="97"/>
      <c r="CN1504" s="97"/>
      <c r="CO1504" s="97"/>
      <c r="CP1504" s="97"/>
      <c r="CR1504" s="97"/>
      <c r="CS1504" s="97"/>
      <c r="CT1504" s="97"/>
      <c r="CV1504" s="72">
        <f>CV1499*CV1503</f>
        <v>435514.02499999997</v>
      </c>
      <c r="CW1504" s="72">
        <f>CW1499*CW1503</f>
        <v>433058.45</v>
      </c>
      <c r="CX1504" s="72">
        <f>CX1499*CX1503</f>
        <v>433058.45</v>
      </c>
      <c r="CZ1504" s="72">
        <f>CZ1499*CZ1503</f>
        <v>432779.32500000001</v>
      </c>
      <c r="DA1504" s="72">
        <f>DA1499*DA1503</f>
        <v>446582.6</v>
      </c>
      <c r="DB1504" s="72">
        <f>DB1499*DB1503</f>
        <v>446582.6</v>
      </c>
      <c r="DD1504" s="72">
        <f>DD1499*DD1503</f>
        <v>468998.875</v>
      </c>
      <c r="DE1504" s="72">
        <f>DE1499*DE1503</f>
        <v>458546.55</v>
      </c>
      <c r="DF1504" s="72">
        <f>DF1499*DF1503</f>
        <v>458546.55</v>
      </c>
      <c r="DH1504" s="72">
        <f ca="1">DH1499*DH1503</f>
        <v>467565.63513879071</v>
      </c>
      <c r="DI1504" s="72">
        <f ca="1">DI1499*DI1503</f>
        <v>477057.98778344376</v>
      </c>
      <c r="DJ1504" s="72">
        <f ca="1">DJ1499*DJ1503</f>
        <v>477057.98778344376</v>
      </c>
      <c r="DL1504" s="72">
        <f ca="1">DL1499*DL1503</f>
        <v>484064.89133376349</v>
      </c>
      <c r="DM1504" s="72">
        <f ca="1">DM1499*DM1503</f>
        <v>492890.87738192204</v>
      </c>
      <c r="DN1504" s="72">
        <f ca="1">DN1499*DN1503</f>
        <v>492890.87738192204</v>
      </c>
      <c r="DP1504" s="72">
        <f ca="1">DP1499*DP1503</f>
        <v>504349.70587187452</v>
      </c>
      <c r="DQ1504" s="72">
        <f ca="1">DQ1499*DQ1503</f>
        <v>512772.17145862099</v>
      </c>
      <c r="DR1504" s="72">
        <f ca="1">DR1499*DR1503</f>
        <v>512772.17145862099</v>
      </c>
      <c r="DW1504" s="542"/>
      <c r="DX1504" s="829"/>
    </row>
    <row r="1505" spans="1:128" s="78" customFormat="1" ht="13.8">
      <c r="A1505" s="21"/>
      <c r="B1505" s="95"/>
      <c r="BH1505" s="97"/>
      <c r="BI1505" s="97"/>
      <c r="BJ1505" s="97"/>
      <c r="BK1505" s="95"/>
      <c r="BL1505" s="97"/>
      <c r="BM1505" s="97"/>
      <c r="BN1505" s="97"/>
      <c r="BO1505" s="95"/>
      <c r="BP1505" s="97"/>
      <c r="BQ1505" s="97"/>
      <c r="BR1505" s="97"/>
      <c r="BT1505" s="97"/>
      <c r="BU1505" s="97"/>
      <c r="BV1505" s="97"/>
      <c r="BX1505" s="97"/>
      <c r="BY1505" s="97"/>
      <c r="BZ1505" s="97"/>
      <c r="CB1505" s="97"/>
      <c r="CC1505" s="97"/>
      <c r="CD1505" s="97"/>
      <c r="CF1505" s="97"/>
      <c r="CG1505" s="97"/>
      <c r="CH1505" s="97"/>
      <c r="CJ1505" s="97"/>
      <c r="CK1505" s="97"/>
      <c r="CL1505" s="97"/>
      <c r="CN1505" s="97"/>
      <c r="CO1505" s="97"/>
      <c r="CP1505" s="97"/>
      <c r="CR1505" s="97"/>
      <c r="CS1505" s="97"/>
      <c r="CT1505" s="97"/>
      <c r="CV1505" s="72"/>
      <c r="CW1505" s="72"/>
      <c r="CX1505" s="72"/>
      <c r="CZ1505" s="72"/>
      <c r="DA1505" s="72"/>
      <c r="DB1505" s="72"/>
      <c r="DD1505" s="72"/>
      <c r="DE1505" s="72"/>
      <c r="DF1505" s="72"/>
      <c r="DH1505" s="72"/>
      <c r="DI1505" s="72"/>
      <c r="DJ1505" s="72"/>
      <c r="DL1505" s="72"/>
      <c r="DM1505" s="72"/>
      <c r="DN1505" s="72"/>
      <c r="DP1505" s="72"/>
      <c r="DQ1505" s="72"/>
      <c r="DR1505" s="72"/>
      <c r="DW1505" s="542"/>
      <c r="DX1505" s="829"/>
    </row>
    <row r="1506" spans="1:128" s="78" customFormat="1" ht="13.8">
      <c r="A1506" s="20" t="s">
        <v>1144</v>
      </c>
      <c r="B1506" s="95"/>
      <c r="BH1506" s="97"/>
      <c r="BI1506" s="97"/>
      <c r="BJ1506" s="97"/>
      <c r="BK1506" s="95"/>
      <c r="BL1506" s="97"/>
      <c r="BM1506" s="97"/>
      <c r="BN1506" s="97"/>
      <c r="BO1506" s="95"/>
      <c r="BP1506" s="97"/>
      <c r="BQ1506" s="97"/>
      <c r="BR1506" s="97"/>
      <c r="BT1506" s="97"/>
      <c r="BU1506" s="97"/>
      <c r="BV1506" s="97"/>
      <c r="BX1506" s="97"/>
      <c r="BY1506" s="97"/>
      <c r="BZ1506" s="97"/>
      <c r="CB1506" s="97"/>
      <c r="CC1506" s="97"/>
      <c r="CD1506" s="97"/>
      <c r="CF1506" s="97"/>
      <c r="CG1506" s="97"/>
      <c r="CH1506" s="97"/>
      <c r="CJ1506" s="97"/>
      <c r="CK1506" s="97"/>
      <c r="CL1506" s="97"/>
      <c r="CN1506" s="97"/>
      <c r="CO1506" s="97"/>
      <c r="CP1506" s="97"/>
      <c r="CR1506" s="97"/>
      <c r="CS1506" s="97"/>
      <c r="CT1506" s="97"/>
      <c r="CV1506" s="65">
        <f t="shared" ref="CV1506:CX1509" si="2153">CV1402</f>
        <v>345294</v>
      </c>
      <c r="CW1506" s="65">
        <f t="shared" si="2153"/>
        <v>349041</v>
      </c>
      <c r="CX1506" s="65">
        <f t="shared" si="2153"/>
        <v>349041</v>
      </c>
      <c r="CZ1506" s="65">
        <f t="shared" ref="CZ1506:DB1509" si="2154">CZ1402</f>
        <v>348447</v>
      </c>
      <c r="DA1506" s="65">
        <f t="shared" si="2154"/>
        <v>361185</v>
      </c>
      <c r="DB1506" s="65">
        <f t="shared" si="2154"/>
        <v>361185</v>
      </c>
      <c r="DD1506" s="65">
        <f t="shared" ref="DD1506:DF1506" si="2155">DD1402</f>
        <v>378081</v>
      </c>
      <c r="DE1506" s="65">
        <f t="shared" si="2155"/>
        <v>369583</v>
      </c>
      <c r="DF1506" s="65">
        <f t="shared" si="2155"/>
        <v>369583</v>
      </c>
      <c r="DH1506" s="65">
        <f t="shared" ref="DH1506:DJ1509" ca="1" si="2156">DH1402</f>
        <v>371411.66461772221</v>
      </c>
      <c r="DI1506" s="65">
        <f t="shared" ca="1" si="2156"/>
        <v>378929.84977178671</v>
      </c>
      <c r="DJ1506" s="65">
        <f t="shared" ca="1" si="2156"/>
        <v>378929.84977178671</v>
      </c>
      <c r="DL1506" s="65">
        <f t="shared" ref="DL1506:DN1506" ca="1" si="2157">DL1402</f>
        <v>386383.71564999397</v>
      </c>
      <c r="DM1506" s="65">
        <f t="shared" ca="1" si="2157"/>
        <v>395103.82086026511</v>
      </c>
      <c r="DN1506" s="65">
        <f t="shared" ca="1" si="2157"/>
        <v>395103.82086026511</v>
      </c>
      <c r="DP1506" s="65">
        <f t="shared" ref="DP1506:DR1506" ca="1" si="2158">DP1402</f>
        <v>402535.63656090334</v>
      </c>
      <c r="DQ1506" s="65">
        <f t="shared" ca="1" si="2158"/>
        <v>411019.5747267743</v>
      </c>
      <c r="DR1506" s="65">
        <f t="shared" ca="1" si="2158"/>
        <v>411019.5747267743</v>
      </c>
      <c r="DW1506" s="542"/>
      <c r="DX1506" s="829"/>
    </row>
    <row r="1507" spans="1:128" s="78" customFormat="1" ht="13.8">
      <c r="A1507" s="20" t="str">
        <f>A1403</f>
        <v>Market Risk</v>
      </c>
      <c r="B1507" s="95"/>
      <c r="BH1507" s="97"/>
      <c r="BI1507" s="97"/>
      <c r="BJ1507" s="97"/>
      <c r="BK1507" s="95"/>
      <c r="BL1507" s="97"/>
      <c r="BM1507" s="97"/>
      <c r="BN1507" s="97"/>
      <c r="BO1507" s="95"/>
      <c r="BP1507" s="97"/>
      <c r="BQ1507" s="97"/>
      <c r="BR1507" s="97"/>
      <c r="BT1507" s="97"/>
      <c r="BU1507" s="97"/>
      <c r="BV1507" s="97"/>
      <c r="BX1507" s="97"/>
      <c r="BY1507" s="97"/>
      <c r="BZ1507" s="97"/>
      <c r="CB1507" s="97"/>
      <c r="CC1507" s="97"/>
      <c r="CD1507" s="97"/>
      <c r="CF1507" s="97"/>
      <c r="CG1507" s="97"/>
      <c r="CH1507" s="97"/>
      <c r="CJ1507" s="97"/>
      <c r="CK1507" s="97"/>
      <c r="CL1507" s="97"/>
      <c r="CN1507" s="97"/>
      <c r="CO1507" s="97"/>
      <c r="CP1507" s="97"/>
      <c r="CR1507" s="97"/>
      <c r="CS1507" s="97"/>
      <c r="CT1507" s="97"/>
      <c r="CV1507" s="65">
        <f t="shared" si="2153"/>
        <v>11737</v>
      </c>
      <c r="CW1507" s="65">
        <f t="shared" si="2153"/>
        <v>10264</v>
      </c>
      <c r="CX1507" s="65">
        <f t="shared" si="2153"/>
        <v>10264</v>
      </c>
      <c r="CZ1507" s="65">
        <f t="shared" si="2154"/>
        <v>11863</v>
      </c>
      <c r="DA1507" s="65">
        <f t="shared" si="2154"/>
        <v>7823</v>
      </c>
      <c r="DB1507" s="65">
        <f t="shared" si="2154"/>
        <v>7823</v>
      </c>
      <c r="DD1507" s="65">
        <f t="shared" ref="DD1507:DF1507" si="2159">DD1403</f>
        <v>6854</v>
      </c>
      <c r="DE1507" s="65">
        <f t="shared" si="2159"/>
        <v>6895</v>
      </c>
      <c r="DF1507" s="65">
        <f t="shared" si="2159"/>
        <v>6895</v>
      </c>
      <c r="DH1507" s="65">
        <f t="shared" ca="1" si="2156"/>
        <v>7573.0374106223044</v>
      </c>
      <c r="DI1507" s="65">
        <f t="shared" ca="1" si="2156"/>
        <v>7736.967078137357</v>
      </c>
      <c r="DJ1507" s="65">
        <f t="shared" ca="1" si="2156"/>
        <v>7736.967078137357</v>
      </c>
      <c r="DL1507" s="65">
        <f t="shared" ref="DL1507:DN1507" ca="1" si="2160">DL1403</f>
        <v>7908.9268445345197</v>
      </c>
      <c r="DM1507" s="65">
        <f t="shared" ca="1" si="2160"/>
        <v>8099.8049751752478</v>
      </c>
      <c r="DN1507" s="65">
        <f t="shared" ca="1" si="2160"/>
        <v>8099.8049751752478</v>
      </c>
      <c r="DP1507" s="65">
        <f t="shared" ref="DP1507:DR1507" ca="1" si="2161">DP1403</f>
        <v>8261.9165700931553</v>
      </c>
      <c r="DQ1507" s="65">
        <f t="shared" ca="1" si="2161"/>
        <v>8440.083492664935</v>
      </c>
      <c r="DR1507" s="65">
        <f t="shared" ca="1" si="2161"/>
        <v>8440.083492664935</v>
      </c>
      <c r="DW1507" s="542"/>
      <c r="DX1507" s="829"/>
    </row>
    <row r="1508" spans="1:128" s="78" customFormat="1" ht="13.8">
      <c r="A1508" s="20" t="str">
        <f>A1404</f>
        <v>IRRBB</v>
      </c>
      <c r="B1508" s="95"/>
      <c r="BH1508" s="97"/>
      <c r="BI1508" s="97"/>
      <c r="BJ1508" s="97"/>
      <c r="BK1508" s="95"/>
      <c r="BL1508" s="97"/>
      <c r="BM1508" s="97"/>
      <c r="BN1508" s="97"/>
      <c r="BO1508" s="95"/>
      <c r="BP1508" s="97"/>
      <c r="BQ1508" s="97"/>
      <c r="BR1508" s="97"/>
      <c r="BT1508" s="97"/>
      <c r="BU1508" s="97"/>
      <c r="BV1508" s="97"/>
      <c r="BX1508" s="97"/>
      <c r="BY1508" s="97"/>
      <c r="BZ1508" s="97"/>
      <c r="CB1508" s="97"/>
      <c r="CC1508" s="97"/>
      <c r="CD1508" s="97"/>
      <c r="CF1508" s="97"/>
      <c r="CG1508" s="97"/>
      <c r="CH1508" s="97"/>
      <c r="CJ1508" s="97"/>
      <c r="CK1508" s="97"/>
      <c r="CL1508" s="97"/>
      <c r="CN1508" s="97"/>
      <c r="CO1508" s="97"/>
      <c r="CP1508" s="97"/>
      <c r="CR1508" s="97"/>
      <c r="CS1508" s="97"/>
      <c r="CT1508" s="97"/>
      <c r="CV1508" s="65">
        <f t="shared" si="2153"/>
        <v>31887</v>
      </c>
      <c r="CW1508" s="65">
        <f t="shared" si="2153"/>
        <v>31703</v>
      </c>
      <c r="CX1508" s="65">
        <f t="shared" si="2153"/>
        <v>31703</v>
      </c>
      <c r="CZ1508" s="65">
        <f t="shared" si="2154"/>
        <v>26200</v>
      </c>
      <c r="DA1508" s="65">
        <f t="shared" si="2154"/>
        <v>23052</v>
      </c>
      <c r="DB1508" s="65">
        <f t="shared" si="2154"/>
        <v>23052</v>
      </c>
      <c r="DD1508" s="65">
        <f t="shared" ref="DD1508:DF1508" si="2162">DD1404</f>
        <v>21357</v>
      </c>
      <c r="DE1508" s="65">
        <f t="shared" si="2162"/>
        <v>24797</v>
      </c>
      <c r="DF1508" s="65">
        <f t="shared" si="2162"/>
        <v>24797</v>
      </c>
      <c r="DH1508" s="65">
        <f t="shared" ca="1" si="2156"/>
        <v>26766.770158234012</v>
      </c>
      <c r="DI1508" s="65">
        <f t="shared" ca="1" si="2156"/>
        <v>27346.176741692387</v>
      </c>
      <c r="DJ1508" s="65">
        <f t="shared" ca="1" si="2156"/>
        <v>27346.176741692387</v>
      </c>
      <c r="DL1508" s="65">
        <f t="shared" ref="DL1508:DN1508" ca="1" si="2163">DL1404</f>
        <v>27953.965571199598</v>
      </c>
      <c r="DM1508" s="65">
        <f t="shared" ca="1" si="2163"/>
        <v>28628.621032947001</v>
      </c>
      <c r="DN1508" s="65">
        <f t="shared" ca="1" si="2163"/>
        <v>28628.621032947001</v>
      </c>
      <c r="DP1508" s="65">
        <f t="shared" ref="DP1508:DR1508" ca="1" si="2164">DP1404</f>
        <v>29201.601670156844</v>
      </c>
      <c r="DQ1508" s="65">
        <f t="shared" ca="1" si="2164"/>
        <v>29831.329586143311</v>
      </c>
      <c r="DR1508" s="65">
        <f t="shared" ca="1" si="2164"/>
        <v>29831.329586143311</v>
      </c>
      <c r="DW1508" s="542"/>
      <c r="DX1508" s="829"/>
    </row>
    <row r="1509" spans="1:128" s="78" customFormat="1" ht="13.8">
      <c r="A1509" s="20" t="str">
        <f>A1405</f>
        <v>Operational Risk</v>
      </c>
      <c r="B1509" s="95"/>
      <c r="BH1509" s="97"/>
      <c r="BI1509" s="97"/>
      <c r="BJ1509" s="97"/>
      <c r="BK1509" s="95"/>
      <c r="BL1509" s="97"/>
      <c r="BM1509" s="97"/>
      <c r="BN1509" s="97"/>
      <c r="BO1509" s="95"/>
      <c r="BP1509" s="97"/>
      <c r="BQ1509" s="97"/>
      <c r="BR1509" s="97"/>
      <c r="BT1509" s="97"/>
      <c r="BU1509" s="97"/>
      <c r="BV1509" s="97"/>
      <c r="BX1509" s="97"/>
      <c r="BY1509" s="97"/>
      <c r="BZ1509" s="97"/>
      <c r="CB1509" s="97"/>
      <c r="CC1509" s="97"/>
      <c r="CD1509" s="97"/>
      <c r="CF1509" s="97"/>
      <c r="CG1509" s="97"/>
      <c r="CH1509" s="97"/>
      <c r="CJ1509" s="97"/>
      <c r="CK1509" s="97"/>
      <c r="CL1509" s="97"/>
      <c r="CN1509" s="97"/>
      <c r="CO1509" s="97"/>
      <c r="CP1509" s="97"/>
      <c r="CR1509" s="97"/>
      <c r="CS1509" s="97"/>
      <c r="CT1509" s="97"/>
      <c r="CV1509" s="65">
        <f t="shared" si="2153"/>
        <v>42319</v>
      </c>
      <c r="CW1509" s="65">
        <f t="shared" si="2153"/>
        <v>42319</v>
      </c>
      <c r="CX1509" s="65">
        <f t="shared" si="2153"/>
        <v>42319</v>
      </c>
      <c r="CZ1509" s="65">
        <f t="shared" si="2154"/>
        <v>43274</v>
      </c>
      <c r="DA1509" s="65">
        <f t="shared" si="2154"/>
        <v>49650</v>
      </c>
      <c r="DB1509" s="65">
        <f t="shared" si="2154"/>
        <v>49650</v>
      </c>
      <c r="DD1509" s="65">
        <f t="shared" ref="DD1509:DF1509" si="2165">DD1405</f>
        <v>50648</v>
      </c>
      <c r="DE1509" s="65">
        <f t="shared" si="2165"/>
        <v>53773</v>
      </c>
      <c r="DF1509" s="65">
        <f t="shared" si="2165"/>
        <v>53773</v>
      </c>
      <c r="DH1509" s="65">
        <f t="shared" ca="1" si="2156"/>
        <v>54129.029093341283</v>
      </c>
      <c r="DI1509" s="65">
        <f t="shared" ca="1" si="2156"/>
        <v>55300.732501241764</v>
      </c>
      <c r="DJ1509" s="65">
        <f t="shared" ca="1" si="2156"/>
        <v>55300.732501241764</v>
      </c>
      <c r="DL1509" s="65">
        <f t="shared" ref="DL1509:DN1509" ca="1" si="2166">DL1405</f>
        <v>53180.714989111431</v>
      </c>
      <c r="DM1509" s="65">
        <f t="shared" ca="1" si="2166"/>
        <v>51531.5178593046</v>
      </c>
      <c r="DN1509" s="65">
        <f t="shared" ca="1" si="2166"/>
        <v>51531.5178593046</v>
      </c>
      <c r="DP1509" s="65">
        <f t="shared" ref="DP1509:DR1509" ca="1" si="2167">DP1405</f>
        <v>55554.266592005704</v>
      </c>
      <c r="DQ1509" s="65">
        <f t="shared" ca="1" si="2167"/>
        <v>53696.393255057956</v>
      </c>
      <c r="DR1509" s="65">
        <f t="shared" ca="1" si="2167"/>
        <v>53696.393255057956</v>
      </c>
      <c r="DW1509" s="542"/>
      <c r="DX1509" s="829"/>
    </row>
    <row r="1510" spans="1:128" s="78" customFormat="1" ht="13.8">
      <c r="A1510" s="21" t="s">
        <v>1143</v>
      </c>
      <c r="B1510" s="95"/>
      <c r="BH1510" s="97"/>
      <c r="BI1510" s="97"/>
      <c r="BJ1510" s="97"/>
      <c r="BK1510" s="95"/>
      <c r="BL1510" s="97"/>
      <c r="BM1510" s="97"/>
      <c r="BN1510" s="97"/>
      <c r="BO1510" s="95"/>
      <c r="BP1510" s="97"/>
      <c r="BQ1510" s="97"/>
      <c r="BR1510" s="97"/>
      <c r="BT1510" s="97"/>
      <c r="BU1510" s="97"/>
      <c r="BV1510" s="97"/>
      <c r="BX1510" s="97"/>
      <c r="BY1510" s="97"/>
      <c r="BZ1510" s="97"/>
      <c r="CB1510" s="97"/>
      <c r="CC1510" s="97"/>
      <c r="CD1510" s="97"/>
      <c r="CF1510" s="97"/>
      <c r="CG1510" s="97"/>
      <c r="CH1510" s="97"/>
      <c r="CJ1510" s="97"/>
      <c r="CK1510" s="97"/>
      <c r="CL1510" s="97"/>
      <c r="CN1510" s="97"/>
      <c r="CO1510" s="97"/>
      <c r="CP1510" s="97"/>
      <c r="CR1510" s="97"/>
      <c r="CS1510" s="97"/>
      <c r="CT1510" s="97"/>
      <c r="CV1510" s="72">
        <f>SUM(CV1506:CV1509)</f>
        <v>431237</v>
      </c>
      <c r="CW1510" s="72">
        <f>SUM(CW1506:CW1509)</f>
        <v>433327</v>
      </c>
      <c r="CX1510" s="72">
        <f t="shared" ref="CX1510" si="2168">SUM(CX1506:CX1509)</f>
        <v>433327</v>
      </c>
      <c r="CZ1510" s="72">
        <f>SUM(CZ1506:CZ1509)</f>
        <v>429784</v>
      </c>
      <c r="DA1510" s="72">
        <f>SUM(DA1506:DA1509)</f>
        <v>441710</v>
      </c>
      <c r="DB1510" s="72">
        <f t="shared" ref="DB1510" si="2169">SUM(DB1506:DB1509)</f>
        <v>441710</v>
      </c>
      <c r="DD1510" s="72">
        <f>SUM(DD1506:DD1509)</f>
        <v>456940</v>
      </c>
      <c r="DE1510" s="72">
        <f>SUM(DE1506:DE1509)</f>
        <v>455048</v>
      </c>
      <c r="DF1510" s="72">
        <f t="shared" ref="DF1510" si="2170">SUM(DF1506:DF1509)</f>
        <v>455048</v>
      </c>
      <c r="DH1510" s="72">
        <f t="shared" ref="DH1510:DJ1510" ca="1" si="2171">SUM(DH1506:DH1509)</f>
        <v>459880.50127991976</v>
      </c>
      <c r="DI1510" s="72">
        <f t="shared" ca="1" si="2171"/>
        <v>469313.72609285824</v>
      </c>
      <c r="DJ1510" s="72">
        <f t="shared" ca="1" si="2171"/>
        <v>469313.72609285824</v>
      </c>
      <c r="DL1510" s="72">
        <f t="shared" ref="DL1510:DN1510" ca="1" si="2172">SUM(DL1506:DL1509)</f>
        <v>475427.32305483951</v>
      </c>
      <c r="DM1510" s="72">
        <f t="shared" ca="1" si="2172"/>
        <v>483363.76472769195</v>
      </c>
      <c r="DN1510" s="72">
        <f t="shared" ca="1" si="2172"/>
        <v>483363.76472769195</v>
      </c>
      <c r="DP1510" s="72">
        <f t="shared" ref="DP1510:DR1510" ca="1" si="2173">SUM(DP1506:DP1509)</f>
        <v>495553.42139315908</v>
      </c>
      <c r="DQ1510" s="72">
        <f t="shared" ca="1" si="2173"/>
        <v>502987.3810606405</v>
      </c>
      <c r="DR1510" s="72">
        <f t="shared" ca="1" si="2173"/>
        <v>502987.3810606405</v>
      </c>
      <c r="DW1510" s="542"/>
      <c r="DX1510" s="829"/>
    </row>
    <row r="1511" spans="1:128" s="78" customFormat="1" ht="13.8">
      <c r="A1511" s="20"/>
      <c r="B1511" s="95"/>
      <c r="BH1511" s="97"/>
      <c r="BI1511" s="97"/>
      <c r="BJ1511" s="97"/>
      <c r="BK1511" s="95"/>
      <c r="BL1511" s="97"/>
      <c r="BM1511" s="97"/>
      <c r="BN1511" s="97"/>
      <c r="BO1511" s="95"/>
      <c r="BP1511" s="97"/>
      <c r="BQ1511" s="97"/>
      <c r="BR1511" s="97"/>
      <c r="BT1511" s="97"/>
      <c r="BU1511" s="97"/>
      <c r="BV1511" s="97"/>
      <c r="BX1511" s="97"/>
      <c r="BY1511" s="97"/>
      <c r="BZ1511" s="97"/>
      <c r="CB1511" s="97"/>
      <c r="CC1511" s="97"/>
      <c r="CD1511" s="97"/>
      <c r="CF1511" s="97"/>
      <c r="CG1511" s="97"/>
      <c r="CH1511" s="97"/>
      <c r="CJ1511" s="97"/>
      <c r="CK1511" s="97"/>
      <c r="CL1511" s="97"/>
      <c r="CN1511" s="97"/>
      <c r="CO1511" s="97"/>
      <c r="CP1511" s="97"/>
      <c r="CR1511" s="97"/>
      <c r="CS1511" s="97"/>
      <c r="CT1511" s="97"/>
      <c r="CV1511" s="65"/>
      <c r="CW1511" s="65"/>
      <c r="CX1511" s="65"/>
      <c r="CZ1511" s="65"/>
      <c r="DA1511" s="65"/>
      <c r="DB1511" s="65"/>
      <c r="DD1511" s="65"/>
      <c r="DE1511" s="65"/>
      <c r="DF1511" s="65"/>
      <c r="DH1511" s="65"/>
      <c r="DI1511" s="65"/>
      <c r="DJ1511" s="65"/>
      <c r="DL1511" s="65"/>
      <c r="DM1511" s="65"/>
      <c r="DN1511" s="65"/>
      <c r="DP1511" s="65"/>
      <c r="DQ1511" s="65"/>
      <c r="DR1511" s="65"/>
      <c r="DW1511" s="540"/>
      <c r="DX1511" s="717"/>
    </row>
    <row r="1512" spans="1:128" s="78" customFormat="1" ht="13.8">
      <c r="A1512" s="21" t="s">
        <v>1132</v>
      </c>
      <c r="B1512" s="95"/>
      <c r="BH1512" s="97"/>
      <c r="BI1512" s="97"/>
      <c r="BJ1512" s="97"/>
      <c r="BK1512" s="95"/>
      <c r="BL1512" s="97"/>
      <c r="BM1512" s="97"/>
      <c r="BN1512" s="97"/>
      <c r="BO1512" s="95"/>
      <c r="BP1512" s="97"/>
      <c r="BQ1512" s="97"/>
      <c r="BR1512" s="97"/>
      <c r="BT1512" s="97"/>
      <c r="BU1512" s="97"/>
      <c r="BV1512" s="97"/>
      <c r="BX1512" s="97"/>
      <c r="BY1512" s="97"/>
      <c r="BZ1512" s="97"/>
      <c r="CB1512" s="97"/>
      <c r="CC1512" s="97"/>
      <c r="CD1512" s="97"/>
      <c r="CF1512" s="97"/>
      <c r="CG1512" s="97"/>
      <c r="CH1512" s="97"/>
      <c r="CJ1512" s="97"/>
      <c r="CK1512" s="97"/>
      <c r="CL1512" s="97"/>
      <c r="CN1512" s="97"/>
      <c r="CO1512" s="97"/>
      <c r="CP1512" s="97"/>
      <c r="CR1512" s="97"/>
      <c r="CS1512" s="97"/>
      <c r="CT1512" s="97"/>
      <c r="CV1512" s="72">
        <f>IF(CV1504&gt;=CV1510,CV1504-CV1510,0)</f>
        <v>4277.0249999999651</v>
      </c>
      <c r="CW1512" s="72">
        <f>IF(CW1504&gt;=CW1510,CW1504-CW1510,0)</f>
        <v>0</v>
      </c>
      <c r="CX1512" s="72">
        <f>IF(CX1504&gt;=CX1510,CX1504-CX1510,0)</f>
        <v>0</v>
      </c>
      <c r="CZ1512" s="72">
        <f>IF(CZ1504&gt;=CZ1510,CZ1504-CZ1510,0)</f>
        <v>2995.3250000000116</v>
      </c>
      <c r="DA1512" s="72">
        <f>IF(DA1504&gt;=DA1510,DA1504-DA1510,0)</f>
        <v>4872.5999999999767</v>
      </c>
      <c r="DB1512" s="72">
        <f>IF(DB1504&gt;=DB1510,DB1504-DB1510,0)</f>
        <v>4872.5999999999767</v>
      </c>
      <c r="DD1512" s="72">
        <f>IF(DD1504&gt;=DD1510,DD1504-DD1510,0)</f>
        <v>12058.875</v>
      </c>
      <c r="DE1512" s="72">
        <f>IF(DE1504&gt;=DE1510,DE1504-DE1510,0)</f>
        <v>3498.5499999999884</v>
      </c>
      <c r="DF1512" s="72">
        <f>IF(DF1504&gt;=DF1510,DF1504-DF1510,0)</f>
        <v>3498.5499999999884</v>
      </c>
      <c r="DH1512" s="72">
        <f ca="1">IF(DH1504&gt;=DH1510,DH1504-DH1510,0)</f>
        <v>7685.1338588709477</v>
      </c>
      <c r="DI1512" s="72">
        <f t="shared" ref="DI1512" ca="1" si="2174">IF(DI1504&gt;=DI1510,DI1504-DI1510,0)</f>
        <v>7744.2616905855248</v>
      </c>
      <c r="DJ1512" s="72">
        <f ca="1">IF(DJ1504&gt;=DJ1510,DJ1504-DJ1510,0)</f>
        <v>7744.2616905855248</v>
      </c>
      <c r="DL1512" s="72">
        <f ca="1">IF(DL1504&gt;=DL1510,DL1504-DL1510,0)</f>
        <v>8637.56827892398</v>
      </c>
      <c r="DM1512" s="72">
        <f ca="1">IF(DM1504&gt;=DM1510,DM1504-DM1510,0)</f>
        <v>9527.1126542300917</v>
      </c>
      <c r="DN1512" s="72">
        <f ca="1">IF(DN1504&gt;=DN1510,DN1504-DN1510,0)</f>
        <v>9527.1126542300917</v>
      </c>
      <c r="DP1512" s="72">
        <f ca="1">IF(DP1504&gt;=DP1510,DP1504-DP1510,0)</f>
        <v>8796.2844787154463</v>
      </c>
      <c r="DQ1512" s="72">
        <f ca="1">IF(DQ1504&gt;=DQ1510,DQ1504-DQ1510,0)</f>
        <v>9784.7903979804832</v>
      </c>
      <c r="DR1512" s="72">
        <f ca="1">IF(DR1504&gt;=DR1510,DR1504-DR1510,0)</f>
        <v>9784.7903979804832</v>
      </c>
      <c r="DW1512" s="542"/>
      <c r="DX1512" s="829"/>
    </row>
    <row r="1513" spans="1:128" s="960" customFormat="1" ht="13.8">
      <c r="A1513" s="960" t="s">
        <v>293</v>
      </c>
      <c r="B1513" s="1024"/>
      <c r="C1513" s="1024"/>
      <c r="D1513" s="1024"/>
      <c r="E1513" s="1024"/>
      <c r="F1513" s="1024"/>
      <c r="G1513" s="1024"/>
      <c r="H1513" s="1024"/>
      <c r="I1513" s="1024"/>
      <c r="J1513" s="1024"/>
      <c r="K1513" s="1024"/>
      <c r="L1513" s="1024"/>
      <c r="M1513" s="1024"/>
      <c r="N1513" s="1024"/>
      <c r="O1513" s="1024"/>
      <c r="P1513" s="1024"/>
      <c r="Q1513" s="1024"/>
      <c r="R1513" s="1024"/>
      <c r="S1513" s="1024"/>
      <c r="T1513" s="1024"/>
      <c r="U1513" s="1024"/>
      <c r="V1513" s="1024"/>
      <c r="W1513" s="1024"/>
      <c r="X1513" s="1024"/>
      <c r="Y1513" s="1024"/>
      <c r="Z1513" s="1024"/>
      <c r="AA1513" s="1024"/>
      <c r="AB1513" s="1024"/>
      <c r="AC1513" s="1024"/>
      <c r="AD1513" s="1024"/>
      <c r="AE1513" s="1024"/>
      <c r="AF1513" s="1024"/>
      <c r="AG1513" s="1024"/>
      <c r="AH1513" s="1024"/>
      <c r="AI1513" s="1024"/>
      <c r="AJ1513" s="1024"/>
      <c r="AK1513" s="1024"/>
      <c r="AL1513" s="1024"/>
      <c r="AM1513" s="1024"/>
      <c r="AN1513" s="1024"/>
      <c r="AO1513" s="1024"/>
      <c r="AP1513" s="1024"/>
      <c r="AQ1513" s="1024"/>
      <c r="AR1513" s="1024"/>
      <c r="AS1513" s="1024"/>
      <c r="AT1513" s="1024"/>
      <c r="AU1513" s="1024"/>
      <c r="AV1513" s="1024"/>
      <c r="AW1513" s="1024"/>
      <c r="AX1513" s="1024"/>
      <c r="AY1513" s="1024"/>
      <c r="AZ1513" s="1024"/>
      <c r="BA1513" s="1024"/>
      <c r="BB1513" s="1024"/>
      <c r="BC1513" s="1024"/>
      <c r="BD1513" s="1024"/>
      <c r="BE1513" s="1024"/>
      <c r="BF1513" s="1024"/>
      <c r="BG1513" s="1024"/>
      <c r="BH1513" s="1024"/>
      <c r="BI1513" s="1024"/>
      <c r="BJ1513" s="1024"/>
      <c r="BK1513" s="1024"/>
      <c r="BL1513" s="1024"/>
      <c r="BM1513" s="1024"/>
      <c r="BN1513" s="1024"/>
      <c r="BO1513" s="1024"/>
      <c r="BP1513" s="1024"/>
      <c r="BQ1513" s="1024"/>
      <c r="BR1513" s="1024"/>
      <c r="BS1513" s="1024"/>
      <c r="BT1513" s="1024"/>
      <c r="BU1513" s="1024"/>
      <c r="BV1513" s="1024"/>
      <c r="BW1513" s="1024"/>
      <c r="BX1513" s="1024"/>
      <c r="BY1513" s="1024"/>
      <c r="BZ1513" s="1024"/>
      <c r="CA1513" s="1024"/>
      <c r="CB1513" s="1024"/>
      <c r="CC1513" s="1024"/>
      <c r="CD1513" s="1024"/>
      <c r="CE1513" s="1024"/>
      <c r="CF1513" s="1024"/>
      <c r="CG1513" s="1024"/>
      <c r="CH1513" s="1024"/>
      <c r="CI1513" s="1024"/>
      <c r="CJ1513" s="1024"/>
      <c r="CK1513" s="1024"/>
      <c r="CL1513" s="1024"/>
      <c r="CM1513" s="1024"/>
      <c r="CN1513" s="1024"/>
      <c r="CO1513" s="1024"/>
      <c r="CP1513" s="1024"/>
      <c r="CQ1513" s="1024"/>
      <c r="CR1513" s="1024"/>
      <c r="CS1513" s="1024"/>
      <c r="CT1513" s="1024"/>
      <c r="CU1513" s="1024"/>
      <c r="CV1513" s="1232">
        <f>CV1406</f>
        <v>4277.0249999999651</v>
      </c>
      <c r="CW1513" s="1232">
        <f>CW1406</f>
        <v>0</v>
      </c>
      <c r="CX1513" s="1024"/>
      <c r="CY1513" s="1024"/>
      <c r="CZ1513" s="1232">
        <f>CZ1406</f>
        <v>2995</v>
      </c>
      <c r="DA1513" s="1232">
        <f>DA1406</f>
        <v>4872</v>
      </c>
      <c r="DB1513" s="1024"/>
      <c r="DC1513" s="1024"/>
      <c r="DD1513" s="1232">
        <f>DD1406</f>
        <v>12059</v>
      </c>
      <c r="DE1513" s="1232">
        <f>DE1406</f>
        <v>3499</v>
      </c>
      <c r="DF1513" s="1024"/>
      <c r="DG1513" s="1024"/>
      <c r="DH1513" s="1024"/>
      <c r="DI1513" s="1024"/>
      <c r="DJ1513" s="1024"/>
      <c r="DK1513" s="1024"/>
      <c r="DL1513" s="1024"/>
      <c r="DM1513" s="1024"/>
      <c r="DN1513" s="1024"/>
      <c r="DO1513" s="1024"/>
      <c r="DP1513" s="1024"/>
      <c r="DQ1513" s="1024"/>
      <c r="DR1513" s="1024"/>
      <c r="DS1513" s="1024"/>
      <c r="DT1513" s="1024"/>
      <c r="DU1513" s="1024"/>
      <c r="DV1513" s="1024"/>
      <c r="DW1513"/>
      <c r="DX1513"/>
    </row>
    <row r="1514" spans="1:128" s="20" customFormat="1" ht="13.8">
      <c r="B1514" s="49"/>
      <c r="BH1514" s="49"/>
      <c r="BI1514" s="49"/>
      <c r="BJ1514" s="49"/>
      <c r="BK1514" s="49"/>
      <c r="BL1514" s="49"/>
      <c r="BM1514" s="49"/>
      <c r="BN1514" s="66"/>
      <c r="BO1514" s="77"/>
      <c r="BP1514" s="49"/>
      <c r="BT1514" s="49"/>
      <c r="BX1514" s="49"/>
      <c r="CB1514" s="49"/>
      <c r="CF1514" s="49"/>
      <c r="CJ1514" s="49"/>
      <c r="CN1514" s="49"/>
      <c r="CR1514" s="49"/>
      <c r="CU1514" s="49"/>
      <c r="CV1514" s="49"/>
      <c r="CW1514" s="49"/>
      <c r="CX1514" s="49"/>
      <c r="CY1514" s="49"/>
      <c r="CZ1514" s="49"/>
      <c r="DA1514" s="49"/>
      <c r="DB1514" s="49"/>
      <c r="DC1514" s="49"/>
      <c r="DD1514" s="49"/>
      <c r="DE1514" s="49"/>
      <c r="DF1514" s="49"/>
      <c r="DH1514" s="49"/>
      <c r="DI1514" s="49"/>
      <c r="DJ1514" s="49"/>
      <c r="DL1514" s="49"/>
      <c r="DM1514" s="49"/>
      <c r="DN1514" s="49"/>
      <c r="DP1514" s="49"/>
      <c r="DQ1514" s="49"/>
      <c r="DR1514" s="49"/>
      <c r="DW1514"/>
      <c r="DX1514"/>
    </row>
    <row r="1515" spans="1:128" s="419" customFormat="1" ht="13.8">
      <c r="A1515" s="316" t="s">
        <v>509</v>
      </c>
      <c r="B1515" s="317"/>
      <c r="C1515" s="318"/>
      <c r="D1515" s="318"/>
      <c r="E1515" s="318"/>
      <c r="F1515" s="318"/>
      <c r="G1515" s="318"/>
      <c r="H1515" s="318"/>
      <c r="I1515" s="318"/>
      <c r="J1515" s="318"/>
      <c r="K1515" s="318"/>
      <c r="L1515" s="318"/>
      <c r="M1515" s="318"/>
      <c r="N1515" s="318"/>
      <c r="O1515" s="318"/>
      <c r="P1515" s="318"/>
      <c r="Q1515" s="318"/>
      <c r="R1515" s="318"/>
      <c r="S1515" s="318"/>
      <c r="T1515" s="318"/>
      <c r="U1515" s="318"/>
      <c r="V1515" s="318"/>
      <c r="W1515" s="318"/>
      <c r="X1515" s="318"/>
      <c r="Y1515" s="318"/>
      <c r="Z1515" s="318"/>
      <c r="AA1515" s="318"/>
      <c r="AB1515" s="318"/>
      <c r="AC1515" s="318"/>
      <c r="AD1515" s="318"/>
      <c r="AE1515" s="318"/>
      <c r="AF1515" s="318"/>
      <c r="AG1515" s="318"/>
      <c r="AH1515" s="318"/>
      <c r="AI1515" s="318"/>
      <c r="AJ1515" s="318"/>
      <c r="AK1515" s="318"/>
      <c r="AL1515" s="318"/>
      <c r="AM1515" s="318"/>
      <c r="AN1515" s="318"/>
      <c r="AO1515" s="318"/>
      <c r="AP1515" s="318"/>
      <c r="AQ1515" s="318"/>
      <c r="AR1515" s="318"/>
      <c r="AS1515" s="318"/>
      <c r="AT1515" s="318"/>
      <c r="AU1515" s="318"/>
      <c r="AV1515" s="318"/>
      <c r="AW1515" s="318"/>
      <c r="AX1515" s="318"/>
      <c r="AY1515" s="318"/>
      <c r="AZ1515" s="318"/>
      <c r="BA1515" s="318"/>
      <c r="BB1515" s="318"/>
      <c r="BC1515" s="318"/>
      <c r="BD1515" s="318"/>
      <c r="BE1515" s="318"/>
      <c r="BF1515" s="318"/>
      <c r="BG1515" s="318"/>
      <c r="BH1515" s="317"/>
      <c r="BI1515" s="317"/>
      <c r="BJ1515" s="317"/>
      <c r="BK1515" s="317"/>
      <c r="BL1515" s="317"/>
      <c r="BM1515" s="317"/>
      <c r="BN1515" s="317"/>
      <c r="BO1515" s="317"/>
      <c r="BP1515" s="317"/>
      <c r="BQ1515" s="318"/>
      <c r="BR1515" s="318"/>
      <c r="BS1515" s="318"/>
      <c r="BT1515" s="317"/>
      <c r="BU1515" s="318"/>
      <c r="BV1515" s="318"/>
      <c r="BW1515" s="318"/>
      <c r="BX1515" s="317"/>
      <c r="BY1515" s="318"/>
      <c r="BZ1515" s="318"/>
      <c r="CA1515" s="318"/>
      <c r="CB1515" s="317"/>
      <c r="CC1515" s="318"/>
      <c r="CD1515" s="318"/>
      <c r="CE1515" s="318"/>
      <c r="CF1515" s="317"/>
      <c r="CG1515" s="318"/>
      <c r="CH1515" s="318"/>
      <c r="CI1515" s="318"/>
      <c r="CJ1515" s="317"/>
      <c r="CK1515" s="318"/>
      <c r="CL1515" s="318"/>
      <c r="CM1515" s="318"/>
      <c r="CN1515" s="317"/>
      <c r="CO1515" s="318"/>
      <c r="CP1515" s="318"/>
      <c r="CQ1515" s="318"/>
      <c r="CR1515" s="317"/>
      <c r="CS1515" s="318"/>
      <c r="CT1515" s="318"/>
      <c r="CU1515" s="318"/>
      <c r="CV1515" s="317"/>
      <c r="CW1515" s="318"/>
      <c r="CX1515" s="318"/>
      <c r="CY1515" s="318"/>
      <c r="CZ1515" s="317"/>
      <c r="DA1515" s="318"/>
      <c r="DB1515" s="318"/>
      <c r="DC1515" s="318"/>
      <c r="DD1515" s="317"/>
      <c r="DE1515" s="318"/>
      <c r="DF1515" s="318"/>
      <c r="DG1515" s="318"/>
      <c r="DH1515" s="317"/>
      <c r="DI1515" s="318"/>
      <c r="DJ1515" s="318"/>
      <c r="DK1515" s="318"/>
      <c r="DL1515" s="317"/>
      <c r="DM1515" s="318"/>
      <c r="DN1515" s="318"/>
      <c r="DO1515" s="318"/>
      <c r="DP1515" s="317"/>
      <c r="DQ1515" s="318"/>
      <c r="DR1515" s="318"/>
      <c r="DS1515" s="318"/>
      <c r="DT1515" s="742"/>
      <c r="DU1515" s="742"/>
      <c r="DV1515" s="742"/>
      <c r="DW1515"/>
      <c r="DX1515"/>
    </row>
    <row r="1516" spans="1:128" s="20" customFormat="1" ht="13.8">
      <c r="B1516" s="49"/>
      <c r="BH1516" s="49"/>
      <c r="BI1516" s="49"/>
      <c r="BJ1516" s="49"/>
      <c r="BK1516" s="49"/>
      <c r="BL1516" s="49"/>
      <c r="BM1516" s="49"/>
      <c r="BN1516" s="49"/>
      <c r="BO1516" s="49"/>
      <c r="BP1516" s="49"/>
      <c r="DW1516"/>
      <c r="DX1516"/>
    </row>
    <row r="1517" spans="1:128" s="20" customFormat="1" ht="13.8">
      <c r="A1517" s="20" t="s">
        <v>331</v>
      </c>
      <c r="B1517" s="49"/>
      <c r="BH1517" s="65">
        <f>BH472</f>
        <v>40878</v>
      </c>
      <c r="BI1517" s="65">
        <f>BI472</f>
        <v>43551</v>
      </c>
      <c r="BJ1517" s="65">
        <f>BJ472</f>
        <v>42218</v>
      </c>
      <c r="BK1517" s="65"/>
      <c r="BL1517" s="65">
        <f>BL472</f>
        <v>45308</v>
      </c>
      <c r="BM1517" s="65">
        <f>BM472</f>
        <v>46664</v>
      </c>
      <c r="BN1517" s="65">
        <f>BN472</f>
        <v>45985</v>
      </c>
      <c r="BO1517" s="65"/>
      <c r="BP1517" s="65">
        <f>BP472</f>
        <v>50131</v>
      </c>
      <c r="BQ1517" s="65">
        <f>BQ472</f>
        <v>52965</v>
      </c>
      <c r="BR1517" s="65">
        <f>BR472</f>
        <v>51563</v>
      </c>
      <c r="BT1517" s="65">
        <f>BT472</f>
        <v>57465</v>
      </c>
      <c r="BU1517" s="65">
        <f>BU472</f>
        <v>56814</v>
      </c>
      <c r="BV1517" s="65">
        <f>BV472</f>
        <v>57141</v>
      </c>
      <c r="BX1517" s="65">
        <f>BX472</f>
        <v>57799</v>
      </c>
      <c r="BY1517" s="65">
        <f>BY472</f>
        <v>58726</v>
      </c>
      <c r="BZ1517" s="65">
        <f>BZ472</f>
        <v>58264</v>
      </c>
      <c r="CB1517" s="65">
        <f>CB472</f>
        <v>58999</v>
      </c>
      <c r="CC1517" s="65">
        <f>CC472</f>
        <v>58999</v>
      </c>
      <c r="CD1517" s="65">
        <f>CD472</f>
        <v>59126</v>
      </c>
      <c r="CF1517" s="65">
        <f>CF472</f>
        <v>59195</v>
      </c>
      <c r="CG1517" s="65">
        <f>CG472</f>
        <v>59790</v>
      </c>
      <c r="CH1517" s="65">
        <f>CH472</f>
        <v>59496</v>
      </c>
      <c r="CJ1517" s="65">
        <f>CJ472</f>
        <v>60230</v>
      </c>
      <c r="CK1517" s="65">
        <f>CK472</f>
        <v>61147</v>
      </c>
      <c r="CL1517" s="65">
        <f>CL472</f>
        <v>60688</v>
      </c>
      <c r="CN1517" s="65">
        <f>CN472</f>
        <v>61899</v>
      </c>
      <c r="CO1517" s="65">
        <f>CO472</f>
        <v>62811</v>
      </c>
      <c r="CP1517" s="65">
        <f>CP472</f>
        <v>62356</v>
      </c>
      <c r="CR1517" s="65">
        <f>CR472</f>
        <v>62544</v>
      </c>
      <c r="CS1517" s="65">
        <f>CS472</f>
        <v>63120</v>
      </c>
      <c r="CT1517" s="65">
        <f>CT472</f>
        <v>62832</v>
      </c>
      <c r="CV1517" s="65">
        <f>CV472</f>
        <v>67611</v>
      </c>
      <c r="CW1517" s="65">
        <f>CW472</f>
        <v>68696</v>
      </c>
      <c r="CX1517" s="65">
        <f>CX472</f>
        <v>68154</v>
      </c>
      <c r="CZ1517" s="65">
        <f>CZ472</f>
        <v>70883</v>
      </c>
      <c r="DA1517" s="65">
        <f>DA472</f>
        <v>69706</v>
      </c>
      <c r="DB1517" s="65">
        <f>DB472</f>
        <v>70294</v>
      </c>
      <c r="DD1517" s="65">
        <f>DD472</f>
        <v>71246</v>
      </c>
      <c r="DE1517" s="65">
        <f>DE472</f>
        <v>73344</v>
      </c>
      <c r="DF1517" s="65">
        <f>DF472</f>
        <v>72298</v>
      </c>
      <c r="DH1517" s="65">
        <f ca="1">DH472</f>
        <v>74130.490363234654</v>
      </c>
      <c r="DI1517" s="65">
        <f ca="1">DI472</f>
        <v>75805.840163015528</v>
      </c>
      <c r="DJ1517" s="65">
        <f ca="1">DJ472</f>
        <v>74968.165263124974</v>
      </c>
      <c r="DL1517" s="65">
        <f ca="1">DL472</f>
        <v>77162.434221146395</v>
      </c>
      <c r="DM1517" s="65">
        <f ca="1">DM472</f>
        <v>78256.482459528605</v>
      </c>
      <c r="DN1517" s="65">
        <f ca="1">DN472</f>
        <v>77709.4583403375</v>
      </c>
      <c r="DP1517" s="65">
        <f ca="1">DP472</f>
        <v>79115.89341960242</v>
      </c>
      <c r="DQ1517" s="65">
        <f ca="1">DQ472</f>
        <v>80077.861197430873</v>
      </c>
      <c r="DR1517" s="65">
        <f ca="1">DR472</f>
        <v>79596.877308516763</v>
      </c>
      <c r="DW1517"/>
      <c r="DX1517"/>
    </row>
    <row r="1518" spans="1:128" s="20" customFormat="1" ht="13.8">
      <c r="A1518" s="325" t="s">
        <v>391</v>
      </c>
      <c r="B1518" s="324"/>
      <c r="C1518" s="325"/>
      <c r="D1518" s="325"/>
      <c r="E1518" s="325"/>
      <c r="F1518" s="325"/>
      <c r="G1518" s="325"/>
      <c r="H1518" s="325"/>
      <c r="I1518" s="325"/>
      <c r="J1518" s="325"/>
      <c r="K1518" s="325"/>
      <c r="L1518" s="325"/>
      <c r="M1518" s="325"/>
      <c r="N1518" s="325"/>
      <c r="O1518" s="325"/>
      <c r="P1518" s="325"/>
      <c r="Q1518" s="325"/>
      <c r="R1518" s="325"/>
      <c r="S1518" s="325"/>
      <c r="T1518" s="325"/>
      <c r="U1518" s="325"/>
      <c r="V1518" s="325"/>
      <c r="W1518" s="325"/>
      <c r="X1518" s="325"/>
      <c r="Y1518" s="325"/>
      <c r="Z1518" s="325"/>
      <c r="AA1518" s="325"/>
      <c r="AB1518" s="325"/>
      <c r="AC1518" s="325"/>
      <c r="AD1518" s="325"/>
      <c r="AE1518" s="325"/>
      <c r="AF1518" s="325"/>
      <c r="AG1518" s="325"/>
      <c r="AH1518" s="325"/>
      <c r="AI1518" s="325"/>
      <c r="AJ1518" s="325"/>
      <c r="AK1518" s="325"/>
      <c r="AL1518" s="325"/>
      <c r="AM1518" s="325"/>
      <c r="AN1518" s="325"/>
      <c r="AO1518" s="325"/>
      <c r="AP1518" s="325"/>
      <c r="AQ1518" s="325"/>
      <c r="AR1518" s="325"/>
      <c r="AS1518" s="325"/>
      <c r="AT1518" s="325"/>
      <c r="AU1518" s="325"/>
      <c r="AV1518" s="325"/>
      <c r="AW1518" s="325"/>
      <c r="AX1518" s="325"/>
      <c r="AY1518" s="325"/>
      <c r="AZ1518" s="325"/>
      <c r="BA1518" s="325"/>
      <c r="BB1518" s="325"/>
      <c r="BC1518" s="325"/>
      <c r="BD1518" s="325"/>
      <c r="BE1518" s="325"/>
      <c r="BF1518" s="325"/>
      <c r="BG1518" s="325"/>
      <c r="BH1518" s="328">
        <f>AVERAGE(BH1282,BE1282)</f>
        <v>253</v>
      </c>
      <c r="BI1518" s="328">
        <f>AVERAGE(BI1282,BH1282)</f>
        <v>263</v>
      </c>
      <c r="BJ1518" s="326">
        <f>AVERAGE(BH1518:BI1518)</f>
        <v>258</v>
      </c>
      <c r="BK1518" s="324"/>
      <c r="BL1518" s="328">
        <f>AVERAGE(BL1282,BI1282)</f>
        <v>274</v>
      </c>
      <c r="BM1518" s="328">
        <f>AVERAGE(BM1282,BL1282)</f>
        <v>262</v>
      </c>
      <c r="BN1518" s="326">
        <f>AVERAGE(BL1518:BM1518)</f>
        <v>268</v>
      </c>
      <c r="BO1518" s="324"/>
      <c r="BP1518" s="328">
        <f>AVERAGE(BP1282,BM1282)</f>
        <v>268</v>
      </c>
      <c r="BQ1518" s="328">
        <f>AVERAGE(BQ1282,BP1282)</f>
        <v>264.5</v>
      </c>
      <c r="BR1518" s="326">
        <f>AVERAGE(BP1518:BQ1518)</f>
        <v>266.25</v>
      </c>
      <c r="BS1518" s="325"/>
      <c r="BT1518" s="328">
        <f>AVERAGE(BT1282,BQ1282)</f>
        <v>248</v>
      </c>
      <c r="BU1518" s="328">
        <f>AVERAGE(BU1282,BT1282)</f>
        <v>324.5</v>
      </c>
      <c r="BV1518" s="326">
        <f>AVERAGE(BT1518:BU1518)</f>
        <v>286.25</v>
      </c>
      <c r="BW1518" s="325"/>
      <c r="BX1518" s="328">
        <f>AVERAGE(BX1282,BU1282)</f>
        <v>359.5</v>
      </c>
      <c r="BY1518" s="328">
        <f>AVERAGE(BY1282,BX1282)</f>
        <v>325</v>
      </c>
      <c r="BZ1518" s="326">
        <f>AVERAGE(BX1518:BY1518)</f>
        <v>342.25</v>
      </c>
      <c r="CA1518" s="325"/>
      <c r="CB1518" s="328">
        <f>AVERAGE(CB1282,BY1282)</f>
        <v>316</v>
      </c>
      <c r="CC1518" s="328">
        <f>AVERAGE(CC1282,CB1282)</f>
        <v>317</v>
      </c>
      <c r="CD1518" s="326">
        <f>AVERAGE(CB1518:CC1518)</f>
        <v>316.5</v>
      </c>
      <c r="CE1518" s="325"/>
      <c r="CF1518" s="328">
        <f>AVERAGE(CF1282,CC1282)</f>
        <v>328</v>
      </c>
      <c r="CG1518" s="328">
        <f>AVERAGE(CG1282,CF1282)</f>
        <v>164</v>
      </c>
      <c r="CH1518" s="326">
        <f>AVERAGE(CF1518:CG1518)</f>
        <v>246</v>
      </c>
      <c r="CI1518" s="325"/>
      <c r="CJ1518" s="328">
        <f>AVERAGE(CJ1282,CG1282)</f>
        <v>0</v>
      </c>
      <c r="CK1518" s="328">
        <f>AVERAGE(CK1282,CJ1282)</f>
        <v>0</v>
      </c>
      <c r="CL1518" s="326">
        <f>AVERAGE(CJ1518:CK1518)</f>
        <v>0</v>
      </c>
      <c r="CM1518" s="325"/>
      <c r="CN1518" s="328">
        <f>AVERAGE(CN1282,CK1282)</f>
        <v>0</v>
      </c>
      <c r="CO1518" s="328">
        <f>AVERAGE(CO1282,CN1282)</f>
        <v>0</v>
      </c>
      <c r="CP1518" s="326">
        <f>AVERAGE(CN1518:CO1518)</f>
        <v>0</v>
      </c>
      <c r="CQ1518" s="325"/>
      <c r="CR1518" s="328">
        <f>AVERAGE(CR1282,CO1282)</f>
        <v>0</v>
      </c>
      <c r="CS1518" s="328">
        <f>AVERAGE(CS1282,CR1282)</f>
        <v>0</v>
      </c>
      <c r="CT1518" s="326">
        <f>AVERAGE(CR1518:CS1518)</f>
        <v>0</v>
      </c>
      <c r="CU1518" s="325"/>
      <c r="CV1518" s="328">
        <f>AVERAGE(CV1282,CS1282)</f>
        <v>0</v>
      </c>
      <c r="CW1518" s="328">
        <f>AVERAGE(CW1282,CV1282)</f>
        <v>0</v>
      </c>
      <c r="CX1518" s="326">
        <f>AVERAGE(CV1518:CW1518)</f>
        <v>0</v>
      </c>
      <c r="CY1518" s="325"/>
      <c r="CZ1518" s="328">
        <f>AVERAGE(CZ1282,CW1282)</f>
        <v>0</v>
      </c>
      <c r="DA1518" s="328">
        <f>AVERAGE(DA1282,CZ1282)</f>
        <v>0</v>
      </c>
      <c r="DB1518" s="326">
        <f>AVERAGE(CZ1518:DA1518)</f>
        <v>0</v>
      </c>
      <c r="DC1518" s="325"/>
      <c r="DD1518" s="328">
        <f>AVERAGE(DD1282,DA1282)</f>
        <v>0</v>
      </c>
      <c r="DE1518" s="328">
        <f>AVERAGE(DE1282,DD1282)</f>
        <v>0</v>
      </c>
      <c r="DF1518" s="326">
        <f>AVERAGE(DD1518:DE1518)</f>
        <v>0</v>
      </c>
      <c r="DG1518" s="325"/>
      <c r="DH1518" s="328">
        <f>AVERAGE(DH1282,DE1282)</f>
        <v>0</v>
      </c>
      <c r="DI1518" s="328">
        <f ca="1">AVERAGE(DI1282,DH1282)</f>
        <v>0</v>
      </c>
      <c r="DJ1518" s="326">
        <f ca="1">AVERAGE(DH1518:DI1518)</f>
        <v>0</v>
      </c>
      <c r="DK1518" s="325"/>
      <c r="DL1518" s="328">
        <f ca="1">AVERAGE(DL1282,DI1282)</f>
        <v>0</v>
      </c>
      <c r="DM1518" s="328">
        <f ca="1">AVERAGE(DM1282,DL1282)</f>
        <v>0</v>
      </c>
      <c r="DN1518" s="326">
        <f ca="1">AVERAGE(DL1518:DM1518)</f>
        <v>0</v>
      </c>
      <c r="DO1518" s="325"/>
      <c r="DP1518" s="328">
        <f ca="1">AVERAGE(DP1282,DM1282)</f>
        <v>0</v>
      </c>
      <c r="DQ1518" s="328">
        <f ca="1">AVERAGE(DQ1282,DP1282)</f>
        <v>0</v>
      </c>
      <c r="DR1518" s="326">
        <f ca="1">AVERAGE(DP1518:DQ1518)</f>
        <v>0</v>
      </c>
      <c r="DS1518" s="325"/>
      <c r="DT1518" s="325"/>
      <c r="DU1518" s="325"/>
      <c r="DV1518" s="325"/>
      <c r="DW1518"/>
      <c r="DX1518"/>
    </row>
    <row r="1519" spans="1:128" s="20" customFormat="1" ht="13.8">
      <c r="A1519" s="21" t="s">
        <v>392</v>
      </c>
      <c r="B1519" s="49"/>
      <c r="BH1519" s="72">
        <f>SUM(BH1517:BH1518)</f>
        <v>41131</v>
      </c>
      <c r="BI1519" s="72">
        <f>SUM(BI1517:BI1518)</f>
        <v>43814</v>
      </c>
      <c r="BJ1519" s="72">
        <f>SUM(BJ1517:BJ1518)</f>
        <v>42476</v>
      </c>
      <c r="BK1519" s="49"/>
      <c r="BL1519" s="72">
        <f>SUM(BL1517:BL1518)</f>
        <v>45582</v>
      </c>
      <c r="BM1519" s="72">
        <f>SUM(BM1517:BM1518)</f>
        <v>46926</v>
      </c>
      <c r="BN1519" s="72">
        <f>SUM(BN1517:BN1518)</f>
        <v>46253</v>
      </c>
      <c r="BO1519" s="49"/>
      <c r="BP1519" s="72">
        <f>SUM(BP1517:BP1518)</f>
        <v>50399</v>
      </c>
      <c r="BQ1519" s="72">
        <f>SUM(BQ1517:BQ1518)</f>
        <v>53229.5</v>
      </c>
      <c r="BR1519" s="72">
        <f>SUM(BR1517:BR1518)</f>
        <v>51829.25</v>
      </c>
      <c r="BT1519" s="72">
        <f>SUM(BT1517:BT1518)</f>
        <v>57713</v>
      </c>
      <c r="BU1519" s="72">
        <f>SUM(BU1517:BU1518)</f>
        <v>57138.5</v>
      </c>
      <c r="BV1519" s="72">
        <f>SUM(BV1517:BV1518)</f>
        <v>57427.25</v>
      </c>
      <c r="BX1519" s="72">
        <f>SUM(BX1517:BX1518)</f>
        <v>58158.5</v>
      </c>
      <c r="BY1519" s="72">
        <f>SUM(BY1517:BY1518)</f>
        <v>59051</v>
      </c>
      <c r="BZ1519" s="72">
        <f>SUM(BZ1517:BZ1518)</f>
        <v>58606.25</v>
      </c>
      <c r="CB1519" s="72">
        <f>SUM(CB1517:CB1518)</f>
        <v>59315</v>
      </c>
      <c r="CC1519" s="72">
        <f>SUM(CC1517:CC1518)</f>
        <v>59316</v>
      </c>
      <c r="CD1519" s="72">
        <f>SUM(CD1517:CD1518)</f>
        <v>59442.5</v>
      </c>
      <c r="CF1519" s="72">
        <f>SUM(CF1517:CF1518)</f>
        <v>59523</v>
      </c>
      <c r="CG1519" s="72">
        <f>SUM(CG1517:CG1518)</f>
        <v>59954</v>
      </c>
      <c r="CH1519" s="72">
        <f>SUM(CH1517:CH1518)</f>
        <v>59742</v>
      </c>
      <c r="CJ1519" s="72">
        <f>SUM(CJ1517:CJ1518)</f>
        <v>60230</v>
      </c>
      <c r="CK1519" s="72">
        <f>SUM(CK1517:CK1518)</f>
        <v>61147</v>
      </c>
      <c r="CL1519" s="72">
        <f>SUM(CL1517:CL1518)</f>
        <v>60688</v>
      </c>
      <c r="CN1519" s="72">
        <f>SUM(CN1517:CN1518)</f>
        <v>61899</v>
      </c>
      <c r="CO1519" s="72">
        <f>SUM(CO1517:CO1518)</f>
        <v>62811</v>
      </c>
      <c r="CP1519" s="72">
        <f>SUM(CP1517:CP1518)</f>
        <v>62356</v>
      </c>
      <c r="CR1519" s="72">
        <f>SUM(CR1517:CR1518)</f>
        <v>62544</v>
      </c>
      <c r="CS1519" s="72">
        <f>SUM(CS1517:CS1518)</f>
        <v>63120</v>
      </c>
      <c r="CT1519" s="72">
        <f>SUM(CT1517:CT1518)</f>
        <v>62832</v>
      </c>
      <c r="CV1519" s="72">
        <f>SUM(CV1517:CV1518)</f>
        <v>67611</v>
      </c>
      <c r="CW1519" s="72">
        <f>SUM(CW1517:CW1518)</f>
        <v>68696</v>
      </c>
      <c r="CX1519" s="72">
        <f>SUM(CX1517:CX1518)</f>
        <v>68154</v>
      </c>
      <c r="CZ1519" s="72">
        <f>SUM(CZ1517:CZ1518)</f>
        <v>70883</v>
      </c>
      <c r="DA1519" s="72">
        <f>SUM(DA1517:DA1518)</f>
        <v>69706</v>
      </c>
      <c r="DB1519" s="72">
        <f>SUM(DB1517:DB1518)</f>
        <v>70294</v>
      </c>
      <c r="DD1519" s="72">
        <f>SUM(DD1517:DD1518)</f>
        <v>71246</v>
      </c>
      <c r="DE1519" s="72">
        <f>SUM(DE1517:DE1518)</f>
        <v>73344</v>
      </c>
      <c r="DF1519" s="72">
        <f>SUM(DF1517:DF1518)</f>
        <v>72298</v>
      </c>
      <c r="DH1519" s="72">
        <f ca="1">SUM(DH1517:DH1518)</f>
        <v>74130.490363234654</v>
      </c>
      <c r="DI1519" s="72">
        <f ca="1">SUM(DI1517:DI1518)</f>
        <v>75805.840163015528</v>
      </c>
      <c r="DJ1519" s="72">
        <f ca="1">SUM(DJ1517:DJ1518)</f>
        <v>74968.165263124974</v>
      </c>
      <c r="DL1519" s="72">
        <f ca="1">SUM(DL1517:DL1518)</f>
        <v>77162.434221146395</v>
      </c>
      <c r="DM1519" s="72">
        <f ca="1">SUM(DM1517:DM1518)</f>
        <v>78256.482459528605</v>
      </c>
      <c r="DN1519" s="72">
        <f ca="1">SUM(DN1517:DN1518)</f>
        <v>77709.4583403375</v>
      </c>
      <c r="DP1519" s="72">
        <f ca="1">SUM(DP1517:DP1518)</f>
        <v>79115.89341960242</v>
      </c>
      <c r="DQ1519" s="72">
        <f ca="1">SUM(DQ1517:DQ1518)</f>
        <v>80077.861197430873</v>
      </c>
      <c r="DR1519" s="72">
        <f ca="1">SUM(DR1517:DR1518)</f>
        <v>79596.877308516763</v>
      </c>
      <c r="DW1519"/>
      <c r="DX1519"/>
    </row>
    <row r="1520" spans="1:128" s="20" customFormat="1" ht="13.8">
      <c r="A1520" s="20" t="s">
        <v>393</v>
      </c>
      <c r="B1520" s="49"/>
      <c r="BH1520" s="65">
        <f>AVERAGE(BH368,BE368)</f>
        <v>7142</v>
      </c>
      <c r="BI1520" s="65">
        <f>AVERAGE(BI368,BH368)</f>
        <v>7416</v>
      </c>
      <c r="BJ1520" s="65">
        <f>AVERAGE(BH1520:BI1520)</f>
        <v>7279</v>
      </c>
      <c r="BK1520" s="49"/>
      <c r="BL1520" s="65">
        <f>AVERAGE(BL368,BI368)</f>
        <v>7829.5</v>
      </c>
      <c r="BM1520" s="65">
        <f>AVERAGE(BM368,BL368)</f>
        <v>7959.5</v>
      </c>
      <c r="BN1520" s="65">
        <f>AVERAGE(BL1520:BM1520)</f>
        <v>7894.5</v>
      </c>
      <c r="BO1520" s="49"/>
      <c r="BP1520" s="65">
        <f>AVERAGE(BP368,BM368)</f>
        <v>8167</v>
      </c>
      <c r="BQ1520" s="65">
        <f>AVERAGE(BQ368,BP368)</f>
        <v>8348</v>
      </c>
      <c r="BR1520" s="65">
        <f>AVERAGE(BP1520:BQ1520)</f>
        <v>8257.5</v>
      </c>
      <c r="BT1520" s="65">
        <f>AVERAGE(BT368,BQ368)</f>
        <v>7948.5</v>
      </c>
      <c r="BU1520" s="65">
        <f>AVERAGE(BU368,BT368)</f>
        <v>7628.5</v>
      </c>
      <c r="BV1520" s="65">
        <f>AVERAGE(BT1520:BU1520)</f>
        <v>7788.5</v>
      </c>
      <c r="BX1520" s="65">
        <f>AVERAGE(BX368,BU368)</f>
        <v>7362.5</v>
      </c>
      <c r="BY1520" s="65">
        <f>AVERAGE(BY368,BX368)</f>
        <v>7011.5</v>
      </c>
      <c r="BZ1520" s="65">
        <f>AVERAGE(BX1520:BY1520)</f>
        <v>7187</v>
      </c>
      <c r="CB1520" s="65">
        <f>AVERAGE(CB368,BY368)</f>
        <v>6154</v>
      </c>
      <c r="CC1520" s="65">
        <f>AVERAGE(CC368,CB368)</f>
        <v>5134</v>
      </c>
      <c r="CD1520" s="65">
        <f>AVERAGE(CB1520:CC1520)</f>
        <v>5644</v>
      </c>
      <c r="CF1520" s="65">
        <f>AVERAGE(CF368,CC368)</f>
        <v>4973.5</v>
      </c>
      <c r="CG1520" s="65">
        <f>AVERAGE(CG368,CF368)</f>
        <v>4939</v>
      </c>
      <c r="CH1520" s="65">
        <f>AVERAGE(CF1520:CG1520)</f>
        <v>4956.25</v>
      </c>
      <c r="CJ1520" s="65">
        <f>AVERAGE(CJ368,CG368)</f>
        <v>4909</v>
      </c>
      <c r="CK1520" s="65">
        <f>AVERAGE(CK368,CJ368)</f>
        <v>4668</v>
      </c>
      <c r="CL1520" s="65">
        <f>AVERAGE(CJ1520:CK1520)</f>
        <v>4788.5</v>
      </c>
      <c r="CN1520" s="65">
        <f>AVERAGE(CN368,CK368)</f>
        <v>4201.5</v>
      </c>
      <c r="CO1520" s="65">
        <f>AVERAGE(CO368,CN368)</f>
        <v>4074</v>
      </c>
      <c r="CP1520" s="65">
        <f>AVERAGE(CN1520:CO1520)</f>
        <v>4137.75</v>
      </c>
      <c r="CR1520" s="65">
        <f>AVERAGE(CR368,CO368)</f>
        <v>4096</v>
      </c>
      <c r="CS1520" s="65">
        <f>AVERAGE(CS368,CR368)</f>
        <v>3972.5</v>
      </c>
      <c r="CT1520" s="65">
        <f>AVERAGE(CR1520:CS1520)</f>
        <v>4034.25</v>
      </c>
      <c r="CV1520" s="65">
        <f>AVERAGE(CV368,CS368)</f>
        <v>3957</v>
      </c>
      <c r="CW1520" s="65">
        <f>AVERAGE(CW368,CV368)</f>
        <v>4047.5</v>
      </c>
      <c r="CX1520" s="65">
        <f>AVERAGE(CV1520:CW1520)</f>
        <v>4002.25</v>
      </c>
      <c r="CZ1520" s="65">
        <f>AVERAGE(CZ368,CW368)</f>
        <v>4028</v>
      </c>
      <c r="DA1520" s="65">
        <f>AVERAGE(DA368,CZ368)</f>
        <v>4754.5</v>
      </c>
      <c r="DB1520" s="65">
        <f>AVERAGE(CZ1520:DA1520)</f>
        <v>4391.25</v>
      </c>
      <c r="DD1520" s="65">
        <f>AVERAGE(DD368,DA368)</f>
        <v>5688</v>
      </c>
      <c r="DE1520" s="65">
        <f>AVERAGE(DE368,DD368)</f>
        <v>5815</v>
      </c>
      <c r="DF1520" s="65">
        <f>AVERAGE(DD1520:DE1520)</f>
        <v>5751.5</v>
      </c>
      <c r="DH1520" s="65">
        <f>AVERAGE(DH368,DE368)</f>
        <v>5739.2451564828616</v>
      </c>
      <c r="DI1520" s="65">
        <f>AVERAGE(DI368,DH368)</f>
        <v>5702.8359360460709</v>
      </c>
      <c r="DJ1520" s="65">
        <f>AVERAGE(DH1520:DI1520)</f>
        <v>5721.0405462644667</v>
      </c>
      <c r="DL1520" s="65">
        <f>AVERAGE(DL368,DI368)</f>
        <v>5673.6615333811205</v>
      </c>
      <c r="DM1520" s="65">
        <f>AVERAGE(DM368,DL368)</f>
        <v>5650.3161821976792</v>
      </c>
      <c r="DN1520" s="65">
        <f>AVERAGE(DL1520:DM1520)</f>
        <v>5661.9888577893998</v>
      </c>
      <c r="DP1520" s="65">
        <f>AVERAGE(DP368,DM368)</f>
        <v>5631.3696902983374</v>
      </c>
      <c r="DQ1520" s="65">
        <f>AVERAGE(DQ368,DP368)</f>
        <v>5616.4410604806726</v>
      </c>
      <c r="DR1520" s="65">
        <f>AVERAGE(DP1520:DQ1520)</f>
        <v>5623.905375389505</v>
      </c>
      <c r="DW1520"/>
      <c r="DX1520"/>
    </row>
    <row r="1521" spans="1:126" s="20" customFormat="1" ht="13.8">
      <c r="A1521" s="21" t="s">
        <v>394</v>
      </c>
      <c r="B1521" s="49"/>
      <c r="BH1521" s="72">
        <f>+BH1519-BH1520</f>
        <v>33989</v>
      </c>
      <c r="BI1521" s="72">
        <f>+BI1519-BI1520</f>
        <v>36398</v>
      </c>
      <c r="BJ1521" s="72">
        <f>+BJ1519-BJ1520</f>
        <v>35197</v>
      </c>
      <c r="BK1521" s="49"/>
      <c r="BL1521" s="72">
        <f>+BL1519-BL1520</f>
        <v>37752.5</v>
      </c>
      <c r="BM1521" s="72">
        <f>+BM1519-BM1520</f>
        <v>38966.5</v>
      </c>
      <c r="BN1521" s="72">
        <f>+BN1519-BN1520</f>
        <v>38358.5</v>
      </c>
      <c r="BO1521" s="49"/>
      <c r="BP1521" s="72">
        <f>+BP1519-BP1520</f>
        <v>42232</v>
      </c>
      <c r="BQ1521" s="72">
        <f>+BQ1519-BQ1520</f>
        <v>44881.5</v>
      </c>
      <c r="BR1521" s="72">
        <f>+BR1519-BR1520</f>
        <v>43571.75</v>
      </c>
      <c r="BT1521" s="72">
        <f>+BT1519-BT1520</f>
        <v>49764.5</v>
      </c>
      <c r="BU1521" s="72">
        <f>+BU1519-BU1520</f>
        <v>49510</v>
      </c>
      <c r="BV1521" s="72">
        <f>+BV1519-BV1520</f>
        <v>49638.75</v>
      </c>
      <c r="BX1521" s="72">
        <f>+BX1519-BX1520</f>
        <v>50796</v>
      </c>
      <c r="BY1521" s="72">
        <f>+BY1519-BY1520</f>
        <v>52039.5</v>
      </c>
      <c r="BZ1521" s="72">
        <f>+BZ1519-BZ1520</f>
        <v>51419.25</v>
      </c>
      <c r="CB1521" s="72">
        <f>+CB1519-CB1520</f>
        <v>53161</v>
      </c>
      <c r="CC1521" s="72">
        <f>+CC1519-CC1520</f>
        <v>54182</v>
      </c>
      <c r="CD1521" s="72">
        <f>+CD1519-CD1520</f>
        <v>53798.5</v>
      </c>
      <c r="CF1521" s="72">
        <f>+CF1519-CF1520</f>
        <v>54549.5</v>
      </c>
      <c r="CG1521" s="72">
        <f>+CG1519-CG1520</f>
        <v>55015</v>
      </c>
      <c r="CH1521" s="72">
        <f>+CH1519-CH1520</f>
        <v>54785.75</v>
      </c>
      <c r="CJ1521" s="72">
        <f>+CJ1519-CJ1520</f>
        <v>55321</v>
      </c>
      <c r="CK1521" s="72">
        <f>+CK1519-CK1520</f>
        <v>56479</v>
      </c>
      <c r="CL1521" s="72">
        <f>+CL1519-CL1520</f>
        <v>55899.5</v>
      </c>
      <c r="CN1521" s="72">
        <f>+CN1519-CN1520</f>
        <v>57697.5</v>
      </c>
      <c r="CO1521" s="72">
        <f>+CO1519-CO1520</f>
        <v>58737</v>
      </c>
      <c r="CP1521" s="72">
        <f>+CP1519-CP1520</f>
        <v>58218.25</v>
      </c>
      <c r="CR1521" s="72">
        <f>+CR1519-CR1520</f>
        <v>58448</v>
      </c>
      <c r="CS1521" s="72">
        <f>+CS1519-CS1520</f>
        <v>59147.5</v>
      </c>
      <c r="CT1521" s="72">
        <f>+CT1519-CT1520</f>
        <v>58797.75</v>
      </c>
      <c r="CV1521" s="72">
        <f>+CV1519-CV1520</f>
        <v>63654</v>
      </c>
      <c r="CW1521" s="72">
        <f>+CW1519-CW1520</f>
        <v>64648.5</v>
      </c>
      <c r="CX1521" s="72">
        <f>+CX1519-CX1520</f>
        <v>64151.75</v>
      </c>
      <c r="CZ1521" s="72">
        <f>+CZ1519-CZ1520</f>
        <v>66855</v>
      </c>
      <c r="DA1521" s="72">
        <f>+DA1519-DA1520</f>
        <v>64951.5</v>
      </c>
      <c r="DB1521" s="72">
        <f>+DB1519-DB1520</f>
        <v>65902.75</v>
      </c>
      <c r="DD1521" s="72">
        <f>+DD1519-DD1520</f>
        <v>65558</v>
      </c>
      <c r="DE1521" s="72">
        <f>+DE1519-DE1520</f>
        <v>67529</v>
      </c>
      <c r="DF1521" s="72">
        <f>+DF1519-DF1520</f>
        <v>66546.5</v>
      </c>
      <c r="DH1521" s="72">
        <f ca="1">+DH1519-DH1520</f>
        <v>68391.245206751788</v>
      </c>
      <c r="DI1521" s="72">
        <f ca="1">+DI1519-DI1520</f>
        <v>70103.004226969453</v>
      </c>
      <c r="DJ1521" s="72">
        <f ca="1">+DJ1519-DJ1520</f>
        <v>69247.124716860504</v>
      </c>
      <c r="DL1521" s="72">
        <f ca="1">+DL1519-DL1520</f>
        <v>71488.772687765275</v>
      </c>
      <c r="DM1521" s="72">
        <f ca="1">+DM1519-DM1520</f>
        <v>72606.166277330922</v>
      </c>
      <c r="DN1521" s="72">
        <f ca="1">+DN1519-DN1520</f>
        <v>72047.469482548098</v>
      </c>
      <c r="DP1521" s="72">
        <f ca="1">+DP1519-DP1520</f>
        <v>73484.523729304085</v>
      </c>
      <c r="DQ1521" s="72">
        <f ca="1">+DQ1519-DQ1520</f>
        <v>74461.420136950197</v>
      </c>
      <c r="DR1521" s="72">
        <f ca="1">+DR1519-DR1520</f>
        <v>73972.971933127264</v>
      </c>
    </row>
    <row r="1522" spans="1:126" s="20" customFormat="1" ht="13.8">
      <c r="B1522" s="49"/>
      <c r="BH1522" s="49"/>
      <c r="BI1522" s="49"/>
      <c r="BJ1522" s="49"/>
      <c r="BK1522" s="49"/>
      <c r="BL1522" s="49"/>
      <c r="BM1522" s="49"/>
      <c r="BN1522" s="49"/>
      <c r="BO1522" s="49"/>
      <c r="BP1522" s="49"/>
      <c r="BQ1522" s="49"/>
      <c r="BR1522" s="49"/>
      <c r="BT1522" s="49"/>
      <c r="BU1522" s="49"/>
      <c r="BV1522" s="49"/>
      <c r="BX1522" s="49"/>
      <c r="BY1522" s="49"/>
      <c r="BZ1522" s="49"/>
      <c r="CB1522" s="49"/>
      <c r="CC1522" s="49"/>
      <c r="CD1522" s="49"/>
      <c r="CF1522" s="49"/>
      <c r="CG1522" s="49"/>
      <c r="CH1522" s="49"/>
      <c r="CJ1522" s="49"/>
      <c r="CK1522" s="49"/>
      <c r="CL1522" s="49"/>
      <c r="CN1522" s="49"/>
      <c r="CO1522" s="49"/>
      <c r="CP1522" s="49"/>
      <c r="CR1522" s="49"/>
      <c r="CS1522" s="49"/>
      <c r="CT1522" s="49"/>
      <c r="CV1522" s="49"/>
      <c r="CW1522" s="49"/>
      <c r="CX1522" s="49"/>
      <c r="CZ1522" s="49"/>
      <c r="DA1522" s="49"/>
      <c r="DB1522" s="49"/>
      <c r="DD1522" s="49"/>
      <c r="DE1522" s="49"/>
      <c r="DF1522" s="49"/>
      <c r="DH1522" s="49"/>
      <c r="DI1522" s="49"/>
      <c r="DJ1522" s="49"/>
      <c r="DL1522" s="49"/>
      <c r="DM1522" s="49"/>
      <c r="DN1522" s="49"/>
      <c r="DP1522" s="49"/>
      <c r="DQ1522" s="49"/>
      <c r="DR1522" s="49"/>
    </row>
    <row r="1523" spans="1:126" s="20" customFormat="1" ht="13.8">
      <c r="A1523" s="20" t="s">
        <v>643</v>
      </c>
      <c r="B1523" s="49"/>
      <c r="BH1523" s="65">
        <f>BH45</f>
        <v>3176</v>
      </c>
      <c r="BI1523" s="65">
        <f>BI45</f>
        <v>3310</v>
      </c>
      <c r="BJ1523" s="65">
        <f>BJ45</f>
        <v>6486</v>
      </c>
      <c r="BK1523" s="49"/>
      <c r="BL1523" s="65">
        <f>BL45</f>
        <v>3512</v>
      </c>
      <c r="BM1523" s="65">
        <f>BM45</f>
        <v>3599</v>
      </c>
      <c r="BN1523" s="65">
        <f>BN45</f>
        <v>7111</v>
      </c>
      <c r="BO1523" s="49"/>
      <c r="BP1523" s="65">
        <f>BP45</f>
        <v>3675</v>
      </c>
      <c r="BQ1523" s="65">
        <f>BQ45</f>
        <v>3540</v>
      </c>
      <c r="BR1523" s="65">
        <f>BR45</f>
        <v>7215</v>
      </c>
      <c r="BT1523" s="65">
        <f>BT45</f>
        <v>2782</v>
      </c>
      <c r="BU1523" s="65">
        <f>BU45</f>
        <v>3107</v>
      </c>
      <c r="BV1523" s="65">
        <f>BV45</f>
        <v>5889</v>
      </c>
      <c r="BX1523" s="65">
        <f>BX45</f>
        <v>3355</v>
      </c>
      <c r="BY1523" s="65">
        <f>BY45</f>
        <v>3454</v>
      </c>
      <c r="BZ1523" s="65">
        <f>BZ45</f>
        <v>6809</v>
      </c>
      <c r="CB1523" s="65">
        <f>CB45</f>
        <v>3493</v>
      </c>
      <c r="CC1523" s="65">
        <f>CC45</f>
        <v>2994</v>
      </c>
      <c r="CD1523" s="65">
        <f>CD45</f>
        <v>6487</v>
      </c>
      <c r="CF1523" s="65">
        <f>CF45</f>
        <v>3564</v>
      </c>
      <c r="CG1523" s="65">
        <f>CG45</f>
        <v>2906</v>
      </c>
      <c r="CH1523" s="65">
        <f>CH45</f>
        <v>6470</v>
      </c>
      <c r="CJ1523" s="65">
        <f>CJ45</f>
        <v>1413</v>
      </c>
      <c r="CK1523" s="65">
        <f>CK45</f>
        <v>2345</v>
      </c>
      <c r="CL1523" s="65">
        <f>CL45</f>
        <v>3758</v>
      </c>
      <c r="CN1523" s="65">
        <f>CN45</f>
        <v>2990</v>
      </c>
      <c r="CO1523" s="65">
        <f>CO45</f>
        <v>3208</v>
      </c>
      <c r="CP1523" s="65">
        <f>CP45</f>
        <v>6198</v>
      </c>
      <c r="CR1523" s="65">
        <f>CR45</f>
        <v>3113</v>
      </c>
      <c r="CS1523" s="65">
        <f>CS45</f>
        <v>3402</v>
      </c>
      <c r="CT1523" s="65">
        <f>CT45</f>
        <v>6515</v>
      </c>
      <c r="CV1523" s="65">
        <f>CV45</f>
        <v>3829</v>
      </c>
      <c r="CW1523" s="65">
        <f>CW45</f>
        <v>3584</v>
      </c>
      <c r="CX1523" s="65">
        <f>CX45</f>
        <v>7413</v>
      </c>
      <c r="CZ1523" s="65">
        <f>CZ45</f>
        <v>3552</v>
      </c>
      <c r="DA1523" s="65">
        <f>DA45</f>
        <v>3173</v>
      </c>
      <c r="DB1523" s="65">
        <f>DB45</f>
        <v>6725</v>
      </c>
      <c r="DD1523" s="65">
        <f>DD45</f>
        <v>3568</v>
      </c>
      <c r="DE1523" s="65">
        <f>DE45</f>
        <v>2219</v>
      </c>
      <c r="DF1523" s="65">
        <f>DF45</f>
        <v>5787</v>
      </c>
      <c r="DH1523" s="65">
        <f ca="1">DH45</f>
        <v>3701.5536350305647</v>
      </c>
      <c r="DI1523" s="65">
        <f ca="1">DI45</f>
        <v>3826.2909150494493</v>
      </c>
      <c r="DJ1523" s="65">
        <f ca="1">DJ45</f>
        <v>7527.8445500800126</v>
      </c>
      <c r="DL1523" s="65">
        <f ca="1">DL45</f>
        <v>3980.3177206167493</v>
      </c>
      <c r="DM1523" s="65">
        <f ca="1">DM45</f>
        <v>3994.2697629431987</v>
      </c>
      <c r="DN1523" s="65">
        <f ca="1">DN45</f>
        <v>7974.5874835599489</v>
      </c>
      <c r="DP1523" s="65">
        <f ca="1">DP45</f>
        <v>4160.966953009286</v>
      </c>
      <c r="DQ1523" s="65">
        <f ca="1">DQ45</f>
        <v>4318.1038988617502</v>
      </c>
      <c r="DR1523" s="65">
        <f ca="1">DR45</f>
        <v>8479.0708518710398</v>
      </c>
    </row>
    <row r="1524" spans="1:126" s="21" customFormat="1" ht="13.8">
      <c r="A1524" s="21" t="s">
        <v>167</v>
      </c>
      <c r="B1524" s="27"/>
      <c r="BH1524" s="70">
        <f>BH1523*(BH$4/BH$3)/BH1519</f>
        <v>0.1548576633062787</v>
      </c>
      <c r="BI1524" s="70">
        <f>BI1523*(BI$4/BI$3)/BI1519</f>
        <v>0.15068043475386889</v>
      </c>
      <c r="BJ1524" s="70">
        <f>BJ1523*(BJ$4/BJ$3)/BJ1519</f>
        <v>0.15269799416140881</v>
      </c>
      <c r="BK1524" s="27"/>
      <c r="BL1524" s="70">
        <f>BL1523*(BL$4/BL$3)/BL1519</f>
        <v>0.1545192554801611</v>
      </c>
      <c r="BM1524" s="70">
        <f>BM1523*(BM$4/BM$3)/BM1519</f>
        <v>0.15297134495446732</v>
      </c>
      <c r="BN1524" s="70">
        <f>BN1523*(BN$4/BN$3)/BN1519</f>
        <v>0.15374137893758244</v>
      </c>
      <c r="BO1524" s="27"/>
      <c r="BP1524" s="70">
        <f>BP1523*(BP$4/BP$3)/BP1519</f>
        <v>0.14623687588428952</v>
      </c>
      <c r="BQ1524" s="70">
        <f>BQ1523*(BQ$4/BQ$3)/BQ1519</f>
        <v>0.13264553936642123</v>
      </c>
      <c r="BR1524" s="70">
        <f>BR1523*(BR$4/BR$3)/BR1519</f>
        <v>0.13920710795544985</v>
      </c>
      <c r="BT1524" s="70">
        <f>BT1523*(BT$4/BT$3)/BT1519</f>
        <v>9.6408088298996761E-2</v>
      </c>
      <c r="BU1524" s="70">
        <f>BU1523*(BU$4/BU$3)/BU1519</f>
        <v>0.10875329243854844</v>
      </c>
      <c r="BV1524" s="70">
        <f>BV1523*(BV$4/BV$3)/BV1519</f>
        <v>0.10254713572389415</v>
      </c>
      <c r="BX1524" s="70">
        <f>BX1523*(BX$4/BX$3)/BX1519</f>
        <v>0.11569132742306053</v>
      </c>
      <c r="BY1524" s="70">
        <f>BY1523*(BY$4/BY$3)/BY1519</f>
        <v>0.11666399693587085</v>
      </c>
      <c r="BZ1524" s="70">
        <f>BZ1523*(BZ$4/BZ$3)/BZ1519</f>
        <v>0.11618214780846753</v>
      </c>
      <c r="CB1524" s="70">
        <f>CB1523*(CB$4/CB$3)/CB1519</f>
        <v>0.11810153093976747</v>
      </c>
      <c r="CC1524" s="70">
        <f>CC1523*(CC$4/CC$3)/CC1519</f>
        <v>0.10067501760506938</v>
      </c>
      <c r="CD1524" s="70">
        <f>CD1523*(CD$4/CD$3)/CD1519</f>
        <v>0.10913067249863313</v>
      </c>
      <c r="CF1524" s="70">
        <f>CF1523*(CF$4/CF$3)/CF1519</f>
        <v>0.12008101771722557</v>
      </c>
      <c r="CG1524" s="70">
        <f>CG1523*(CG$4/CG$3)/CG1519</f>
        <v>9.6676122003189702E-2</v>
      </c>
      <c r="CH1524" s="70">
        <f>CH1523*(CH$4/CH$3)/CH1519</f>
        <v>0.10829901911553011</v>
      </c>
      <c r="CJ1524" s="70">
        <f>CJ1523*(CJ$4/CJ$3)/CJ1519</f>
        <v>4.6920139465382697E-2</v>
      </c>
      <c r="CK1524" s="70">
        <f>CK1523*(CK$4/CK$3)/CK1519</f>
        <v>7.6700410486205378E-2</v>
      </c>
      <c r="CL1524" s="70">
        <f>CL1523*(CL$4/CL$3)/CL1519</f>
        <v>6.1923279725810701E-2</v>
      </c>
      <c r="CN1524" s="70">
        <f>CN1523*(CN$4/CN$3)/CN1519</f>
        <v>9.6874401386590606E-2</v>
      </c>
      <c r="CO1524" s="70">
        <f>CO1523*(CO$4/CO$3)/CO1519</f>
        <v>0.10186862086824268</v>
      </c>
      <c r="CP1524" s="70">
        <f>CP1523*(CP$4/CP$3)/CP1519</f>
        <v>9.9397010712682018E-2</v>
      </c>
      <c r="CR1524" s="70">
        <f>CR1523*(CR$4/CR$3)/CR1519</f>
        <v>9.9819397473848742E-2</v>
      </c>
      <c r="CS1524" s="70">
        <f>CS1523*(CS$4/CS$3)/CS1519</f>
        <v>0.10750015583120363</v>
      </c>
      <c r="CT1524" s="70">
        <f>CT1523*(CT$4/CT$3)/CT1519</f>
        <v>0.10368920295390884</v>
      </c>
      <c r="CV1524" s="70">
        <f>CV1523*(CV$4/CV$3)/CV1519</f>
        <v>0.11357676208809901</v>
      </c>
      <c r="CW1524" s="70">
        <f>CW1523*(CW$4/CW$3)/CW1519</f>
        <v>0.1040586831918372</v>
      </c>
      <c r="CX1524" s="70">
        <f>CX1523*(CX$4/CX$3)/CX1519</f>
        <v>0.10876837749801919</v>
      </c>
      <c r="CZ1524" s="70">
        <f>CZ1523*(CZ$4/CZ$3)/CZ1519</f>
        <v>0.10022149175401718</v>
      </c>
      <c r="DA1524" s="70">
        <f>DA1523*(DA$4/DA$3)/DA1519</f>
        <v>9.1039508794077989E-2</v>
      </c>
      <c r="DB1524" s="70">
        <f>DB1523*(DB$4/DB$3)/DB1519</f>
        <v>9.5669616183458053E-2</v>
      </c>
      <c r="DD1524" s="70">
        <f>DD1523*(DD$4/DD$3)/DD1519</f>
        <v>0.10043517384280375</v>
      </c>
      <c r="DE1524" s="70">
        <f>DE1523*(DE$4/DE$3)/DE1519</f>
        <v>6.034405427764903E-2</v>
      </c>
      <c r="DF1524" s="70">
        <f>DF1523*(DF$4/DF$3)/DF1519</f>
        <v>8.004370798638967E-2</v>
      </c>
      <c r="DH1524" s="70">
        <f ca="1">DH1523*(DH$4/DH$3)/DH1519</f>
        <v>0.10014024513358274</v>
      </c>
      <c r="DI1524" s="70">
        <f ca="1">DI1523*(DI$4/DI$3)/DI1519</f>
        <v>0.10067394702258588</v>
      </c>
      <c r="DJ1524" s="70">
        <f ca="1">DJ1523*(DJ$4/DJ$3)/DJ1519</f>
        <v>0.10041388266150855</v>
      </c>
      <c r="DL1524" s="70">
        <f ca="1">DL1523*(DL$4/DL$3)/DL1519</f>
        <v>0.10345066740561298</v>
      </c>
      <c r="DM1524" s="70">
        <f ca="1">DM1523*(DM$4/DM$3)/DM1519</f>
        <v>0.10180259404427007</v>
      </c>
      <c r="DN1524" s="70">
        <f ca="1">DN1523*(DN$4/DN$3)/DN1519</f>
        <v>0.10262055165324055</v>
      </c>
      <c r="DP1524" s="70">
        <f ca="1">DP1523*(DP$4/DP$3)/DP1519</f>
        <v>0.10518662617992582</v>
      </c>
      <c r="DQ1524" s="70">
        <f ca="1">DQ1523*(DQ$4/DQ$3)/DQ1519</f>
        <v>0.10784763314833107</v>
      </c>
      <c r="DR1524" s="70">
        <f ca="1">DR1523*(DR$4/DR$3)/DR1519</f>
        <v>0.10652516956169322</v>
      </c>
    </row>
    <row r="1525" spans="1:126" s="20" customFormat="1" ht="13.8">
      <c r="A1525" s="20" t="s">
        <v>395</v>
      </c>
      <c r="B1525" s="49"/>
      <c r="BH1525" s="68">
        <f>BH37*(BH$4/BH$3)/BH1519</f>
        <v>0.15500393943660579</v>
      </c>
      <c r="BI1525" s="68">
        <f>BI37*(BI$4/BI$3)/BI1519</f>
        <v>0.15081700312373644</v>
      </c>
      <c r="BJ1525" s="68">
        <f>BJ37*(BJ$4/BJ$3)/BJ1519</f>
        <v>0.152839250400226</v>
      </c>
      <c r="BK1525" s="49"/>
      <c r="BL1525" s="68">
        <f>BL37*(BL$4/BL$3)/BL1519</f>
        <v>0.15465124801046876</v>
      </c>
      <c r="BM1525" s="68">
        <f>BM37*(BM$4/BM$3)/BM1519</f>
        <v>0.1530988564951351</v>
      </c>
      <c r="BN1525" s="68">
        <f>BN37*(BN$4/BN$3)/BN1519</f>
        <v>0.15387110025295656</v>
      </c>
      <c r="BO1525" s="49"/>
      <c r="BP1525" s="68">
        <f>BP37*(BP$4/BP$3)/BP1519</f>
        <v>0.14627666823146893</v>
      </c>
      <c r="BQ1525" s="68">
        <f>BQ37*(BQ$4/BQ$3)/BQ1519</f>
        <v>0.13264553936642123</v>
      </c>
      <c r="BR1525" s="68">
        <f>BR37*(BR$4/BR$3)/BR1519</f>
        <v>0.13922640207990661</v>
      </c>
      <c r="BS1525" s="49"/>
      <c r="BT1525" s="68">
        <f>BT37*(BT$4/BT$3)/BT1519</f>
        <v>9.6408088298996761E-2</v>
      </c>
      <c r="BU1525" s="68">
        <f>BU37*(BU$4/BU$3)/BU1519</f>
        <v>0.10875329243854844</v>
      </c>
      <c r="BV1525" s="68">
        <f>BV37*(BV$4/BV$3)/BV1519</f>
        <v>0.10254713572389415</v>
      </c>
      <c r="BW1525" s="49"/>
      <c r="BX1525" s="68">
        <f>BX37*(BX$4/BX$3)/BX1519</f>
        <v>0.11569132742306053</v>
      </c>
      <c r="BY1525" s="68">
        <f>BY37*(BY$4/BY$3)/BY1519</f>
        <v>0.11666399693587085</v>
      </c>
      <c r="BZ1525" s="68">
        <f>BZ37*(BZ$4/BZ$3)/BZ1519</f>
        <v>0.11618214780846753</v>
      </c>
      <c r="CA1525" s="49"/>
      <c r="CB1525" s="68">
        <f>CB37*(CB$4/CB$3)/CB1519</f>
        <v>0.11810153093976747</v>
      </c>
      <c r="CC1525" s="68">
        <f>CC37*(CC$4/CC$3)/CC1519</f>
        <v>0.10067501760506938</v>
      </c>
      <c r="CD1525" s="68">
        <f>CD37*(CD$4/CD$3)/CD1519</f>
        <v>0.10913067249863313</v>
      </c>
      <c r="CE1525" s="49"/>
      <c r="CF1525" s="68">
        <f>CF37*(CF$4/CF$3)/CF1519</f>
        <v>0.12008101771722557</v>
      </c>
      <c r="CG1525" s="68">
        <f>CG37*(CG$4/CG$3)/CG1519</f>
        <v>9.6676122003189702E-2</v>
      </c>
      <c r="CH1525" s="68">
        <f>CH37*(CH$4/CH$3)/CH1519</f>
        <v>0.10829901911553011</v>
      </c>
      <c r="CI1525" s="49"/>
      <c r="CJ1525" s="68">
        <f>CJ37*(CJ$4/CJ$3)/CJ1519</f>
        <v>4.6920139465382697E-2</v>
      </c>
      <c r="CK1525" s="68">
        <f>CK37*(CK$4/CK$3)/CK1519</f>
        <v>7.6700410486205378E-2</v>
      </c>
      <c r="CL1525" s="68">
        <f>CL37*(CL$4/CL$3)/CL1519</f>
        <v>6.1923279725810701E-2</v>
      </c>
      <c r="CM1525" s="49"/>
      <c r="CN1525" s="68">
        <f>CN37*(CN$4/CN$3)/CN1519</f>
        <v>9.6874401386590606E-2</v>
      </c>
      <c r="CO1525" s="68">
        <f>CO37*(CO$4/CO$3)/CO1519</f>
        <v>0.10186862086824268</v>
      </c>
      <c r="CP1525" s="68">
        <f>CP37*(CP$4/CP$3)/CP1519</f>
        <v>9.9397010712682018E-2</v>
      </c>
      <c r="CQ1525" s="49"/>
      <c r="CR1525" s="68">
        <f>CR37*(CR$4/CR$3)/CR1519</f>
        <v>9.9819397473848742E-2</v>
      </c>
      <c r="CS1525" s="68">
        <f>CS37*(CS$4/CS$3)/CS1519</f>
        <v>0.10750015583120363</v>
      </c>
      <c r="CT1525" s="68">
        <f>CT37*(CT$4/CT$3)/CT1519</f>
        <v>0.10368920295390884</v>
      </c>
      <c r="CU1525" s="49"/>
      <c r="CV1525" s="68">
        <f>CV37*(CV$4/CV$3)/CV1519</f>
        <v>0.11357676208809901</v>
      </c>
      <c r="CW1525" s="68">
        <f>CW37*(CW$4/CW$3)/CW1519</f>
        <v>0.1040586831918372</v>
      </c>
      <c r="CX1525" s="68">
        <f>CX37*(CX$4/CX$3)/CX1519</f>
        <v>0.10876837749801919</v>
      </c>
      <c r="CY1525" s="49"/>
      <c r="CZ1525" s="68">
        <f>CZ37*(CZ$4/CZ$3)/CZ1519</f>
        <v>0.10022149175401718</v>
      </c>
      <c r="DA1525" s="68">
        <f>DA37*(DA$4/DA$3)/DA1519</f>
        <v>9.1039508794077989E-2</v>
      </c>
      <c r="DB1525" s="68">
        <f>DB37*(DB$4/DB$3)/DB1519</f>
        <v>9.5669616183458053E-2</v>
      </c>
      <c r="DC1525" s="49"/>
      <c r="DD1525" s="68">
        <f>DD37*(DD$4/DD$3)/DD1519</f>
        <v>0.10043517384280375</v>
      </c>
      <c r="DE1525" s="68">
        <f>DE37*(DE$4/DE$3)/DE1519</f>
        <v>6.034405427764903E-2</v>
      </c>
      <c r="DF1525" s="68">
        <f>DF37*(DF$4/DF$3)/DF1519</f>
        <v>8.004370798638967E-2</v>
      </c>
      <c r="DG1525" s="49"/>
      <c r="DH1525" s="68">
        <f ca="1">DH37*(DH$4/DH$3)/DH1519</f>
        <v>0.10014024513358274</v>
      </c>
      <c r="DI1525" s="68">
        <f ca="1">DI37*(DI$4/DI$3)/DI1519</f>
        <v>0.10067394702258588</v>
      </c>
      <c r="DJ1525" s="68">
        <f ca="1">DJ37*(DJ$4/DJ$3)/DJ1519</f>
        <v>0.10041388266150855</v>
      </c>
      <c r="DK1525" s="49"/>
      <c r="DL1525" s="68">
        <f ca="1">DL37*(DL$4/DL$3)/DL1519</f>
        <v>0.10345066740561298</v>
      </c>
      <c r="DM1525" s="68">
        <f ca="1">DM37*(DM$4/DM$3)/DM1519</f>
        <v>0.10180259404427007</v>
      </c>
      <c r="DN1525" s="68">
        <f ca="1">DN37*(DN$4/DN$3)/DN1519</f>
        <v>0.10262055165324055</v>
      </c>
      <c r="DO1525" s="49"/>
      <c r="DP1525" s="68">
        <f ca="1">DP37*(DP$4/DP$3)/DP1519</f>
        <v>0.10518662617992582</v>
      </c>
      <c r="DQ1525" s="68">
        <f ca="1">DQ37*(DQ$4/DQ$3)/DQ1519</f>
        <v>0.10784763314833107</v>
      </c>
      <c r="DR1525" s="68">
        <f ca="1">DR37*(DR$4/DR$3)/DR1519</f>
        <v>0.10652516956169322</v>
      </c>
      <c r="DS1525" s="49"/>
      <c r="DT1525" s="49"/>
      <c r="DU1525" s="49"/>
      <c r="DV1525" s="49"/>
    </row>
    <row r="1526" spans="1:126" s="20" customFormat="1" ht="13.8">
      <c r="A1526" s="20" t="s">
        <v>20</v>
      </c>
      <c r="B1526" s="49"/>
      <c r="BH1526" s="70">
        <f>BH1523*(BH$4/BH$3)/BH1521</f>
        <v>0.18739740943983493</v>
      </c>
      <c r="BI1526" s="70">
        <f>BI1523*(BI$4/BI$3)/BI1521</f>
        <v>0.18138119040348402</v>
      </c>
      <c r="BJ1526" s="70">
        <f>BJ1523*(BJ$4/BJ$3)/BJ1521</f>
        <v>0.18427706906838651</v>
      </c>
      <c r="BK1526" s="49"/>
      <c r="BL1526" s="70">
        <f>BL1523*(BL$4/BL$3)/BL1521</f>
        <v>0.18656504081310385</v>
      </c>
      <c r="BM1526" s="70">
        <f>BM1523*(BM$4/BM$3)/BM1521</f>
        <v>0.18421806765640572</v>
      </c>
      <c r="BN1526" s="70">
        <f>BN1523*(BN$4/BN$3)/BN1521</f>
        <v>0.18538264009280864</v>
      </c>
      <c r="BO1526" s="49"/>
      <c r="BP1526" s="70">
        <f>BP1523*(BP$4/BP$3)/BP1521</f>
        <v>0.17451677182450057</v>
      </c>
      <c r="BQ1526" s="70">
        <f>BQ1523*(BQ$4/BQ$3)/BQ1521</f>
        <v>0.15731773086249165</v>
      </c>
      <c r="BR1526" s="70">
        <f>BR1523*(BR$4/BR$3)/BR1521</f>
        <v>0.16558894237665459</v>
      </c>
      <c r="BT1526" s="70">
        <f>BT1523*(BT$4/BT$3)/BT1521</f>
        <v>0.11180660912899758</v>
      </c>
      <c r="BU1526" s="70">
        <f>BU1523*(BU$4/BU$3)/BU1521</f>
        <v>0.12550999798020601</v>
      </c>
      <c r="BV1526" s="70">
        <f>BV1523*(BV$4/BV$3)/BV1521</f>
        <v>0.11863715343355745</v>
      </c>
      <c r="BX1526" s="70">
        <f>BX1523*(BX$4/BX$3)/BX1521</f>
        <v>0.1324599194018046</v>
      </c>
      <c r="BY1526" s="70">
        <f>BY1523*(BY$4/BY$3)/BY1521</f>
        <v>0.13238262633307601</v>
      </c>
      <c r="BZ1526" s="70">
        <f>BZ1523*(BZ$4/BZ$3)/BZ1521</f>
        <v>0.13242122356899411</v>
      </c>
      <c r="CB1526" s="70">
        <f>CB1523*(CB$4/CB$3)/CB1521</f>
        <v>0.13177314775290735</v>
      </c>
      <c r="CC1526" s="70">
        <f>CC1523*(CC$4/CC$3)/CC1521</f>
        <v>0.11021445026507502</v>
      </c>
      <c r="CD1526" s="70">
        <f>CD1523*(CD$4/CD$3)/CD1521</f>
        <v>0.12057957006236233</v>
      </c>
      <c r="CF1526" s="70">
        <f>CF1523*(CF$4/CF$3)/CF1521</f>
        <v>0.13102929298311475</v>
      </c>
      <c r="CG1526" s="70">
        <f>CG1523*(CG$4/CG$3)/CG1521</f>
        <v>0.10535527071851741</v>
      </c>
      <c r="CH1526" s="70">
        <f>CH1523*(CH$4/CH$3)/CH1521</f>
        <v>0.11809640280547405</v>
      </c>
      <c r="CJ1526" s="70">
        <f>CJ1523*(CJ$4/CJ$3)/CJ1521</f>
        <v>5.1083675277019576E-2</v>
      </c>
      <c r="CK1526" s="70">
        <f>CK1523*(CK$4/CK$3)/CK1521</f>
        <v>8.3039713875953894E-2</v>
      </c>
      <c r="CL1526" s="70">
        <f>CL1523*(CL$4/CL$3)/CL1521</f>
        <v>6.7227792735176525E-2</v>
      </c>
      <c r="CN1526" s="70">
        <f>CN1523*(CN$4/CN$3)/CN1521</f>
        <v>0.10392874165134662</v>
      </c>
      <c r="CO1526" s="70">
        <f>CO1523*(CO$4/CO$3)/CO1521</f>
        <v>0.10893423132531779</v>
      </c>
      <c r="CP1526" s="70">
        <f>CP1523*(CP$4/CP$3)/CP1521</f>
        <v>0.10646146182683265</v>
      </c>
      <c r="CR1526" s="70">
        <f>CR1523*(CR$4/CR$3)/CR1521</f>
        <v>0.10681467964009711</v>
      </c>
      <c r="CS1526" s="70">
        <f>CS1523*(CS$4/CS$3)/CS1521</f>
        <v>0.11472014600897035</v>
      </c>
      <c r="CT1526" s="70">
        <f>CT1523*(CT$4/CT$3)/CT1521</f>
        <v>0.11080355966002101</v>
      </c>
      <c r="CV1526" s="70">
        <f>CV1523*(CV$4/CV$3)/CV1521</f>
        <v>0.12063717066544855</v>
      </c>
      <c r="CW1526" s="70">
        <f>CW1523*(CW$4/CW$3)/CW1521</f>
        <v>0.11057356784065288</v>
      </c>
      <c r="CX1526" s="70">
        <f>CX1523*(CX$4/CX$3)/CX1521</f>
        <v>0.11555413531197511</v>
      </c>
      <c r="CZ1526" s="70">
        <f>CZ1523*(CZ$4/CZ$3)/CZ1521</f>
        <v>0.10625981601974423</v>
      </c>
      <c r="DA1526" s="70">
        <f>DA1523*(DA$4/DA$3)/DA1521</f>
        <v>9.7703671200819076E-2</v>
      </c>
      <c r="DB1526" s="70">
        <f>DB1523*(DB$4/DB$3)/DB1521</f>
        <v>0.10204430012404642</v>
      </c>
      <c r="DD1526" s="70">
        <f>DD1523*(DD$4/DD$3)/DD1521</f>
        <v>0.10914921741975649</v>
      </c>
      <c r="DE1526" s="70">
        <f>DE1523*(DE$4/DE$3)/DE1521</f>
        <v>6.5540350322674565E-2</v>
      </c>
      <c r="DF1526" s="70">
        <f>DF1523*(DF$4/DF$3)/DF1521</f>
        <v>8.6961748551764556E-2</v>
      </c>
      <c r="DH1526" s="70">
        <f ca="1">DH1523*(DH$4/DH$3)/DH1521</f>
        <v>0.1085437975928847</v>
      </c>
      <c r="DI1526" s="70">
        <f ca="1">DI1523*(DI$4/DI$3)/DI1521</f>
        <v>0.10886371020370683</v>
      </c>
      <c r="DJ1526" s="70">
        <f ca="1">DJ1523*(DJ$4/DJ$3)/DJ1521</f>
        <v>0.10870985013255156</v>
      </c>
      <c r="DL1526" s="70">
        <f ca="1">DL1523*(DL$4/DL$3)/DL1521</f>
        <v>0.1116609646340375</v>
      </c>
      <c r="DM1526" s="70">
        <f ca="1">DM1523*(DM$4/DM$3)/DM1521</f>
        <v>0.10972501818550495</v>
      </c>
      <c r="DN1526" s="70">
        <f ca="1">DN1523*(DN$4/DN$3)/DN1521</f>
        <v>0.11068518493202063</v>
      </c>
      <c r="DP1526" s="70">
        <f ca="1">DP1523*(DP$4/DP$3)/DP1521</f>
        <v>0.11324743610878109</v>
      </c>
      <c r="DQ1526" s="70">
        <f ca="1">DQ1523*(DQ$4/DQ$3)/DQ1521</f>
        <v>0.11598231381888366</v>
      </c>
      <c r="DR1526" s="70">
        <f ca="1">DR1523*(DR$4/DR$3)/DR1521</f>
        <v>0.11462390424892289</v>
      </c>
    </row>
    <row r="1527" spans="1:126" s="20" customFormat="1" ht="13.8">
      <c r="A1527" s="20" t="s">
        <v>1126</v>
      </c>
      <c r="B1527" s="49"/>
      <c r="BH1527" s="68">
        <f>BH538*(BH$4/BH$3)/BH1519</f>
        <v>0</v>
      </c>
      <c r="BI1527" s="68">
        <f>BI538*(BI$4/BI$3)/BI1519</f>
        <v>0</v>
      </c>
      <c r="BJ1527" s="68">
        <f>BJ538*(BJ$4/BJ$3)/BJ1519</f>
        <v>0</v>
      </c>
      <c r="BK1527" s="49"/>
      <c r="BL1527" s="68">
        <f>BL538*(BL$4/BL$3)/BL1519</f>
        <v>0</v>
      </c>
      <c r="BM1527" s="68">
        <f>BM538*(BM$4/BM$3)/BM1519</f>
        <v>0</v>
      </c>
      <c r="BN1527" s="68">
        <f>BN538*(BN$4/BN$3)/BN1519</f>
        <v>0</v>
      </c>
      <c r="BO1527" s="49"/>
      <c r="BP1527" s="68">
        <f>BP538*(BP$4/BP$3)/BP1519</f>
        <v>0</v>
      </c>
      <c r="BQ1527" s="68">
        <f>BQ538*(BQ$4/BQ$3)/BQ1519</f>
        <v>0</v>
      </c>
      <c r="BR1527" s="68">
        <f>BR538*(BR$4/BR$3)/BR1519</f>
        <v>0</v>
      </c>
      <c r="BT1527" s="68">
        <f>BT538*(BT$4/BT$3)/BT1519</f>
        <v>0</v>
      </c>
      <c r="BU1527" s="68">
        <f>BU538*(BU$4/BU$3)/BU1519</f>
        <v>0</v>
      </c>
      <c r="BV1527" s="68">
        <f>BV538*(BV$4/BV$3)/BV1519</f>
        <v>0</v>
      </c>
      <c r="BX1527" s="68">
        <f>BX538*(BX$4/BX$3)/BX1519</f>
        <v>0</v>
      </c>
      <c r="BY1527" s="68">
        <f>BY538*(BY$4/BY$3)/BY1519</f>
        <v>0</v>
      </c>
      <c r="BZ1527" s="68">
        <f>BZ538*(BZ$4/BZ$3)/BZ1519</f>
        <v>0</v>
      </c>
      <c r="CB1527" s="68">
        <f>CB538*(CB$4/CB$3)/CB1519</f>
        <v>0.11225224240481764</v>
      </c>
      <c r="CC1527" s="68">
        <f>CC538*(CC$4/CC$3)/CC1519</f>
        <v>0.11930359467694929</v>
      </c>
      <c r="CD1527" s="68">
        <f>CD538*(CD$4/CD$3)/CD1519</f>
        <v>0.11554022795138159</v>
      </c>
      <c r="CF1527" s="68">
        <f>CF538*(CF$4/CF$3)/CF1519</f>
        <v>0.11681281942357494</v>
      </c>
      <c r="CG1527" s="68">
        <f>CG538*(CG$4/CG$3)/CG1519</f>
        <v>0.10994995981436405</v>
      </c>
      <c r="CH1527" s="68">
        <f>CH538*(CH$4/CH$3)/CH1519</f>
        <v>0.11335408925044357</v>
      </c>
      <c r="CJ1527" s="68">
        <f>CJ538*(CJ$4/CJ$3)/CJ1519</f>
        <v>7.9694504399800761E-2</v>
      </c>
      <c r="CK1527" s="68">
        <f>CK538*(CK$4/CK$3)/CK1519</f>
        <v>9.351235547124144E-2</v>
      </c>
      <c r="CL1527" s="68">
        <f>CL538*(CL$4/CL$3)/CL1519</f>
        <v>8.6656340627471656E-2</v>
      </c>
      <c r="CN1527" s="68">
        <f>CN538*(CN$4/CN$3)/CN1519</f>
        <v>0.12334476457483291</v>
      </c>
      <c r="CO1527" s="68">
        <f>CO538*(CO$4/CO$3)/CO1519</f>
        <v>0.10596495880215893</v>
      </c>
      <c r="CP1527" s="68">
        <f>CP538*(CP$4/CP$3)/CP1519</f>
        <v>0.11456796459041632</v>
      </c>
      <c r="CR1527" s="68">
        <f>CR538*(CR$4/CR$3)/CR1519</f>
        <v>0.10113407633553451</v>
      </c>
      <c r="CS1527" s="68">
        <f>CS538*(CS$4/CS$3)/CS1519</f>
        <v>0.11107085471683738</v>
      </c>
      <c r="CT1527" s="68">
        <f>CT538*(CT$4/CT$3)/CT1519</f>
        <v>0.1061401833460657</v>
      </c>
      <c r="CV1527" s="68">
        <f>CV538*(CV$4/CV$3)/CV1519</f>
        <v>0.1183523846256242</v>
      </c>
      <c r="CW1527" s="68">
        <f>CW538*(CW$4/CW$3)/CW1519</f>
        <v>0.1082976808888261</v>
      </c>
      <c r="CX1527" s="68">
        <f>CX538*(CX$4/CX$3)/CX1519</f>
        <v>0.11327288200252369</v>
      </c>
      <c r="CZ1527" s="68">
        <f>CZ538*(CZ$4/CZ$3)/CZ1519</f>
        <v>0.10479240438469026</v>
      </c>
      <c r="DA1527" s="68">
        <f>DA538*(DA$4/DA$3)/DA1519</f>
        <v>9.1039508794077989E-2</v>
      </c>
      <c r="DB1527" s="68">
        <f>DB538*(DB$4/DB$3)/DB1519</f>
        <v>9.7974222551000079E-2</v>
      </c>
      <c r="DD1527" s="68">
        <f>DD538*(DD$4/DD$3)/DD1519</f>
        <v>0.10043517384280375</v>
      </c>
      <c r="DE1527" s="68">
        <f>DE538*(DE$4/DE$3)/DE1519</f>
        <v>9.0502484288425417E-2</v>
      </c>
      <c r="DF1527" s="68">
        <f>DF538*(DF$4/DF$3)/DF1519</f>
        <v>9.5382998146560066E-2</v>
      </c>
      <c r="DH1527" s="68">
        <f ca="1">DH538*(DH$4/DH$3)/DH1519</f>
        <v>0.10014024513358274</v>
      </c>
      <c r="DI1527" s="68">
        <f ca="1">DI538*(DI$4/DI$3)/DI1519</f>
        <v>0.10067394702258588</v>
      </c>
      <c r="DJ1527" s="68">
        <f ca="1">DJ538*(DJ$4/DJ$3)/DJ1519</f>
        <v>0.10041388266150857</v>
      </c>
      <c r="DL1527" s="68">
        <f ca="1">DL538*(DL$4/DL$3)/DL1519</f>
        <v>0.10345066740561298</v>
      </c>
      <c r="DM1527" s="68">
        <f ca="1">DM538*(DM$4/DM$3)/DM1519</f>
        <v>0.10180259404427007</v>
      </c>
      <c r="DN1527" s="68">
        <f ca="1">DN538*(DN$4/DN$3)/DN1519</f>
        <v>0.10262055165324054</v>
      </c>
      <c r="DP1527" s="68">
        <f ca="1">DP538*(DP$4/DP$3)/DP1519</f>
        <v>0.10518662617992582</v>
      </c>
      <c r="DQ1527" s="68">
        <f ca="1">DQ538*(DQ$4/DQ$3)/DQ1519</f>
        <v>0.10784763314833107</v>
      </c>
      <c r="DR1527" s="68">
        <f ca="1">DR538*(DR$4/DR$3)/DR1519</f>
        <v>0.10652516956169318</v>
      </c>
    </row>
    <row r="1528" spans="1:126" s="20" customFormat="1" ht="13.8">
      <c r="A1528" s="20" t="s">
        <v>1256</v>
      </c>
      <c r="B1528" s="49"/>
      <c r="BH1528" s="70"/>
      <c r="BI1528" s="70"/>
      <c r="BJ1528" s="70"/>
      <c r="BK1528" s="49"/>
      <c r="BL1528" s="70"/>
      <c r="BM1528" s="70"/>
      <c r="BN1528" s="70"/>
      <c r="BO1528" s="49"/>
      <c r="BP1528" s="70"/>
      <c r="BQ1528" s="70"/>
      <c r="BR1528" s="70"/>
      <c r="BT1528" s="70"/>
      <c r="BU1528" s="70"/>
      <c r="BV1528" s="70"/>
      <c r="BX1528" s="70"/>
      <c r="BY1528" s="70"/>
      <c r="BZ1528" s="70"/>
      <c r="CB1528" s="70"/>
      <c r="CC1528" s="70"/>
      <c r="CD1528" s="70"/>
      <c r="CF1528" s="70"/>
      <c r="CG1528" s="70"/>
      <c r="CH1528" s="70"/>
      <c r="CJ1528" s="70"/>
      <c r="CK1528" s="70"/>
      <c r="CL1528" s="70"/>
      <c r="CN1528" s="70">
        <f>CN538*(CN$4/CN$3)/CN1521</f>
        <v>0.13232666202898882</v>
      </c>
      <c r="CO1528" s="70">
        <f t="shared" ref="CO1528:CP1528" si="2175">CO538*(CO$4/CO$3)/CO1521</f>
        <v>0.11331469137549423</v>
      </c>
      <c r="CP1528" s="70">
        <f t="shared" si="2175"/>
        <v>0.12271066203467126</v>
      </c>
      <c r="CR1528" s="70">
        <f>CR538*(CR$4/CR$3)/CR1521</f>
        <v>0.10822149039025579</v>
      </c>
      <c r="CS1528" s="70">
        <f t="shared" ref="CS1528:CT1528" si="2176">CS538*(CS$4/CS$3)/CS1521</f>
        <v>0.11853066232261339</v>
      </c>
      <c r="CT1528" s="70">
        <f t="shared" si="2176"/>
        <v>0.11342270750156255</v>
      </c>
      <c r="CV1528" s="70">
        <f>CV538*(CV$4/CV$3)/CV1521</f>
        <v>0.12570966595851127</v>
      </c>
      <c r="CW1528" s="70">
        <f t="shared" ref="CW1528:CX1528" si="2177">CW538*(CW$4/CW$3)/CW1521</f>
        <v>0.11507795983416162</v>
      </c>
      <c r="CX1528" s="70">
        <f t="shared" si="2177"/>
        <v>0.12033966337629137</v>
      </c>
      <c r="CZ1528" s="70">
        <f>CZ538*(CZ$4/CZ$3)/CZ1521</f>
        <v>0.11110612519632039</v>
      </c>
      <c r="DA1528" s="70">
        <f t="shared" ref="DA1528:DB1528" si="2178">DA538*(DA$4/DA$3)/DA1521</f>
        <v>9.7703671200819076E-2</v>
      </c>
      <c r="DB1528" s="70">
        <f t="shared" si="2178"/>
        <v>0.10450246765119817</v>
      </c>
      <c r="DD1528" s="70">
        <f>DD538*(DD$4/DD$3)/DD1521</f>
        <v>0.10914921741975649</v>
      </c>
      <c r="DE1528" s="70">
        <f t="shared" ref="DE1528:DF1528" si="2179">DE538*(DE$4/DE$3)/DE1521</f>
        <v>9.8295757491600258E-2</v>
      </c>
      <c r="DF1528" s="70">
        <f t="shared" si="2179"/>
        <v>0.10362678728407955</v>
      </c>
      <c r="DH1528" s="70">
        <f ca="1">DH538*(DH$4/DH$3)/DH1521</f>
        <v>0.1085437975928847</v>
      </c>
      <c r="DI1528" s="70">
        <f t="shared" ref="DI1528:DJ1528" ca="1" si="2180">DI538*(DI$4/DI$3)/DI1521</f>
        <v>0.10886371020370683</v>
      </c>
      <c r="DJ1528" s="70">
        <f t="shared" ca="1" si="2180"/>
        <v>0.10870985013255158</v>
      </c>
      <c r="DL1528" s="70">
        <f ca="1">DL538*(DL$4/DL$3)/DL1521</f>
        <v>0.1116609646340375</v>
      </c>
      <c r="DM1528" s="70">
        <f t="shared" ref="DM1528:DN1528" ca="1" si="2181">DM538*(DM$4/DM$3)/DM1521</f>
        <v>0.10972501818550495</v>
      </c>
      <c r="DN1528" s="70">
        <f t="shared" ca="1" si="2181"/>
        <v>0.11068518493202062</v>
      </c>
      <c r="DP1528" s="70">
        <f ca="1">DP538*(DP$4/DP$3)/DP1521</f>
        <v>0.11324743610878109</v>
      </c>
      <c r="DQ1528" s="70">
        <f t="shared" ref="DQ1528:DR1528" ca="1" si="2182">DQ538*(DQ$4/DQ$3)/DQ1521</f>
        <v>0.11598231381888366</v>
      </c>
      <c r="DR1528" s="70">
        <f t="shared" ca="1" si="2182"/>
        <v>0.11462390424892284</v>
      </c>
    </row>
    <row r="1529" spans="1:126" s="20" customFormat="1" ht="13.8">
      <c r="A1529" s="20" t="s">
        <v>164</v>
      </c>
      <c r="B1529" s="49"/>
      <c r="BH1529" s="65">
        <f>BH465</f>
        <v>654499</v>
      </c>
      <c r="BI1529" s="65">
        <f>BI465</f>
        <v>695993</v>
      </c>
      <c r="BJ1529" s="65">
        <f>BJ465</f>
        <v>675304</v>
      </c>
      <c r="BK1529" s="49"/>
      <c r="BL1529" s="65">
        <f>BL465</f>
        <v>734543</v>
      </c>
      <c r="BM1529" s="65">
        <f>BM465</f>
        <v>764048</v>
      </c>
      <c r="BN1529" s="65">
        <f>BN465</f>
        <v>749334</v>
      </c>
      <c r="BO1529" s="49"/>
      <c r="BP1529" s="65">
        <f>BP465</f>
        <v>830353</v>
      </c>
      <c r="BQ1529" s="65">
        <f>BQ465</f>
        <v>871605</v>
      </c>
      <c r="BR1529" s="65">
        <f>BR465</f>
        <v>851036</v>
      </c>
      <c r="BT1529" s="65">
        <f>BT465</f>
        <v>900748</v>
      </c>
      <c r="BU1529" s="65">
        <f>BU465</f>
        <v>915070</v>
      </c>
      <c r="BV1529" s="65">
        <f>BV465</f>
        <v>907909</v>
      </c>
      <c r="BX1529" s="65">
        <f>BX465</f>
        <v>917894</v>
      </c>
      <c r="BY1529" s="65">
        <f>BY465</f>
        <v>920269</v>
      </c>
      <c r="BZ1529" s="65">
        <f>BZ465</f>
        <v>919081.5</v>
      </c>
      <c r="CB1529" s="65">
        <f>CB465</f>
        <v>933995</v>
      </c>
      <c r="CC1529" s="65">
        <f>CC465</f>
        <v>954177</v>
      </c>
      <c r="CD1529" s="65">
        <f>CD465</f>
        <v>944113</v>
      </c>
      <c r="CF1529" s="65">
        <f>CF465</f>
        <v>974191</v>
      </c>
      <c r="CG1529" s="65">
        <f>CG465</f>
        <v>987729</v>
      </c>
      <c r="CH1529" s="65">
        <f>CH465</f>
        <v>980979</v>
      </c>
      <c r="CJ1529" s="65">
        <f>CJ465</f>
        <v>1023194</v>
      </c>
      <c r="CK1529" s="65">
        <f>CK465</f>
        <v>1081954</v>
      </c>
      <c r="CL1529" s="65">
        <f>CL465</f>
        <v>1052573</v>
      </c>
      <c r="CN1529" s="65">
        <f>CN465</f>
        <v>1045568</v>
      </c>
      <c r="CO1529" s="65">
        <f>CO465</f>
        <v>1026783</v>
      </c>
      <c r="CP1529" s="65">
        <f>CP465</f>
        <v>1036149</v>
      </c>
      <c r="CR1529" s="65">
        <f>CR465</f>
        <v>1009776</v>
      </c>
      <c r="CS1529" s="65">
        <f>CS465</f>
        <v>1062020</v>
      </c>
      <c r="CT1529" s="65">
        <f>CT465</f>
        <v>1035969</v>
      </c>
      <c r="CV1529" s="65">
        <f>CV465</f>
        <v>1112316</v>
      </c>
      <c r="CW1529" s="65">
        <f>CW465</f>
        <v>1115330</v>
      </c>
      <c r="CX1529" s="65">
        <f>CX465</f>
        <v>1113828</v>
      </c>
      <c r="CZ1529" s="65">
        <f>CZ465</f>
        <v>1162996</v>
      </c>
      <c r="DA1529" s="65">
        <f>DA465</f>
        <v>1181723</v>
      </c>
      <c r="DB1529" s="65">
        <f>DB465</f>
        <v>1172359</v>
      </c>
      <c r="DD1529" s="65">
        <f>DD465</f>
        <v>1317969</v>
      </c>
      <c r="DE1529" s="65">
        <f>DE465</f>
        <v>1349175</v>
      </c>
      <c r="DF1529" s="65">
        <f>DF465</f>
        <v>1333615</v>
      </c>
      <c r="DH1529" s="65">
        <f ca="1">DH465</f>
        <v>1350777.1148708686</v>
      </c>
      <c r="DI1529" s="65">
        <f ca="1">DI465</f>
        <v>1369902.1129609109</v>
      </c>
      <c r="DJ1529" s="65">
        <f ca="1">DJ465</f>
        <v>1360339.6139158898</v>
      </c>
      <c r="DL1529" s="65">
        <f ca="1">DL465</f>
        <v>1399956.6858106714</v>
      </c>
      <c r="DM1529" s="65">
        <f ca="1">DM465</f>
        <v>1432422.5418579003</v>
      </c>
      <c r="DN1529" s="65">
        <f ca="1">DN465</f>
        <v>1416189.6138342859</v>
      </c>
      <c r="DP1529" s="65">
        <f ca="1">DP465</f>
        <v>1464007.2073784941</v>
      </c>
      <c r="DQ1529" s="65">
        <f ca="1">DQ465</f>
        <v>1494454.5047941525</v>
      </c>
      <c r="DR1529" s="65">
        <f ca="1">DR465</f>
        <v>1479230.8560863235</v>
      </c>
    </row>
    <row r="1530" spans="1:126" s="20" customFormat="1" ht="13.8">
      <c r="A1530" s="20" t="s">
        <v>151</v>
      </c>
      <c r="B1530" s="49"/>
      <c r="BH1530" s="65">
        <f>AVERAGE(BH1407,BE1407)</f>
        <v>322582</v>
      </c>
      <c r="BI1530" s="65">
        <f>AVERAGE(BI1407,BH1407)</f>
        <v>330923.5</v>
      </c>
      <c r="BJ1530" s="65">
        <f>AVERAGE(BJ1407,BF1407)</f>
        <v>339265</v>
      </c>
      <c r="BK1530" s="49"/>
      <c r="BL1530" s="65">
        <f>AVERAGE(BL1407,BI1407)</f>
        <v>350002.5</v>
      </c>
      <c r="BM1530" s="65">
        <f>AVERAGE(BM1407,BL1407)</f>
        <v>361134.5</v>
      </c>
      <c r="BN1530" s="65">
        <f>AVERAGE(BN1407,BJ1407)</f>
        <v>350397</v>
      </c>
      <c r="BO1530" s="49"/>
      <c r="BP1530" s="65">
        <f>AVERAGE(BP1407,BM1407)</f>
        <v>374196</v>
      </c>
      <c r="BQ1530" s="65">
        <f>AVERAGE(BQ1407,BP1407)</f>
        <v>394400</v>
      </c>
      <c r="BR1530" s="65">
        <f>AVERAGE(BR1407,BN1407)</f>
        <v>381733</v>
      </c>
      <c r="BT1530" s="65">
        <f>AVERAGE(BT1407,BQ1407)</f>
        <v>395136</v>
      </c>
      <c r="BU1530" s="65">
        <f>AVERAGE(BU1407,BT1407)</f>
        <v>398458.5</v>
      </c>
      <c r="BV1530" s="65">
        <f>AVERAGE(BV1407,BR1407)</f>
        <v>405259.5</v>
      </c>
      <c r="BX1530" s="65">
        <f>AVERAGE(BX1407,BU1407)</f>
        <v>402811</v>
      </c>
      <c r="BY1530" s="65">
        <f>AVERAGE(BY1407,BX1407)</f>
        <v>394076.5</v>
      </c>
      <c r="BZ1530" s="65">
        <f>AVERAGE(BZ1407,BV1407)</f>
        <v>399847.5</v>
      </c>
      <c r="CB1530" s="65">
        <f>AVERAGE(CB1407,BY1407)</f>
        <v>393445</v>
      </c>
      <c r="CC1530" s="65">
        <f>AVERAGE(CC1407,CB1407)</f>
        <v>393298.5</v>
      </c>
      <c r="CD1530" s="65">
        <f>AVERAGE(CD1407,BZ1407)</f>
        <v>390966.5</v>
      </c>
      <c r="CF1530" s="65">
        <f>AVERAGE(CF1407,CC1407)</f>
        <v>393555.5</v>
      </c>
      <c r="CG1530" s="65">
        <f>AVERAGE(CG1407,CF1407)</f>
        <v>406626</v>
      </c>
      <c r="CH1530" s="65">
        <f>AVERAGE(CH1407,CD1407)</f>
        <v>403890.5</v>
      </c>
      <c r="CJ1530" s="65">
        <f>AVERAGE(CJ1407,CG1407)</f>
        <v>432986.5</v>
      </c>
      <c r="CK1530" s="65">
        <f>AVERAGE(CK1407,CJ1407)</f>
        <v>439198</v>
      </c>
      <c r="CL1530" s="65">
        <f>AVERAGE(CL1407,CH1407)</f>
        <v>423172.5</v>
      </c>
      <c r="CN1530" s="65">
        <f>AVERAGE(CN1407,CK1407)</f>
        <v>418775</v>
      </c>
      <c r="CO1530" s="65">
        <f>AVERAGE(CO1407,CN1407)</f>
        <v>412126</v>
      </c>
      <c r="CP1530" s="65">
        <f>AVERAGE(CP1407,CL1407)</f>
        <v>422735</v>
      </c>
      <c r="CR1530" s="65">
        <f>AVERAGE(CR1407,CO1407)</f>
        <v>426998</v>
      </c>
      <c r="CS1530" s="65">
        <f>AVERAGE(CS1407,CR1407)</f>
        <v>446314</v>
      </c>
      <c r="CT1530" s="65">
        <f>AVERAGE(CT1407,CP1407)</f>
        <v>435402</v>
      </c>
      <c r="CV1530" s="65">
        <f>AVERAGE(CV1407,CS1407)</f>
        <v>445116.01249999995</v>
      </c>
      <c r="CW1530" s="65">
        <f>AVERAGE(CW1407,CV1407)</f>
        <v>434420.51249999995</v>
      </c>
      <c r="CX1530" s="65">
        <f>AVERAGE(CX1407,CT1407)</f>
        <v>444022.5</v>
      </c>
      <c r="CZ1530" s="65">
        <f>AVERAGE(CZ1407,CW1407)</f>
        <v>433053</v>
      </c>
      <c r="DA1530" s="65">
        <f>AVERAGE(DA1407,CZ1407)</f>
        <v>439680.5</v>
      </c>
      <c r="DB1530" s="65">
        <f>AVERAGE(DB1407,CX1407)</f>
        <v>439954.5</v>
      </c>
      <c r="DD1530" s="65">
        <f>AVERAGE(DD1407,DA1407)</f>
        <v>457790.5</v>
      </c>
      <c r="DE1530" s="65">
        <f>AVERAGE(DE1407,DD1407)</f>
        <v>463773</v>
      </c>
      <c r="DF1530" s="65">
        <f>AVERAGE(DF1407,DB1407)</f>
        <v>452564.5</v>
      </c>
      <c r="DH1530" s="65">
        <f ca="1">AVERAGE(DH1407,DE1407)</f>
        <v>463056.31756939535</v>
      </c>
      <c r="DI1530" s="65">
        <f ca="1">AVERAGE(DI1407,DH1407)</f>
        <v>472311.81146111724</v>
      </c>
      <c r="DJ1530" s="65">
        <f ca="1">AVERAGE(DJ1407,DF1407)</f>
        <v>467802.49389172188</v>
      </c>
      <c r="DL1530" s="65">
        <f ca="1">AVERAGE(DL1407,DI1407)</f>
        <v>480561.43955860363</v>
      </c>
      <c r="DM1530" s="65">
        <f ca="1">AVERAGE(DM1407,DL1407)</f>
        <v>488477.88435784273</v>
      </c>
      <c r="DN1530" s="65">
        <f ca="1">AVERAGE(DN1407,DJ1407)</f>
        <v>484974.43258268293</v>
      </c>
      <c r="DP1530" s="65">
        <f ca="1">AVERAGE(DP1407,DM1407)</f>
        <v>498620.29162689828</v>
      </c>
      <c r="DQ1530" s="65">
        <f ca="1">AVERAGE(DQ1407,DP1407)</f>
        <v>508560.93866524776</v>
      </c>
      <c r="DR1530" s="65">
        <f ca="1">AVERAGE(DR1407,DN1407)</f>
        <v>502831.52442027151</v>
      </c>
    </row>
    <row r="1531" spans="1:126" s="20" customFormat="1" ht="13.8">
      <c r="B1531" s="49"/>
      <c r="BH1531" s="49"/>
      <c r="BI1531" s="49"/>
      <c r="BJ1531" s="49"/>
      <c r="BK1531" s="49"/>
      <c r="BL1531" s="49"/>
      <c r="BM1531" s="49"/>
      <c r="BN1531" s="49"/>
      <c r="BO1531" s="49"/>
      <c r="BP1531" s="49"/>
      <c r="BQ1531" s="49"/>
      <c r="BR1531" s="49"/>
      <c r="BT1531" s="49"/>
      <c r="BU1531" s="49"/>
      <c r="BV1531" s="49"/>
      <c r="BX1531" s="49"/>
      <c r="BY1531" s="49"/>
      <c r="BZ1531" s="49"/>
      <c r="CB1531" s="49"/>
      <c r="CC1531" s="49"/>
      <c r="CD1531" s="49"/>
      <c r="CF1531" s="49"/>
      <c r="CG1531" s="49"/>
      <c r="CH1531" s="49"/>
      <c r="CJ1531" s="49"/>
      <c r="CK1531" s="49"/>
      <c r="CL1531" s="49"/>
      <c r="CN1531" s="49"/>
      <c r="CO1531" s="49"/>
      <c r="CP1531" s="49"/>
      <c r="CR1531" s="49"/>
      <c r="CS1531" s="49"/>
      <c r="CT1531" s="49"/>
      <c r="CV1531" s="49"/>
      <c r="CW1531" s="49"/>
      <c r="CX1531" s="49"/>
      <c r="CZ1531" s="49"/>
      <c r="DA1531" s="49"/>
      <c r="DB1531" s="49"/>
      <c r="DD1531" s="49"/>
      <c r="DE1531" s="49"/>
      <c r="DF1531" s="49"/>
      <c r="DH1531" s="49"/>
      <c r="DI1531" s="49"/>
      <c r="DJ1531" s="49"/>
      <c r="DL1531" s="49"/>
      <c r="DM1531" s="49"/>
      <c r="DN1531" s="49"/>
      <c r="DP1531" s="49"/>
      <c r="DQ1531" s="49"/>
      <c r="DR1531" s="49"/>
    </row>
    <row r="1532" spans="1:126" s="20" customFormat="1" ht="13.8">
      <c r="A1532" s="20" t="s">
        <v>396</v>
      </c>
      <c r="B1532" s="49"/>
      <c r="BH1532" s="66">
        <f>BH14*(BH$4/BH$3)/BH$1529</f>
        <v>1.9108147967015588E-2</v>
      </c>
      <c r="BI1532" s="66">
        <f>BI14*(BI$4/BI$3)/BI$1529</f>
        <v>1.8730481704565226E-2</v>
      </c>
      <c r="BJ1532" s="66">
        <f>BJ14*(BJ$4/BJ$3)/BJ$1529</f>
        <v>1.8912963643040764E-2</v>
      </c>
      <c r="BK1532" s="49"/>
      <c r="BL1532" s="66">
        <f>BL14*(BL$4/BL$3)/BL$1529</f>
        <v>1.8467489085274565E-2</v>
      </c>
      <c r="BM1532" s="66">
        <f>BM14*(BM$4/BM$3)/BM$1529</f>
        <v>1.8359538021185749E-2</v>
      </c>
      <c r="BN1532" s="66">
        <f>BN14*(BN$4/BN$3)/BN$1529</f>
        <v>1.8412350166948251E-2</v>
      </c>
      <c r="BO1532" s="49"/>
      <c r="BP1532" s="66">
        <f>BP14*(BP$4/BP$3)/BP$1529</f>
        <v>1.7239920588255575E-2</v>
      </c>
      <c r="BQ1532" s="66">
        <f>BQ14*(BQ$4/BQ$3)/BQ$1529</f>
        <v>1.7112266005841932E-2</v>
      </c>
      <c r="BR1532" s="66">
        <f>BR14*(BR$4/BR$3)/BR$1529</f>
        <v>1.7174361601624374E-2</v>
      </c>
      <c r="BT1532" s="66">
        <f>BT14*(BT$4/BT$3)/BT$1529</f>
        <v>1.680381194296296E-2</v>
      </c>
      <c r="BU1532" s="66">
        <f>BU14*(BU$4/BU$3)/BU$1529</f>
        <v>1.6451200454610029E-2</v>
      </c>
      <c r="BV1532" s="66">
        <f>BV14*(BV$4/BV$3)/BV$1529</f>
        <v>1.6626115612908342E-2</v>
      </c>
      <c r="BX1532" s="66">
        <f>BX14*(BX$4/BX$3)/BX$1529</f>
        <v>1.6209675339705604E-2</v>
      </c>
      <c r="BY1532" s="66">
        <f>BY14*(BY$4/BY$3)/BY$1529</f>
        <v>1.6159684647207601E-2</v>
      </c>
      <c r="BZ1532" s="66">
        <f>BZ14*(BZ$4/BZ$3)/BZ$1529</f>
        <v>1.6184636509384641E-2</v>
      </c>
      <c r="CB1532" s="66">
        <f>CB14*(CB$4/CB$3)/CB$1529</f>
        <v>1.5782080862729045E-2</v>
      </c>
      <c r="CC1532" s="66">
        <f>CC14*(CC$4/CC$3)/CC$1529</f>
        <v>1.4975054375672852E-2</v>
      </c>
      <c r="CD1532" s="66">
        <f>CD14*(CD$4/CD$3)/CD$1529</f>
        <v>1.5373159780661848E-2</v>
      </c>
      <c r="CF1532" s="66">
        <f>CF14*(CF$4/CF$3)/CF$1529</f>
        <v>1.5025908056638171E-2</v>
      </c>
      <c r="CG1532" s="66">
        <f>CG14*(CG$4/CG$3)/CG$1529</f>
        <v>1.4215974274973002E-2</v>
      </c>
      <c r="CH1532" s="66">
        <f>CH14*(CH$4/CH$3)/CH$1529</f>
        <v>1.4617030537860648E-2</v>
      </c>
      <c r="CJ1532" s="66">
        <f>CJ14*(CJ$4/CJ$3)/CJ$1529</f>
        <v>1.4116580042494385E-2</v>
      </c>
      <c r="CK1532" s="66">
        <f>CK14*(CK$4/CK$3)/CK$1529</f>
        <v>1.2619760174646982E-2</v>
      </c>
      <c r="CL1532" s="66">
        <f>CL14*(CL$4/CL$3)/CL$1529</f>
        <v>1.3347292776843031E-2</v>
      </c>
      <c r="CN1532" s="66">
        <f>CN14*(CN$4/CN$3)/CN$1529</f>
        <v>1.3399783290407334E-2</v>
      </c>
      <c r="CO1532" s="66">
        <f>CO14*(CO$4/CO$3)/CO$1529</f>
        <v>1.3937504175397115E-2</v>
      </c>
      <c r="CP1532" s="66">
        <f>CP14*(CP$4/CP$3)/CP$1529</f>
        <v>1.3666953304978339E-2</v>
      </c>
      <c r="CR1532" s="66">
        <f>CR14*(CR$4/CR$3)/CR$1529</f>
        <v>1.4101158067740755E-2</v>
      </c>
      <c r="CS1532" s="66">
        <f>CS14*(CS$4/CS$3)/CS$1529</f>
        <v>1.4600025541593436E-2</v>
      </c>
      <c r="CT1532" s="66">
        <f>CT14*(CT$4/CT$3)/CT$1529</f>
        <v>1.435757247562427E-2</v>
      </c>
      <c r="CV1532" s="66">
        <f>CV14*(CV$4/CV$3)/CV$1529</f>
        <v>1.5325414087995945E-2</v>
      </c>
      <c r="CW1532" s="66">
        <f>CW14*(CW$4/CW$3)/CW$1529</f>
        <v>1.4438668180198474E-2</v>
      </c>
      <c r="CX1532" s="66">
        <f>CX14*(CX$4/CX$3)/CX$1529</f>
        <v>1.4880214898530114E-2</v>
      </c>
      <c r="CZ1532" s="66">
        <f>CZ14*(CZ$4/CZ$3)/CZ$1529</f>
        <v>1.3583881629859433E-2</v>
      </c>
      <c r="DA1532" s="66">
        <f>DA14*(DA$4/DA$3)/DA$1529</f>
        <v>1.3827267473003403E-2</v>
      </c>
      <c r="DB1532" s="66">
        <f>DB14*(DB$4/DB$3)/DB$1529</f>
        <v>1.370655234446104E-2</v>
      </c>
      <c r="DD1532" s="66">
        <f>DD14*(DD$4/DD$3)/DD$1529</f>
        <v>1.3495560797887333E-2</v>
      </c>
      <c r="DE1532" s="66">
        <f>DE14*(DE$4/DE$3)/DE$1529</f>
        <v>1.3441041332585255E-2</v>
      </c>
      <c r="DF1532" s="66">
        <f>DF14*(DF$4/DF$3)/DF$1529</f>
        <v>1.34679049050888E-2</v>
      </c>
      <c r="DH1532" s="66">
        <f ca="1">DH14*(DH$4/DH$3)/DH$1529</f>
        <v>1.3636973003084219E-2</v>
      </c>
      <c r="DI1532" s="66">
        <f ca="1">DI14*(DI$4/DI$3)/DI$1529</f>
        <v>1.3549002889429975E-2</v>
      </c>
      <c r="DJ1532" s="66">
        <f ca="1">DJ14*(DJ$4/DJ$3)/DJ$1529</f>
        <v>1.3592820032387548E-2</v>
      </c>
      <c r="DL1532" s="66">
        <f ca="1">DL14*(DL$4/DL$3)/DL$1529</f>
        <v>1.3549018208057964E-2</v>
      </c>
      <c r="DM1532" s="66">
        <f ca="1">DM14*(DM$4/DM$3)/DM$1529</f>
        <v>1.3460511328286802E-2</v>
      </c>
      <c r="DN1532" s="66">
        <f ca="1">DN14*(DN$4/DN$3)/DN$1529</f>
        <v>1.3504560376674296E-2</v>
      </c>
      <c r="DP1532" s="66">
        <f ca="1">DP14*(DP$4/DP$3)/DP$1529</f>
        <v>1.346345407593579E-2</v>
      </c>
      <c r="DQ1532" s="66">
        <f ca="1">DQ14*(DQ$4/DQ$3)/DQ$1529</f>
        <v>1.346213062391558E-2</v>
      </c>
      <c r="DR1532" s="66">
        <f ca="1">DR14*(DR$4/DR$3)/DR$1529</f>
        <v>1.3462785539707875E-2</v>
      </c>
    </row>
    <row r="1533" spans="1:126" s="20" customFormat="1" ht="13.8">
      <c r="A1533" s="20" t="s">
        <v>397</v>
      </c>
      <c r="B1533" s="49"/>
      <c r="BH1533" s="66">
        <f t="shared" ref="BH1533:BJ1534" si="2183">BH19*(BH$4/BH$3)/BH$1529</f>
        <v>6.931146680787246E-3</v>
      </c>
      <c r="BI1533" s="66">
        <f t="shared" si="2183"/>
        <v>6.1355509990015525E-3</v>
      </c>
      <c r="BJ1533" s="66">
        <f t="shared" si="2183"/>
        <v>6.5200265361970312E-3</v>
      </c>
      <c r="BK1533" s="49"/>
      <c r="BL1533" s="66">
        <f t="shared" ref="BL1533:BN1534" si="2184">BL19*(BL$4/BL$3)/BL$1529</f>
        <v>6.244108151688783E-3</v>
      </c>
      <c r="BM1533" s="66">
        <f t="shared" si="2184"/>
        <v>5.77178139696313E-3</v>
      </c>
      <c r="BN1533" s="66">
        <f t="shared" si="2184"/>
        <v>6.0026636986977768E-3</v>
      </c>
      <c r="BO1533" s="49"/>
      <c r="BP1533" s="66">
        <f t="shared" ref="BP1533:BR1534" si="2185">BP19*(BP$4/BP$3)/BP$1529</f>
        <v>5.6154126320669944E-3</v>
      </c>
      <c r="BQ1533" s="66">
        <f t="shared" si="2185"/>
        <v>4.787223921398946E-3</v>
      </c>
      <c r="BR1533" s="66">
        <f t="shared" si="2185"/>
        <v>5.1901447177322702E-3</v>
      </c>
      <c r="BT1533" s="66">
        <f t="shared" ref="BT1533:BV1534" si="2186">BT19*(BT$4/BT$3)/BT$1529</f>
        <v>4.4096684089223624E-3</v>
      </c>
      <c r="BU1533" s="66">
        <f t="shared" si="2186"/>
        <v>4.3603221611461422E-3</v>
      </c>
      <c r="BV1533" s="66">
        <f t="shared" si="2186"/>
        <v>4.3848006793632405E-3</v>
      </c>
      <c r="BX1533" s="66">
        <f t="shared" ref="BX1533:BZ1534" si="2187">BX19*(BX$4/BX$3)/BX$1529</f>
        <v>4.8329696524368236E-3</v>
      </c>
      <c r="BY1533" s="66">
        <f t="shared" si="2187"/>
        <v>4.4668870785803203E-3</v>
      </c>
      <c r="BZ1533" s="66">
        <f t="shared" si="2187"/>
        <v>4.6492068440067615E-3</v>
      </c>
      <c r="CB1533" s="66">
        <f t="shared" ref="CB1533:CD1534" si="2188">CB19*(CB$4/CB$3)/CB$1529</f>
        <v>5.1404491952888884E-3</v>
      </c>
      <c r="CC1533" s="66">
        <f t="shared" si="2188"/>
        <v>4.6112465037317571E-3</v>
      </c>
      <c r="CD1533" s="66">
        <f t="shared" si="2188"/>
        <v>4.8722981253303361E-3</v>
      </c>
      <c r="CF1533" s="66">
        <f t="shared" ref="CF1533:CH1534" si="2189">CF19*(CF$4/CF$3)/CF$1529</f>
        <v>4.8933529867966749E-3</v>
      </c>
      <c r="CG1533" s="66">
        <f t="shared" si="2189"/>
        <v>4.4303760737628931E-3</v>
      </c>
      <c r="CH1533" s="66">
        <f t="shared" si="2189"/>
        <v>4.6596308381728867E-3</v>
      </c>
      <c r="CJ1533" s="66">
        <f t="shared" ref="CJ1533:CL1534" si="2190">CJ19*(CJ$4/CJ$3)/CJ$1529</f>
        <v>2.5606092295302747E-3</v>
      </c>
      <c r="CK1533" s="66">
        <f t="shared" si="2190"/>
        <v>4.2792946835078019E-3</v>
      </c>
      <c r="CL1533" s="66">
        <f t="shared" si="2190"/>
        <v>3.4439416553531206E-3</v>
      </c>
      <c r="CN1533" s="66">
        <f t="shared" ref="CN1533:CP1534" si="2191">CN19*(CN$4/CN$3)/CN$1529</f>
        <v>2.6565559486421636E-3</v>
      </c>
      <c r="CO1533" s="66">
        <f t="shared" si="2191"/>
        <v>3.4790341432942486E-3</v>
      </c>
      <c r="CP1533" s="66">
        <f t="shared" si="2191"/>
        <v>3.0651962217789139E-3</v>
      </c>
      <c r="CR1533" s="66">
        <f t="shared" ref="CR1533:CT1534" si="2192">CR19*(CR$4/CR$3)/CR$1529</f>
        <v>3.5610389317548134E-3</v>
      </c>
      <c r="CS1533" s="66">
        <f t="shared" si="2192"/>
        <v>3.267821513039951E-3</v>
      </c>
      <c r="CT1533" s="66">
        <f t="shared" si="2192"/>
        <v>3.4103337068966347E-3</v>
      </c>
      <c r="CV1533" s="66">
        <f t="shared" ref="CV1533:CX1534" si="2193">CV19*(CV$4/CV$3)/CV$1529</f>
        <v>3.5789349370202294E-3</v>
      </c>
      <c r="CW1533" s="66">
        <f t="shared" si="2193"/>
        <v>4.0021971002333649E-3</v>
      </c>
      <c r="CX1533" s="66">
        <f t="shared" si="2193"/>
        <v>3.7914291973266969E-3</v>
      </c>
      <c r="CZ1533" s="66">
        <f t="shared" ref="CZ1533:DB1534" si="2194">CZ19*(CZ$4/CZ$3)/CZ$1529</f>
        <v>4.1272712889812175E-3</v>
      </c>
      <c r="DA1533" s="66">
        <f t="shared" si="2194"/>
        <v>3.7538407901005566E-3</v>
      </c>
      <c r="DB1533" s="66">
        <f t="shared" si="2194"/>
        <v>3.9390664463700969E-3</v>
      </c>
      <c r="DD1533" s="66">
        <f t="shared" ref="DD1533:DF1534" si="2195">DD19*(DD$4/DD$3)/DD$1529</f>
        <v>3.1650430104414986E-3</v>
      </c>
      <c r="DE1533" s="66">
        <f t="shared" si="2195"/>
        <v>2.6063083886216235E-3</v>
      </c>
      <c r="DF1533" s="66">
        <f t="shared" si="2195"/>
        <v>2.8816412532852434E-3</v>
      </c>
      <c r="DH1533" s="66">
        <f t="shared" ref="DH1533:DJ1534" ca="1" si="2196">DH19*(DH$4/DH$3)/DH$1529</f>
        <v>3.0502683702818686E-3</v>
      </c>
      <c r="DI1533" s="66">
        <f t="shared" ca="1" si="2196"/>
        <v>2.9391671825066317E-3</v>
      </c>
      <c r="DJ1533" s="66">
        <f t="shared" ca="1" si="2196"/>
        <v>2.9942327653569643E-3</v>
      </c>
      <c r="DL1533" s="66">
        <f t="shared" ref="DL1533:DN1534" ca="1" si="2197">DL19*(DL$4/DL$3)/DL$1529</f>
        <v>3.0339796502211773E-3</v>
      </c>
      <c r="DM1533" s="66">
        <f t="shared" ca="1" si="2197"/>
        <v>2.896843913997357E-3</v>
      </c>
      <c r="DN1533" s="66">
        <f t="shared" ca="1" si="2197"/>
        <v>2.9645310980714935E-3</v>
      </c>
      <c r="DP1533" s="66">
        <f t="shared" ref="DP1533:DR1533" ca="1" si="2198">DP19*(DP$4/DP$3)/DP$1529</f>
        <v>2.9683429006980319E-3</v>
      </c>
      <c r="DQ1533" s="66">
        <f t="shared" ca="1" si="2198"/>
        <v>2.8553802550307997E-3</v>
      </c>
      <c r="DR1533" s="66">
        <f t="shared" ca="1" si="2198"/>
        <v>2.9112802948186795E-3</v>
      </c>
    </row>
    <row r="1534" spans="1:126" s="21" customFormat="1" ht="13.8">
      <c r="A1534" s="21" t="s">
        <v>398</v>
      </c>
      <c r="B1534" s="27"/>
      <c r="BH1534" s="74">
        <f t="shared" si="2183"/>
        <v>2.6039294647802837E-2</v>
      </c>
      <c r="BI1534" s="74">
        <f t="shared" si="2183"/>
        <v>2.4866032703566777E-2</v>
      </c>
      <c r="BJ1534" s="74">
        <f t="shared" si="2183"/>
        <v>2.5432990179237794E-2</v>
      </c>
      <c r="BK1534" s="27"/>
      <c r="BL1534" s="74">
        <f t="shared" si="2184"/>
        <v>2.471159723696335E-2</v>
      </c>
      <c r="BM1534" s="74">
        <f t="shared" si="2184"/>
        <v>2.4131319418148878E-2</v>
      </c>
      <c r="BN1534" s="74">
        <f t="shared" si="2184"/>
        <v>2.4415013865646026E-2</v>
      </c>
      <c r="BO1534" s="27"/>
      <c r="BP1534" s="74">
        <f t="shared" si="2185"/>
        <v>2.2855333220322568E-2</v>
      </c>
      <c r="BQ1534" s="74">
        <f t="shared" si="2185"/>
        <v>2.1899489927240882E-2</v>
      </c>
      <c r="BR1534" s="74">
        <f t="shared" si="2185"/>
        <v>2.2364506319356645E-2</v>
      </c>
      <c r="BT1534" s="74">
        <f t="shared" si="2186"/>
        <v>2.1213480351885323E-2</v>
      </c>
      <c r="BU1534" s="74">
        <f t="shared" si="2186"/>
        <v>2.0811522615756171E-2</v>
      </c>
      <c r="BV1534" s="74">
        <f t="shared" si="2186"/>
        <v>2.1010916292271583E-2</v>
      </c>
      <c r="BX1534" s="74">
        <f t="shared" si="2187"/>
        <v>2.104264499214243E-2</v>
      </c>
      <c r="BY1534" s="74">
        <f t="shared" si="2187"/>
        <v>2.0626571725787923E-2</v>
      </c>
      <c r="BZ1534" s="74">
        <f t="shared" si="2187"/>
        <v>2.0833843353391401E-2</v>
      </c>
      <c r="CB1534" s="74">
        <f t="shared" si="2188"/>
        <v>2.0922530058017936E-2</v>
      </c>
      <c r="CC1534" s="74">
        <f t="shared" si="2188"/>
        <v>1.9586300879404606E-2</v>
      </c>
      <c r="CD1534" s="74">
        <f t="shared" si="2188"/>
        <v>2.0245457905992185E-2</v>
      </c>
      <c r="CF1534" s="74">
        <f t="shared" si="2189"/>
        <v>1.9919261043434847E-2</v>
      </c>
      <c r="CG1534" s="74">
        <f t="shared" si="2189"/>
        <v>1.8646350348735893E-2</v>
      </c>
      <c r="CH1534" s="74">
        <f t="shared" si="2189"/>
        <v>1.9276661376033535E-2</v>
      </c>
      <c r="CJ1534" s="74">
        <f t="shared" si="2190"/>
        <v>1.6677189272024662E-2</v>
      </c>
      <c r="CK1534" s="74">
        <f t="shared" si="2190"/>
        <v>1.6899054858154784E-2</v>
      </c>
      <c r="CL1534" s="74">
        <f t="shared" si="2190"/>
        <v>1.6791234432196152E-2</v>
      </c>
      <c r="CN1534" s="74">
        <f t="shared" si="2191"/>
        <v>1.6056339239049498E-2</v>
      </c>
      <c r="CO1534" s="74">
        <f t="shared" si="2191"/>
        <v>1.7416538318691364E-2</v>
      </c>
      <c r="CP1534" s="74">
        <f t="shared" si="2191"/>
        <v>1.6732149526757251E-2</v>
      </c>
      <c r="CR1534" s="74">
        <f t="shared" si="2192"/>
        <v>1.7662196999495568E-2</v>
      </c>
      <c r="CS1534" s="74">
        <f t="shared" si="2192"/>
        <v>1.7867847054633387E-2</v>
      </c>
      <c r="CT1534" s="74">
        <f t="shared" si="2192"/>
        <v>1.7767906182520905E-2</v>
      </c>
      <c r="CV1534" s="74">
        <f t="shared" si="2193"/>
        <v>1.8904349025016171E-2</v>
      </c>
      <c r="CW1534" s="74">
        <f t="shared" si="2193"/>
        <v>1.8440865280431842E-2</v>
      </c>
      <c r="CX1534" s="74">
        <f t="shared" si="2193"/>
        <v>1.867164409585681E-2</v>
      </c>
      <c r="CZ1534" s="74">
        <f t="shared" si="2194"/>
        <v>1.771115291884065E-2</v>
      </c>
      <c r="DA1534" s="74">
        <f t="shared" si="2194"/>
        <v>1.758110826310396E-2</v>
      </c>
      <c r="DB1534" s="74">
        <f t="shared" si="2194"/>
        <v>1.7645618790831135E-2</v>
      </c>
      <c r="DD1534" s="74">
        <f t="shared" si="2195"/>
        <v>1.666060380832883E-2</v>
      </c>
      <c r="DE1534" s="74">
        <f t="shared" si="2195"/>
        <v>1.6047349721206878E-2</v>
      </c>
      <c r="DF1534" s="74">
        <f t="shared" si="2195"/>
        <v>1.6349546158374043E-2</v>
      </c>
      <c r="DH1534" s="74">
        <f t="shared" ca="1" si="2196"/>
        <v>1.6687241373366087E-2</v>
      </c>
      <c r="DI1534" s="74">
        <f t="shared" ca="1" si="2196"/>
        <v>1.6488170071936606E-2</v>
      </c>
      <c r="DJ1534" s="74">
        <f t="shared" ca="1" si="2196"/>
        <v>1.6587052797744511E-2</v>
      </c>
      <c r="DL1534" s="74">
        <f t="shared" ca="1" si="2197"/>
        <v>1.6582997858279141E-2</v>
      </c>
      <c r="DM1534" s="74">
        <f t="shared" ca="1" si="2197"/>
        <v>1.6357355242284159E-2</v>
      </c>
      <c r="DN1534" s="74">
        <f t="shared" ca="1" si="2197"/>
        <v>1.6469091474745789E-2</v>
      </c>
      <c r="DP1534" s="74">
        <f t="shared" ref="DP1534:DR1534" ca="1" si="2199">DP20*(DP$4/DP$3)/DP$1529</f>
        <v>1.6431796976633821E-2</v>
      </c>
      <c r="DQ1534" s="74">
        <f t="shared" ca="1" si="2199"/>
        <v>1.6317510878946381E-2</v>
      </c>
      <c r="DR1534" s="74">
        <f t="shared" ca="1" si="2199"/>
        <v>1.6374065834526556E-2</v>
      </c>
    </row>
    <row r="1535" spans="1:126" s="20" customFormat="1" ht="13.8">
      <c r="A1535" s="20" t="s">
        <v>399</v>
      </c>
      <c r="B1535" s="49"/>
      <c r="BH1535" s="66">
        <f t="shared" ref="BH1535:BJ1536" si="2200">BH25*(BH$4/BH$3)/BH$1529</f>
        <v>1.8201154413738391E-3</v>
      </c>
      <c r="BI1535" s="66">
        <f t="shared" si="2200"/>
        <v>1.7824907619705583E-3</v>
      </c>
      <c r="BJ1535" s="66">
        <f t="shared" si="2200"/>
        <v>1.8006705128357006E-3</v>
      </c>
      <c r="BK1535" s="49"/>
      <c r="BL1535" s="66">
        <f t="shared" ref="BL1535:BN1536" si="2201">BL25*(BL$4/BL$3)/BL$1529</f>
        <v>1.6845713727992914E-3</v>
      </c>
      <c r="BM1535" s="66">
        <f t="shared" si="2201"/>
        <v>1.7385827274434395E-3</v>
      </c>
      <c r="BN1535" s="66">
        <f t="shared" si="2201"/>
        <v>1.7121870888015223E-3</v>
      </c>
      <c r="BO1535" s="49"/>
      <c r="BP1535" s="66">
        <f t="shared" ref="BP1535:BR1536" si="2202">BP25*(BP$4/BP$3)/BP$1529</f>
        <v>1.7679492673862538E-3</v>
      </c>
      <c r="BQ1535" s="66">
        <f t="shared" si="2202"/>
        <v>1.7666046210898601E-3</v>
      </c>
      <c r="BR1535" s="66">
        <f t="shared" si="2202"/>
        <v>1.7672577893297111E-3</v>
      </c>
      <c r="BT1535" s="66">
        <f t="shared" ref="BT1535:BV1536" si="2203">BT25*(BT$4/BT$3)/BT$1529</f>
        <v>1.7119105454577752E-3</v>
      </c>
      <c r="BU1535" s="66">
        <f t="shared" si="2203"/>
        <v>1.6326619821434426E-3</v>
      </c>
      <c r="BV1535" s="66">
        <f t="shared" si="2203"/>
        <v>1.6719737330503387E-3</v>
      </c>
      <c r="BX1535" s="66">
        <f t="shared" ref="BX1535:BZ1536" si="2204">BX25*(BX$4/BX$3)/BX$1529</f>
        <v>7.5378595392888985E-4</v>
      </c>
      <c r="BY1535" s="66">
        <f t="shared" si="2204"/>
        <v>7.0005071634228206E-4</v>
      </c>
      <c r="BZ1535" s="66">
        <f t="shared" si="2204"/>
        <v>7.2681258408530689E-4</v>
      </c>
      <c r="CB1535" s="66">
        <f t="shared" ref="CB1535:CD1536" si="2205">CB25*(CB$4/CB$3)/CB$1529</f>
        <v>2.7054995764678362E-4</v>
      </c>
      <c r="CC1535" s="66">
        <f t="shared" si="2205"/>
        <v>2.654706736055907E-4</v>
      </c>
      <c r="CD1535" s="66">
        <f t="shared" si="2205"/>
        <v>2.6797639689316851E-4</v>
      </c>
      <c r="CF1535" s="66">
        <f t="shared" ref="CF1535:CH1536" si="2206">CF25*(CF$4/CF$3)/CF$1529</f>
        <v>1.4410379010339387E-4</v>
      </c>
      <c r="CG1535" s="66">
        <f t="shared" si="2206"/>
        <v>9.8946411857056405E-5</v>
      </c>
      <c r="CH1535" s="66">
        <f t="shared" si="2206"/>
        <v>1.2130738782379643E-4</v>
      </c>
      <c r="CJ1535" s="66">
        <f t="shared" ref="CJ1535:CL1536" si="2207">CJ25*(CJ$4/CJ$3)/CJ$1529</f>
        <v>9.1869186097651081E-5</v>
      </c>
      <c r="CK1535" s="66">
        <f t="shared" si="2207"/>
        <v>5.7303730103128227E-5</v>
      </c>
      <c r="CL1535" s="66">
        <f t="shared" si="2207"/>
        <v>7.4104123894494728E-5</v>
      </c>
      <c r="CN1535" s="66">
        <f t="shared" ref="CN1535:CP1536" si="2208">CN25*(CN$4/CN$3)/CN$1529</f>
        <v>9.9740728757684126E-5</v>
      </c>
      <c r="CO1535" s="66">
        <f t="shared" si="2208"/>
        <v>1.1266553897881987E-4</v>
      </c>
      <c r="CP1535" s="66">
        <f t="shared" si="2208"/>
        <v>1.061623376560707E-4</v>
      </c>
      <c r="CR1535" s="66">
        <f t="shared" ref="CR1535:CT1536" si="2209">CR25*(CR$4/CR$3)/CR$1529</f>
        <v>1.0923432305996359E-4</v>
      </c>
      <c r="CS1535" s="66">
        <f t="shared" si="2209"/>
        <v>1.5963495897034242E-4</v>
      </c>
      <c r="CT1535" s="66">
        <f t="shared" si="2209"/>
        <v>1.3513917887504357E-4</v>
      </c>
      <c r="CV1535" s="66">
        <f t="shared" ref="CV1535:CX1536" si="2210">CV25*(CV$4/CV$3)/CV$1529</f>
        <v>9.9164444098797275E-5</v>
      </c>
      <c r="CW1535" s="66">
        <f t="shared" si="2210"/>
        <v>9.477946662751043E-5</v>
      </c>
      <c r="CX1535" s="66">
        <f t="shared" si="2210"/>
        <v>9.6962906301511538E-5</v>
      </c>
      <c r="CZ1535" s="66">
        <f t="shared" ref="CZ1535:DB1536" si="2211">CZ25*(CZ$4/CZ$3)/CZ$1529</f>
        <v>8.2545425779624343E-5</v>
      </c>
      <c r="DA1535" s="66">
        <f t="shared" si="2211"/>
        <v>1.2524085593662812E-4</v>
      </c>
      <c r="DB1535" s="66">
        <f t="shared" si="2211"/>
        <v>1.0406368697642957E-4</v>
      </c>
      <c r="DD1535" s="66">
        <f t="shared" ref="DD1535:DF1536" si="2212">DD25*(DD$4/DD$3)/DD$1529</f>
        <v>6.999614350014853E-5</v>
      </c>
      <c r="DE1535" s="66">
        <f t="shared" si="2212"/>
        <v>7.2438520160215288E-5</v>
      </c>
      <c r="DF1535" s="66">
        <f t="shared" si="2212"/>
        <v>7.1234951616471024E-5</v>
      </c>
      <c r="DH1535" s="66">
        <f t="shared" ref="DH1535:DJ1536" ca="1" si="2213">DH25*(DH$4/DH$3)/DH$1529</f>
        <v>7.3477646300227218E-5</v>
      </c>
      <c r="DI1535" s="66">
        <f t="shared" ca="1" si="2213"/>
        <v>7.2776483463085317E-5</v>
      </c>
      <c r="DJ1535" s="66">
        <f t="shared" ca="1" si="2213"/>
        <v>7.3125048320581045E-5</v>
      </c>
      <c r="DL1535" s="66">
        <f t="shared" ref="DL1535:DN1536" ca="1" si="2214">DL25*(DL$4/DL$3)/DL$1529</f>
        <v>7.2321442339582322E-5</v>
      </c>
      <c r="DM1535" s="66">
        <f t="shared" ca="1" si="2214"/>
        <v>7.0998995291767894E-5</v>
      </c>
      <c r="DN1535" s="66">
        <f t="shared" ca="1" si="2214"/>
        <v>7.165307844283762E-5</v>
      </c>
      <c r="DP1535" s="66">
        <f t="shared" ref="DP1535:DR1535" ca="1" si="2215">DP25*(DP$4/DP$3)/DP$1529</f>
        <v>7.0354151530601988E-5</v>
      </c>
      <c r="DQ1535" s="66">
        <f t="shared" ca="1" si="2215"/>
        <v>6.9609997778572103E-5</v>
      </c>
      <c r="DR1535" s="66">
        <f t="shared" ca="1" si="2215"/>
        <v>6.9978245389107973E-5</v>
      </c>
    </row>
    <row r="1536" spans="1:126" s="20" customFormat="1" ht="13.8">
      <c r="A1536" s="20" t="s">
        <v>735</v>
      </c>
      <c r="B1536" s="49"/>
      <c r="BH1536" s="66">
        <f t="shared" si="2200"/>
        <v>2.7859410089176674E-2</v>
      </c>
      <c r="BI1536" s="66">
        <f t="shared" si="2200"/>
        <v>2.6648523465537335E-2</v>
      </c>
      <c r="BJ1536" s="66">
        <f t="shared" si="2200"/>
        <v>2.7233660692073496E-2</v>
      </c>
      <c r="BK1536" s="49"/>
      <c r="BL1536" s="66">
        <f t="shared" si="2201"/>
        <v>2.6396168609762637E-2</v>
      </c>
      <c r="BM1536" s="66">
        <f t="shared" si="2201"/>
        <v>2.5869902145592316E-2</v>
      </c>
      <c r="BN1536" s="66">
        <f t="shared" si="2201"/>
        <v>2.6127200954447549E-2</v>
      </c>
      <c r="BO1536" s="49"/>
      <c r="BP1536" s="66">
        <f t="shared" si="2202"/>
        <v>2.4623282487708821E-2</v>
      </c>
      <c r="BQ1536" s="66">
        <f t="shared" si="2202"/>
        <v>2.3666094548330741E-2</v>
      </c>
      <c r="BR1536" s="66">
        <f t="shared" si="2202"/>
        <v>2.4131764108686355E-2</v>
      </c>
      <c r="BT1536" s="66">
        <f t="shared" si="2203"/>
        <v>2.2925390897343096E-2</v>
      </c>
      <c r="BU1536" s="66">
        <f t="shared" si="2203"/>
        <v>2.2444184597899614E-2</v>
      </c>
      <c r="BV1536" s="66">
        <f t="shared" si="2203"/>
        <v>2.2682890025321922E-2</v>
      </c>
      <c r="BX1536" s="66">
        <f t="shared" si="2204"/>
        <v>2.1796430946071317E-2</v>
      </c>
      <c r="BY1536" s="66">
        <f t="shared" si="2204"/>
        <v>2.1326622442130204E-2</v>
      </c>
      <c r="BZ1536" s="66">
        <f t="shared" si="2204"/>
        <v>2.1560655937476709E-2</v>
      </c>
      <c r="CB1536" s="66">
        <f t="shared" si="2205"/>
        <v>2.1193080015664719E-2</v>
      </c>
      <c r="CC1536" s="66">
        <f t="shared" si="2205"/>
        <v>1.9851771553010197E-2</v>
      </c>
      <c r="CD1536" s="66">
        <f t="shared" si="2205"/>
        <v>2.0513434302885353E-2</v>
      </c>
      <c r="CF1536" s="66">
        <f t="shared" si="2206"/>
        <v>2.0063364833538239E-2</v>
      </c>
      <c r="CG1536" s="66">
        <f t="shared" si="2206"/>
        <v>1.8745296760592951E-2</v>
      </c>
      <c r="CH1536" s="66">
        <f t="shared" si="2206"/>
        <v>1.939796876385733E-2</v>
      </c>
      <c r="CJ1536" s="66">
        <f t="shared" si="2207"/>
        <v>1.6769058458122311E-2</v>
      </c>
      <c r="CK1536" s="66">
        <f t="shared" si="2207"/>
        <v>1.6956358588257912E-2</v>
      </c>
      <c r="CL1536" s="66">
        <f t="shared" si="2207"/>
        <v>1.6865338556090646E-2</v>
      </c>
      <c r="CN1536" s="66">
        <f t="shared" si="2208"/>
        <v>1.6156079967807182E-2</v>
      </c>
      <c r="CO1536" s="66">
        <f t="shared" si="2208"/>
        <v>1.7529203857670185E-2</v>
      </c>
      <c r="CP1536" s="66">
        <f t="shared" si="2208"/>
        <v>1.6838311864413324E-2</v>
      </c>
      <c r="CR1536" s="66">
        <f t="shared" si="2209"/>
        <v>1.7771431322555535E-2</v>
      </c>
      <c r="CS1536" s="66">
        <f t="shared" si="2209"/>
        <v>1.802748201360373E-2</v>
      </c>
      <c r="CT1536" s="66">
        <f t="shared" si="2209"/>
        <v>1.7903045361395951E-2</v>
      </c>
      <c r="CV1536" s="66">
        <f t="shared" si="2210"/>
        <v>1.9003513469114972E-2</v>
      </c>
      <c r="CW1536" s="66">
        <f t="shared" si="2210"/>
        <v>1.8535644747059352E-2</v>
      </c>
      <c r="CX1536" s="66">
        <f t="shared" si="2210"/>
        <v>1.8768607002158322E-2</v>
      </c>
      <c r="CZ1536" s="66">
        <f t="shared" si="2211"/>
        <v>1.7793698344620273E-2</v>
      </c>
      <c r="DA1536" s="66">
        <f t="shared" si="2211"/>
        <v>1.7706349119040586E-2</v>
      </c>
      <c r="DB1536" s="66">
        <f t="shared" si="2211"/>
        <v>1.7749682477807567E-2</v>
      </c>
      <c r="DD1536" s="66">
        <f t="shared" si="2212"/>
        <v>1.6730599951828979E-2</v>
      </c>
      <c r="DE1536" s="66">
        <f t="shared" si="2212"/>
        <v>1.6119788241367092E-2</v>
      </c>
      <c r="DF1536" s="66">
        <f t="shared" si="2212"/>
        <v>1.6420781109990516E-2</v>
      </c>
      <c r="DH1536" s="66">
        <f t="shared" ca="1" si="2213"/>
        <v>1.6760719019666314E-2</v>
      </c>
      <c r="DI1536" s="66">
        <f t="shared" ca="1" si="2213"/>
        <v>1.6560946555399692E-2</v>
      </c>
      <c r="DJ1536" s="66">
        <f t="shared" ca="1" si="2213"/>
        <v>1.6660177846065095E-2</v>
      </c>
      <c r="DL1536" s="66">
        <f t="shared" ca="1" si="2214"/>
        <v>1.6655319300618723E-2</v>
      </c>
      <c r="DM1536" s="66">
        <f t="shared" ca="1" si="2214"/>
        <v>1.642835423757593E-2</v>
      </c>
      <c r="DN1536" s="66">
        <f t="shared" ca="1" si="2214"/>
        <v>1.654074455318863E-2</v>
      </c>
      <c r="DP1536" s="66">
        <f t="shared" ref="DP1536:DR1536" ca="1" si="2216">DP26*(DP$4/DP$3)/DP$1529</f>
        <v>1.6502151128164423E-2</v>
      </c>
      <c r="DQ1536" s="66">
        <f t="shared" ca="1" si="2216"/>
        <v>1.6387120876724951E-2</v>
      </c>
      <c r="DR1536" s="66">
        <f t="shared" ca="1" si="2216"/>
        <v>1.6444044079915662E-2</v>
      </c>
    </row>
    <row r="1537" spans="1:128" s="20" customFormat="1" ht="13.8">
      <c r="A1537" s="20" t="s">
        <v>734</v>
      </c>
      <c r="B1537" s="49"/>
      <c r="BH1537" s="66">
        <f t="shared" ref="BH1537:BJ1540" si="2217">BH31*(BH$4/BH$3)/BH$1529</f>
        <v>-1.2391493004908763E-2</v>
      </c>
      <c r="BI1537" s="66">
        <f t="shared" si="2217"/>
        <v>-1.2073365884536919E-2</v>
      </c>
      <c r="BJ1537" s="66">
        <f t="shared" si="2217"/>
        <v>-1.2227085875398339E-2</v>
      </c>
      <c r="BK1537" s="49"/>
      <c r="BL1537" s="66">
        <f t="shared" ref="BL1537:BN1540" si="2218">BL31*(BL$4/BL$3)/BL$1529</f>
        <v>-1.1701900978634947E-2</v>
      </c>
      <c r="BM1537" s="66">
        <f t="shared" si="2218"/>
        <v>-1.1679307991864786E-2</v>
      </c>
      <c r="BN1537" s="66">
        <f t="shared" si="2218"/>
        <v>-1.1690381058379841E-2</v>
      </c>
      <c r="BO1537" s="49"/>
      <c r="BP1537" s="66">
        <f t="shared" ref="BP1537:BR1540" si="2219">BP31*(BP$4/BP$3)/BP$1529</f>
        <v>-1.1117309395872849E-2</v>
      </c>
      <c r="BQ1537" s="66">
        <f t="shared" si="2219"/>
        <v>-1.0926861484072644E-2</v>
      </c>
      <c r="BR1537" s="66">
        <f t="shared" si="2219"/>
        <v>-1.1019510337988052E-2</v>
      </c>
      <c r="BT1537" s="66">
        <f t="shared" ref="BT1537:BV1540" si="2220">BT31*(BT$4/BT$3)/BT$1529</f>
        <v>-1.2185428110858975E-2</v>
      </c>
      <c r="BU1537" s="66">
        <f t="shared" si="2220"/>
        <v>-1.08210300851301E-2</v>
      </c>
      <c r="BV1537" s="66">
        <f t="shared" si="2220"/>
        <v>-1.1497848352643272E-2</v>
      </c>
      <c r="BX1537" s="66">
        <f t="shared" ref="BX1537:BZ1540" si="2221">BX31*(BX$4/BX$3)/BX$1529</f>
        <v>-9.8035871747215314E-3</v>
      </c>
      <c r="BY1537" s="66">
        <f t="shared" si="2221"/>
        <v>-9.7096817622706628E-3</v>
      </c>
      <c r="BZ1537" s="66">
        <f t="shared" si="2221"/>
        <v>-9.7564797028337532E-3</v>
      </c>
      <c r="CB1537" s="66">
        <f t="shared" ref="CB1537:CD1540" si="2222">CB31*(CB$4/CB$3)/CB$1529</f>
        <v>-9.6045234964608206E-3</v>
      </c>
      <c r="CC1537" s="66">
        <f t="shared" si="2222"/>
        <v>-1.0301098264002766E-2</v>
      </c>
      <c r="CD1537" s="66">
        <f t="shared" si="2222"/>
        <v>-9.9574944948327155E-3</v>
      </c>
      <c r="CF1537" s="66">
        <f t="shared" ref="CF1537:CH1540" si="2223">CF31*(CF$4/CF$3)/CF$1529</f>
        <v>-8.9859006257330606E-3</v>
      </c>
      <c r="CG1537" s="66">
        <f t="shared" si="2223"/>
        <v>-9.5028941673328052E-3</v>
      </c>
      <c r="CH1537" s="66">
        <f t="shared" si="2223"/>
        <v>-9.2468849995769528E-3</v>
      </c>
      <c r="CJ1537" s="66">
        <f t="shared" ref="CJ1537:CL1540" si="2224">CJ31*(CJ$4/CJ$3)/CJ$1529</f>
        <v>-9.0012255740358135E-3</v>
      </c>
      <c r="CK1537" s="66">
        <f t="shared" si="2224"/>
        <v>-8.8321684655724743E-3</v>
      </c>
      <c r="CL1537" s="66">
        <f t="shared" si="2224"/>
        <v>-8.9143460833595381E-3</v>
      </c>
      <c r="CN1537" s="66">
        <f t="shared" ref="CN1537:CP1540" si="2225">CN31*(CN$4/CN$3)/CN$1529</f>
        <v>-8.5968835825373131E-3</v>
      </c>
      <c r="CO1537" s="66">
        <f t="shared" si="2225"/>
        <v>-8.8753249585211726E-3</v>
      </c>
      <c r="CP1537" s="66">
        <f t="shared" si="2225"/>
        <v>-8.7352301647735994E-3</v>
      </c>
      <c r="CR1537" s="66">
        <f t="shared" ref="CR1537:CT1540" si="2226">CR31*(CR$4/CR$3)/CR$1529</f>
        <v>-9.5153025778233757E-3</v>
      </c>
      <c r="CS1537" s="66">
        <f t="shared" si="2226"/>
        <v>-8.9921433358823473E-3</v>
      </c>
      <c r="CT1537" s="66">
        <f t="shared" si="2226"/>
        <v>-9.2464156746003019E-3</v>
      </c>
      <c r="CV1537" s="66">
        <f t="shared" ref="CV1537:CX1540" si="2227">CV31*(CV$4/CV$3)/CV$1529</f>
        <v>-9.0095404938489096E-3</v>
      </c>
      <c r="CW1537" s="66">
        <f t="shared" si="2227"/>
        <v>-9.1953965546916708E-3</v>
      </c>
      <c r="CX1537" s="66">
        <f t="shared" si="2227"/>
        <v>-9.102841731398385E-3</v>
      </c>
      <c r="CZ1537" s="66">
        <f t="shared" ref="CZ1537:DB1540" si="2228">CZ31*(CZ$4/CZ$3)/CZ$1529</f>
        <v>-8.9682165716821038E-3</v>
      </c>
      <c r="DA1537" s="66">
        <f t="shared" si="2228"/>
        <v>-9.3524455392676627E-3</v>
      </c>
      <c r="DB1537" s="66">
        <f t="shared" si="2228"/>
        <v>-9.161869359129755E-3</v>
      </c>
      <c r="DD1537" s="66">
        <f t="shared" ref="DD1537:DF1540" si="2229">DD31*(DD$4/DD$3)/DD$1529</f>
        <v>-8.7373446951707137E-3</v>
      </c>
      <c r="DE1537" s="66">
        <f t="shared" si="2229"/>
        <v>-1.0552370549053404E-2</v>
      </c>
      <c r="DF1537" s="66">
        <f t="shared" si="2229"/>
        <v>-9.657959756001545E-3</v>
      </c>
      <c r="DH1537" s="66">
        <f t="shared" ref="DH1537:DJ1540" ca="1" si="2230">DH31*(DH$4/DH$3)/DH$1529</f>
        <v>-8.6124386686699823E-3</v>
      </c>
      <c r="DI1537" s="66">
        <f t="shared" ca="1" si="2230"/>
        <v>-8.1164803093907081E-3</v>
      </c>
      <c r="DJ1537" s="66">
        <f t="shared" ca="1" si="2230"/>
        <v>-8.3621980160659901E-3</v>
      </c>
      <c r="DL1537" s="66">
        <f t="shared" ref="DL1537:DN1540" ca="1" si="2231">DL31*(DL$4/DL$3)/DL$1529</f>
        <v>-7.9628761526735342E-3</v>
      </c>
      <c r="DM1537" s="66">
        <f t="shared" ca="1" si="2231"/>
        <v>-7.9354121131612106E-3</v>
      </c>
      <c r="DN1537" s="66">
        <f t="shared" ca="1" si="2231"/>
        <v>-7.9491987426362019E-3</v>
      </c>
      <c r="DP1537" s="66">
        <f t="shared" ref="DP1537:DR1537" ca="1" si="2232">DP31*(DP$4/DP$3)/DP$1529</f>
        <v>-7.7744421247422351E-3</v>
      </c>
      <c r="DQ1537" s="66">
        <f t="shared" ca="1" si="2232"/>
        <v>-7.5256477499575265E-3</v>
      </c>
      <c r="DR1537" s="66">
        <f t="shared" ca="1" si="2232"/>
        <v>-7.64876469155639E-3</v>
      </c>
    </row>
    <row r="1538" spans="1:128" s="21" customFormat="1" ht="13.8">
      <c r="A1538" s="21" t="s">
        <v>291</v>
      </c>
      <c r="B1538" s="27"/>
      <c r="BH1538" s="74">
        <f t="shared" si="2217"/>
        <v>1.5467917084267912E-2</v>
      </c>
      <c r="BI1538" s="74">
        <f t="shared" si="2217"/>
        <v>1.4575157581000418E-2</v>
      </c>
      <c r="BJ1538" s="74">
        <f t="shared" si="2217"/>
        <v>1.5006574816675156E-2</v>
      </c>
      <c r="BK1538" s="27"/>
      <c r="BL1538" s="74">
        <f t="shared" si="2218"/>
        <v>1.4694267631127694E-2</v>
      </c>
      <c r="BM1538" s="74">
        <f t="shared" si="2218"/>
        <v>1.4190594153727532E-2</v>
      </c>
      <c r="BN1538" s="74">
        <f t="shared" si="2218"/>
        <v>1.4436819896067708E-2</v>
      </c>
      <c r="BO1538" s="27"/>
      <c r="BP1538" s="74">
        <f t="shared" si="2219"/>
        <v>1.3505973091835972E-2</v>
      </c>
      <c r="BQ1538" s="74">
        <f t="shared" si="2219"/>
        <v>1.2739233064258096E-2</v>
      </c>
      <c r="BR1538" s="74">
        <f t="shared" si="2219"/>
        <v>1.3112253770698301E-2</v>
      </c>
      <c r="BT1538" s="74">
        <f t="shared" si="2220"/>
        <v>1.0739962786484121E-2</v>
      </c>
      <c r="BU1538" s="74">
        <f t="shared" si="2220"/>
        <v>1.1623154512769514E-2</v>
      </c>
      <c r="BV1538" s="74">
        <f t="shared" si="2220"/>
        <v>1.118504167267865E-2</v>
      </c>
      <c r="BX1538" s="74">
        <f t="shared" si="2221"/>
        <v>1.1992843771349786E-2</v>
      </c>
      <c r="BY1538" s="74">
        <f t="shared" si="2221"/>
        <v>1.1616940679859543E-2</v>
      </c>
      <c r="BZ1538" s="74">
        <f t="shared" si="2221"/>
        <v>1.1804176234642956E-2</v>
      </c>
      <c r="CB1538" s="74">
        <f t="shared" si="2222"/>
        <v>1.1588556519203898E-2</v>
      </c>
      <c r="CC1538" s="74">
        <f t="shared" si="2222"/>
        <v>9.5506732890074334E-3</v>
      </c>
      <c r="CD1538" s="74">
        <f t="shared" si="2222"/>
        <v>1.0555939808052637E-2</v>
      </c>
      <c r="CF1538" s="74">
        <f t="shared" si="2223"/>
        <v>1.1077464207805176E-2</v>
      </c>
      <c r="CG1538" s="74">
        <f t="shared" si="2223"/>
        <v>9.2424025932601461E-3</v>
      </c>
      <c r="CH1538" s="74">
        <f t="shared" si="2223"/>
        <v>1.0151083764280377E-2</v>
      </c>
      <c r="CJ1538" s="74">
        <f t="shared" si="2224"/>
        <v>7.7678328840864981E-3</v>
      </c>
      <c r="CK1538" s="74">
        <f t="shared" si="2224"/>
        <v>8.1241901226854381E-3</v>
      </c>
      <c r="CL1538" s="74">
        <f t="shared" si="2224"/>
        <v>7.9509924727311082E-3</v>
      </c>
      <c r="CN1538" s="74">
        <f t="shared" si="2225"/>
        <v>7.5591963852698688E-3</v>
      </c>
      <c r="CO1538" s="74">
        <f t="shared" si="2225"/>
        <v>8.653878899149009E-3</v>
      </c>
      <c r="CP1538" s="74">
        <f t="shared" si="2225"/>
        <v>8.1030816996397245E-3</v>
      </c>
      <c r="CR1538" s="74">
        <f t="shared" si="2226"/>
        <v>8.2561287447321576E-3</v>
      </c>
      <c r="CS1538" s="74">
        <f t="shared" si="2226"/>
        <v>9.0353386777213811E-3</v>
      </c>
      <c r="CT1538" s="74">
        <f t="shared" si="2226"/>
        <v>8.6566296867956471E-3</v>
      </c>
      <c r="CV1538" s="74">
        <f t="shared" si="2227"/>
        <v>9.9939729752660609E-3</v>
      </c>
      <c r="CW1538" s="74">
        <f t="shared" si="2227"/>
        <v>9.340248192367678E-3</v>
      </c>
      <c r="CX1538" s="74">
        <f t="shared" si="2227"/>
        <v>9.6657652707599385E-3</v>
      </c>
      <c r="CZ1538" s="74">
        <f t="shared" si="2228"/>
        <v>8.8254817729381697E-3</v>
      </c>
      <c r="DA1538" s="74">
        <f t="shared" si="2228"/>
        <v>8.3539035797729252E-3</v>
      </c>
      <c r="DB1538" s="74">
        <f t="shared" si="2228"/>
        <v>8.5878131186778103E-3</v>
      </c>
      <c r="DD1538" s="74">
        <f t="shared" si="2229"/>
        <v>7.9932552566582653E-3</v>
      </c>
      <c r="DE1538" s="74">
        <f t="shared" si="2229"/>
        <v>5.5674176923136897E-3</v>
      </c>
      <c r="DF1538" s="74">
        <f t="shared" si="2229"/>
        <v>6.7628213539889697E-3</v>
      </c>
      <c r="DH1538" s="74">
        <f t="shared" ca="1" si="2230"/>
        <v>8.1482803509963335E-3</v>
      </c>
      <c r="DI1538" s="74">
        <f t="shared" ca="1" si="2230"/>
        <v>8.4444662460089834E-3</v>
      </c>
      <c r="DJ1538" s="74">
        <f t="shared" ca="1" si="2230"/>
        <v>8.2979798299991046E-3</v>
      </c>
      <c r="DL1538" s="74">
        <f t="shared" ca="1" si="2231"/>
        <v>8.6924431479451884E-3</v>
      </c>
      <c r="DM1538" s="74">
        <f t="shared" ca="1" si="2231"/>
        <v>8.492942124414718E-3</v>
      </c>
      <c r="DN1538" s="74">
        <f t="shared" ca="1" si="2231"/>
        <v>8.5915458105524263E-3</v>
      </c>
      <c r="DP1538" s="74">
        <f t="shared" ref="DP1538:DR1538" ca="1" si="2233">DP32*(DP$4/DP$3)/DP$1529</f>
        <v>8.727709003422188E-3</v>
      </c>
      <c r="DQ1538" s="74">
        <f t="shared" ca="1" si="2233"/>
        <v>8.8614731267674263E-3</v>
      </c>
      <c r="DR1538" s="74">
        <f t="shared" ca="1" si="2233"/>
        <v>8.7952793883592732E-3</v>
      </c>
    </row>
    <row r="1539" spans="1:128" s="20" customFormat="1" ht="13.8">
      <c r="A1539" s="20" t="s">
        <v>400</v>
      </c>
      <c r="B1539" s="49"/>
      <c r="BH1539" s="66">
        <f t="shared" si="2217"/>
        <v>-1.8354362784224405E-3</v>
      </c>
      <c r="BI1539" s="66">
        <f t="shared" si="2217"/>
        <v>-1.7137129833736237E-3</v>
      </c>
      <c r="BJ1539" s="66">
        <f t="shared" si="2217"/>
        <v>-1.7725350360726429E-3</v>
      </c>
      <c r="BK1539" s="49"/>
      <c r="BL1539" s="66">
        <f t="shared" si="2218"/>
        <v>-1.4415780953614683E-3</v>
      </c>
      <c r="BM1539" s="66">
        <f t="shared" si="2218"/>
        <v>-1.2034333894165548E-3</v>
      </c>
      <c r="BN1539" s="66">
        <f t="shared" si="2218"/>
        <v>-1.3198386834175414E-3</v>
      </c>
      <c r="BO1539" s="49"/>
      <c r="BP1539" s="66">
        <f t="shared" si="2219"/>
        <v>-1.2317679321953408E-3</v>
      </c>
      <c r="BQ1539" s="66">
        <f t="shared" si="2219"/>
        <v>-1.5904018285718296E-3</v>
      </c>
      <c r="BR1539" s="66">
        <f t="shared" si="2219"/>
        <v>-1.4159213006265305E-3</v>
      </c>
      <c r="BT1539" s="66">
        <f t="shared" si="2220"/>
        <v>-2.038305941284355E-3</v>
      </c>
      <c r="BU1539" s="66">
        <f t="shared" si="2220"/>
        <v>-2.2686788988820527E-3</v>
      </c>
      <c r="BV1539" s="66">
        <f t="shared" si="2220"/>
        <v>-2.1544009366577486E-3</v>
      </c>
      <c r="BX1539" s="66">
        <f t="shared" si="2221"/>
        <v>-1.5731185125472482E-3</v>
      </c>
      <c r="BY1539" s="66">
        <f t="shared" si="2221"/>
        <v>-1.0381557062784927E-3</v>
      </c>
      <c r="BZ1539" s="66">
        <f t="shared" si="2221"/>
        <v>-1.3045633058656931E-3</v>
      </c>
      <c r="CB1539" s="66">
        <f t="shared" si="2222"/>
        <v>-8.7606652952291846E-4</v>
      </c>
      <c r="CC1539" s="66">
        <f t="shared" si="2222"/>
        <v>-5.8528967409106618E-4</v>
      </c>
      <c r="CD1539" s="66">
        <f t="shared" si="2222"/>
        <v>-7.2872632831027639E-4</v>
      </c>
      <c r="CF1539" s="66">
        <f t="shared" si="2223"/>
        <v>-8.0903985015191133E-4</v>
      </c>
      <c r="CG1539" s="66">
        <f t="shared" si="2223"/>
        <v>-8.117644401334016E-4</v>
      </c>
      <c r="CH1539" s="66">
        <f t="shared" si="2223"/>
        <v>-8.1041490184805183E-4</v>
      </c>
      <c r="CJ1539" s="66">
        <f t="shared" si="2224"/>
        <v>-3.2721067559035727E-3</v>
      </c>
      <c r="CK1539" s="66">
        <f t="shared" si="2224"/>
        <v>-1.9668118977331753E-3</v>
      </c>
      <c r="CL1539" s="66">
        <f t="shared" si="2224"/>
        <v>-2.6012447592708536E-3</v>
      </c>
      <c r="CN1539" s="66">
        <f t="shared" si="2225"/>
        <v>9.4178265038505598E-4</v>
      </c>
      <c r="CO1539" s="66">
        <f t="shared" si="2225"/>
        <v>1.4763070624810882E-4</v>
      </c>
      <c r="CP1539" s="66">
        <f t="shared" si="2225"/>
        <v>5.4721859500901898E-4</v>
      </c>
      <c r="CR1539" s="66">
        <f t="shared" si="2226"/>
        <v>5.640463227096303E-4</v>
      </c>
      <c r="CS1539" s="66">
        <f t="shared" si="2226"/>
        <v>-9.7659033723033014E-5</v>
      </c>
      <c r="CT1539" s="66">
        <f t="shared" si="2226"/>
        <v>2.2394492499292932E-4</v>
      </c>
      <c r="CV1539" s="66">
        <f t="shared" si="2227"/>
        <v>-2.3979765572981889E-4</v>
      </c>
      <c r="CW1539" s="66">
        <f t="shared" si="2227"/>
        <v>-2.0028868419398428E-4</v>
      </c>
      <c r="CX1539" s="66">
        <f t="shared" si="2227"/>
        <v>-2.1996214855435489E-4</v>
      </c>
      <c r="CZ1539" s="66">
        <f t="shared" si="2228"/>
        <v>-1.2037874592861885E-4</v>
      </c>
      <c r="DA1539" s="66">
        <f t="shared" si="2228"/>
        <v>-5.6866118371225747E-4</v>
      </c>
      <c r="DB1539" s="66">
        <f t="shared" si="2228"/>
        <v>-3.46310302560905E-4</v>
      </c>
      <c r="DD1539" s="66">
        <f t="shared" si="2229"/>
        <v>-2.20640017554816E-4</v>
      </c>
      <c r="DE1539" s="66">
        <f t="shared" si="2229"/>
        <v>-4.3758779525354549E-4</v>
      </c>
      <c r="DF1539" s="66">
        <f t="shared" si="2229"/>
        <v>-3.3068014381961813E-4</v>
      </c>
      <c r="DH1539" s="66">
        <f t="shared" ca="1" si="2230"/>
        <v>-3.1086347382505177E-4</v>
      </c>
      <c r="DI1539" s="66">
        <f t="shared" ca="1" si="2230"/>
        <v>-5.0108785145548814E-4</v>
      </c>
      <c r="DJ1539" s="66">
        <f t="shared" ca="1" si="2230"/>
        <v>-4.0691265317206965E-4</v>
      </c>
      <c r="DL1539" s="66">
        <f t="shared" ca="1" si="2231"/>
        <v>-5.6390877515154246E-4</v>
      </c>
      <c r="DM1539" s="66">
        <f t="shared" ca="1" si="2231"/>
        <v>-5.6449626198976034E-4</v>
      </c>
      <c r="DN1539" s="66">
        <f t="shared" ca="1" si="2231"/>
        <v>-5.6422440846991327E-4</v>
      </c>
      <c r="DP1539" s="66">
        <f t="shared" ref="DP1539:DR1539" ca="1" si="2234">DP33*(DP$4/DP$3)/DP$1529</f>
        <v>-6.2604181374234958E-4</v>
      </c>
      <c r="DQ1539" s="66">
        <f t="shared" ca="1" si="2234"/>
        <v>-6.2657692364580036E-4</v>
      </c>
      <c r="DR1539" s="66">
        <f t="shared" ca="1" si="2234"/>
        <v>-6.2631212226197015E-4</v>
      </c>
    </row>
    <row r="1540" spans="1:128" s="20" customFormat="1" ht="13.8">
      <c r="A1540" s="20" t="s">
        <v>401</v>
      </c>
      <c r="B1540" s="49"/>
      <c r="BH1540" s="66">
        <f t="shared" si="2217"/>
        <v>1.3632480805845473E-2</v>
      </c>
      <c r="BI1540" s="66">
        <f t="shared" si="2217"/>
        <v>1.2861444597626795E-2</v>
      </c>
      <c r="BJ1540" s="66">
        <f t="shared" si="2217"/>
        <v>1.3234039780602514E-2</v>
      </c>
      <c r="BK1540" s="49"/>
      <c r="BL1540" s="66">
        <f t="shared" si="2218"/>
        <v>1.3252689535766223E-2</v>
      </c>
      <c r="BM1540" s="66">
        <f t="shared" si="2218"/>
        <v>1.2987160764310977E-2</v>
      </c>
      <c r="BN1540" s="66">
        <f t="shared" si="2218"/>
        <v>1.3116981212650166E-2</v>
      </c>
      <c r="BO1540" s="49"/>
      <c r="BP1540" s="66">
        <f t="shared" si="2219"/>
        <v>1.227420515964063E-2</v>
      </c>
      <c r="BQ1540" s="66">
        <f t="shared" si="2219"/>
        <v>1.1148831235686265E-2</v>
      </c>
      <c r="BR1540" s="66">
        <f t="shared" si="2219"/>
        <v>1.1696332470071772E-2</v>
      </c>
      <c r="BT1540" s="66">
        <f t="shared" si="2220"/>
        <v>8.7016568451997681E-3</v>
      </c>
      <c r="BU1540" s="66">
        <f t="shared" si="2220"/>
        <v>9.3544756138874627E-3</v>
      </c>
      <c r="BV1540" s="66">
        <f t="shared" si="2220"/>
        <v>9.0306407360209E-3</v>
      </c>
      <c r="BX1540" s="66">
        <f t="shared" si="2221"/>
        <v>1.0419725258802538E-2</v>
      </c>
      <c r="BY1540" s="66">
        <f t="shared" si="2221"/>
        <v>1.057878497358105E-2</v>
      </c>
      <c r="BZ1540" s="66">
        <f t="shared" si="2221"/>
        <v>1.0499612928777264E-2</v>
      </c>
      <c r="CB1540" s="66">
        <f t="shared" si="2222"/>
        <v>1.071248998968098E-2</v>
      </c>
      <c r="CC1540" s="66">
        <f t="shared" si="2222"/>
        <v>8.9653836149163665E-3</v>
      </c>
      <c r="CD1540" s="66">
        <f t="shared" si="2222"/>
        <v>9.8272134797423617E-3</v>
      </c>
      <c r="CF1540" s="66">
        <f t="shared" si="2223"/>
        <v>1.0268424357653266E-2</v>
      </c>
      <c r="CG1540" s="66">
        <f t="shared" si="2223"/>
        <v>8.4306381531267446E-3</v>
      </c>
      <c r="CH1540" s="66">
        <f t="shared" si="2223"/>
        <v>9.3406688624323251E-3</v>
      </c>
      <c r="CJ1540" s="66">
        <f t="shared" si="2224"/>
        <v>4.4957261281829254E-3</v>
      </c>
      <c r="CK1540" s="66">
        <f t="shared" si="2224"/>
        <v>6.1573782249522624E-3</v>
      </c>
      <c r="CL1540" s="66">
        <f t="shared" si="2224"/>
        <v>5.3497477134602537E-3</v>
      </c>
      <c r="CN1540" s="66">
        <f t="shared" si="2225"/>
        <v>8.5009790356549257E-3</v>
      </c>
      <c r="CO1540" s="66">
        <f t="shared" si="2225"/>
        <v>8.8015096053971204E-3</v>
      </c>
      <c r="CP1540" s="66">
        <f t="shared" si="2225"/>
        <v>8.6503002946487426E-3</v>
      </c>
      <c r="CR1540" s="66">
        <f t="shared" si="2226"/>
        <v>8.8201750674417878E-3</v>
      </c>
      <c r="CS1540" s="66">
        <f t="shared" si="2226"/>
        <v>8.9376796439983482E-3</v>
      </c>
      <c r="CT1540" s="66">
        <f t="shared" si="2226"/>
        <v>8.8805746117885768E-3</v>
      </c>
      <c r="CV1540" s="66">
        <f t="shared" si="2227"/>
        <v>9.7541753195362433E-3</v>
      </c>
      <c r="CW1540" s="66">
        <f t="shared" si="2227"/>
        <v>9.1399595081736937E-3</v>
      </c>
      <c r="CX1540" s="66">
        <f t="shared" si="2227"/>
        <v>9.4458031222055833E-3</v>
      </c>
      <c r="CZ1540" s="66">
        <f t="shared" si="2228"/>
        <v>8.7051030270095513E-3</v>
      </c>
      <c r="DA1540" s="66">
        <f t="shared" si="2228"/>
        <v>7.7852423960606673E-3</v>
      </c>
      <c r="DB1540" s="66">
        <f t="shared" si="2228"/>
        <v>8.2415028161169062E-3</v>
      </c>
      <c r="DD1540" s="66">
        <f t="shared" si="2229"/>
        <v>7.7726152391034489E-3</v>
      </c>
      <c r="DE1540" s="66">
        <f t="shared" si="2229"/>
        <v>5.1298298970601439E-3</v>
      </c>
      <c r="DF1540" s="66">
        <f t="shared" si="2229"/>
        <v>6.4321412101693521E-3</v>
      </c>
      <c r="DH1540" s="66">
        <f t="shared" ca="1" si="2230"/>
        <v>7.8374168771712799E-3</v>
      </c>
      <c r="DI1540" s="66">
        <f t="shared" ca="1" si="2230"/>
        <v>7.943378394553495E-3</v>
      </c>
      <c r="DJ1540" s="66">
        <f t="shared" ca="1" si="2230"/>
        <v>7.8910671768270338E-3</v>
      </c>
      <c r="DL1540" s="66">
        <f t="shared" ca="1" si="2231"/>
        <v>8.1285343727936464E-3</v>
      </c>
      <c r="DM1540" s="66">
        <f t="shared" ca="1" si="2231"/>
        <v>7.9284458624249571E-3</v>
      </c>
      <c r="DN1540" s="66">
        <f t="shared" ca="1" si="2231"/>
        <v>8.0273214020825136E-3</v>
      </c>
      <c r="DP1540" s="66">
        <f t="shared" ref="DP1540:DR1540" ca="1" si="2235">DP34*(DP$4/DP$3)/DP$1529</f>
        <v>8.1016671896798377E-3</v>
      </c>
      <c r="DQ1540" s="66">
        <f t="shared" ca="1" si="2235"/>
        <v>8.2348962031216257E-3</v>
      </c>
      <c r="DR1540" s="66">
        <f t="shared" ca="1" si="2235"/>
        <v>8.1689672660973031E-3</v>
      </c>
    </row>
    <row r="1541" spans="1:128" s="20" customFormat="1" ht="13.8">
      <c r="A1541" s="20" t="s">
        <v>402</v>
      </c>
      <c r="B1541" s="49"/>
      <c r="BH1541" s="66">
        <f t="shared" ref="BH1541:BJ1542" si="2236">(BH35)*(BH$4/BH$3)/BH$1529</f>
        <v>-3.8761717732961384E-3</v>
      </c>
      <c r="BI1541" s="66">
        <f t="shared" si="2236"/>
        <v>-3.352916706600568E-3</v>
      </c>
      <c r="BJ1541" s="66">
        <f t="shared" si="2236"/>
        <v>-3.6057834693708317E-3</v>
      </c>
      <c r="BK1541" s="49"/>
      <c r="BL1541" s="66">
        <f t="shared" ref="BL1541:BN1542" si="2237">(BL35)*(BL$4/BL$3)/BL$1529</f>
        <v>-3.6394386384788579E-3</v>
      </c>
      <c r="BM1541" s="66">
        <f t="shared" si="2237"/>
        <v>-3.5685324150378102E-3</v>
      </c>
      <c r="BN1541" s="66">
        <f t="shared" si="2237"/>
        <v>-3.6031996412814581E-3</v>
      </c>
      <c r="BO1541" s="49"/>
      <c r="BP1541" s="66">
        <f t="shared" ref="BP1541:BR1542" si="2238">(BP35)*(BP$4/BP$3)/BP$1529</f>
        <v>-3.376493272958993E-3</v>
      </c>
      <c r="BQ1541" s="66">
        <f t="shared" si="2238"/>
        <v>-3.0343493880377647E-3</v>
      </c>
      <c r="BR1541" s="66">
        <f t="shared" si="2238"/>
        <v>-3.2008046663125882E-3</v>
      </c>
      <c r="BT1541" s="66">
        <f t="shared" ref="BT1541:BV1542" si="2239">(BT35)*(BT$4/BT$3)/BT$1529</f>
        <v>-2.515686962391257E-3</v>
      </c>
      <c r="BU1541" s="66">
        <f t="shared" si="2239"/>
        <v>-2.5484389172413038E-3</v>
      </c>
      <c r="BV1541" s="66">
        <f t="shared" si="2239"/>
        <v>-2.5321921029530492E-3</v>
      </c>
      <c r="BX1541" s="66">
        <f t="shared" ref="BX1541:BZ1542" si="2240">(BX35)*(BX$4/BX$3)/BX$1529</f>
        <v>-3.0719508731130987E-3</v>
      </c>
      <c r="BY1541" s="66">
        <f t="shared" si="2240"/>
        <v>-3.0776223442911472E-3</v>
      </c>
      <c r="BZ1541" s="66">
        <f t="shared" si="2240"/>
        <v>-3.0748089260854449E-3</v>
      </c>
      <c r="CB1541" s="66">
        <f t="shared" ref="CB1541:CD1542" si="2241">(CB35)*(CB$4/CB$3)/CB$1529</f>
        <v>-3.1972133883814355E-3</v>
      </c>
      <c r="CC1541" s="66">
        <f t="shared" si="2241"/>
        <v>-2.6881518602896825E-3</v>
      </c>
      <c r="CD1541" s="66">
        <f t="shared" si="2241"/>
        <v>-2.9392668038677574E-3</v>
      </c>
      <c r="CF1541" s="66">
        <f t="shared" ref="CF1541:CH1542" si="2242">(CF35)*(CF$4/CF$3)/CF$1529</f>
        <v>-2.912955185661462E-3</v>
      </c>
      <c r="CG1541" s="66">
        <f t="shared" si="2242"/>
        <v>-2.5503942484788214E-3</v>
      </c>
      <c r="CH1541" s="66">
        <f t="shared" si="2242"/>
        <v>-2.7299259209422424E-3</v>
      </c>
      <c r="CJ1541" s="66">
        <f t="shared" ref="CJ1541:CL1542" si="2243">(CJ35)*(CJ$4/CJ$3)/CJ$1529</f>
        <v>-1.7318318911174226E-3</v>
      </c>
      <c r="CK1541" s="66">
        <f t="shared" si="2243"/>
        <v>-1.8226283187640141E-3</v>
      </c>
      <c r="CL1541" s="66">
        <f t="shared" si="2243"/>
        <v>-1.7784989734678735E-3</v>
      </c>
      <c r="CN1541" s="66">
        <f t="shared" ref="CN1541:CP1542" si="2244">(CN35)*(CN$4/CN$3)/CN$1529</f>
        <v>-2.7658871320880869E-3</v>
      </c>
      <c r="CO1541" s="66">
        <f t="shared" si="2244"/>
        <v>-2.5679972849999978E-3</v>
      </c>
      <c r="CP1541" s="66">
        <f t="shared" si="2244"/>
        <v>-2.6675700116489038E-3</v>
      </c>
      <c r="CR1541" s="66">
        <f t="shared" ref="CR1541:CT1542" si="2245">(CR35)*(CR$4/CR$3)/CR$1529</f>
        <v>-2.6375123822478482E-3</v>
      </c>
      <c r="CS1541" s="66">
        <f t="shared" si="2245"/>
        <v>-2.5485251685029961E-3</v>
      </c>
      <c r="CT1541" s="66">
        <f t="shared" si="2245"/>
        <v>-2.5917763948535141E-3</v>
      </c>
      <c r="CV1541" s="66">
        <f t="shared" ref="CV1541:CX1542" si="2246">(CV35)*(CV$4/CV$3)/CV$1529</f>
        <v>-2.8252851618693698E-3</v>
      </c>
      <c r="CW1541" s="66">
        <f t="shared" si="2246"/>
        <v>-2.7056855284419484E-3</v>
      </c>
      <c r="CX1541" s="66">
        <f t="shared" si="2246"/>
        <v>-2.7652384389690327E-3</v>
      </c>
      <c r="CZ1541" s="66">
        <f t="shared" ref="CZ1541:DB1542" si="2247">(CZ35)*(CZ$4/CZ$3)/CZ$1529</f>
        <v>-2.5726657701316256E-3</v>
      </c>
      <c r="DA1541" s="66">
        <f t="shared" si="2247"/>
        <v>-2.3795762627959343E-3</v>
      </c>
      <c r="DB1541" s="66">
        <f t="shared" si="2247"/>
        <v>-2.475350980373759E-3</v>
      </c>
      <c r="DD1541" s="66">
        <f t="shared" ref="DD1541:DF1542" si="2248">(DD35)*(DD$4/DD$3)/DD$1529</f>
        <v>-2.3113943907983828E-3</v>
      </c>
      <c r="DE1541" s="66">
        <f t="shared" si="2248"/>
        <v>-1.8198330268821433E-3</v>
      </c>
      <c r="DF1541" s="66">
        <f t="shared" si="2248"/>
        <v>-2.0620643888978455E-3</v>
      </c>
      <c r="DH1541" s="66">
        <f t="shared" ref="DH1541:DJ1542" ca="1" si="2249">(DH35)*(DH$4/DH$3)/DH$1529</f>
        <v>-2.3120379787655281E-3</v>
      </c>
      <c r="DI1541" s="66">
        <f t="shared" ca="1" si="2249"/>
        <v>-2.3432966263932809E-3</v>
      </c>
      <c r="DJ1541" s="66">
        <f t="shared" ca="1" si="2249"/>
        <v>-2.3278648171639756E-3</v>
      </c>
      <c r="DL1541" s="66">
        <f t="shared" ref="DL1541:DN1542" ca="1" si="2250">(DL35)*(DL$4/DL$3)/DL$1529</f>
        <v>-2.3979176399741256E-3</v>
      </c>
      <c r="DM1541" s="66">
        <f t="shared" ca="1" si="2250"/>
        <v>-2.3388915294153623E-3</v>
      </c>
      <c r="DN1541" s="66">
        <f t="shared" ca="1" si="2250"/>
        <v>-2.3680598136143413E-3</v>
      </c>
      <c r="DP1541" s="66">
        <f t="shared" ref="DP1541:DR1541" ca="1" si="2251">(DP35)*(DP$4/DP$3)/DP$1529</f>
        <v>-2.389991820955552E-3</v>
      </c>
      <c r="DQ1541" s="66">
        <f t="shared" ca="1" si="2251"/>
        <v>-2.4292943799208793E-3</v>
      </c>
      <c r="DR1541" s="66">
        <f t="shared" ca="1" si="2251"/>
        <v>-2.4098453434987033E-3</v>
      </c>
    </row>
    <row r="1542" spans="1:128" s="20" customFormat="1" ht="13.8">
      <c r="A1542" s="20" t="s">
        <v>403</v>
      </c>
      <c r="B1542" s="49"/>
      <c r="BH1542" s="66">
        <f t="shared" si="2236"/>
        <v>-1.532083704860134E-5</v>
      </c>
      <c r="BI1542" s="66">
        <f t="shared" si="2236"/>
        <v>-1.4328703874361402E-5</v>
      </c>
      <c r="BJ1542" s="66">
        <f t="shared" si="2236"/>
        <v>-1.4808145664767276E-5</v>
      </c>
      <c r="BK1542" s="49"/>
      <c r="BL1542" s="66">
        <f t="shared" si="2237"/>
        <v>-1.638156926547123E-5</v>
      </c>
      <c r="BM1542" s="66">
        <f t="shared" si="2237"/>
        <v>-1.5662907454445398E-5</v>
      </c>
      <c r="BN1542" s="66">
        <f t="shared" si="2237"/>
        <v>-1.601422062791759E-5</v>
      </c>
      <c r="BO1542" s="49"/>
      <c r="BP1542" s="66">
        <f t="shared" si="2238"/>
        <v>-1.932184991678966E-5</v>
      </c>
      <c r="BQ1542" s="66">
        <f t="shared" si="2238"/>
        <v>-1.3730087728677667E-5</v>
      </c>
      <c r="BR1542" s="66">
        <f t="shared" si="2238"/>
        <v>-1.6450537932590396E-5</v>
      </c>
      <c r="BT1542" s="66">
        <f t="shared" si="2239"/>
        <v>-8.8815073694307403E-6</v>
      </c>
      <c r="BU1542" s="66">
        <f t="shared" si="2239"/>
        <v>-1.5299376004021549E-5</v>
      </c>
      <c r="BV1542" s="66">
        <f t="shared" si="2239"/>
        <v>-1.211575168877057E-5</v>
      </c>
      <c r="BX1542" s="66">
        <f t="shared" si="2240"/>
        <v>-1.7479094583858313E-5</v>
      </c>
      <c r="BY1542" s="66">
        <f t="shared" si="2240"/>
        <v>-1.5171377753547909E-5</v>
      </c>
      <c r="BZ1542" s="66">
        <f t="shared" si="2240"/>
        <v>-1.6320641858203001E-5</v>
      </c>
      <c r="CB1542" s="66">
        <f t="shared" si="2241"/>
        <v>-1.5030553202599091E-5</v>
      </c>
      <c r="CC1542" s="66">
        <f t="shared" si="2241"/>
        <v>-1.8812882381498555E-5</v>
      </c>
      <c r="CD1542" s="66">
        <f t="shared" si="2241"/>
        <v>-1.6947123914192474E-5</v>
      </c>
      <c r="CF1542" s="66">
        <f t="shared" si="2242"/>
        <v>-1.852763015615064E-5</v>
      </c>
      <c r="CG1542" s="66">
        <f t="shared" si="2242"/>
        <v>-1.2115887166170173E-5</v>
      </c>
      <c r="CH1542" s="66">
        <f t="shared" si="2242"/>
        <v>-1.5290847204680224E-5</v>
      </c>
      <c r="CJ1542" s="66">
        <f t="shared" si="2243"/>
        <v>-1.9546635339925764E-6</v>
      </c>
      <c r="CK1542" s="66">
        <f t="shared" si="2243"/>
        <v>0</v>
      </c>
      <c r="CL1542" s="66">
        <f t="shared" si="2243"/>
        <v>-9.5005287044224008E-7</v>
      </c>
      <c r="CN1542" s="66">
        <f t="shared" si="2244"/>
        <v>0</v>
      </c>
      <c r="CO1542" s="66">
        <f t="shared" si="2244"/>
        <v>-1.9425092927382738E-6</v>
      </c>
      <c r="CP1542" s="66">
        <f t="shared" si="2244"/>
        <v>-9.6511216050973357E-7</v>
      </c>
      <c r="CR1542" s="66">
        <f t="shared" si="2245"/>
        <v>0</v>
      </c>
      <c r="CS1542" s="66">
        <f t="shared" si="2245"/>
        <v>0</v>
      </c>
      <c r="CT1542" s="66">
        <f t="shared" si="2245"/>
        <v>0</v>
      </c>
      <c r="CV1542" s="66">
        <f t="shared" si="2246"/>
        <v>-2.5241858497875671E-5</v>
      </c>
      <c r="CW1542" s="66">
        <f t="shared" si="2246"/>
        <v>-2.5036085524248035E-5</v>
      </c>
      <c r="CX1542" s="66">
        <f t="shared" si="2246"/>
        <v>-2.5138531263354844E-5</v>
      </c>
      <c r="CZ1542" s="66">
        <f t="shared" si="2247"/>
        <v>-2.4075749185723769E-5</v>
      </c>
      <c r="DA1542" s="66">
        <f t="shared" si="2247"/>
        <v>-3.5541323982016092E-5</v>
      </c>
      <c r="DB1542" s="66">
        <f t="shared" si="2247"/>
        <v>-2.9854336427664223E-5</v>
      </c>
      <c r="DD1542" s="66">
        <f t="shared" si="2248"/>
        <v>-3.1954761163111279E-5</v>
      </c>
      <c r="DE1542" s="66">
        <f t="shared" si="2248"/>
        <v>-2.9566742922536855E-5</v>
      </c>
      <c r="DF1542" s="66">
        <f t="shared" si="2248"/>
        <v>-3.0743505434476966E-5</v>
      </c>
      <c r="DH1542" s="66">
        <f t="shared" ca="1" si="2249"/>
        <v>-2.9693936674167396E-5</v>
      </c>
      <c r="DI1542" s="66">
        <f t="shared" ca="1" si="2249"/>
        <v>-2.9119387440241077E-5</v>
      </c>
      <c r="DJ1542" s="66">
        <f t="shared" ca="1" si="2249"/>
        <v>-2.9404421947880741E-5</v>
      </c>
      <c r="DL1542" s="66">
        <f t="shared" ca="1" si="2250"/>
        <v>-2.8650807926006453E-5</v>
      </c>
      <c r="DM1542" s="66">
        <f t="shared" ca="1" si="2250"/>
        <v>-2.7848424062619165E-5</v>
      </c>
      <c r="DN1542" s="66">
        <f t="shared" ca="1" si="2250"/>
        <v>-2.8244805363104832E-5</v>
      </c>
      <c r="DP1542" s="66">
        <f t="shared" ref="DP1542:DR1542" ca="1" si="2252">(DP36)*(DP$4/DP$3)/DP$1529</f>
        <v>-2.7322269862062696E-5</v>
      </c>
      <c r="DQ1542" s="66">
        <f t="shared" ca="1" si="2252"/>
        <v>-2.6765619074840713E-5</v>
      </c>
      <c r="DR1542" s="66">
        <f t="shared" ca="1" si="2252"/>
        <v>-2.7041080055502653E-5</v>
      </c>
    </row>
    <row r="1543" spans="1:128" s="21" customFormat="1" ht="13.8">
      <c r="A1543" s="21" t="s">
        <v>290</v>
      </c>
      <c r="B1543" s="27"/>
      <c r="BH1543" s="74">
        <f>(BH45)*(BH$4/BH$3)/BH$1529</f>
        <v>9.73179569327157E-3</v>
      </c>
      <c r="BI1543" s="74">
        <f>(BI45)*(BI$4/BI$3)/BI$1529</f>
        <v>9.4856019648272491E-3</v>
      </c>
      <c r="BJ1543" s="74">
        <f>(BJ45)*(BJ$4/BJ$3)/BJ$1529</f>
        <v>9.6045632781680546E-3</v>
      </c>
      <c r="BK1543" s="27"/>
      <c r="BL1543" s="74">
        <f>(BL45)*(BL$4/BL$3)/BL$1529</f>
        <v>9.5886785433891598E-3</v>
      </c>
      <c r="BM1543" s="74">
        <f>(BM45)*(BM$4/BM$3)/BM$1529</f>
        <v>9.3951339880914975E-3</v>
      </c>
      <c r="BN1543" s="74">
        <f>(BN45)*(BN$4/BN$3)/BN$1529</f>
        <v>9.4897602404268328E-3</v>
      </c>
      <c r="BO1543" s="27"/>
      <c r="BP1543" s="74">
        <f>(BP45)*(BP$4/BP$3)/BP$1529</f>
        <v>8.875974805525249E-3</v>
      </c>
      <c r="BQ1543" s="74">
        <f>(BQ45)*(BQ$4/BQ$3)/BQ$1529</f>
        <v>8.1007517599198248E-3</v>
      </c>
      <c r="BR1543" s="74">
        <f>(BR45)*(BR$4/BR$3)/BR$1529</f>
        <v>8.4779022274028368E-3</v>
      </c>
      <c r="BT1543" s="74">
        <f>(BT45)*(BT$4/BT$3)/BT$1529</f>
        <v>6.1770883754390798E-3</v>
      </c>
      <c r="BU1543" s="74">
        <f>(BU45)*(BU$4/BU$3)/BU$1529</f>
        <v>6.7907373206421368E-3</v>
      </c>
      <c r="BV1543" s="74">
        <f>(BV45)*(BV$4/BV$3)/BV$1529</f>
        <v>6.4863328813790809E-3</v>
      </c>
      <c r="BX1543" s="74">
        <f>(BX45)*(BX$4/BX$3)/BX$1529</f>
        <v>7.3302952911055812E-3</v>
      </c>
      <c r="BY1543" s="74">
        <f>(BY45)*(BY$4/BY$3)/BY$1529</f>
        <v>7.4859912515363551E-3</v>
      </c>
      <c r="BZ1543" s="74">
        <f>(BZ45)*(BZ$4/BZ$3)/BZ$1529</f>
        <v>7.4084833608336152E-3</v>
      </c>
      <c r="CB1543" s="74">
        <f>(CB45)*(CB$4/CB$3)/CB$1529</f>
        <v>7.5002460480969469E-3</v>
      </c>
      <c r="CC1543" s="74">
        <f>(CC45)*(CC$4/CC$3)/CC$1529</f>
        <v>6.2584188722451858E-3</v>
      </c>
      <c r="CD1543" s="74">
        <f>(CD45)*(CD$4/CD$3)/CD$1529</f>
        <v>6.8709995519604114E-3</v>
      </c>
      <c r="CF1543" s="74">
        <f>(CF45)*(CF$4/CF$3)/CF$1529</f>
        <v>7.3369415418356541E-3</v>
      </c>
      <c r="CG1543" s="74">
        <f>(CG45)*(CG$4/CG$3)/CG$1529</f>
        <v>5.8681280174817541E-3</v>
      </c>
      <c r="CH1543" s="74">
        <f>(CH45)*(CH$4/CH$3)/CH$1529</f>
        <v>6.5954520942854023E-3</v>
      </c>
      <c r="CJ1543" s="74">
        <f>(CJ45)*(CJ$4/CJ$3)/CJ$1529</f>
        <v>2.7619395735315102E-3</v>
      </c>
      <c r="CK1543" s="74">
        <f>(CK45)*(CK$4/CK$3)/CK$1529</f>
        <v>4.3347499061882483E-3</v>
      </c>
      <c r="CL1543" s="74">
        <f>(CL45)*(CL$4/CL$3)/CL$1529</f>
        <v>3.5702986871219383E-3</v>
      </c>
      <c r="CN1543" s="74">
        <f>(CN45)*(CN$4/CN$3)/CN$1529</f>
        <v>5.735091903566838E-3</v>
      </c>
      <c r="CO1543" s="74">
        <f>(CO45)*(CO$4/CO$3)/CO$1529</f>
        <v>6.2315698111043826E-3</v>
      </c>
      <c r="CP1543" s="74">
        <f>(CP45)*(CP$4/CP$3)/CP$1529</f>
        <v>5.9817651708393288E-3</v>
      </c>
      <c r="CR1543" s="74">
        <f>(CR45)*(CR$4/CR$3)/CR$1529</f>
        <v>6.18266268519394E-3</v>
      </c>
      <c r="CS1543" s="74">
        <f>(CS45)*(CS$4/CS$3)/CS$1529</f>
        <v>6.3891544754953516E-3</v>
      </c>
      <c r="CT1543" s="74">
        <f>(CT45)*(CT$4/CT$3)/CT$1529</f>
        <v>6.2887982169350628E-3</v>
      </c>
      <c r="CV1543" s="74">
        <f>(CV45)*(CV$4/CV$3)/CV$1529</f>
        <v>6.9036482991689969E-3</v>
      </c>
      <c r="CW1543" s="74">
        <f>(CW45)*(CW$4/CW$3)/CW$1529</f>
        <v>6.409237894207497E-3</v>
      </c>
      <c r="CX1543" s="74">
        <f>(CX45)*(CX$4/CX$3)/CX$1529</f>
        <v>6.6554261519731952E-3</v>
      </c>
      <c r="CZ1543" s="74">
        <f>(CZ45)*(CZ$4/CZ$3)/CZ$1529</f>
        <v>6.1083615076922022E-3</v>
      </c>
      <c r="DA1543" s="74">
        <f>(DA45)*(DA$4/DA$3)/DA$1529</f>
        <v>5.3701248092827168E-3</v>
      </c>
      <c r="DB1543" s="74">
        <f>(DB45)*(DB$4/DB$3)/DB$1529</f>
        <v>5.7362974993154826E-3</v>
      </c>
      <c r="DD1543" s="74">
        <f>(DD45)*(DD$4/DD$3)/DD$1529</f>
        <v>5.4292660871419554E-3</v>
      </c>
      <c r="DE1543" s="74">
        <f>(DE45)*(DE$4/DE$3)/DE$1529</f>
        <v>3.280430127255464E-3</v>
      </c>
      <c r="DF1543" s="74">
        <f>(DF45)*(DF$4/DF$3)/DF$1529</f>
        <v>4.3393333158370292E-3</v>
      </c>
      <c r="DH1543" s="74">
        <f ca="1">(DH45)*(DH$4/DH$3)/DH$1529</f>
        <v>5.4956849617315857E-3</v>
      </c>
      <c r="DI1543" s="74">
        <f ca="1">(DI45)*(DI$4/DI$3)/DI$1529</f>
        <v>5.5709623807199734E-3</v>
      </c>
      <c r="DJ1543" s="74">
        <f ca="1">(DJ45)*(DJ$4/DJ$3)/DJ$1529</f>
        <v>5.5337979377151781E-3</v>
      </c>
      <c r="DL1543" s="74">
        <f ca="1">(DL45)*(DL$4/DL$3)/DL$1529</f>
        <v>5.7019659248935149E-3</v>
      </c>
      <c r="DM1543" s="74">
        <f ca="1">(DM45)*(DM$4/DM$3)/DM$1529</f>
        <v>5.5617059089469768E-3</v>
      </c>
      <c r="DN1543" s="74">
        <f ca="1">(DN45)*(DN$4/DN$3)/DN$1529</f>
        <v>5.6310167831050677E-3</v>
      </c>
      <c r="DP1543" s="74">
        <f ca="1">(DP45)*(DP$4/DP$3)/DP$1529</f>
        <v>5.6843530988622227E-3</v>
      </c>
      <c r="DQ1543" s="74">
        <f ca="1">(DQ45)*(DQ$4/DQ$3)/DQ$1529</f>
        <v>5.7788362041259062E-3</v>
      </c>
      <c r="DR1543" s="74">
        <f ca="1">(DR45)*(DR$4/DR$3)/DR$1529</f>
        <v>5.7320808425430966E-3</v>
      </c>
    </row>
    <row r="1544" spans="1:128" s="21" customFormat="1" ht="13.8">
      <c r="A1544" s="20" t="s">
        <v>404</v>
      </c>
      <c r="B1544" s="27"/>
      <c r="BH1544" s="66">
        <f t="shared" ref="BH1544:BJ1545" si="2253">(BH44)*(BH$4/BH$3)/BH$1529</f>
        <v>-9.1925022291608024E-6</v>
      </c>
      <c r="BI1544" s="66">
        <f t="shared" si="2253"/>
        <v>-8.5972223246168421E-6</v>
      </c>
      <c r="BJ1544" s="66">
        <f t="shared" si="2253"/>
        <v>-8.8848873988603657E-6</v>
      </c>
      <c r="BK1544" s="27"/>
      <c r="BL1544" s="66">
        <f t="shared" ref="BL1544:BN1545" si="2254">(BL44)*(BL$4/BL$3)/BL$1529</f>
        <v>-8.1907846327356148E-6</v>
      </c>
      <c r="BM1544" s="66">
        <f t="shared" si="2254"/>
        <v>-7.8314537272226992E-6</v>
      </c>
      <c r="BN1544" s="66">
        <f t="shared" si="2254"/>
        <v>-8.0071103139587951E-6</v>
      </c>
      <c r="BO1544" s="27"/>
      <c r="BP1544" s="66">
        <f t="shared" ref="BP1544:BR1545" si="2255">(BP44)*(BP$4/BP$3)/BP$1529</f>
        <v>-2.4152312395987076E-6</v>
      </c>
      <c r="BQ1544" s="66">
        <f t="shared" si="2255"/>
        <v>0</v>
      </c>
      <c r="BR1544" s="66">
        <f t="shared" si="2255"/>
        <v>-1.1750384237564569E-6</v>
      </c>
      <c r="BT1544" s="66">
        <f t="shared" ref="BT1544:BV1545" si="2256">(BT44)*(BT$4/BT$3)/BT$1529</f>
        <v>0</v>
      </c>
      <c r="BU1544" s="66">
        <f t="shared" si="2256"/>
        <v>0</v>
      </c>
      <c r="BV1544" s="66">
        <f t="shared" si="2256"/>
        <v>0</v>
      </c>
      <c r="BX1544" s="66">
        <f t="shared" ref="BX1544:BZ1545" si="2257">(BX44)*(BX$4/BX$3)/BX$1529</f>
        <v>0</v>
      </c>
      <c r="BY1544" s="66">
        <f t="shared" si="2257"/>
        <v>0</v>
      </c>
      <c r="BZ1544" s="66">
        <f t="shared" si="2257"/>
        <v>0</v>
      </c>
      <c r="CB1544" s="66">
        <f t="shared" ref="CB1544:CD1545" si="2258">(CB44)*(CB$4/CB$3)/CB$1529</f>
        <v>0</v>
      </c>
      <c r="CC1544" s="66">
        <f t="shared" si="2258"/>
        <v>0</v>
      </c>
      <c r="CD1544" s="66">
        <f t="shared" si="2258"/>
        <v>0</v>
      </c>
      <c r="CF1544" s="66">
        <f t="shared" ref="CF1544:CH1545" si="2259">(CF44)*(CF$4/CF$3)/CF$1529</f>
        <v>0</v>
      </c>
      <c r="CG1544" s="66">
        <f t="shared" si="2259"/>
        <v>0</v>
      </c>
      <c r="CH1544" s="66">
        <f t="shared" si="2259"/>
        <v>0</v>
      </c>
      <c r="CJ1544" s="66">
        <f t="shared" ref="CJ1544:CL1545" si="2260">(CJ44)*(CJ$4/CJ$3)/CJ$1529</f>
        <v>0</v>
      </c>
      <c r="CK1544" s="66">
        <f t="shared" si="2260"/>
        <v>0</v>
      </c>
      <c r="CL1544" s="66">
        <f t="shared" si="2260"/>
        <v>0</v>
      </c>
      <c r="CN1544" s="66">
        <f t="shared" ref="CN1544:CP1545" si="2261">(CN44)*(CN$4/CN$3)/CN$1529</f>
        <v>0</v>
      </c>
      <c r="CO1544" s="66">
        <f t="shared" si="2261"/>
        <v>0</v>
      </c>
      <c r="CP1544" s="66">
        <f t="shared" si="2261"/>
        <v>0</v>
      </c>
      <c r="CR1544" s="66">
        <f t="shared" ref="CR1544:CT1545" si="2262">(CR44)*(CR$4/CR$3)/CR$1529</f>
        <v>0</v>
      </c>
      <c r="CS1544" s="66">
        <f t="shared" si="2262"/>
        <v>0</v>
      </c>
      <c r="CT1544" s="66">
        <f t="shared" si="2262"/>
        <v>0</v>
      </c>
      <c r="CV1544" s="66">
        <f t="shared" ref="CV1544:CX1545" si="2263">(CV44)*(CV$4/CV$3)/CV$1529</f>
        <v>0</v>
      </c>
      <c r="CW1544" s="66">
        <f t="shared" si="2263"/>
        <v>0</v>
      </c>
      <c r="CX1544" s="66">
        <f t="shared" si="2263"/>
        <v>0</v>
      </c>
      <c r="CZ1544" s="66">
        <f t="shared" ref="CZ1544:DB1545" si="2264">(CZ44)*(CZ$4/CZ$3)/CZ$1529</f>
        <v>0</v>
      </c>
      <c r="DA1544" s="66">
        <f t="shared" si="2264"/>
        <v>0</v>
      </c>
      <c r="DB1544" s="66">
        <f t="shared" si="2264"/>
        <v>0</v>
      </c>
      <c r="DD1544" s="66">
        <f t="shared" ref="DD1544:DF1545" si="2265">(DD44)*(DD$4/DD$3)/DD$1529</f>
        <v>0</v>
      </c>
      <c r="DE1544" s="66">
        <f t="shared" si="2265"/>
        <v>0</v>
      </c>
      <c r="DF1544" s="66">
        <f t="shared" si="2265"/>
        <v>0</v>
      </c>
      <c r="DH1544" s="66">
        <f t="shared" ref="DH1544:DJ1545" ca="1" si="2266">(DH44)*(DH$4/DH$3)/DH$1529</f>
        <v>0</v>
      </c>
      <c r="DI1544" s="66">
        <f t="shared" ca="1" si="2266"/>
        <v>0</v>
      </c>
      <c r="DJ1544" s="66">
        <f t="shared" ca="1" si="2266"/>
        <v>0</v>
      </c>
      <c r="DL1544" s="66">
        <f t="shared" ref="DL1544:DN1545" ca="1" si="2267">(DL44)*(DL$4/DL$3)/DL$1529</f>
        <v>0</v>
      </c>
      <c r="DM1544" s="66">
        <f t="shared" ca="1" si="2267"/>
        <v>0</v>
      </c>
      <c r="DN1544" s="66">
        <f t="shared" ca="1" si="2267"/>
        <v>0</v>
      </c>
      <c r="DP1544" s="66">
        <f t="shared" ref="DP1544:DR1544" ca="1" si="2268">(DP44)*(DP$4/DP$3)/DP$1529</f>
        <v>0</v>
      </c>
      <c r="DQ1544" s="66">
        <f t="shared" ca="1" si="2268"/>
        <v>0</v>
      </c>
      <c r="DR1544" s="66">
        <f t="shared" ca="1" si="2268"/>
        <v>0</v>
      </c>
    </row>
    <row r="1545" spans="1:128" s="21" customFormat="1" ht="13.8">
      <c r="A1545" s="21" t="s">
        <v>290</v>
      </c>
      <c r="B1545" s="27"/>
      <c r="BH1545" s="74">
        <f t="shared" si="2253"/>
        <v>9.73179569327157E-3</v>
      </c>
      <c r="BI1545" s="74">
        <f t="shared" si="2253"/>
        <v>9.4856019648272491E-3</v>
      </c>
      <c r="BJ1545" s="74">
        <f t="shared" si="2253"/>
        <v>9.6045632781680546E-3</v>
      </c>
      <c r="BK1545" s="27"/>
      <c r="BL1545" s="74">
        <f t="shared" si="2254"/>
        <v>9.5886785433891598E-3</v>
      </c>
      <c r="BM1545" s="74">
        <f t="shared" si="2254"/>
        <v>9.3951339880914975E-3</v>
      </c>
      <c r="BN1545" s="74">
        <f t="shared" si="2254"/>
        <v>9.4897602404268328E-3</v>
      </c>
      <c r="BO1545" s="27"/>
      <c r="BP1545" s="74">
        <f t="shared" si="2255"/>
        <v>8.875974805525249E-3</v>
      </c>
      <c r="BQ1545" s="74">
        <f t="shared" si="2255"/>
        <v>8.1007517599198248E-3</v>
      </c>
      <c r="BR1545" s="74">
        <f t="shared" si="2255"/>
        <v>8.4779022274028368E-3</v>
      </c>
      <c r="BT1545" s="74">
        <f t="shared" si="2256"/>
        <v>6.1770883754390798E-3</v>
      </c>
      <c r="BU1545" s="74">
        <f t="shared" si="2256"/>
        <v>6.7907373206421368E-3</v>
      </c>
      <c r="BV1545" s="74">
        <f t="shared" si="2256"/>
        <v>6.4863328813790809E-3</v>
      </c>
      <c r="BX1545" s="74">
        <f t="shared" si="2257"/>
        <v>7.3302952911055812E-3</v>
      </c>
      <c r="BY1545" s="74">
        <f t="shared" si="2257"/>
        <v>7.4859912515363551E-3</v>
      </c>
      <c r="BZ1545" s="74">
        <f t="shared" si="2257"/>
        <v>7.4084833608336152E-3</v>
      </c>
      <c r="CB1545" s="74">
        <f t="shared" si="2258"/>
        <v>7.5002460480969469E-3</v>
      </c>
      <c r="CC1545" s="74">
        <f t="shared" si="2258"/>
        <v>6.2584188722451858E-3</v>
      </c>
      <c r="CD1545" s="74">
        <f t="shared" si="2258"/>
        <v>6.8709995519604114E-3</v>
      </c>
      <c r="CF1545" s="74">
        <f t="shared" si="2259"/>
        <v>7.3369415418356541E-3</v>
      </c>
      <c r="CG1545" s="74">
        <f t="shared" si="2259"/>
        <v>5.8681280174817541E-3</v>
      </c>
      <c r="CH1545" s="74">
        <f t="shared" si="2259"/>
        <v>6.5954520942854023E-3</v>
      </c>
      <c r="CJ1545" s="74">
        <f t="shared" si="2260"/>
        <v>2.7619395735315102E-3</v>
      </c>
      <c r="CK1545" s="74">
        <f t="shared" si="2260"/>
        <v>4.3347499061882483E-3</v>
      </c>
      <c r="CL1545" s="74">
        <f t="shared" si="2260"/>
        <v>3.5702986871219383E-3</v>
      </c>
      <c r="CN1545" s="74">
        <f t="shared" si="2261"/>
        <v>5.735091903566838E-3</v>
      </c>
      <c r="CO1545" s="74">
        <f t="shared" si="2261"/>
        <v>6.2315698111043826E-3</v>
      </c>
      <c r="CP1545" s="74">
        <f t="shared" si="2261"/>
        <v>5.9817651708393288E-3</v>
      </c>
      <c r="CR1545" s="74">
        <f t="shared" si="2262"/>
        <v>6.18266268519394E-3</v>
      </c>
      <c r="CS1545" s="74">
        <f t="shared" si="2262"/>
        <v>6.3891544754953516E-3</v>
      </c>
      <c r="CT1545" s="74">
        <f t="shared" si="2262"/>
        <v>6.2887982169350628E-3</v>
      </c>
      <c r="CV1545" s="74">
        <f t="shared" si="2263"/>
        <v>6.9036482991689969E-3</v>
      </c>
      <c r="CW1545" s="74">
        <f t="shared" si="2263"/>
        <v>6.409237894207497E-3</v>
      </c>
      <c r="CX1545" s="74">
        <f t="shared" si="2263"/>
        <v>6.6554261519731952E-3</v>
      </c>
      <c r="CZ1545" s="74">
        <f t="shared" si="2264"/>
        <v>6.1083615076922022E-3</v>
      </c>
      <c r="DA1545" s="74">
        <f t="shared" si="2264"/>
        <v>5.3701248092827168E-3</v>
      </c>
      <c r="DB1545" s="74">
        <f t="shared" si="2264"/>
        <v>5.7362974993154826E-3</v>
      </c>
      <c r="DD1545" s="74">
        <f t="shared" si="2265"/>
        <v>5.4292660871419554E-3</v>
      </c>
      <c r="DE1545" s="74">
        <f t="shared" si="2265"/>
        <v>3.280430127255464E-3</v>
      </c>
      <c r="DF1545" s="74">
        <f t="shared" si="2265"/>
        <v>4.3393333158370292E-3</v>
      </c>
      <c r="DH1545" s="74">
        <f t="shared" ca="1" si="2266"/>
        <v>5.4956849617315857E-3</v>
      </c>
      <c r="DI1545" s="74">
        <f t="shared" ca="1" si="2266"/>
        <v>5.5709623807199734E-3</v>
      </c>
      <c r="DJ1545" s="74">
        <f t="shared" ca="1" si="2266"/>
        <v>5.5337979377151781E-3</v>
      </c>
      <c r="DL1545" s="74">
        <f t="shared" ca="1" si="2267"/>
        <v>5.7019659248935149E-3</v>
      </c>
      <c r="DM1545" s="74">
        <f t="shared" ca="1" si="2267"/>
        <v>5.5617059089469768E-3</v>
      </c>
      <c r="DN1545" s="74">
        <f t="shared" ca="1" si="2267"/>
        <v>5.6310167831050677E-3</v>
      </c>
      <c r="DP1545" s="74">
        <f t="shared" ref="DP1545:DR1545" ca="1" si="2269">(DP45)*(DP$4/DP$3)/DP$1529</f>
        <v>5.6843530988622227E-3</v>
      </c>
      <c r="DQ1545" s="74">
        <f t="shared" ca="1" si="2269"/>
        <v>5.7788362041259062E-3</v>
      </c>
      <c r="DR1545" s="74">
        <f t="shared" ca="1" si="2269"/>
        <v>5.7320808425430966E-3</v>
      </c>
    </row>
    <row r="1546" spans="1:128" s="20" customFormat="1" ht="13.8">
      <c r="A1546" s="20" t="s">
        <v>248</v>
      </c>
      <c r="B1546" s="49"/>
      <c r="BH1546" s="415">
        <f>+BH1547/BH1545</f>
        <v>15.912547713403516</v>
      </c>
      <c r="BI1546" s="415">
        <f>+BI1547/BI1545</f>
        <v>15.885173688775277</v>
      </c>
      <c r="BJ1546" s="415">
        <f>+BJ1547/BJ1545</f>
        <v>15.898483849703362</v>
      </c>
      <c r="BK1546" s="49"/>
      <c r="BL1546" s="415">
        <f>+BL1547/BL1545</f>
        <v>16.11476021236453</v>
      </c>
      <c r="BM1546" s="415">
        <f>+BM1547/BM1545</f>
        <v>16.28197587691259</v>
      </c>
      <c r="BN1546" s="415">
        <f>+BN1547/BN1545</f>
        <v>16.200765355760709</v>
      </c>
      <c r="BO1546" s="49"/>
      <c r="BP1546" s="415">
        <f>+BP1547/BP1545</f>
        <v>16.475584833032404</v>
      </c>
      <c r="BQ1546" s="415">
        <f>+BQ1547/BQ1545</f>
        <v>16.37447280173588</v>
      </c>
      <c r="BR1546" s="415">
        <f>+BR1547/BR1545</f>
        <v>16.419994501174529</v>
      </c>
      <c r="BT1546" s="415">
        <f>+BT1547/BT1545</f>
        <v>15.607367490859945</v>
      </c>
      <c r="BU1546" s="415">
        <f>+BU1547/BU1545</f>
        <v>16.014946139643147</v>
      </c>
      <c r="BV1546" s="415">
        <f>+BV1547/BV1545</f>
        <v>15.809724477491088</v>
      </c>
      <c r="BX1546" s="415">
        <f>+BX1547/BX1545</f>
        <v>15.782628506581151</v>
      </c>
      <c r="BY1546" s="415">
        <f>+BY1547/BY1545</f>
        <v>15.584308479111275</v>
      </c>
      <c r="BZ1546" s="415">
        <f>+BZ1547/BZ1545</f>
        <v>15.682312040098113</v>
      </c>
      <c r="CB1546" s="415">
        <f>+CB1547/CB1545</f>
        <v>15.746354210570681</v>
      </c>
      <c r="CC1546" s="415">
        <f>+CC1547/CC1545</f>
        <v>16.086334209993932</v>
      </c>
      <c r="CD1546" s="415">
        <f>+CD1547/CD1545</f>
        <v>15.882794297009715</v>
      </c>
      <c r="CF1546" s="415">
        <f>+CF1547/CF1545</f>
        <v>16.366631386186853</v>
      </c>
      <c r="CG1546" s="415">
        <f>+CG1547/CG1545</f>
        <v>16.474780665176635</v>
      </c>
      <c r="CH1546" s="415">
        <f>+CH1547/CH1545</f>
        <v>16.420257105553883</v>
      </c>
      <c r="CJ1546" s="415">
        <f>+CJ1547/CJ1545</f>
        <v>16.988112236427028</v>
      </c>
      <c r="CK1546" s="415">
        <f>+CK1547/CK1545</f>
        <v>17.694310432237071</v>
      </c>
      <c r="CL1546" s="415">
        <f>+CL1547/CL1545</f>
        <v>17.344005404692854</v>
      </c>
      <c r="CN1546" s="415">
        <f>+CN1547/CN1545</f>
        <v>16.891516825796863</v>
      </c>
      <c r="CO1546" s="415">
        <f>+CO1547/CO1545</f>
        <v>16.347184410373977</v>
      </c>
      <c r="CP1546" s="415">
        <f>+CP1547/CP1545</f>
        <v>16.616668804926551</v>
      </c>
      <c r="CR1546" s="415">
        <f>+CR1547/CR1545</f>
        <v>16.145049884881043</v>
      </c>
      <c r="CS1546" s="415">
        <f>+CS1547/CS1545</f>
        <v>16.825411913814957</v>
      </c>
      <c r="CT1546" s="415">
        <f>+CT1547/CT1545</f>
        <v>16.487920168067227</v>
      </c>
      <c r="CV1546" s="415">
        <f>+CV1547/CV1545</f>
        <v>16.451701646181835</v>
      </c>
      <c r="CW1546" s="415">
        <f>+CW1547/CW1545</f>
        <v>16.235734249446839</v>
      </c>
      <c r="CX1546" s="415">
        <f>+CX1547/CX1545</f>
        <v>16.342811867241835</v>
      </c>
      <c r="CZ1546" s="415">
        <f>+CZ1547/CZ1545</f>
        <v>16.407262672290958</v>
      </c>
      <c r="DA1546" s="415">
        <f>+DA1547/DA1545</f>
        <v>16.952959573064014</v>
      </c>
      <c r="DB1546" s="415">
        <f>+DB1547/DB1545</f>
        <v>16.677938373118618</v>
      </c>
      <c r="DD1546" s="415">
        <f>+DD1547/DD1545</f>
        <v>18.498849058192739</v>
      </c>
      <c r="DE1546" s="415">
        <f>+DE1547/DE1545</f>
        <v>18.3951652486911</v>
      </c>
      <c r="DF1546" s="415">
        <f>+DF1547/DF1545</f>
        <v>18.446084262358575</v>
      </c>
      <c r="DH1546" s="415">
        <f ca="1">+DH1547/DH1545</f>
        <v>18.221613107537092</v>
      </c>
      <c r="DI1546" s="415">
        <f ca="1">+DI1547/DI1545</f>
        <v>18.07119491077502</v>
      </c>
      <c r="DJ1546" s="415">
        <f ca="1">+DJ1547/DJ1545</f>
        <v>18.145563642131815</v>
      </c>
      <c r="DL1546" s="415">
        <f ca="1">+DL1547/DL1545</f>
        <v>18.142982397346568</v>
      </c>
      <c r="DM1546" s="415">
        <f ca="1">+DM1547/DM1545</f>
        <v>18.304203010896853</v>
      </c>
      <c r="DN1546" s="415">
        <f ca="1">+DN1547/DN1545</f>
        <v>18.224160148329961</v>
      </c>
      <c r="DP1546" s="415">
        <f ca="1">+DP1547/DP1545</f>
        <v>18.504590469754582</v>
      </c>
      <c r="DQ1546" s="415">
        <f ca="1">+DQ1547/DQ1545</f>
        <v>18.66251773520268</v>
      </c>
      <c r="DR1546" s="415">
        <f ca="1">+DR1547/DR1545</f>
        <v>18.584031259829935</v>
      </c>
    </row>
    <row r="1547" spans="1:128" s="21" customFormat="1" ht="13.8">
      <c r="A1547" s="21" t="s">
        <v>167</v>
      </c>
      <c r="B1547" s="27"/>
      <c r="BH1547" s="416">
        <f>BH1524</f>
        <v>0.1548576633062787</v>
      </c>
      <c r="BI1547" s="416">
        <f>BI1524</f>
        <v>0.15068043475386889</v>
      </c>
      <c r="BJ1547" s="416">
        <f>BJ1524</f>
        <v>0.15269799416140881</v>
      </c>
      <c r="BK1547" s="27"/>
      <c r="BL1547" s="416">
        <f>BL1524</f>
        <v>0.1545192554801611</v>
      </c>
      <c r="BM1547" s="416">
        <f>BM1524</f>
        <v>0.15297134495446732</v>
      </c>
      <c r="BN1547" s="416">
        <f>BN1524</f>
        <v>0.15374137893758244</v>
      </c>
      <c r="BO1547" s="27"/>
      <c r="BP1547" s="416">
        <f>BP1524</f>
        <v>0.14623687588428952</v>
      </c>
      <c r="BQ1547" s="416">
        <f>BQ1524</f>
        <v>0.13264553936642123</v>
      </c>
      <c r="BR1547" s="416">
        <f>BR1524</f>
        <v>0.13920710795544985</v>
      </c>
      <c r="BT1547" s="416">
        <f>BT1524</f>
        <v>9.6408088298996761E-2</v>
      </c>
      <c r="BU1547" s="416">
        <f>BU1524</f>
        <v>0.10875329243854844</v>
      </c>
      <c r="BV1547" s="416">
        <f>BV1524</f>
        <v>0.10254713572389415</v>
      </c>
      <c r="BX1547" s="416">
        <f>BX1524</f>
        <v>0.11569132742306053</v>
      </c>
      <c r="BY1547" s="416">
        <f>BY1524</f>
        <v>0.11666399693587085</v>
      </c>
      <c r="BZ1547" s="416">
        <f>BZ1524</f>
        <v>0.11618214780846753</v>
      </c>
      <c r="CB1547" s="416">
        <f>CB1524</f>
        <v>0.11810153093976747</v>
      </c>
      <c r="CC1547" s="416">
        <f>CC1524</f>
        <v>0.10067501760506938</v>
      </c>
      <c r="CD1547" s="416">
        <f>CD1524</f>
        <v>0.10913067249863313</v>
      </c>
      <c r="CF1547" s="416">
        <f>CF1524</f>
        <v>0.12008101771722557</v>
      </c>
      <c r="CG1547" s="416">
        <f>CG1524</f>
        <v>9.6676122003189702E-2</v>
      </c>
      <c r="CH1547" s="416">
        <f>CH1524</f>
        <v>0.10829901911553011</v>
      </c>
      <c r="CJ1547" s="416">
        <f>CJ1524</f>
        <v>4.6920139465382697E-2</v>
      </c>
      <c r="CK1547" s="416">
        <f>CK1524</f>
        <v>7.6700410486205378E-2</v>
      </c>
      <c r="CL1547" s="416">
        <f>CL1524</f>
        <v>6.1923279725810701E-2</v>
      </c>
      <c r="CN1547" s="416">
        <f>CN1524</f>
        <v>9.6874401386590606E-2</v>
      </c>
      <c r="CO1547" s="416">
        <f>CO1524</f>
        <v>0.10186862086824268</v>
      </c>
      <c r="CP1547" s="416">
        <f>CP1524</f>
        <v>9.9397010712682018E-2</v>
      </c>
      <c r="CR1547" s="416">
        <f>CR1524</f>
        <v>9.9819397473848742E-2</v>
      </c>
      <c r="CS1547" s="416">
        <f>CS1524</f>
        <v>0.10750015583120363</v>
      </c>
      <c r="CT1547" s="416">
        <f>CT1524</f>
        <v>0.10368920295390884</v>
      </c>
      <c r="CV1547" s="416">
        <f>CV1524</f>
        <v>0.11357676208809901</v>
      </c>
      <c r="CW1547" s="416">
        <f>CW1524</f>
        <v>0.1040586831918372</v>
      </c>
      <c r="CX1547" s="416">
        <f>CX1524</f>
        <v>0.10876837749801919</v>
      </c>
      <c r="CZ1547" s="416">
        <f>CZ1524</f>
        <v>0.10022149175401718</v>
      </c>
      <c r="DA1547" s="416">
        <f>DA1524</f>
        <v>9.1039508794077989E-2</v>
      </c>
      <c r="DB1547" s="416">
        <f>DB1524</f>
        <v>9.5669616183458053E-2</v>
      </c>
      <c r="DD1547" s="416">
        <f>DD1524</f>
        <v>0.10043517384280375</v>
      </c>
      <c r="DE1547" s="416">
        <f>DE1524</f>
        <v>6.034405427764903E-2</v>
      </c>
      <c r="DF1547" s="416">
        <f>DF1524</f>
        <v>8.004370798638967E-2</v>
      </c>
      <c r="DH1547" s="416">
        <f ca="1">DH1524</f>
        <v>0.10014024513358274</v>
      </c>
      <c r="DI1547" s="416">
        <f ca="1">DI1524</f>
        <v>0.10067394702258588</v>
      </c>
      <c r="DJ1547" s="416">
        <f ca="1">DJ1524</f>
        <v>0.10041388266150855</v>
      </c>
      <c r="DL1547" s="416">
        <f ca="1">DL1524</f>
        <v>0.10345066740561298</v>
      </c>
      <c r="DM1547" s="416">
        <f ca="1">DM1524</f>
        <v>0.10180259404427007</v>
      </c>
      <c r="DN1547" s="416">
        <f ca="1">DN1524</f>
        <v>0.10262055165324055</v>
      </c>
      <c r="DP1547" s="416">
        <f ca="1">DP1524</f>
        <v>0.10518662617992582</v>
      </c>
      <c r="DQ1547" s="416">
        <f ca="1">DQ1524</f>
        <v>0.10784763314833107</v>
      </c>
      <c r="DR1547" s="416">
        <f ca="1">DR1524</f>
        <v>0.10652516956169322</v>
      </c>
    </row>
    <row r="1548" spans="1:128" s="21" customFormat="1" ht="13.8">
      <c r="A1548" s="20" t="s">
        <v>405</v>
      </c>
      <c r="B1548" s="27"/>
      <c r="BH1548" s="77">
        <f>BH32*(BH$4/BH$3)/BH1530</f>
        <v>3.1383450607089872E-2</v>
      </c>
      <c r="BI1548" s="77">
        <f>BI32*(BI$4/BI$3)/BI1530</f>
        <v>3.0654237762725293E-2</v>
      </c>
      <c r="BJ1548" s="77">
        <f>BJ32*(BJ$4/BJ$3)/BJ1530</f>
        <v>2.987045524884677E-2</v>
      </c>
      <c r="BK1548" s="361"/>
      <c r="BL1548" s="77">
        <f>BL32*(BL$4/BL$3)/BL1530</f>
        <v>3.083855523480955E-2</v>
      </c>
      <c r="BM1548" s="77">
        <f>BM32*(BM$4/BM$3)/BM1530</f>
        <v>3.0022872591699806E-2</v>
      </c>
      <c r="BN1548" s="77">
        <f>BN32*(BN$4/BN$3)/BN1530</f>
        <v>3.0873551999589039E-2</v>
      </c>
      <c r="BO1548" s="361"/>
      <c r="BP1548" s="77">
        <f>BP32*(BP$4/BP$3)/BP1530</f>
        <v>2.9970190153623434E-2</v>
      </c>
      <c r="BQ1548" s="77">
        <f>BQ32*(BQ$4/BQ$3)/BQ1530</f>
        <v>2.8153091366563587E-2</v>
      </c>
      <c r="BR1548" s="77">
        <f>BR32*(BR$4/BR$3)/BR1530</f>
        <v>2.923247400670102E-2</v>
      </c>
      <c r="BS1548" s="417"/>
      <c r="BT1548" s="77">
        <f>BT32*(BT$4/BT$3)/BT1530</f>
        <v>2.4482709750566892E-2</v>
      </c>
      <c r="BU1548" s="77">
        <f>BU32*(BU$4/BU$3)/BU1530</f>
        <v>2.6692867638662496E-2</v>
      </c>
      <c r="BV1548" s="77">
        <f>BV32*(BV$4/BV$3)/BV1530</f>
        <v>2.5058018380815256E-2</v>
      </c>
      <c r="BW1548" s="417"/>
      <c r="BX1548" s="77">
        <f>BX32*(BX$4/BX$3)/BX1530</f>
        <v>2.7328348383384118E-2</v>
      </c>
      <c r="BY1548" s="77">
        <f>BY32*(BY$4/BY$3)/BY1530</f>
        <v>2.7128515358093318E-2</v>
      </c>
      <c r="BZ1548" s="77">
        <f>BZ32*(BZ$4/BZ$3)/BZ1530</f>
        <v>2.7132844396926328E-2</v>
      </c>
      <c r="CB1548" s="77">
        <f>CB32*(CB$4/CB$3)/CB1530</f>
        <v>2.750995398633569E-2</v>
      </c>
      <c r="CC1548" s="77">
        <f>CC32*(CC$4/CC$3)/CC1530</f>
        <v>2.3170779412800317E-2</v>
      </c>
      <c r="CD1548" s="77">
        <f>CD32*(CD$4/CD$3)/CD1530</f>
        <v>2.5490675032259796E-2</v>
      </c>
      <c r="CF1548" s="77">
        <f>CF32*(CF$4/CF$3)/CF1530</f>
        <v>2.7420696532168738E-2</v>
      </c>
      <c r="CG1548" s="77">
        <f>CG32*(CG$4/CG$3)/CG1530</f>
        <v>2.2450578839125514E-2</v>
      </c>
      <c r="CH1548" s="77">
        <f>CH32*(CH$4/CH$3)/CH1530</f>
        <v>2.465519738642033E-2</v>
      </c>
      <c r="CJ1548" s="77">
        <f>CJ32*(CJ$4/CJ$3)/CJ1530</f>
        <v>1.8356230506031943E-2</v>
      </c>
      <c r="CK1548" s="77">
        <f>CK32*(CK$4/CK$3)/CK1530</f>
        <v>2.0013752339491528E-2</v>
      </c>
      <c r="CL1548" s="77">
        <f>CL32*(CL$4/CL$3)/CL1530</f>
        <v>1.977680496724149E-2</v>
      </c>
      <c r="CN1548" s="77">
        <f>CN32*(CN$4/CN$3)/CN1530</f>
        <v>1.8873270482129653E-2</v>
      </c>
      <c r="CO1548" s="77">
        <f>CO32*(CO$4/CO$3)/CO1530</f>
        <v>2.1560531822076057E-2</v>
      </c>
      <c r="CP1548" s="77">
        <f>CP32*(CP$4/CP$3)/CP1530</f>
        <v>1.9861142323204843E-2</v>
      </c>
      <c r="CR1548" s="77">
        <f>CR32*(CR$4/CR$3)/CR1530</f>
        <v>1.9524308449549319E-2</v>
      </c>
      <c r="CS1548" s="77">
        <f>CS32*(CS$4/CS$3)/CS1530</f>
        <v>2.149990899347469E-2</v>
      </c>
      <c r="CT1548" s="77">
        <f>CT32*(CT$4/CT$3)/CT1530</f>
        <v>2.0597057431982396E-2</v>
      </c>
      <c r="CV1548" s="77">
        <f>CV32*(CV$4/CV$3)/CV1530</f>
        <v>2.4974289245449345E-2</v>
      </c>
      <c r="CW1548" s="77">
        <f>CW32*(CW$4/CW$3)/CW1530</f>
        <v>2.3980126896962408E-2</v>
      </c>
      <c r="CX1548" s="77">
        <f>CX32*(CX$4/CX$3)/CX1530</f>
        <v>2.4246519039012662E-2</v>
      </c>
      <c r="CZ1548" s="77">
        <f>CZ32*(CZ$4/CZ$3)/CZ1530</f>
        <v>2.3701486884977127E-2</v>
      </c>
      <c r="DA1548" s="77">
        <f>DA32*(DA$4/DA$3)/DA1530</f>
        <v>2.2452667334575901E-2</v>
      </c>
      <c r="DB1548" s="77">
        <f>DB32*(DB$4/DB$3)/DB1530</f>
        <v>2.2884184614545368E-2</v>
      </c>
      <c r="DD1548" s="77">
        <f>DD32*(DD$4/DD$3)/DD1530</f>
        <v>2.3012409906633356E-2</v>
      </c>
      <c r="DE1548" s="77">
        <f>DE32*(DE$4/DE$3)/DE1530</f>
        <v>1.6196330456985038E-2</v>
      </c>
      <c r="DF1548" s="77">
        <f>DF32*(DF$4/DF$3)/DF1530</f>
        <v>1.9928651054159131E-2</v>
      </c>
      <c r="DH1548" s="77">
        <f ca="1">DH32*(DH$4/DH$3)/DH1530</f>
        <v>2.3769269970122669E-2</v>
      </c>
      <c r="DI1548" s="77">
        <f ca="1">DI32*(DI$4/DI$3)/DI1530</f>
        <v>2.4492489648836852E-2</v>
      </c>
      <c r="DJ1548" s="77">
        <f ca="1">DJ32*(DJ$4/DJ$3)/DJ1530</f>
        <v>2.4129992519525929E-2</v>
      </c>
      <c r="DL1548" s="77">
        <f ca="1">DL32*(DL$4/DL$3)/DL1530</f>
        <v>2.5322555867512614E-2</v>
      </c>
      <c r="DM1548" s="77">
        <f ca="1">DM32*(DM$4/DM$3)/DM1530</f>
        <v>2.4904877242700584E-2</v>
      </c>
      <c r="DN1548" s="77">
        <f ca="1">DN32*(DN$4/DN$3)/DN1530</f>
        <v>2.5088452351787496E-2</v>
      </c>
      <c r="DP1548" s="77">
        <f ca="1">DP32*(DP$4/DP$3)/DP1530</f>
        <v>2.5625569395144474E-2</v>
      </c>
      <c r="DQ1548" s="77">
        <f ca="1">DQ32*(DQ$4/DQ$3)/DQ1530</f>
        <v>2.6040278414160602E-2</v>
      </c>
      <c r="DR1548" s="77">
        <f ca="1">DR32*(DR$4/DR$3)/DR1530</f>
        <v>2.5873971752588428E-2</v>
      </c>
    </row>
    <row r="1549" spans="1:128" s="20" customFormat="1" ht="13.8">
      <c r="A1549" s="20" t="s">
        <v>702</v>
      </c>
      <c r="B1549" s="49"/>
      <c r="BH1549" s="77">
        <f>BH1523*(BH$4/BH$3)/BH1530</f>
        <v>1.9745213773398853E-2</v>
      </c>
      <c r="BI1549" s="77">
        <f>BI1523*(BI$4/BI$3)/BI1530</f>
        <v>1.9949965983999358E-2</v>
      </c>
      <c r="BJ1549" s="77">
        <f>BJ1523*(BJ$4/BJ$3)/BJ1530</f>
        <v>1.9117798770872326E-2</v>
      </c>
      <c r="BK1549" s="77"/>
      <c r="BL1549" s="77">
        <f>BL1523*(BL$4/BL$3)/BL1530</f>
        <v>2.0123561126839676E-2</v>
      </c>
      <c r="BM1549" s="77">
        <f>BM1523*(BM$4/BM$3)/BM1530</f>
        <v>1.9877174109184621E-2</v>
      </c>
      <c r="BN1549" s="77">
        <f>BN1523*(BN$4/BN$3)/BN1530</f>
        <v>2.0294123522747055E-2</v>
      </c>
      <c r="BO1549" s="77"/>
      <c r="BP1549" s="77">
        <f>BP1523*(BP$4/BP$3)/BP1530</f>
        <v>1.9696074537654887E-2</v>
      </c>
      <c r="BQ1549" s="77">
        <f>BQ1523*(BQ$4/BQ$3)/BQ1530</f>
        <v>1.7902271140225454E-2</v>
      </c>
      <c r="BR1549" s="77">
        <f>BR1523*(BR$4/BR$3)/BR1530</f>
        <v>1.890064521537305E-2</v>
      </c>
      <c r="BS1549" s="82"/>
      <c r="BT1549" s="77">
        <f>BT1523*(BT$4/BT$3)/BT1530</f>
        <v>1.4081227729186912E-2</v>
      </c>
      <c r="BU1549" s="77">
        <f>BU1523*(BU$4/BU$3)/BU1530</f>
        <v>1.5595099615141854E-2</v>
      </c>
      <c r="BV1549" s="77">
        <f>BV1523*(BV$4/BV$3)/BV1530</f>
        <v>1.4531429861607192E-2</v>
      </c>
      <c r="BW1549" s="82"/>
      <c r="BX1549" s="77">
        <f>BX1523*(BX$4/BX$3)/BX1530</f>
        <v>1.6703699913691698E-2</v>
      </c>
      <c r="BY1549" s="77">
        <f>BY1523*(BY$4/BY$3)/BY1530</f>
        <v>1.7481696277398196E-2</v>
      </c>
      <c r="BZ1549" s="77">
        <f>BZ1523*(BZ$4/BZ$3)/BZ1530</f>
        <v>1.702899230331564E-2</v>
      </c>
      <c r="CB1549" s="77">
        <f>CB1523*(CB$4/CB$3)/CB1530</f>
        <v>1.7804756211649168E-2</v>
      </c>
      <c r="CC1549" s="77">
        <f>CC1523*(CC$4/CC$3)/CC1530</f>
        <v>1.5183478564658383E-2</v>
      </c>
      <c r="CD1549" s="77">
        <f>CD1523*(CD$4/CD$3)/CD1530</f>
        <v>1.6592214422463305E-2</v>
      </c>
      <c r="CF1549" s="77">
        <f>CF1523*(CF$4/CF$3)/CF1530</f>
        <v>1.8161561501700313E-2</v>
      </c>
      <c r="CG1549" s="77">
        <f>CG1523*(CG$4/CG$3)/CG1530</f>
        <v>1.4254180053855965E-2</v>
      </c>
      <c r="CH1549" s="77">
        <f>CH1523*(CH$4/CH$3)/CH1530</f>
        <v>1.6019193320961994E-2</v>
      </c>
      <c r="CJ1549" s="77">
        <f>CJ1523*(CJ$4/CJ$3)/CJ1530</f>
        <v>6.5267623817370753E-3</v>
      </c>
      <c r="CK1549" s="77">
        <f>CK1523*(CK$4/CK$3)/CK1530</f>
        <v>1.0678555002527334E-2</v>
      </c>
      <c r="CL1549" s="77">
        <f>CL1523*(CL$4/CL$3)/CL1530</f>
        <v>8.8805392599944459E-3</v>
      </c>
      <c r="CN1549" s="77">
        <f>CN1523*(CN$4/CN$3)/CN1530</f>
        <v>1.4318974560154192E-2</v>
      </c>
      <c r="CO1549" s="77">
        <f>CO1523*(CO$4/CO$3)/CO1530</f>
        <v>1.5525518762114478E-2</v>
      </c>
      <c r="CP1549" s="77">
        <f>CP1523*(CP$4/CP$3)/CP1530</f>
        <v>1.4661667474895621E-2</v>
      </c>
      <c r="CR1549" s="77">
        <f>CR1523*(CR$4/CR$3)/CR1530</f>
        <v>1.4620921867560026E-2</v>
      </c>
      <c r="CS1549" s="77">
        <f>CS1523*(CS$4/CS$3)/CS1530</f>
        <v>1.5203219787113049E-2</v>
      </c>
      <c r="CT1549" s="77">
        <f>CT1523*(CT$4/CT$3)/CT1530</f>
        <v>1.4963183448858755E-2</v>
      </c>
      <c r="CV1549" s="77">
        <f>CV1523*(CV$4/CV$3)/CV1530</f>
        <v>1.7251768630854328E-2</v>
      </c>
      <c r="CW1549" s="77">
        <f>CW1523*(CW$4/CW$3)/CW1530</f>
        <v>1.6455059314323811E-2</v>
      </c>
      <c r="CX1549" s="77">
        <f>CX1523*(CX$4/CX$3)/CX1530</f>
        <v>1.6695099910477511E-2</v>
      </c>
      <c r="CZ1549" s="77">
        <f>CZ1523*(CZ$4/CZ$3)/CZ1530</f>
        <v>1.6404458576663828E-2</v>
      </c>
      <c r="DA1549" s="77">
        <f>DA1523*(DA$4/DA$3)/DA1530</f>
        <v>1.4433207749718261E-2</v>
      </c>
      <c r="DB1549" s="77">
        <f>DB1523*(DB$4/DB$3)/DB1530</f>
        <v>1.5285671586493603E-2</v>
      </c>
      <c r="DD1549" s="77">
        <f>DD1523*(DD$4/DD$3)/DD1530</f>
        <v>1.5630740252592389E-2</v>
      </c>
      <c r="DE1549" s="77">
        <f>DE1523*(DE$4/DE$3)/DE1530</f>
        <v>9.5431909941714813E-3</v>
      </c>
      <c r="DF1549" s="77">
        <f>DF1523*(DF$4/DF$3)/DF1530</f>
        <v>1.278712758070949E-2</v>
      </c>
      <c r="DH1549" s="77">
        <f ca="1">DH1523*(DH$4/DH$3)/DH1530</f>
        <v>1.6031409561180442E-2</v>
      </c>
      <c r="DI1549" s="77">
        <f ca="1">DI1523*(DI$4/DI$3)/DI1530</f>
        <v>1.6158124678197487E-2</v>
      </c>
      <c r="DJ1549" s="77">
        <f ca="1">DJ1523*(DJ$4/DJ$3)/DJ1530</f>
        <v>1.60919290691563E-2</v>
      </c>
      <c r="DL1549" s="77">
        <f ca="1">DL1523*(DL$4/DL$3)/DL1530</f>
        <v>1.6610790341712076E-2</v>
      </c>
      <c r="DM1549" s="77">
        <f ca="1">DM1523*(DM$4/DM$3)/DM1530</f>
        <v>1.6309260194313693E-2</v>
      </c>
      <c r="DN1549" s="77">
        <f ca="1">DN1523*(DN$4/DN$3)/DN1530</f>
        <v>1.6443315250851635E-2</v>
      </c>
      <c r="DP1549" s="77">
        <f ca="1">DP1523*(DP$4/DP$3)/DP1530</f>
        <v>1.6689922263022561E-2</v>
      </c>
      <c r="DQ1549" s="77">
        <f ca="1">DQ1523*(DQ$4/DQ$3)/DQ1530</f>
        <v>1.6981657734842566E-2</v>
      </c>
      <c r="DR1549" s="77">
        <f ca="1">DR1523*(DR$4/DR$3)/DR1530</f>
        <v>1.6862647706200991E-2</v>
      </c>
    </row>
    <row r="1551" spans="1:128" s="318" customFormat="1" ht="13.8">
      <c r="A1551" s="316" t="s">
        <v>849</v>
      </c>
      <c r="B1551" s="317"/>
      <c r="BH1551" s="319"/>
      <c r="BI1551" s="319"/>
      <c r="BJ1551" s="317"/>
      <c r="BK1551" s="317"/>
      <c r="BL1551" s="319"/>
      <c r="BM1551" s="319"/>
      <c r="BN1551" s="317"/>
      <c r="BO1551" s="317"/>
      <c r="BP1551" s="317"/>
      <c r="BX1551" s="317"/>
      <c r="DT1551" s="742"/>
      <c r="DU1551" s="742"/>
      <c r="DV1551" s="742"/>
      <c r="DW1551" s="20"/>
      <c r="DX1551" s="20"/>
    </row>
    <row r="1552" spans="1:128" s="622" customFormat="1" ht="13.8"/>
    <row r="1553" spans="1:122" s="622" customFormat="1" ht="13.8">
      <c r="A1553" s="622" t="s">
        <v>708</v>
      </c>
      <c r="BT1553" s="623">
        <f>BT34</f>
        <v>3919</v>
      </c>
      <c r="BU1553" s="623">
        <f>BU34</f>
        <v>4280</v>
      </c>
      <c r="BV1553" s="623">
        <f>BV34</f>
        <v>8199</v>
      </c>
      <c r="BX1553" s="623">
        <f>BX34</f>
        <v>4769</v>
      </c>
      <c r="BY1553" s="623">
        <f>BY34</f>
        <v>4881</v>
      </c>
      <c r="BZ1553" s="623">
        <f>BZ34</f>
        <v>9650</v>
      </c>
      <c r="CB1553" s="623">
        <f>CB34</f>
        <v>4989</v>
      </c>
      <c r="CC1553" s="623">
        <f>CC34</f>
        <v>4289</v>
      </c>
      <c r="CD1553" s="623">
        <f>CD34</f>
        <v>9278</v>
      </c>
      <c r="CF1553" s="623">
        <f>CF34</f>
        <v>4988</v>
      </c>
      <c r="CG1553" s="623">
        <f>CG34</f>
        <v>4175</v>
      </c>
      <c r="CH1553" s="623">
        <f>CH34</f>
        <v>9163</v>
      </c>
      <c r="CJ1553" s="623">
        <f>CJ34</f>
        <v>2300</v>
      </c>
      <c r="CK1553" s="623">
        <f>CK34</f>
        <v>3331</v>
      </c>
      <c r="CL1553" s="623">
        <f>CL34</f>
        <v>5631</v>
      </c>
      <c r="CN1553" s="623">
        <f>CN34</f>
        <v>4432</v>
      </c>
      <c r="CO1553" s="623">
        <f>CO34</f>
        <v>4531</v>
      </c>
      <c r="CP1553" s="623">
        <f>CP34</f>
        <v>8963</v>
      </c>
      <c r="CR1553" s="623">
        <f>CR34</f>
        <v>4441</v>
      </c>
      <c r="CS1553" s="623">
        <f>CS34</f>
        <v>4759</v>
      </c>
      <c r="CT1553" s="623">
        <f>CT34</f>
        <v>9200</v>
      </c>
      <c r="CV1553" s="623">
        <f>CV34</f>
        <v>5410</v>
      </c>
      <c r="CW1553" s="623">
        <f>CW34</f>
        <v>5111</v>
      </c>
      <c r="CX1553" s="623">
        <f>CX34</f>
        <v>10521</v>
      </c>
      <c r="CZ1553" s="623">
        <f>CZ34</f>
        <v>5062</v>
      </c>
      <c r="DA1553" s="623">
        <f>DA34</f>
        <v>4600</v>
      </c>
      <c r="DB1553" s="623">
        <f>DB34</f>
        <v>9662</v>
      </c>
      <c r="DD1553" s="623">
        <f>DD34</f>
        <v>5108</v>
      </c>
      <c r="DE1553" s="623">
        <f>DE34</f>
        <v>3470</v>
      </c>
      <c r="DF1553" s="623">
        <f>DF34</f>
        <v>8578</v>
      </c>
      <c r="DH1553" s="623">
        <f ca="1">DH34</f>
        <v>5278.7994823128574</v>
      </c>
      <c r="DI1553" s="623">
        <f ca="1">DI34</f>
        <v>5455.7317943963817</v>
      </c>
      <c r="DJ1553" s="623">
        <f ca="1">DJ34</f>
        <v>10734.531276709238</v>
      </c>
      <c r="DL1553" s="623">
        <f ca="1">DL34</f>
        <v>5674.209532789715</v>
      </c>
      <c r="DM1553" s="623">
        <f ca="1">DM34</f>
        <v>5693.9996637492177</v>
      </c>
      <c r="DN1553" s="623">
        <f ca="1">DN34</f>
        <v>11368.209196538934</v>
      </c>
      <c r="DP1553" s="623">
        <f ca="1">DP34</f>
        <v>5930.4495787365759</v>
      </c>
      <c r="DQ1553" s="623">
        <f ca="1">DQ34</f>
        <v>6153.3388636336877</v>
      </c>
      <c r="DR1553" s="623">
        <f ca="1">DR34</f>
        <v>12083.788442370267</v>
      </c>
    </row>
    <row r="1554" spans="1:122" s="622" customFormat="1" ht="13.8">
      <c r="A1554" s="622" t="s">
        <v>790</v>
      </c>
      <c r="BT1554" s="623">
        <f>BT1580</f>
        <v>-617</v>
      </c>
      <c r="BU1554" s="623">
        <f>BU1580</f>
        <v>-271</v>
      </c>
      <c r="BV1554" s="623">
        <f>BV1580</f>
        <v>-657</v>
      </c>
      <c r="BX1554" s="623">
        <f>BX1580</f>
        <v>-266</v>
      </c>
      <c r="BY1554" s="623">
        <f>BY1580</f>
        <v>0</v>
      </c>
      <c r="BZ1554" s="623">
        <f>BZ1580</f>
        <v>58</v>
      </c>
      <c r="CB1554" s="623">
        <f>CB1580</f>
        <v>0</v>
      </c>
      <c r="CC1554" s="623">
        <f>CC1580</f>
        <v>0</v>
      </c>
      <c r="CD1554" s="623">
        <f>CD1580</f>
        <v>0</v>
      </c>
      <c r="CF1554" s="623">
        <f>CF1580</f>
        <v>0</v>
      </c>
      <c r="CG1554" s="623">
        <f>CG1580</f>
        <v>0</v>
      </c>
      <c r="CH1554" s="623">
        <f>CH1580</f>
        <v>0</v>
      </c>
      <c r="CJ1554" s="623">
        <f>CJ1580</f>
        <v>0</v>
      </c>
      <c r="CK1554" s="623">
        <f>CK1580</f>
        <v>0</v>
      </c>
      <c r="CL1554" s="623">
        <f>CL1580</f>
        <v>0</v>
      </c>
      <c r="CN1554" s="623">
        <f>CN1580</f>
        <v>0</v>
      </c>
      <c r="CO1554" s="623">
        <f>CO1580</f>
        <v>0</v>
      </c>
      <c r="CP1554" s="623">
        <f>CP1580</f>
        <v>0</v>
      </c>
      <c r="CR1554" s="623">
        <f>CR1580</f>
        <v>0</v>
      </c>
      <c r="CS1554" s="623">
        <f>CS1580</f>
        <v>0</v>
      </c>
      <c r="CT1554" s="623">
        <f>CT1580</f>
        <v>0</v>
      </c>
      <c r="CV1554" s="623">
        <f>CV1580</f>
        <v>0</v>
      </c>
      <c r="CW1554" s="623">
        <f>CW1580</f>
        <v>0</v>
      </c>
      <c r="CX1554" s="623">
        <f>CX1580</f>
        <v>0</v>
      </c>
      <c r="CZ1554" s="623">
        <f>CZ1580</f>
        <v>0</v>
      </c>
      <c r="DA1554" s="623">
        <f>DA1580</f>
        <v>0</v>
      </c>
      <c r="DB1554" s="623">
        <f>DB1580</f>
        <v>0</v>
      </c>
      <c r="DD1554" s="623">
        <f>DD1580</f>
        <v>0</v>
      </c>
      <c r="DE1554" s="623">
        <f>DE1580</f>
        <v>0</v>
      </c>
      <c r="DF1554" s="623">
        <f>DF1580</f>
        <v>0</v>
      </c>
      <c r="DH1554" s="623">
        <f>DH1580</f>
        <v>0</v>
      </c>
      <c r="DI1554" s="623">
        <f>DI1580</f>
        <v>0</v>
      </c>
      <c r="DJ1554" s="623">
        <f>DJ1580</f>
        <v>0</v>
      </c>
      <c r="DL1554" s="623">
        <f>DL1580</f>
        <v>0</v>
      </c>
      <c r="DM1554" s="623">
        <f>DM1580</f>
        <v>0</v>
      </c>
      <c r="DN1554" s="623">
        <f>DN1580</f>
        <v>0</v>
      </c>
      <c r="DP1554" s="623">
        <f>DP1580</f>
        <v>0</v>
      </c>
      <c r="DQ1554" s="623">
        <f>DQ1580</f>
        <v>0</v>
      </c>
      <c r="DR1554" s="623">
        <f>DR1580</f>
        <v>0</v>
      </c>
    </row>
    <row r="1555" spans="1:122" s="622" customFormat="1" ht="13.8">
      <c r="A1555" s="622" t="s">
        <v>862</v>
      </c>
      <c r="BT1555" s="72">
        <f>+BT1553-BT1554</f>
        <v>4536</v>
      </c>
      <c r="BU1555" s="72">
        <f>+BU1553-BU1554</f>
        <v>4551</v>
      </c>
      <c r="BV1555" s="72">
        <f>+BV1553-BV1554</f>
        <v>8856</v>
      </c>
      <c r="BX1555" s="72">
        <f>+BX1553-BX1554</f>
        <v>5035</v>
      </c>
      <c r="BY1555" s="72">
        <f>+BY1553-BY1554</f>
        <v>4881</v>
      </c>
      <c r="BZ1555" s="72">
        <f>+BZ1553-BZ1554</f>
        <v>9592</v>
      </c>
      <c r="CB1555" s="72">
        <f>+CB1553-CB1554</f>
        <v>4989</v>
      </c>
      <c r="CC1555" s="72">
        <f>+CC1553-CC1554</f>
        <v>4289</v>
      </c>
      <c r="CD1555" s="72">
        <f>+CD1553-CD1554</f>
        <v>9278</v>
      </c>
      <c r="CF1555" s="72">
        <f>+CF1553-CF1554</f>
        <v>4988</v>
      </c>
      <c r="CG1555" s="72">
        <f>+CG1553-CG1554</f>
        <v>4175</v>
      </c>
      <c r="CH1555" s="72">
        <f>+CH1553-CH1554</f>
        <v>9163</v>
      </c>
      <c r="CJ1555" s="72">
        <f>+CJ1553-CJ1554</f>
        <v>2300</v>
      </c>
      <c r="CK1555" s="72">
        <f>+CK1553-CK1554</f>
        <v>3331</v>
      </c>
      <c r="CL1555" s="72">
        <f>+CL1553-CL1554</f>
        <v>5631</v>
      </c>
      <c r="CN1555" s="72">
        <f>+CN1553-CN1554</f>
        <v>4432</v>
      </c>
      <c r="CO1555" s="72">
        <f>+CO1553-CO1554</f>
        <v>4531</v>
      </c>
      <c r="CP1555" s="72">
        <f>+CP1553-CP1554</f>
        <v>8963</v>
      </c>
      <c r="CR1555" s="72">
        <f>+CR1553-CR1554</f>
        <v>4441</v>
      </c>
      <c r="CS1555" s="72">
        <f>+CS1553-CS1554</f>
        <v>4759</v>
      </c>
      <c r="CT1555" s="72">
        <f>+CT1553-CT1554</f>
        <v>9200</v>
      </c>
      <c r="CV1555" s="72">
        <f>+CV1553-CV1554</f>
        <v>5410</v>
      </c>
      <c r="CW1555" s="72">
        <f>+CW1553-CW1554</f>
        <v>5111</v>
      </c>
      <c r="CX1555" s="72">
        <f>+CX1553-CX1554</f>
        <v>10521</v>
      </c>
      <c r="CZ1555" s="72">
        <f>+CZ1553-CZ1554</f>
        <v>5062</v>
      </c>
      <c r="DA1555" s="72">
        <f>+DA1553-DA1554</f>
        <v>4600</v>
      </c>
      <c r="DB1555" s="72">
        <f>+DB1553-DB1554</f>
        <v>9662</v>
      </c>
      <c r="DD1555" s="72">
        <f>+DD1553-DD1554</f>
        <v>5108</v>
      </c>
      <c r="DE1555" s="72">
        <f>+DE1553-DE1554</f>
        <v>3470</v>
      </c>
      <c r="DF1555" s="72">
        <f>+DF1553-DF1554</f>
        <v>8578</v>
      </c>
      <c r="DH1555" s="72">
        <f ca="1">+DH1553-DH1554</f>
        <v>5278.7994823128574</v>
      </c>
      <c r="DI1555" s="72">
        <f ca="1">+DI1553-DI1554</f>
        <v>5455.7317943963817</v>
      </c>
      <c r="DJ1555" s="72">
        <f ca="1">+DJ1553-DJ1554</f>
        <v>10734.531276709238</v>
      </c>
      <c r="DL1555" s="72">
        <f ca="1">+DL1553-DL1554</f>
        <v>5674.209532789715</v>
      </c>
      <c r="DM1555" s="72">
        <f ca="1">+DM1553-DM1554</f>
        <v>5693.9996637492177</v>
      </c>
      <c r="DN1555" s="72">
        <f ca="1">+DN1553-DN1554</f>
        <v>11368.209196538934</v>
      </c>
      <c r="DP1555" s="72">
        <f ca="1">+DP1553-DP1554</f>
        <v>5930.4495787365759</v>
      </c>
      <c r="DQ1555" s="72">
        <f ca="1">+DQ1553-DQ1554</f>
        <v>6153.3388636336877</v>
      </c>
      <c r="DR1555" s="72">
        <f ca="1">+DR1553-DR1554</f>
        <v>12083.788442370267</v>
      </c>
    </row>
    <row r="1556" spans="1:122" s="622" customFormat="1" ht="13.8"/>
    <row r="1557" spans="1:122" s="622" customFormat="1" ht="13.8">
      <c r="A1557" s="622" t="s">
        <v>493</v>
      </c>
      <c r="BT1557" s="623">
        <f>BT35</f>
        <v>-1133</v>
      </c>
      <c r="BU1557" s="623">
        <f>BU35</f>
        <v>-1166</v>
      </c>
      <c r="BV1557" s="623">
        <f>BV35</f>
        <v>-2299</v>
      </c>
      <c r="BX1557" s="623">
        <f>BX35</f>
        <v>-1406</v>
      </c>
      <c r="BY1557" s="623">
        <f>BY35</f>
        <v>-1420</v>
      </c>
      <c r="BZ1557" s="623">
        <f>BZ35</f>
        <v>-2826</v>
      </c>
      <c r="CB1557" s="623">
        <f>CB35</f>
        <v>-1489</v>
      </c>
      <c r="CC1557" s="623">
        <f>CC35</f>
        <v>-1286</v>
      </c>
      <c r="CD1557" s="623">
        <f>CD35</f>
        <v>-2775</v>
      </c>
      <c r="CF1557" s="623">
        <f>CF35</f>
        <v>-1415</v>
      </c>
      <c r="CG1557" s="623">
        <f>CG35</f>
        <v>-1263</v>
      </c>
      <c r="CH1557" s="623">
        <f>CH35</f>
        <v>-2678</v>
      </c>
      <c r="CJ1557" s="623">
        <f>CJ35</f>
        <v>-886</v>
      </c>
      <c r="CK1557" s="623">
        <f>CK35</f>
        <v>-986</v>
      </c>
      <c r="CL1557" s="623">
        <f>CL35</f>
        <v>-1872</v>
      </c>
      <c r="CN1557" s="623">
        <f>CN35</f>
        <v>-1442</v>
      </c>
      <c r="CO1557" s="623">
        <f>CO35</f>
        <v>-1322</v>
      </c>
      <c r="CP1557" s="623">
        <f>CP35</f>
        <v>-2764</v>
      </c>
      <c r="CR1557" s="623">
        <f>CR35</f>
        <v>-1328</v>
      </c>
      <c r="CS1557" s="623">
        <f>CS35</f>
        <v>-1357</v>
      </c>
      <c r="CT1557" s="623">
        <f>CT35</f>
        <v>-2685</v>
      </c>
      <c r="CV1557" s="623">
        <f>CV35</f>
        <v>-1567</v>
      </c>
      <c r="CW1557" s="623">
        <f>CW35</f>
        <v>-1513</v>
      </c>
      <c r="CX1557" s="623">
        <f>CX35</f>
        <v>-3080</v>
      </c>
      <c r="CZ1557" s="623">
        <f>CZ35</f>
        <v>-1496</v>
      </c>
      <c r="DA1557" s="623">
        <f>DA35</f>
        <v>-1406</v>
      </c>
      <c r="DB1557" s="623">
        <f>DB35</f>
        <v>-2902</v>
      </c>
      <c r="DD1557" s="623">
        <f>DD35</f>
        <v>-1519</v>
      </c>
      <c r="DE1557" s="623">
        <f>DE35</f>
        <v>-1231</v>
      </c>
      <c r="DF1557" s="623">
        <f>DF35</f>
        <v>-2750</v>
      </c>
      <c r="DH1557" s="623">
        <f ca="1">DH35</f>
        <v>-1557.245847282293</v>
      </c>
      <c r="DI1557" s="623">
        <f ca="1">DI35</f>
        <v>-1609.4408793469324</v>
      </c>
      <c r="DJ1557" s="623">
        <f ca="1">DJ35</f>
        <v>-3166.6867266292256</v>
      </c>
      <c r="DL1557" s="623">
        <f ca="1">DL35</f>
        <v>-1673.8918121729657</v>
      </c>
      <c r="DM1557" s="623">
        <f ca="1">DM35</f>
        <v>-1679.729900806019</v>
      </c>
      <c r="DN1557" s="623">
        <f ca="1">DN35</f>
        <v>-3353.6217129789848</v>
      </c>
      <c r="DP1557" s="623">
        <f ca="1">DP35</f>
        <v>-1749.4826257272898</v>
      </c>
      <c r="DQ1557" s="623">
        <f ca="1">DQ35</f>
        <v>-1815.2349647719377</v>
      </c>
      <c r="DR1557" s="623">
        <f ca="1">DR35</f>
        <v>-3564.7175904992273</v>
      </c>
    </row>
    <row r="1558" spans="1:122" s="622" customFormat="1" ht="13.8">
      <c r="A1558" s="622" t="s">
        <v>790</v>
      </c>
      <c r="BT1558" s="623">
        <f>-(BT1580-BT1599)</f>
        <v>175</v>
      </c>
      <c r="BU1558" s="623">
        <f>-(BU1580-BU1599)</f>
        <v>114</v>
      </c>
      <c r="BV1558" s="623">
        <f>-(BV1580-BV1599)</f>
        <v>289</v>
      </c>
      <c r="BX1558" s="623">
        <f>-(BX1580-BX1599)</f>
        <v>40</v>
      </c>
      <c r="BY1558" s="623">
        <f>-(BY1580-BY1599)</f>
        <v>0</v>
      </c>
      <c r="BZ1558" s="623">
        <f>-(BZ1580-BZ1599)</f>
        <v>0</v>
      </c>
      <c r="CB1558" s="623">
        <f>-(CB1580-CB1599)</f>
        <v>0</v>
      </c>
      <c r="CC1558" s="623">
        <f>-(CC1580-CC1599)</f>
        <v>0</v>
      </c>
      <c r="CD1558" s="623">
        <f>-(CD1580-CD1599)</f>
        <v>0</v>
      </c>
      <c r="CF1558" s="623">
        <f>-(CF1580-CF1599)</f>
        <v>0</v>
      </c>
      <c r="CG1558" s="623">
        <f>-(CG1580-CG1599)</f>
        <v>0</v>
      </c>
      <c r="CH1558" s="623">
        <f>-(CH1580-CH1599)</f>
        <v>0</v>
      </c>
      <c r="CJ1558" s="623">
        <f>-(CJ1580-CJ1599)</f>
        <v>0</v>
      </c>
      <c r="CK1558" s="623">
        <f>-(CK1580-CK1599)</f>
        <v>0</v>
      </c>
      <c r="CL1558" s="623">
        <f>-(CL1580-CL1599)</f>
        <v>0</v>
      </c>
      <c r="CN1558" s="623">
        <f>-(CN1580-CN1599)</f>
        <v>0</v>
      </c>
      <c r="CO1558" s="623">
        <f>-(CO1580-CO1599)</f>
        <v>0</v>
      </c>
      <c r="CP1558" s="623">
        <f>-(CP1580-CP1599)</f>
        <v>0</v>
      </c>
      <c r="CR1558" s="623">
        <f>-(CR1580-CR1599)</f>
        <v>0</v>
      </c>
      <c r="CS1558" s="623">
        <f>-(CS1580-CS1599)</f>
        <v>0</v>
      </c>
      <c r="CT1558" s="623">
        <f>-(CT1580-CT1599)</f>
        <v>0</v>
      </c>
      <c r="CV1558" s="623">
        <f>-(CV1580-CV1599)</f>
        <v>0</v>
      </c>
      <c r="CW1558" s="623">
        <f>-(CW1580-CW1599)</f>
        <v>0</v>
      </c>
      <c r="CX1558" s="623">
        <f>-(CX1580-CX1599)</f>
        <v>0</v>
      </c>
      <c r="CZ1558" s="623">
        <f>-(CZ1580-CZ1599)</f>
        <v>0</v>
      </c>
      <c r="DA1558" s="623">
        <f>-(DA1580-DA1599)</f>
        <v>0</v>
      </c>
      <c r="DB1558" s="623">
        <f>-(DB1580-DB1599)</f>
        <v>0</v>
      </c>
      <c r="DD1558" s="623">
        <f>-(DD1580-DD1599)</f>
        <v>0</v>
      </c>
      <c r="DE1558" s="623">
        <f>-(DE1580-DE1599)</f>
        <v>0</v>
      </c>
      <c r="DF1558" s="623">
        <f>-(DF1580-DF1599)</f>
        <v>0</v>
      </c>
      <c r="DH1558" s="623">
        <f>-(DH1580-DH1599)</f>
        <v>0</v>
      </c>
      <c r="DI1558" s="623">
        <f>-(DI1580-DI1599)</f>
        <v>0</v>
      </c>
      <c r="DJ1558" s="623">
        <f>-(DJ1580-DJ1599)</f>
        <v>0</v>
      </c>
      <c r="DL1558" s="623">
        <f>-(DL1580-DL1599)</f>
        <v>0</v>
      </c>
      <c r="DM1558" s="623">
        <f>-(DM1580-DM1599)</f>
        <v>0</v>
      </c>
      <c r="DN1558" s="623">
        <f>-(DN1580-DN1599)</f>
        <v>0</v>
      </c>
      <c r="DP1558" s="623">
        <f>-(DP1580-DP1599)</f>
        <v>0</v>
      </c>
      <c r="DQ1558" s="623">
        <f>-(DQ1580-DQ1599)</f>
        <v>0</v>
      </c>
      <c r="DR1558" s="623">
        <f>-(DR1580-DR1599)</f>
        <v>0</v>
      </c>
    </row>
    <row r="1559" spans="1:122" s="622" customFormat="1" ht="13.8">
      <c r="A1559" s="622" t="s">
        <v>863</v>
      </c>
      <c r="BT1559" s="72">
        <f>+BT1557-BT1558</f>
        <v>-1308</v>
      </c>
      <c r="BU1559" s="72">
        <f>+BU1557-BU1558</f>
        <v>-1280</v>
      </c>
      <c r="BV1559" s="72">
        <f>+BV1557-BV1558</f>
        <v>-2588</v>
      </c>
      <c r="BX1559" s="72">
        <f>+BX1557-BX1558</f>
        <v>-1446</v>
      </c>
      <c r="BY1559" s="72">
        <f>+BY1557-BY1558</f>
        <v>-1420</v>
      </c>
      <c r="BZ1559" s="72">
        <f>+BZ1557-BZ1558</f>
        <v>-2826</v>
      </c>
      <c r="CB1559" s="72">
        <f>+CB1557-CB1558</f>
        <v>-1489</v>
      </c>
      <c r="CC1559" s="72">
        <f>+CC1557-CC1558</f>
        <v>-1286</v>
      </c>
      <c r="CD1559" s="72">
        <f>+CD1557-CD1558</f>
        <v>-2775</v>
      </c>
      <c r="CF1559" s="72">
        <f>+CF1557-CF1558</f>
        <v>-1415</v>
      </c>
      <c r="CG1559" s="72">
        <f>+CG1557-CG1558</f>
        <v>-1263</v>
      </c>
      <c r="CH1559" s="72">
        <f>+CH1557-CH1558</f>
        <v>-2678</v>
      </c>
      <c r="CJ1559" s="72">
        <f>+CJ1557-CJ1558</f>
        <v>-886</v>
      </c>
      <c r="CK1559" s="72">
        <f>+CK1557-CK1558</f>
        <v>-986</v>
      </c>
      <c r="CL1559" s="72">
        <f>+CL1557-CL1558</f>
        <v>-1872</v>
      </c>
      <c r="CN1559" s="72">
        <f>+CN1557-CN1558</f>
        <v>-1442</v>
      </c>
      <c r="CO1559" s="72">
        <f>+CO1557-CO1558</f>
        <v>-1322</v>
      </c>
      <c r="CP1559" s="72">
        <f>+CP1557-CP1558</f>
        <v>-2764</v>
      </c>
      <c r="CR1559" s="72">
        <f>+CR1557-CR1558</f>
        <v>-1328</v>
      </c>
      <c r="CS1559" s="72">
        <f>+CS1557-CS1558</f>
        <v>-1357</v>
      </c>
      <c r="CT1559" s="72">
        <f>+CT1557-CT1558</f>
        <v>-2685</v>
      </c>
      <c r="CV1559" s="72">
        <f>+CV1557-CV1558</f>
        <v>-1567</v>
      </c>
      <c r="CW1559" s="72">
        <f>+CW1557-CW1558</f>
        <v>-1513</v>
      </c>
      <c r="CX1559" s="72">
        <f>+CX1557-CX1558</f>
        <v>-3080</v>
      </c>
      <c r="CZ1559" s="72">
        <f>+CZ1557-CZ1558</f>
        <v>-1496</v>
      </c>
      <c r="DA1559" s="72">
        <f>+DA1557-DA1558</f>
        <v>-1406</v>
      </c>
      <c r="DB1559" s="72">
        <f>+DB1557-DB1558</f>
        <v>-2902</v>
      </c>
      <c r="DD1559" s="72">
        <f>+DD1557-DD1558</f>
        <v>-1519</v>
      </c>
      <c r="DE1559" s="72">
        <f>+DE1557-DE1558</f>
        <v>-1231</v>
      </c>
      <c r="DF1559" s="72">
        <f>+DF1557-DF1558</f>
        <v>-2750</v>
      </c>
      <c r="DH1559" s="72">
        <f ca="1">+DH1557-DH1558</f>
        <v>-1557.245847282293</v>
      </c>
      <c r="DI1559" s="72">
        <f ca="1">+DI1557-DI1558</f>
        <v>-1609.4408793469324</v>
      </c>
      <c r="DJ1559" s="72">
        <f ca="1">+DJ1557-DJ1558</f>
        <v>-3166.6867266292256</v>
      </c>
      <c r="DL1559" s="72">
        <f ca="1">+DL1557-DL1558</f>
        <v>-1673.8918121729657</v>
      </c>
      <c r="DM1559" s="72">
        <f ca="1">+DM1557-DM1558</f>
        <v>-1679.729900806019</v>
      </c>
      <c r="DN1559" s="72">
        <f ca="1">+DN1557-DN1558</f>
        <v>-3353.6217129789848</v>
      </c>
      <c r="DP1559" s="72">
        <f ca="1">+DP1557-DP1558</f>
        <v>-1749.4826257272898</v>
      </c>
      <c r="DQ1559" s="72">
        <f ca="1">+DQ1557-DQ1558</f>
        <v>-1815.2349647719377</v>
      </c>
      <c r="DR1559" s="72">
        <f ca="1">+DR1557-DR1558</f>
        <v>-3564.7175904992273</v>
      </c>
    </row>
    <row r="1560" spans="1:122" s="622" customFormat="1" ht="13.8"/>
    <row r="1561" spans="1:122" s="713" customFormat="1" ht="13.8">
      <c r="A1561" s="713" t="s">
        <v>454</v>
      </c>
      <c r="BT1561" s="75">
        <f>-BT1557/BT1553</f>
        <v>0.28910436335799949</v>
      </c>
      <c r="BU1561" s="75">
        <f>-BU1557/BU1553</f>
        <v>0.27242990654205607</v>
      </c>
      <c r="BV1561" s="75">
        <f>-BV1557/BV1553</f>
        <v>0.28040004878643737</v>
      </c>
      <c r="BX1561" s="75">
        <f>-BX1557/BX1553</f>
        <v>0.29482071713147412</v>
      </c>
      <c r="BY1561" s="75">
        <f>-BY1557/BY1553</f>
        <v>0.2909239909854538</v>
      </c>
      <c r="BZ1561" s="75">
        <f>-BZ1557/BZ1553</f>
        <v>0.29284974093264249</v>
      </c>
      <c r="CB1561" s="75">
        <f>-CB1557/CB1553</f>
        <v>0.29845660452996592</v>
      </c>
      <c r="CC1561" s="75">
        <f>-CC1557/CC1553</f>
        <v>0.29983679179295875</v>
      </c>
      <c r="CD1561" s="75">
        <f>-CD1557/CD1553</f>
        <v>0.29909463246389306</v>
      </c>
      <c r="CF1561" s="75">
        <f>-CF1557/CF1553</f>
        <v>0.28368083400160388</v>
      </c>
      <c r="CG1561" s="75">
        <f>-CG1557/CG1553</f>
        <v>0.30251497005988026</v>
      </c>
      <c r="CH1561" s="75">
        <f>-CH1557/CH1553</f>
        <v>0.29226235948925022</v>
      </c>
      <c r="CJ1561" s="75">
        <f>-CJ1557/CJ1553</f>
        <v>0.38521739130434784</v>
      </c>
      <c r="CK1561" s="75">
        <f>-CK1557/CK1553</f>
        <v>0.29600720504353045</v>
      </c>
      <c r="CL1561" s="75">
        <f>-CL1557/CL1553</f>
        <v>0.33244539158231218</v>
      </c>
      <c r="CN1561" s="75">
        <f>-CN1557/CN1553</f>
        <v>0.32536101083032493</v>
      </c>
      <c r="CO1561" s="75">
        <f>-CO1557/CO1553</f>
        <v>0.29176782167291987</v>
      </c>
      <c r="CP1561" s="75">
        <f>-CP1557/CP1553</f>
        <v>0.30837889099631821</v>
      </c>
      <c r="CR1561" s="75">
        <f>-CR1557/CR1553</f>
        <v>0.29903174960594459</v>
      </c>
      <c r="CS1561" s="75">
        <f>-CS1557/CS1553</f>
        <v>0.28514393780205927</v>
      </c>
      <c r="CT1561" s="75">
        <f>-CT1557/CT1553</f>
        <v>0.29184782608695653</v>
      </c>
      <c r="CV1561" s="75">
        <f>-CV1557/CV1553</f>
        <v>0.28964879852125691</v>
      </c>
      <c r="CW1561" s="75">
        <f>-CW1557/CW1553</f>
        <v>0.29602817452553315</v>
      </c>
      <c r="CX1561" s="75">
        <f>-CX1557/CX1553</f>
        <v>0.29274783765801732</v>
      </c>
      <c r="CZ1561" s="75">
        <f>-CZ1557/CZ1553</f>
        <v>0.2955353615171869</v>
      </c>
      <c r="DA1561" s="75">
        <f>-DA1557/DA1553</f>
        <v>0.3056521739130435</v>
      </c>
      <c r="DB1561" s="75">
        <f>-DB1557/DB1553</f>
        <v>0.30035189401780171</v>
      </c>
      <c r="DD1561" s="75">
        <f>-DD1557/DD1553</f>
        <v>0.29737666405638213</v>
      </c>
      <c r="DE1561" s="75">
        <f>-DE1557/DE1553</f>
        <v>0.35475504322766571</v>
      </c>
      <c r="DF1561" s="75">
        <f>-DF1557/DF1553</f>
        <v>0.32058754954534857</v>
      </c>
      <c r="DH1561" s="75">
        <f ca="1">-DH1557/DH1553</f>
        <v>0.29499999999999998</v>
      </c>
      <c r="DI1561" s="75">
        <f ca="1">-DI1557/DI1553</f>
        <v>0.29499999999999998</v>
      </c>
      <c r="DJ1561" s="75">
        <f ca="1">-DJ1557/DJ1553</f>
        <v>0.29500000000000004</v>
      </c>
      <c r="DL1561" s="75">
        <f ca="1">-DL1557/DL1553</f>
        <v>0.29499999999999998</v>
      </c>
      <c r="DM1561" s="75">
        <f ca="1">-DM1557/DM1553</f>
        <v>0.29499999999999998</v>
      </c>
      <c r="DN1561" s="75">
        <f ca="1">-DN1557/DN1553</f>
        <v>0.29499999999999993</v>
      </c>
      <c r="DP1561" s="75">
        <f ca="1">-DP1557/DP1553</f>
        <v>0.29499999999999998</v>
      </c>
      <c r="DQ1561" s="75">
        <f ca="1">-DQ1557/DQ1553</f>
        <v>0.29499999999999998</v>
      </c>
      <c r="DR1561" s="75">
        <f ca="1">-DR1557/DR1553</f>
        <v>0.29499999999999987</v>
      </c>
    </row>
    <row r="1562" spans="1:122" s="713" customFormat="1" ht="13.8">
      <c r="A1562" s="713" t="s">
        <v>864</v>
      </c>
      <c r="BT1562" s="75">
        <f>-BT1559/BT1555</f>
        <v>0.28835978835978837</v>
      </c>
      <c r="BU1562" s="75">
        <f>-BU1559/BU1555</f>
        <v>0.28125686662272026</v>
      </c>
      <c r="BV1562" s="75">
        <f>-BV1559/BV1555</f>
        <v>0.29223125564588981</v>
      </c>
      <c r="BX1562" s="75">
        <f>-BX1559/BX1555</f>
        <v>0.28718967229394238</v>
      </c>
      <c r="BY1562" s="75">
        <f>-BY1559/BY1555</f>
        <v>0.2909239909854538</v>
      </c>
      <c r="BZ1562" s="75">
        <f>-BZ1559/BZ1555</f>
        <v>0.2946205170975813</v>
      </c>
      <c r="CB1562" s="75">
        <f>-CB1559/CB1555</f>
        <v>0.29845660452996592</v>
      </c>
      <c r="CC1562" s="75">
        <f>-CC1559/CC1555</f>
        <v>0.29983679179295875</v>
      </c>
      <c r="CD1562" s="75">
        <f>-CD1559/CD1555</f>
        <v>0.29909463246389306</v>
      </c>
      <c r="CF1562" s="75">
        <f>-CF1559/CF1555</f>
        <v>0.28368083400160388</v>
      </c>
      <c r="CG1562" s="75">
        <f>-CG1559/CG1555</f>
        <v>0.30251497005988026</v>
      </c>
      <c r="CH1562" s="75">
        <f>-CH1559/CH1555</f>
        <v>0.29226235948925022</v>
      </c>
      <c r="CJ1562" s="75">
        <f>-CJ1559/CJ1555</f>
        <v>0.38521739130434784</v>
      </c>
      <c r="CK1562" s="75">
        <f>-CK1559/CK1555</f>
        <v>0.29600720504353045</v>
      </c>
      <c r="CL1562" s="75">
        <f>-CL1559/CL1555</f>
        <v>0.33244539158231218</v>
      </c>
      <c r="CN1562" s="75">
        <f>-CN1559/CN1555</f>
        <v>0.32536101083032493</v>
      </c>
      <c r="CO1562" s="75">
        <f>-CO1559/CO1555</f>
        <v>0.29176782167291987</v>
      </c>
      <c r="CP1562" s="75">
        <f>-CP1559/CP1555</f>
        <v>0.30837889099631821</v>
      </c>
      <c r="CR1562" s="75">
        <f>-CR1559/CR1555</f>
        <v>0.29903174960594459</v>
      </c>
      <c r="CS1562" s="75">
        <f>-CS1559/CS1555</f>
        <v>0.28514393780205927</v>
      </c>
      <c r="CT1562" s="75">
        <f>-CT1559/CT1555</f>
        <v>0.29184782608695653</v>
      </c>
      <c r="CV1562" s="75">
        <f>-CV1559/CV1555</f>
        <v>0.28964879852125691</v>
      </c>
      <c r="CW1562" s="75">
        <f>-CW1559/CW1555</f>
        <v>0.29602817452553315</v>
      </c>
      <c r="CX1562" s="75">
        <f>-CX1559/CX1555</f>
        <v>0.29274783765801732</v>
      </c>
      <c r="CZ1562" s="75">
        <f>-CZ1559/CZ1555</f>
        <v>0.2955353615171869</v>
      </c>
      <c r="DA1562" s="75">
        <f>-DA1559/DA1555</f>
        <v>0.3056521739130435</v>
      </c>
      <c r="DB1562" s="75">
        <f>-DB1559/DB1555</f>
        <v>0.30035189401780171</v>
      </c>
      <c r="DD1562" s="75">
        <f>-DD1559/DD1555</f>
        <v>0.29737666405638213</v>
      </c>
      <c r="DE1562" s="75">
        <f>-DE1559/DE1555</f>
        <v>0.35475504322766571</v>
      </c>
      <c r="DF1562" s="75">
        <f>-DF1559/DF1555</f>
        <v>0.32058754954534857</v>
      </c>
      <c r="DH1562" s="75">
        <f ca="1">-DH1559/DH1555</f>
        <v>0.29499999999999998</v>
      </c>
      <c r="DI1562" s="75">
        <f ca="1">-DI1559/DI1555</f>
        <v>0.29499999999999998</v>
      </c>
      <c r="DJ1562" s="75">
        <f ca="1">-DJ1559/DJ1555</f>
        <v>0.29500000000000004</v>
      </c>
      <c r="DL1562" s="75">
        <f ca="1">-DL1559/DL1555</f>
        <v>0.29499999999999998</v>
      </c>
      <c r="DM1562" s="75">
        <f ca="1">-DM1559/DM1555</f>
        <v>0.29499999999999998</v>
      </c>
      <c r="DN1562" s="75">
        <f ca="1">-DN1559/DN1555</f>
        <v>0.29499999999999993</v>
      </c>
      <c r="DP1562" s="75">
        <f ca="1">-DP1559/DP1555</f>
        <v>0.29499999999999998</v>
      </c>
      <c r="DQ1562" s="75">
        <f ca="1">-DQ1559/DQ1555</f>
        <v>0.29499999999999998</v>
      </c>
      <c r="DR1562" s="75">
        <f ca="1">-DR1559/DR1555</f>
        <v>0.29499999999999987</v>
      </c>
    </row>
    <row r="1563" spans="1:122" s="622" customFormat="1" ht="13.8"/>
    <row r="1564" spans="1:122" s="20" customFormat="1" ht="13.8">
      <c r="A1564" s="581" t="str">
        <f>A37</f>
        <v>Continuing Cash Profit</v>
      </c>
      <c r="B1564" s="49"/>
      <c r="BD1564" s="28"/>
      <c r="BH1564" s="49"/>
      <c r="BI1564" s="49"/>
      <c r="BJ1564" s="49"/>
      <c r="BK1564" s="49"/>
      <c r="BL1564" s="65">
        <f>BL37</f>
        <v>3515</v>
      </c>
      <c r="BM1564" s="65">
        <f>BM37</f>
        <v>3602</v>
      </c>
      <c r="BN1564" s="65">
        <f>BN37</f>
        <v>7117</v>
      </c>
      <c r="BO1564" s="49"/>
      <c r="BP1564" s="65">
        <f>BP37</f>
        <v>3676</v>
      </c>
      <c r="BQ1564" s="65">
        <f>BQ37</f>
        <v>3540</v>
      </c>
      <c r="BR1564" s="65">
        <f>BR37</f>
        <v>7216</v>
      </c>
      <c r="BT1564" s="65">
        <f>BT37</f>
        <v>2782</v>
      </c>
      <c r="BU1564" s="65">
        <f>BU37</f>
        <v>3107</v>
      </c>
      <c r="BV1564" s="65">
        <f>BV37</f>
        <v>5889</v>
      </c>
      <c r="BX1564" s="65">
        <f>BX37</f>
        <v>3355</v>
      </c>
      <c r="BY1564" s="65">
        <f>BY37</f>
        <v>3454</v>
      </c>
      <c r="BZ1564" s="65">
        <f>BZ37</f>
        <v>6809</v>
      </c>
      <c r="CB1564" s="65">
        <f>CB37</f>
        <v>3493</v>
      </c>
      <c r="CC1564" s="65">
        <f>CC37</f>
        <v>2994</v>
      </c>
      <c r="CD1564" s="65">
        <f>CD37</f>
        <v>6487</v>
      </c>
      <c r="CF1564" s="65">
        <f>CF37</f>
        <v>3564</v>
      </c>
      <c r="CG1564" s="65">
        <f>CG37</f>
        <v>2906</v>
      </c>
      <c r="CH1564" s="65">
        <f>CH37</f>
        <v>6470</v>
      </c>
      <c r="CJ1564" s="65">
        <f>CJ37</f>
        <v>1413</v>
      </c>
      <c r="CK1564" s="65">
        <f>CK37</f>
        <v>2345</v>
      </c>
      <c r="CL1564" s="65">
        <f>CL37</f>
        <v>3758</v>
      </c>
      <c r="CN1564" s="65">
        <f>CN37</f>
        <v>2990</v>
      </c>
      <c r="CO1564" s="65">
        <f>CO37</f>
        <v>3208</v>
      </c>
      <c r="CP1564" s="65">
        <f>CP37</f>
        <v>6198</v>
      </c>
      <c r="CR1564" s="65">
        <f>CR37</f>
        <v>3113</v>
      </c>
      <c r="CS1564" s="65">
        <f>CS37</f>
        <v>3402</v>
      </c>
      <c r="CT1564" s="65">
        <f>CT37</f>
        <v>6515</v>
      </c>
      <c r="CV1564" s="65">
        <f>CV37</f>
        <v>3829</v>
      </c>
      <c r="CW1564" s="65">
        <f>CW37</f>
        <v>3584</v>
      </c>
      <c r="CX1564" s="65">
        <f>CX37</f>
        <v>7413</v>
      </c>
      <c r="CZ1564" s="65">
        <f>CZ37</f>
        <v>3552</v>
      </c>
      <c r="DA1564" s="65">
        <f>DA37</f>
        <v>3173</v>
      </c>
      <c r="DB1564" s="65">
        <f>DB37</f>
        <v>6725</v>
      </c>
      <c r="DD1564" s="65">
        <f>DD37</f>
        <v>3568</v>
      </c>
      <c r="DE1564" s="65">
        <f>DE37</f>
        <v>2219</v>
      </c>
      <c r="DF1564" s="65">
        <f>DF37</f>
        <v>5787</v>
      </c>
      <c r="DH1564" s="65">
        <f ca="1">DH37</f>
        <v>3701.5536350305647</v>
      </c>
      <c r="DI1564" s="65">
        <f ca="1">DI37</f>
        <v>3826.2909150494493</v>
      </c>
      <c r="DJ1564" s="65">
        <f ca="1">DJ37</f>
        <v>7527.8445500800126</v>
      </c>
      <c r="DL1564" s="65">
        <f ca="1">DL37</f>
        <v>3980.3177206167493</v>
      </c>
      <c r="DM1564" s="65">
        <f ca="1">DM37</f>
        <v>3994.2697629431987</v>
      </c>
      <c r="DN1564" s="65">
        <f ca="1">DN37</f>
        <v>7974.5874835599489</v>
      </c>
      <c r="DP1564" s="65">
        <f ca="1">DP37</f>
        <v>4160.966953009286</v>
      </c>
      <c r="DQ1564" s="65">
        <f ca="1">DQ37</f>
        <v>4318.1038988617502</v>
      </c>
      <c r="DR1564" s="65">
        <f ca="1">DR37</f>
        <v>8479.0708518710398</v>
      </c>
    </row>
    <row r="1565" spans="1:122" s="20" customFormat="1" ht="13.8">
      <c r="A1565" s="334" t="s">
        <v>790</v>
      </c>
      <c r="B1565" s="49"/>
      <c r="BH1565" s="49"/>
      <c r="BI1565" s="49"/>
      <c r="BJ1565" s="49"/>
      <c r="BK1565" s="49"/>
      <c r="BL1565" s="573">
        <v>0</v>
      </c>
      <c r="BM1565" s="573">
        <v>0</v>
      </c>
      <c r="BN1565" s="65">
        <f>+BL1565+BM1565</f>
        <v>0</v>
      </c>
      <c r="BO1565" s="49"/>
      <c r="BP1565" s="65">
        <f>BP1624</f>
        <v>38</v>
      </c>
      <c r="BQ1565" s="65">
        <f>BQ1624</f>
        <v>33</v>
      </c>
      <c r="BR1565" s="65">
        <f>+BP1565+BQ1565</f>
        <v>71</v>
      </c>
      <c r="BS1565" s="65"/>
      <c r="BT1565" s="604">
        <f>BT1599</f>
        <v>-442</v>
      </c>
      <c r="BU1565" s="604">
        <f>BU1599</f>
        <v>-157</v>
      </c>
      <c r="BV1565" s="604">
        <f>BV1599</f>
        <v>-368</v>
      </c>
      <c r="BX1565" s="604">
        <f>BX1599</f>
        <v>-226</v>
      </c>
      <c r="BY1565" s="604">
        <f>BY1599</f>
        <v>0</v>
      </c>
      <c r="BZ1565" s="604">
        <f>BZ1599</f>
        <v>58</v>
      </c>
      <c r="CB1565" s="604">
        <f>CB1599</f>
        <v>0</v>
      </c>
      <c r="CC1565" s="604">
        <f>CC1599</f>
        <v>0</v>
      </c>
      <c r="CD1565" s="604">
        <f>CD1599</f>
        <v>0</v>
      </c>
      <c r="CF1565" s="604">
        <f>CF1599</f>
        <v>0</v>
      </c>
      <c r="CG1565" s="604">
        <f>CG1599</f>
        <v>0</v>
      </c>
      <c r="CH1565" s="604">
        <f>CH1599</f>
        <v>0</v>
      </c>
      <c r="CJ1565" s="604">
        <f>CJ1599</f>
        <v>0</v>
      </c>
      <c r="CK1565" s="604">
        <f>CK1599</f>
        <v>0</v>
      </c>
      <c r="CL1565" s="604">
        <f>CL1599</f>
        <v>0</v>
      </c>
      <c r="CN1565" s="604">
        <f>CN1599</f>
        <v>0</v>
      </c>
      <c r="CO1565" s="604">
        <f>CO1599</f>
        <v>0</v>
      </c>
      <c r="CP1565" s="604">
        <f>CP1599</f>
        <v>0</v>
      </c>
      <c r="CR1565" s="604">
        <f>CR1599</f>
        <v>0</v>
      </c>
      <c r="CS1565" s="604">
        <f>CS1599</f>
        <v>0</v>
      </c>
      <c r="CT1565" s="604">
        <f>CT1599</f>
        <v>0</v>
      </c>
      <c r="CV1565" s="604">
        <f>CV1599</f>
        <v>0</v>
      </c>
      <c r="CW1565" s="604">
        <f>CW1599</f>
        <v>0</v>
      </c>
      <c r="CX1565" s="604">
        <f>CX1599</f>
        <v>0</v>
      </c>
      <c r="CZ1565" s="604">
        <f>CZ1599</f>
        <v>0</v>
      </c>
      <c r="DA1565" s="604">
        <f>DA1599</f>
        <v>0</v>
      </c>
      <c r="DB1565" s="604">
        <f>DB1599</f>
        <v>0</v>
      </c>
      <c r="DD1565" s="604">
        <f>DD1599</f>
        <v>0</v>
      </c>
      <c r="DE1565" s="604">
        <f>DE1599</f>
        <v>0</v>
      </c>
      <c r="DF1565" s="604">
        <f>DF1599</f>
        <v>0</v>
      </c>
      <c r="DH1565" s="604">
        <f>DH1599</f>
        <v>0</v>
      </c>
      <c r="DI1565" s="604">
        <f>DI1599</f>
        <v>0</v>
      </c>
      <c r="DJ1565" s="604">
        <f>DJ1599</f>
        <v>0</v>
      </c>
      <c r="DL1565" s="604">
        <f>DL1599</f>
        <v>0</v>
      </c>
      <c r="DM1565" s="604">
        <f>DM1599</f>
        <v>0</v>
      </c>
      <c r="DN1565" s="604">
        <f>DN1599</f>
        <v>0</v>
      </c>
      <c r="DP1565" s="604">
        <f>DP1599</f>
        <v>0</v>
      </c>
      <c r="DQ1565" s="604">
        <f>DQ1599</f>
        <v>0</v>
      </c>
      <c r="DR1565" s="604">
        <f>DR1599</f>
        <v>0</v>
      </c>
    </row>
    <row r="1566" spans="1:122" s="21" customFormat="1" ht="13.8">
      <c r="A1566" s="581" t="s">
        <v>791</v>
      </c>
      <c r="B1566" s="27"/>
      <c r="BH1566" s="27"/>
      <c r="BI1566" s="27"/>
      <c r="BJ1566" s="27"/>
      <c r="BK1566" s="27"/>
      <c r="BL1566" s="72">
        <f>+BL1564-BL1565</f>
        <v>3515</v>
      </c>
      <c r="BM1566" s="72">
        <f>+BM1564-BM1565</f>
        <v>3602</v>
      </c>
      <c r="BN1566" s="72">
        <f>+BN1564-BN1565</f>
        <v>7117</v>
      </c>
      <c r="BO1566" s="27"/>
      <c r="BP1566" s="72">
        <f>+BP1564-BP1565</f>
        <v>3638</v>
      </c>
      <c r="BQ1566" s="72">
        <f>+BQ1564-BQ1565</f>
        <v>3507</v>
      </c>
      <c r="BR1566" s="72">
        <f>+BR1564-BR1565</f>
        <v>7145</v>
      </c>
      <c r="BT1566" s="72">
        <f>+BT1564-BT1565</f>
        <v>3224</v>
      </c>
      <c r="BU1566" s="72">
        <f>+BU1564-BU1565</f>
        <v>3264</v>
      </c>
      <c r="BV1566" s="72">
        <f>+BV1564-BV1565</f>
        <v>6257</v>
      </c>
      <c r="BX1566" s="72">
        <f>+BX1564-BX1565</f>
        <v>3581</v>
      </c>
      <c r="BY1566" s="72">
        <f>+BY1564-BY1565</f>
        <v>3454</v>
      </c>
      <c r="BZ1566" s="72">
        <f>+BZ1564-BZ1565</f>
        <v>6751</v>
      </c>
      <c r="CB1566" s="72">
        <f>+CB1564-CB1565</f>
        <v>3493</v>
      </c>
      <c r="CC1566" s="72">
        <f>+CC1564-CC1565</f>
        <v>2994</v>
      </c>
      <c r="CD1566" s="72">
        <f>+CD1564-CD1565</f>
        <v>6487</v>
      </c>
      <c r="CF1566" s="72">
        <f>+CF1564-CF1565</f>
        <v>3564</v>
      </c>
      <c r="CG1566" s="72">
        <f>+CG1564-CG1565</f>
        <v>2906</v>
      </c>
      <c r="CH1566" s="72">
        <f>+CH1564-CH1565</f>
        <v>6470</v>
      </c>
      <c r="CJ1566" s="72">
        <f>+CJ1564-CJ1565</f>
        <v>1413</v>
      </c>
      <c r="CK1566" s="72">
        <f>+CK1564-CK1565</f>
        <v>2345</v>
      </c>
      <c r="CL1566" s="72">
        <f>+CL1564-CL1565</f>
        <v>3758</v>
      </c>
      <c r="CN1566" s="72">
        <f>+CN1564-CN1565</f>
        <v>2990</v>
      </c>
      <c r="CO1566" s="72">
        <f>+CO1564-CO1565</f>
        <v>3208</v>
      </c>
      <c r="CP1566" s="72">
        <f>+CP1564-CP1565</f>
        <v>6198</v>
      </c>
      <c r="CR1566" s="72">
        <f>+CR1564-CR1565</f>
        <v>3113</v>
      </c>
      <c r="CS1566" s="72">
        <f>+CS1564-CS1565</f>
        <v>3402</v>
      </c>
      <c r="CT1566" s="72">
        <f>+CT1564-CT1565</f>
        <v>6515</v>
      </c>
      <c r="CV1566" s="72">
        <f>+CV1564-CV1565</f>
        <v>3829</v>
      </c>
      <c r="CW1566" s="72">
        <f>+CW1564-CW1565</f>
        <v>3584</v>
      </c>
      <c r="CX1566" s="72">
        <f>+CX1564-CX1565</f>
        <v>7413</v>
      </c>
      <c r="CZ1566" s="72">
        <f>+CZ1564-CZ1565</f>
        <v>3552</v>
      </c>
      <c r="DA1566" s="72">
        <f>+DA1564-DA1565</f>
        <v>3173</v>
      </c>
      <c r="DB1566" s="72">
        <f>+DB1564-DB1565</f>
        <v>6725</v>
      </c>
      <c r="DD1566" s="72">
        <f>+DD1564-DD1565</f>
        <v>3568</v>
      </c>
      <c r="DE1566" s="72">
        <f>+DE1564-DE1565</f>
        <v>2219</v>
      </c>
      <c r="DF1566" s="72">
        <f>+DF1564-DF1565</f>
        <v>5787</v>
      </c>
      <c r="DH1566" s="72">
        <f ca="1">+DH1564-DH1565</f>
        <v>3701.5536350305647</v>
      </c>
      <c r="DI1566" s="72">
        <f ca="1">+DI1564-DI1565</f>
        <v>3826.2909150494493</v>
      </c>
      <c r="DJ1566" s="72">
        <f ca="1">+DJ1564-DJ1565</f>
        <v>7527.8445500800126</v>
      </c>
      <c r="DL1566" s="72">
        <f ca="1">+DL1564-DL1565</f>
        <v>3980.3177206167493</v>
      </c>
      <c r="DM1566" s="72">
        <f ca="1">+DM1564-DM1565</f>
        <v>3994.2697629431987</v>
      </c>
      <c r="DN1566" s="72">
        <f ca="1">+DN1564-DN1565</f>
        <v>7974.5874835599489</v>
      </c>
      <c r="DP1566" s="72">
        <f ca="1">+DP1564-DP1565</f>
        <v>4160.966953009286</v>
      </c>
      <c r="DQ1566" s="72">
        <f ca="1">+DQ1564-DQ1565</f>
        <v>4318.1038988617502</v>
      </c>
      <c r="DR1566" s="72">
        <f ca="1">+DR1564-DR1565</f>
        <v>8479.0708518710398</v>
      </c>
    </row>
    <row r="1567" spans="1:122" s="20" customFormat="1" ht="13.8">
      <c r="A1567" s="582" t="s">
        <v>127</v>
      </c>
      <c r="B1567" s="49"/>
      <c r="BH1567" s="49"/>
      <c r="BI1567" s="49"/>
      <c r="BJ1567" s="49"/>
      <c r="BK1567" s="49"/>
      <c r="BL1567" s="49"/>
      <c r="BO1567" s="49"/>
      <c r="BP1567" s="49"/>
      <c r="BT1567" s="75">
        <f>+BT1566/BP1566-1</f>
        <v>-0.11379879054425512</v>
      </c>
      <c r="BX1567" s="75">
        <f>+BX1566/BT1566-1</f>
        <v>0.11073200992555821</v>
      </c>
      <c r="CB1567" s="75">
        <f>+CB1566/BX1566-1</f>
        <v>-2.4574141301312524E-2</v>
      </c>
      <c r="CF1567" s="75">
        <f>+CF1566/CB1566-1</f>
        <v>2.0326367019753766E-2</v>
      </c>
      <c r="CJ1567" s="75">
        <f>+CJ1566/CF1566-1</f>
        <v>-0.60353535353535359</v>
      </c>
      <c r="CN1567" s="75">
        <f>+CN1566/CJ1566-1</f>
        <v>1.1160651096956831</v>
      </c>
      <c r="CO1567" s="75">
        <f t="shared" ref="CO1567:CP1567" si="2270">+CO1566/CK1566-1</f>
        <v>0.36801705756929648</v>
      </c>
      <c r="CP1567" s="75">
        <f t="shared" si="2270"/>
        <v>0.64928153273017553</v>
      </c>
      <c r="CR1567" s="75">
        <f>+CR1566/CN1566-1</f>
        <v>4.1137123745819348E-2</v>
      </c>
      <c r="CS1567" s="75">
        <f t="shared" ref="CS1567" si="2271">+CS1566/CO1566-1</f>
        <v>6.0473815461346669E-2</v>
      </c>
      <c r="CT1567" s="75">
        <f t="shared" ref="CT1567" si="2272">+CT1566/CP1566-1</f>
        <v>5.1145530816392393E-2</v>
      </c>
      <c r="CV1567" s="75">
        <f>+CV1566/CR1566-1</f>
        <v>0.23000321233536791</v>
      </c>
      <c r="CW1567" s="75">
        <f t="shared" ref="CW1567" si="2273">+CW1566/CS1566-1</f>
        <v>5.3497942386831365E-2</v>
      </c>
      <c r="CX1567" s="75">
        <f t="shared" ref="CX1567" si="2274">+CX1566/CT1566-1</f>
        <v>0.1378357636224099</v>
      </c>
      <c r="CZ1567" s="75">
        <f>+CZ1566/CV1566-1</f>
        <v>-7.2342648211021099E-2</v>
      </c>
      <c r="DA1567" s="75">
        <f t="shared" ref="DA1567" si="2275">+DA1566/CW1566-1</f>
        <v>-0.1146763392857143</v>
      </c>
      <c r="DB1567" s="75">
        <f t="shared" ref="DB1567" si="2276">+DB1566/CX1566-1</f>
        <v>-9.2809928503979511E-2</v>
      </c>
      <c r="DD1567" s="75">
        <f>+DD1566/CZ1566-1</f>
        <v>4.5045045045044585E-3</v>
      </c>
      <c r="DE1567" s="75">
        <f t="shared" ref="DE1567" si="2277">+DE1566/DA1566-1</f>
        <v>-0.30066183422628423</v>
      </c>
      <c r="DF1567" s="75">
        <f t="shared" ref="DF1567" si="2278">+DF1566/DB1566-1</f>
        <v>-0.13947955390334577</v>
      </c>
      <c r="DH1567" s="75">
        <f ca="1">+DH1566/DD1566-1</f>
        <v>3.7430951522019251E-2</v>
      </c>
      <c r="DI1567" s="75">
        <f ca="1">+DI1566/DE1566-1</f>
        <v>0.72433119200065321</v>
      </c>
      <c r="DJ1567" s="75">
        <f ca="1">+DJ1566/DF1566-1</f>
        <v>0.30081986350095269</v>
      </c>
      <c r="DL1567" s="75">
        <f ca="1">+DL1566/DH1566-1</f>
        <v>7.5310021972404328E-2</v>
      </c>
      <c r="DM1567" s="75">
        <f ca="1">+DM1566/DI1566-1</f>
        <v>4.3901222260194661E-2</v>
      </c>
      <c r="DN1567" s="75">
        <f ca="1">+DN1566/DJ1566-1</f>
        <v>5.9345398341838385E-2</v>
      </c>
      <c r="DP1567" s="75">
        <f ca="1">+DP1566/DL1566-1</f>
        <v>4.5385631266778637E-2</v>
      </c>
      <c r="DQ1567" s="75">
        <f ca="1">+DQ1566/DM1566-1</f>
        <v>8.107467826107273E-2</v>
      </c>
      <c r="DR1567" s="75">
        <f ca="1">+DR1566/DN1566-1</f>
        <v>6.3261374880031251E-2</v>
      </c>
    </row>
    <row r="1568" spans="1:122" s="21" customFormat="1" ht="13.8">
      <c r="A1568" s="581" t="s">
        <v>792</v>
      </c>
      <c r="B1568" s="27"/>
      <c r="BH1568" s="27"/>
      <c r="BI1568" s="27"/>
      <c r="BJ1568" s="27"/>
      <c r="BK1568" s="27"/>
      <c r="BL1568" s="594">
        <f>(BL1566+BL44)/BL1212*100</f>
        <v>128.73900293255133</v>
      </c>
      <c r="BM1568" s="594">
        <f>(BM1566+BM44)/BM1212*100</f>
        <v>131.50875141593892</v>
      </c>
      <c r="BN1568" s="594">
        <f>(BN1566+BN44)/BN1212*100</f>
        <v>260.26645194348879</v>
      </c>
      <c r="BO1568" s="27"/>
      <c r="BP1568" s="594">
        <f>(BP1566+BP44)/BP1212*100</f>
        <v>132.25454545454545</v>
      </c>
      <c r="BQ1568" s="594">
        <f>(BQ1566+BQ44)/BQ1212*100</f>
        <v>125.57739821677947</v>
      </c>
      <c r="BR1568" s="594">
        <f>(BR1566+BR44)/BR1212*100</f>
        <v>257.77585335931298</v>
      </c>
      <c r="BT1568" s="594">
        <f>(BT1566+BT44)/BT1212*100</f>
        <v>111.11877024884538</v>
      </c>
      <c r="BU1568" s="594">
        <f>(BU1566+BU44)/BU1212*100</f>
        <v>112.10331089435361</v>
      </c>
      <c r="BV1568" s="594">
        <f>(BV1566+BV44)/BV1212*100</f>
        <v>215.29832771316495</v>
      </c>
      <c r="BX1568" s="594">
        <f>(BX1566+BX44)/BX1212*100</f>
        <v>122.48178677702913</v>
      </c>
      <c r="BY1568" s="594">
        <f>(BY1566+BY44)/BY1212*100</f>
        <v>117.9161545814557</v>
      </c>
      <c r="BZ1568" s="594">
        <f>(BZ1566+BZ44)/BZ1212*100</f>
        <v>230.69300164024057</v>
      </c>
      <c r="CA1568" s="567">
        <f>BZ1568/BV1568-1</f>
        <v>7.1503917799052408E-2</v>
      </c>
      <c r="CB1568" s="594">
        <f>(CB1566+CB44)/CB1212*100</f>
        <v>119.43513642891337</v>
      </c>
      <c r="CC1568" s="594">
        <f>(CC1566+CC44)/CC1212*100</f>
        <v>103.87898133370344</v>
      </c>
      <c r="CD1568" s="594">
        <f>(CD1566+CD44)/CD1212*100</f>
        <v>223.43540109530534</v>
      </c>
      <c r="CE1568" s="732">
        <f>CD1568/BZ1568-1</f>
        <v>-3.1459994422601723E-2</v>
      </c>
      <c r="CF1568" s="594">
        <f>(CF1566+CF44)/CF1212*100</f>
        <v>124.75060380132309</v>
      </c>
      <c r="CG1568" s="594">
        <f>(CG1566+CG44)/CG1212*100</f>
        <v>102.71091789488564</v>
      </c>
      <c r="CH1568" s="594">
        <f>(CH1566+CH44)/CH1212*100</f>
        <v>227.56849917343746</v>
      </c>
      <c r="CJ1568" s="594">
        <f>(CJ1566+CJ44)/CJ1212*100</f>
        <v>49.918745142372643</v>
      </c>
      <c r="CK1568" s="594">
        <f>(CK1566+CK44)/CK1212*100</f>
        <v>82.827069793727048</v>
      </c>
      <c r="CL1568" s="594">
        <f>(CL1566+CL44)/CL1212*100</f>
        <v>132.74930234201136</v>
      </c>
      <c r="CN1568" s="594">
        <f>(CN1566+CN44)/CN1212*100</f>
        <v>105.32990453376547</v>
      </c>
      <c r="CO1568" s="594">
        <f>(CO1566+CO44)/CO1212*100</f>
        <v>113.02142051860203</v>
      </c>
      <c r="CP1568" s="594">
        <f>(CP1566+CP44)/CP1212*100</f>
        <v>218.34707250052844</v>
      </c>
      <c r="CR1568" s="594">
        <f>(CR1566+CR44)/CR1212*100</f>
        <v>110.83419375511802</v>
      </c>
      <c r="CS1568" s="594">
        <f>(CS1566+CS44)/CS1212*100</f>
        <v>118.8471615720524</v>
      </c>
      <c r="CT1568" s="594">
        <f>(CT1566+CT44)/CT1212*100</f>
        <v>228.79719051799822</v>
      </c>
      <c r="CV1568" s="594">
        <f>(CV1566+CV44)/CV1212*100</f>
        <v>127.88484018569855</v>
      </c>
      <c r="CW1568" s="594">
        <f>(CW1566+CW44)/CW1212*100</f>
        <v>119.45870275314981</v>
      </c>
      <c r="CX1568" s="594">
        <f>(CX1566+CX44)/CX1212*100</f>
        <v>247.33084211931134</v>
      </c>
      <c r="CZ1568" s="594">
        <f>(CZ1566+CZ44)/CZ1212*100</f>
        <v>118.34871555659214</v>
      </c>
      <c r="DA1568" s="594">
        <f>(DA1566+DA44)/DA1212*100</f>
        <v>105.9255549991654</v>
      </c>
      <c r="DB1568" s="594">
        <f>(DB1566+DB44)/DB1212*100</f>
        <v>224.28628601921025</v>
      </c>
      <c r="DD1568" s="594">
        <f>(DD1566+DD44)/DD1212*100</f>
        <v>120.05787543322452</v>
      </c>
      <c r="DE1568" s="594">
        <f>(DE1566+DE44)/DE1212*100</f>
        <v>74.630881512124574</v>
      </c>
      <c r="DF1568" s="594">
        <f>(DF1566+DF44)/DF1212*100</f>
        <v>194.67805961111486</v>
      </c>
      <c r="DH1568" s="594">
        <f ca="1">(DH1566+DH44)/DH1212*100</f>
        <v>123.81251788781024</v>
      </c>
      <c r="DI1568" s="594">
        <f ca="1">(DI1566+DI44)/DI1212*100</f>
        <v>127.53141029010044</v>
      </c>
      <c r="DJ1568" s="594">
        <f ca="1">(DJ1566+DJ44)/DJ1212*100</f>
        <v>251.350527440484</v>
      </c>
      <c r="DL1568" s="594">
        <f ca="1">(DL1566+DL44)/DL1212*100</f>
        <v>132.63453164788251</v>
      </c>
      <c r="DM1568" s="594">
        <f ca="1">(DM1566+DM44)/DM1212*100</f>
        <v>133.33777037700403</v>
      </c>
      <c r="DN1568" s="594">
        <f ca="1">(DN1566+DN44)/DN1212*100</f>
        <v>265.97167299810718</v>
      </c>
      <c r="DP1568" s="594">
        <f ca="1">(DP1566+DP44)/DP1212*100</f>
        <v>139.40345718289035</v>
      </c>
      <c r="DQ1568" s="594">
        <f ca="1">(DQ1566+DQ44)/DQ1212*100</f>
        <v>145.1822225312423</v>
      </c>
      <c r="DR1568" s="594">
        <f ca="1">(DR1566+DR44)/DR1212*100</f>
        <v>284.57542687658724</v>
      </c>
    </row>
    <row r="1569" spans="1:128" s="20" customFormat="1" ht="13.8">
      <c r="A1569" s="582" t="s">
        <v>127</v>
      </c>
      <c r="B1569" s="49"/>
      <c r="BH1569" s="49"/>
      <c r="BI1569" s="49"/>
      <c r="BJ1569" s="49"/>
      <c r="BK1569" s="49"/>
      <c r="BL1569" s="49"/>
      <c r="BM1569" s="49"/>
      <c r="BN1569" s="49"/>
      <c r="BO1569" s="49"/>
      <c r="BP1569" s="49"/>
      <c r="BT1569" s="75">
        <f>+BT1568/BP1568-1</f>
        <v>-0.15981133300983008</v>
      </c>
      <c r="BU1569" s="75">
        <f>+BU1568/BQ1568-1</f>
        <v>-0.10729707346831674</v>
      </c>
      <c r="BV1569" s="75">
        <f>+BV1568/BR1568-1</f>
        <v>-0.16478473484845269</v>
      </c>
      <c r="BX1569" s="75">
        <f>+BX1568/BT1568-1</f>
        <v>0.1022600997359564</v>
      </c>
      <c r="BY1569" s="75">
        <f>+BY1568/BU1568-1</f>
        <v>5.1852560292176664E-2</v>
      </c>
      <c r="BZ1569" s="75">
        <f>+BZ1568/BV1568-1</f>
        <v>7.1503917799052408E-2</v>
      </c>
      <c r="CB1569" s="75">
        <f>+CB1568/BX1568-1</f>
        <v>-2.4874313383931979E-2</v>
      </c>
      <c r="CC1569" s="75">
        <f>+CC1568/BY1568-1</f>
        <v>-0.11904368233154583</v>
      </c>
      <c r="CD1569" s="75">
        <f>+CD1568/BZ1568-1</f>
        <v>-3.1459994422601723E-2</v>
      </c>
      <c r="CF1569" s="75">
        <f>+CF1568/CB1568-1</f>
        <v>4.4505055474805211E-2</v>
      </c>
      <c r="CG1569" s="75">
        <f>+CG1568/CC1568-1</f>
        <v>-1.1244463738679489E-2</v>
      </c>
      <c r="CH1569" s="75">
        <f>+CH1568/CD1568-1</f>
        <v>1.8497955372654529E-2</v>
      </c>
      <c r="CJ1569" s="75">
        <f>+CJ1568/CF1568-1</f>
        <v>-0.59985167509190673</v>
      </c>
      <c r="CK1569" s="75">
        <f>+CK1568/CG1568-1</f>
        <v>-0.19359040410395045</v>
      </c>
      <c r="CL1569" s="75">
        <f>+CL1568/CH1568-1</f>
        <v>-0.41666222335614767</v>
      </c>
      <c r="CN1569" s="75">
        <f>+CN1568/CJ1568-1</f>
        <v>1.1100270896905631</v>
      </c>
      <c r="CO1569" s="75">
        <f>+CO1568/CK1568-1</f>
        <v>0.36454689028684872</v>
      </c>
      <c r="CP1569" s="75">
        <f>+CP1568/CL1568-1</f>
        <v>0.64480768371938812</v>
      </c>
      <c r="CR1569" s="75">
        <f>+CR1568/CN1568-1</f>
        <v>5.2257611413556893E-2</v>
      </c>
      <c r="CS1569" s="75">
        <f>+CS1568/CO1568-1</f>
        <v>5.1545459495366375E-2</v>
      </c>
      <c r="CT1569" s="75">
        <f>+CT1568/CP1568-1</f>
        <v>4.7860124240706181E-2</v>
      </c>
      <c r="CV1569" s="75">
        <f>+CV1568/CR1568-1</f>
        <v>0.15383922463723598</v>
      </c>
      <c r="CW1569" s="75">
        <f>+CW1568/CS1568-1</f>
        <v>5.1456103200804293E-3</v>
      </c>
      <c r="CX1569" s="75">
        <f>+CX1568/CT1568-1</f>
        <v>8.1004716707197444E-2</v>
      </c>
      <c r="CZ1569" s="75">
        <f>+CZ1568/CV1568-1</f>
        <v>-7.4568061509552086E-2</v>
      </c>
      <c r="DA1569" s="75">
        <f>+DA1568/CW1568-1</f>
        <v>-0.11328724858120542</v>
      </c>
      <c r="DB1569" s="75">
        <f>+DB1568/CX1568-1</f>
        <v>-9.3172998169732901E-2</v>
      </c>
      <c r="DD1569" s="75">
        <f>+DD1568/CZ1568-1</f>
        <v>1.4441727302186846E-2</v>
      </c>
      <c r="DE1569" s="75">
        <f>+DE1568/DA1568-1</f>
        <v>-0.29544025978704946</v>
      </c>
      <c r="DF1569" s="75">
        <f>+DF1568/DB1568-1</f>
        <v>-0.13201086403276319</v>
      </c>
      <c r="DH1569" s="75">
        <f ca="1">+DH1568/DD1568-1</f>
        <v>3.1273604010042977E-2</v>
      </c>
      <c r="DI1569" s="75">
        <f ca="1">+DI1568/DE1568-1</f>
        <v>0.70882894193580737</v>
      </c>
      <c r="DJ1569" s="75">
        <f ca="1">+DJ1568/DF1568-1</f>
        <v>0.29110865365402239</v>
      </c>
      <c r="DL1569" s="75">
        <f ca="1">+DL1568/DH1568-1</f>
        <v>7.1253003416553717E-2</v>
      </c>
      <c r="DM1569" s="75">
        <f ca="1">+DM1568/DI1568-1</f>
        <v>4.5528862840108486E-2</v>
      </c>
      <c r="DN1569" s="75">
        <f ca="1">+DN1568/DJ1568-1</f>
        <v>5.8170339670702509E-2</v>
      </c>
      <c r="DP1569" s="75">
        <f ca="1">+DP1568/DL1568-1</f>
        <v>5.1034413518931565E-2</v>
      </c>
      <c r="DQ1569" s="75">
        <f ca="1">+DQ1568/DM1568-1</f>
        <v>8.8830435072889236E-2</v>
      </c>
      <c r="DR1569" s="75">
        <f ca="1">+DR1568/DN1568-1</f>
        <v>6.9946373118510374E-2</v>
      </c>
    </row>
    <row r="1570" spans="1:128" s="20" customFormat="1" ht="13.8">
      <c r="A1570" s="334"/>
      <c r="B1570" s="49"/>
      <c r="BH1570" s="49"/>
      <c r="BI1570" s="49"/>
      <c r="BJ1570" s="49"/>
      <c r="BK1570" s="49"/>
      <c r="BL1570" s="49"/>
      <c r="BM1570" s="49"/>
      <c r="BN1570" s="49"/>
      <c r="BO1570" s="49"/>
      <c r="BP1570" s="49"/>
      <c r="BT1570" s="49"/>
      <c r="BX1570" s="49"/>
      <c r="CB1570" s="49"/>
      <c r="CF1570" s="49"/>
      <c r="CJ1570" s="49"/>
      <c r="CN1570" s="49"/>
      <c r="CR1570" s="49"/>
      <c r="CV1570" s="49"/>
      <c r="CZ1570" s="49"/>
      <c r="DD1570" s="49"/>
      <c r="DH1570" s="49"/>
      <c r="DL1570" s="49"/>
      <c r="DP1570" s="49"/>
    </row>
    <row r="1571" spans="1:128" s="343" customFormat="1" ht="13.8">
      <c r="A1571" s="343" t="s">
        <v>1018</v>
      </c>
      <c r="B1571" s="344"/>
      <c r="BH1571" s="344"/>
      <c r="BI1571" s="344"/>
      <c r="BJ1571" s="344"/>
      <c r="BK1571" s="344"/>
      <c r="BL1571" s="344"/>
      <c r="BM1571" s="344"/>
      <c r="BN1571" s="344"/>
      <c r="BO1571" s="344"/>
      <c r="BP1571" s="344"/>
      <c r="BT1571" s="344"/>
      <c r="BX1571" s="344"/>
      <c r="CB1571" s="344"/>
      <c r="CF1571" s="344"/>
      <c r="CJ1571" s="344"/>
      <c r="CN1571" s="344"/>
      <c r="CR1571" s="344"/>
      <c r="CV1571" s="344"/>
      <c r="CZ1571" s="344"/>
      <c r="DD1571" s="344"/>
      <c r="DH1571" s="344"/>
      <c r="DL1571" s="344"/>
      <c r="DP1571" s="344"/>
      <c r="DT1571" s="743"/>
      <c r="DU1571" s="743"/>
      <c r="DV1571" s="743"/>
      <c r="DW1571" s="21"/>
      <c r="DX1571" s="21"/>
    </row>
    <row r="1572" spans="1:128" s="20" customFormat="1" ht="13.8">
      <c r="A1572" s="334"/>
      <c r="B1572" s="49"/>
      <c r="BH1572" s="49"/>
      <c r="BI1572" s="49"/>
      <c r="BJ1572" s="49"/>
      <c r="BK1572" s="49"/>
      <c r="BL1572" s="49"/>
      <c r="BM1572" s="49"/>
      <c r="BN1572" s="49"/>
      <c r="BO1572" s="49"/>
      <c r="BP1572" s="49"/>
      <c r="BT1572" s="49"/>
      <c r="BX1572" s="49"/>
      <c r="BY1572" s="767"/>
      <c r="CB1572" s="49"/>
      <c r="CF1572" s="49"/>
      <c r="CJ1572" s="49"/>
      <c r="CN1572" s="49"/>
      <c r="CR1572" s="49"/>
      <c r="CV1572" s="49"/>
      <c r="CZ1572" s="49"/>
      <c r="DD1572" s="49"/>
      <c r="DH1572" s="49"/>
      <c r="DL1572" s="49"/>
      <c r="DP1572" s="49"/>
    </row>
    <row r="1573" spans="1:128" s="20" customFormat="1" ht="13.8">
      <c r="A1573" s="334" t="s">
        <v>805</v>
      </c>
      <c r="B1573" s="49"/>
      <c r="BH1573" s="49"/>
      <c r="BI1573" s="49"/>
      <c r="BJ1573" s="49"/>
      <c r="BK1573" s="49"/>
      <c r="BL1573" s="49"/>
      <c r="BM1573" s="49"/>
      <c r="BN1573" s="49"/>
      <c r="BO1573" s="49"/>
      <c r="BP1573" s="65"/>
      <c r="BQ1573" s="65"/>
      <c r="BR1573" s="65"/>
      <c r="BT1573" s="67">
        <v>-556</v>
      </c>
      <c r="BU1573" s="67">
        <v>0</v>
      </c>
      <c r="BV1573" s="65">
        <f>+BT1573+BU1573</f>
        <v>-556</v>
      </c>
      <c r="BX1573" s="67">
        <v>0</v>
      </c>
      <c r="BY1573" s="67">
        <v>0</v>
      </c>
      <c r="BZ1573" s="65">
        <f>+BX1573+BY1573</f>
        <v>0</v>
      </c>
      <c r="CB1573" s="67">
        <v>0</v>
      </c>
      <c r="CC1573" s="67">
        <v>0</v>
      </c>
      <c r="CD1573" s="65">
        <f t="shared" ref="CD1573:CD1579" si="2279">+CB1573+CC1573</f>
        <v>0</v>
      </c>
      <c r="CF1573" s="67">
        <v>0</v>
      </c>
      <c r="CG1573" s="67">
        <v>0</v>
      </c>
      <c r="CH1573" s="65">
        <f t="shared" ref="CH1573:CH1579" si="2280">+CF1573+CG1573</f>
        <v>0</v>
      </c>
      <c r="CJ1573" s="67">
        <v>0</v>
      </c>
      <c r="CK1573" s="67">
        <v>0</v>
      </c>
      <c r="CL1573" s="65">
        <f t="shared" ref="CL1573:CL1579" si="2281">+CJ1573+CK1573</f>
        <v>0</v>
      </c>
      <c r="CN1573" s="67">
        <v>0</v>
      </c>
      <c r="CO1573" s="67">
        <v>0</v>
      </c>
      <c r="CP1573" s="65">
        <f t="shared" ref="CP1573:CP1579" si="2282">+CN1573+CO1573</f>
        <v>0</v>
      </c>
      <c r="CR1573" s="67">
        <v>0</v>
      </c>
      <c r="CS1573" s="67">
        <v>0</v>
      </c>
      <c r="CT1573" s="65">
        <f t="shared" ref="CT1573:CT1579" si="2283">+CR1573+CS1573</f>
        <v>0</v>
      </c>
      <c r="CV1573" s="67">
        <v>0</v>
      </c>
      <c r="CW1573" s="67">
        <v>0</v>
      </c>
      <c r="CX1573" s="65">
        <f t="shared" ref="CX1573:CX1579" si="2284">+CV1573+CW1573</f>
        <v>0</v>
      </c>
      <c r="CZ1573" s="67">
        <v>0</v>
      </c>
      <c r="DA1573" s="67">
        <v>0</v>
      </c>
      <c r="DB1573" s="65">
        <f t="shared" ref="DB1573:DB1579" si="2285">+CZ1573+DA1573</f>
        <v>0</v>
      </c>
      <c r="DD1573" s="67">
        <v>0</v>
      </c>
      <c r="DE1573" s="67">
        <v>0</v>
      </c>
      <c r="DF1573" s="65">
        <f t="shared" ref="DF1573:DF1579" si="2286">+DD1573+DE1573</f>
        <v>0</v>
      </c>
      <c r="DH1573" s="67">
        <v>0</v>
      </c>
      <c r="DI1573" s="67">
        <v>0</v>
      </c>
      <c r="DJ1573" s="65">
        <f t="shared" ref="DJ1573:DJ1579" si="2287">+DH1573+DI1573</f>
        <v>0</v>
      </c>
      <c r="DL1573" s="67">
        <v>0</v>
      </c>
      <c r="DM1573" s="67">
        <v>0</v>
      </c>
      <c r="DN1573" s="65">
        <f t="shared" ref="DN1573:DN1579" si="2288">+DL1573+DM1573</f>
        <v>0</v>
      </c>
      <c r="DP1573" s="67">
        <v>0</v>
      </c>
      <c r="DQ1573" s="67">
        <v>0</v>
      </c>
      <c r="DR1573" s="65">
        <f t="shared" ref="DR1573:DR1579" si="2289">+DP1573+DQ1573</f>
        <v>0</v>
      </c>
    </row>
    <row r="1574" spans="1:128" s="20" customFormat="1" ht="13.8">
      <c r="A1574" s="334" t="s">
        <v>806</v>
      </c>
      <c r="B1574" s="49"/>
      <c r="BH1574" s="49"/>
      <c r="BI1574" s="49"/>
      <c r="BJ1574" s="49"/>
      <c r="BK1574" s="49"/>
      <c r="BL1574" s="49"/>
      <c r="BM1574" s="49"/>
      <c r="BN1574" s="49"/>
      <c r="BO1574" s="49"/>
      <c r="BP1574" s="65"/>
      <c r="BQ1574" s="65"/>
      <c r="BR1574" s="65"/>
      <c r="BT1574" s="67">
        <v>223</v>
      </c>
      <c r="BU1574" s="67">
        <v>122</v>
      </c>
      <c r="BV1574" s="65">
        <f>+BT1574+BU1574</f>
        <v>345</v>
      </c>
      <c r="BX1574" s="67">
        <v>58</v>
      </c>
      <c r="BY1574" s="67">
        <v>0</v>
      </c>
      <c r="BZ1574" s="65">
        <f>+BX1574+BY1574</f>
        <v>58</v>
      </c>
      <c r="CB1574" s="67">
        <v>0</v>
      </c>
      <c r="CC1574" s="67">
        <v>0</v>
      </c>
      <c r="CD1574" s="65">
        <f t="shared" si="2279"/>
        <v>0</v>
      </c>
      <c r="CF1574" s="67">
        <v>0</v>
      </c>
      <c r="CG1574" s="67">
        <v>0</v>
      </c>
      <c r="CH1574" s="65">
        <f t="shared" si="2280"/>
        <v>0</v>
      </c>
      <c r="CJ1574" s="67">
        <v>0</v>
      </c>
      <c r="CK1574" s="67">
        <v>0</v>
      </c>
      <c r="CL1574" s="65">
        <f t="shared" si="2281"/>
        <v>0</v>
      </c>
      <c r="CN1574" s="67">
        <v>0</v>
      </c>
      <c r="CO1574" s="67">
        <v>0</v>
      </c>
      <c r="CP1574" s="65">
        <f t="shared" si="2282"/>
        <v>0</v>
      </c>
      <c r="CR1574" s="67">
        <v>0</v>
      </c>
      <c r="CS1574" s="67">
        <v>0</v>
      </c>
      <c r="CT1574" s="65">
        <f t="shared" si="2283"/>
        <v>0</v>
      </c>
      <c r="CV1574" s="67">
        <v>0</v>
      </c>
      <c r="CW1574" s="67">
        <v>0</v>
      </c>
      <c r="CX1574" s="65">
        <f t="shared" si="2284"/>
        <v>0</v>
      </c>
      <c r="CZ1574" s="67">
        <v>0</v>
      </c>
      <c r="DA1574" s="67">
        <v>0</v>
      </c>
      <c r="DB1574" s="65">
        <f t="shared" si="2285"/>
        <v>0</v>
      </c>
      <c r="DD1574" s="67">
        <v>0</v>
      </c>
      <c r="DE1574" s="67">
        <v>0</v>
      </c>
      <c r="DF1574" s="65">
        <f t="shared" si="2286"/>
        <v>0</v>
      </c>
      <c r="DH1574" s="67">
        <v>0</v>
      </c>
      <c r="DI1574" s="67">
        <v>0</v>
      </c>
      <c r="DJ1574" s="65">
        <f t="shared" si="2287"/>
        <v>0</v>
      </c>
      <c r="DL1574" s="67">
        <v>0</v>
      </c>
      <c r="DM1574" s="67">
        <v>0</v>
      </c>
      <c r="DN1574" s="65">
        <f t="shared" si="2288"/>
        <v>0</v>
      </c>
      <c r="DP1574" s="67">
        <v>0</v>
      </c>
      <c r="DQ1574" s="67">
        <v>0</v>
      </c>
      <c r="DR1574" s="65">
        <f t="shared" si="2289"/>
        <v>0</v>
      </c>
    </row>
    <row r="1575" spans="1:128" s="20" customFormat="1" ht="13.8">
      <c r="A1575" s="334" t="s">
        <v>850</v>
      </c>
      <c r="B1575" s="49"/>
      <c r="BH1575" s="49"/>
      <c r="BI1575" s="49"/>
      <c r="BJ1575" s="49"/>
      <c r="BK1575" s="49"/>
      <c r="BL1575" s="49"/>
      <c r="BM1575" s="49"/>
      <c r="BN1575" s="49"/>
      <c r="BO1575" s="49"/>
      <c r="BP1575" s="65"/>
      <c r="BQ1575" s="65"/>
      <c r="BR1575" s="65"/>
      <c r="BT1575" s="67">
        <v>-231</v>
      </c>
      <c r="BU1575" s="67">
        <v>0</v>
      </c>
      <c r="BV1575" s="65"/>
      <c r="BX1575" s="67">
        <v>0</v>
      </c>
      <c r="BY1575" s="67">
        <v>0</v>
      </c>
      <c r="BZ1575" s="65"/>
      <c r="CB1575" s="67">
        <v>0</v>
      </c>
      <c r="CC1575" s="67">
        <v>0</v>
      </c>
      <c r="CD1575" s="65">
        <f t="shared" si="2279"/>
        <v>0</v>
      </c>
      <c r="CF1575" s="67">
        <v>0</v>
      </c>
      <c r="CG1575" s="67">
        <v>0</v>
      </c>
      <c r="CH1575" s="65">
        <f t="shared" si="2280"/>
        <v>0</v>
      </c>
      <c r="CJ1575" s="67">
        <v>0</v>
      </c>
      <c r="CK1575" s="67">
        <v>0</v>
      </c>
      <c r="CL1575" s="65">
        <f t="shared" si="2281"/>
        <v>0</v>
      </c>
      <c r="CN1575" s="67">
        <v>0</v>
      </c>
      <c r="CO1575" s="67">
        <v>0</v>
      </c>
      <c r="CP1575" s="65">
        <f t="shared" si="2282"/>
        <v>0</v>
      </c>
      <c r="CR1575" s="67">
        <v>0</v>
      </c>
      <c r="CS1575" s="67">
        <v>0</v>
      </c>
      <c r="CT1575" s="65">
        <f t="shared" si="2283"/>
        <v>0</v>
      </c>
      <c r="CV1575" s="67">
        <v>0</v>
      </c>
      <c r="CW1575" s="67">
        <v>0</v>
      </c>
      <c r="CX1575" s="65">
        <f t="shared" si="2284"/>
        <v>0</v>
      </c>
      <c r="CZ1575" s="67">
        <v>0</v>
      </c>
      <c r="DA1575" s="67">
        <v>0</v>
      </c>
      <c r="DB1575" s="65">
        <f t="shared" si="2285"/>
        <v>0</v>
      </c>
      <c r="DD1575" s="67">
        <v>0</v>
      </c>
      <c r="DE1575" s="67">
        <v>0</v>
      </c>
      <c r="DF1575" s="65">
        <f t="shared" si="2286"/>
        <v>0</v>
      </c>
      <c r="DH1575" s="67">
        <v>0</v>
      </c>
      <c r="DI1575" s="67">
        <v>0</v>
      </c>
      <c r="DJ1575" s="65">
        <f t="shared" si="2287"/>
        <v>0</v>
      </c>
      <c r="DL1575" s="67">
        <v>0</v>
      </c>
      <c r="DM1575" s="67">
        <v>0</v>
      </c>
      <c r="DN1575" s="65">
        <f t="shared" si="2288"/>
        <v>0</v>
      </c>
      <c r="DP1575" s="67">
        <v>0</v>
      </c>
      <c r="DQ1575" s="67">
        <v>0</v>
      </c>
      <c r="DR1575" s="65">
        <f t="shared" si="2289"/>
        <v>0</v>
      </c>
    </row>
    <row r="1576" spans="1:128" s="20" customFormat="1" ht="13.8">
      <c r="A1576" s="334" t="s">
        <v>851</v>
      </c>
      <c r="B1576" s="49"/>
      <c r="BH1576" s="49"/>
      <c r="BI1576" s="49"/>
      <c r="BJ1576" s="49"/>
      <c r="BK1576" s="49"/>
      <c r="BL1576" s="49"/>
      <c r="BM1576" s="49"/>
      <c r="BN1576" s="49"/>
      <c r="BO1576" s="49"/>
      <c r="BP1576" s="65"/>
      <c r="BQ1576" s="65"/>
      <c r="BR1576" s="65"/>
      <c r="BT1576" s="67">
        <v>0</v>
      </c>
      <c r="BU1576" s="67">
        <v>0</v>
      </c>
      <c r="BV1576" s="65"/>
      <c r="BX1576" s="67">
        <v>-324</v>
      </c>
      <c r="BY1576" s="67">
        <v>0</v>
      </c>
      <c r="BZ1576" s="65"/>
      <c r="CB1576" s="67">
        <v>0</v>
      </c>
      <c r="CC1576" s="67">
        <v>0</v>
      </c>
      <c r="CD1576" s="65">
        <f t="shared" si="2279"/>
        <v>0</v>
      </c>
      <c r="CF1576" s="67">
        <v>0</v>
      </c>
      <c r="CG1576" s="67">
        <v>0</v>
      </c>
      <c r="CH1576" s="65">
        <f t="shared" si="2280"/>
        <v>0</v>
      </c>
      <c r="CJ1576" s="67">
        <v>0</v>
      </c>
      <c r="CK1576" s="67">
        <v>0</v>
      </c>
      <c r="CL1576" s="65">
        <f t="shared" si="2281"/>
        <v>0</v>
      </c>
      <c r="CN1576" s="67">
        <v>0</v>
      </c>
      <c r="CO1576" s="67">
        <v>0</v>
      </c>
      <c r="CP1576" s="65">
        <f t="shared" si="2282"/>
        <v>0</v>
      </c>
      <c r="CR1576" s="67">
        <v>0</v>
      </c>
      <c r="CS1576" s="67">
        <v>0</v>
      </c>
      <c r="CT1576" s="65">
        <f t="shared" si="2283"/>
        <v>0</v>
      </c>
      <c r="CV1576" s="67">
        <v>0</v>
      </c>
      <c r="CW1576" s="67">
        <v>0</v>
      </c>
      <c r="CX1576" s="65">
        <f t="shared" si="2284"/>
        <v>0</v>
      </c>
      <c r="CZ1576" s="67">
        <v>0</v>
      </c>
      <c r="DA1576" s="67">
        <v>0</v>
      </c>
      <c r="DB1576" s="65">
        <f t="shared" si="2285"/>
        <v>0</v>
      </c>
      <c r="DD1576" s="67">
        <v>0</v>
      </c>
      <c r="DE1576" s="67">
        <v>0</v>
      </c>
      <c r="DF1576" s="65">
        <f t="shared" si="2286"/>
        <v>0</v>
      </c>
      <c r="DH1576" s="67">
        <v>0</v>
      </c>
      <c r="DI1576" s="67">
        <v>0</v>
      </c>
      <c r="DJ1576" s="65">
        <f t="shared" si="2287"/>
        <v>0</v>
      </c>
      <c r="DL1576" s="67">
        <v>0</v>
      </c>
      <c r="DM1576" s="67">
        <v>0</v>
      </c>
      <c r="DN1576" s="65">
        <f t="shared" si="2288"/>
        <v>0</v>
      </c>
      <c r="DP1576" s="67">
        <v>0</v>
      </c>
      <c r="DQ1576" s="67">
        <v>0</v>
      </c>
      <c r="DR1576" s="65">
        <f t="shared" si="2289"/>
        <v>0</v>
      </c>
    </row>
    <row r="1577" spans="1:128" s="20" customFormat="1" ht="13.8">
      <c r="A1577" s="334" t="s">
        <v>807</v>
      </c>
      <c r="B1577" s="49"/>
      <c r="BH1577" s="49"/>
      <c r="BI1577" s="49"/>
      <c r="BJ1577" s="49"/>
      <c r="BK1577" s="49"/>
      <c r="BL1577" s="49"/>
      <c r="BM1577" s="49"/>
      <c r="BN1577" s="49"/>
      <c r="BO1577" s="49"/>
      <c r="BP1577" s="604"/>
      <c r="BQ1577" s="604"/>
      <c r="BR1577" s="65"/>
      <c r="BT1577" s="67">
        <v>-138</v>
      </c>
      <c r="BU1577" s="67">
        <v>-140</v>
      </c>
      <c r="BV1577" s="65">
        <f>+BT1577+BU1577</f>
        <v>-278</v>
      </c>
      <c r="BX1577" s="67">
        <v>0</v>
      </c>
      <c r="BY1577" s="67">
        <v>0</v>
      </c>
      <c r="BZ1577" s="65">
        <f>+BX1577+BY1577</f>
        <v>0</v>
      </c>
      <c r="CB1577" s="67">
        <v>0</v>
      </c>
      <c r="CC1577" s="67">
        <v>0</v>
      </c>
      <c r="CD1577" s="65">
        <f t="shared" si="2279"/>
        <v>0</v>
      </c>
      <c r="CF1577" s="67">
        <v>0</v>
      </c>
      <c r="CG1577" s="67">
        <v>0</v>
      </c>
      <c r="CH1577" s="65">
        <f t="shared" si="2280"/>
        <v>0</v>
      </c>
      <c r="CJ1577" s="67">
        <v>0</v>
      </c>
      <c r="CK1577" s="67">
        <v>0</v>
      </c>
      <c r="CL1577" s="65">
        <f t="shared" si="2281"/>
        <v>0</v>
      </c>
      <c r="CN1577" s="67">
        <v>0</v>
      </c>
      <c r="CO1577" s="67">
        <v>0</v>
      </c>
      <c r="CP1577" s="65">
        <f t="shared" si="2282"/>
        <v>0</v>
      </c>
      <c r="CR1577" s="67">
        <v>0</v>
      </c>
      <c r="CS1577" s="67">
        <v>0</v>
      </c>
      <c r="CT1577" s="65">
        <f t="shared" si="2283"/>
        <v>0</v>
      </c>
      <c r="CV1577" s="67">
        <v>0</v>
      </c>
      <c r="CW1577" s="67">
        <v>0</v>
      </c>
      <c r="CX1577" s="65">
        <f t="shared" si="2284"/>
        <v>0</v>
      </c>
      <c r="CZ1577" s="67">
        <v>0</v>
      </c>
      <c r="DA1577" s="67">
        <v>0</v>
      </c>
      <c r="DB1577" s="65">
        <f t="shared" si="2285"/>
        <v>0</v>
      </c>
      <c r="DD1577" s="67">
        <v>0</v>
      </c>
      <c r="DE1577" s="67">
        <v>0</v>
      </c>
      <c r="DF1577" s="65">
        <f t="shared" si="2286"/>
        <v>0</v>
      </c>
      <c r="DH1577" s="67">
        <v>0</v>
      </c>
      <c r="DI1577" s="67">
        <v>0</v>
      </c>
      <c r="DJ1577" s="65">
        <f t="shared" si="2287"/>
        <v>0</v>
      </c>
      <c r="DL1577" s="67">
        <v>0</v>
      </c>
      <c r="DM1577" s="67">
        <v>0</v>
      </c>
      <c r="DN1577" s="65">
        <f t="shared" si="2288"/>
        <v>0</v>
      </c>
      <c r="DP1577" s="67">
        <v>0</v>
      </c>
      <c r="DQ1577" s="67">
        <v>0</v>
      </c>
      <c r="DR1577" s="65">
        <f t="shared" si="2289"/>
        <v>0</v>
      </c>
    </row>
    <row r="1578" spans="1:128" s="20" customFormat="1" ht="13.8">
      <c r="A1578" s="334" t="s">
        <v>803</v>
      </c>
      <c r="B1578" s="49"/>
      <c r="BH1578" s="49"/>
      <c r="BI1578" s="49"/>
      <c r="BJ1578" s="49"/>
      <c r="BK1578" s="49"/>
      <c r="BL1578" s="49"/>
      <c r="BM1578" s="49"/>
      <c r="BN1578" s="49"/>
      <c r="BO1578" s="49"/>
      <c r="BP1578" s="67"/>
      <c r="BQ1578" s="67"/>
      <c r="BR1578" s="65"/>
      <c r="BT1578" s="67">
        <v>85</v>
      </c>
      <c r="BU1578" s="67">
        <v>-16</v>
      </c>
      <c r="BV1578" s="65">
        <f>+BT1578+BU1578</f>
        <v>69</v>
      </c>
      <c r="BX1578" s="67">
        <v>0</v>
      </c>
      <c r="BY1578" s="67">
        <v>0</v>
      </c>
      <c r="BZ1578" s="65">
        <f>+BX1578+BY1578</f>
        <v>0</v>
      </c>
      <c r="CB1578" s="67">
        <v>0</v>
      </c>
      <c r="CC1578" s="67">
        <v>0</v>
      </c>
      <c r="CD1578" s="65">
        <f t="shared" si="2279"/>
        <v>0</v>
      </c>
      <c r="CF1578" s="67">
        <v>0</v>
      </c>
      <c r="CG1578" s="67">
        <v>0</v>
      </c>
      <c r="CH1578" s="65">
        <f t="shared" si="2280"/>
        <v>0</v>
      </c>
      <c r="CJ1578" s="67">
        <v>0</v>
      </c>
      <c r="CK1578" s="67">
        <v>0</v>
      </c>
      <c r="CL1578" s="65">
        <f t="shared" si="2281"/>
        <v>0</v>
      </c>
      <c r="CN1578" s="67">
        <v>0</v>
      </c>
      <c r="CO1578" s="67">
        <v>0</v>
      </c>
      <c r="CP1578" s="65">
        <f t="shared" si="2282"/>
        <v>0</v>
      </c>
      <c r="CR1578" s="67">
        <v>0</v>
      </c>
      <c r="CS1578" s="67">
        <v>0</v>
      </c>
      <c r="CT1578" s="65">
        <f t="shared" si="2283"/>
        <v>0</v>
      </c>
      <c r="CV1578" s="67">
        <v>0</v>
      </c>
      <c r="CW1578" s="67">
        <v>0</v>
      </c>
      <c r="CX1578" s="65">
        <f t="shared" si="2284"/>
        <v>0</v>
      </c>
      <c r="CZ1578" s="67">
        <v>0</v>
      </c>
      <c r="DA1578" s="67">
        <v>0</v>
      </c>
      <c r="DB1578" s="65">
        <f t="shared" si="2285"/>
        <v>0</v>
      </c>
      <c r="DD1578" s="67">
        <v>0</v>
      </c>
      <c r="DE1578" s="67">
        <v>0</v>
      </c>
      <c r="DF1578" s="65">
        <f t="shared" si="2286"/>
        <v>0</v>
      </c>
      <c r="DH1578" s="67">
        <v>0</v>
      </c>
      <c r="DI1578" s="67">
        <v>0</v>
      </c>
      <c r="DJ1578" s="65">
        <f t="shared" si="2287"/>
        <v>0</v>
      </c>
      <c r="DL1578" s="67">
        <v>0</v>
      </c>
      <c r="DM1578" s="67">
        <v>0</v>
      </c>
      <c r="DN1578" s="65">
        <f t="shared" si="2288"/>
        <v>0</v>
      </c>
      <c r="DP1578" s="67">
        <v>0</v>
      </c>
      <c r="DQ1578" s="67">
        <v>0</v>
      </c>
      <c r="DR1578" s="65">
        <f t="shared" si="2289"/>
        <v>0</v>
      </c>
    </row>
    <row r="1579" spans="1:128" s="20" customFormat="1" ht="13.8">
      <c r="A1579" s="334" t="s">
        <v>808</v>
      </c>
      <c r="B1579" s="49"/>
      <c r="BH1579" s="49"/>
      <c r="BI1579" s="49"/>
      <c r="BJ1579" s="49"/>
      <c r="BK1579" s="49"/>
      <c r="BL1579" s="49"/>
      <c r="BM1579" s="49"/>
      <c r="BN1579" s="49"/>
      <c r="BO1579" s="49"/>
      <c r="BP1579" s="67"/>
      <c r="BQ1579" s="67"/>
      <c r="BR1579" s="65"/>
      <c r="BT1579" s="67">
        <v>0</v>
      </c>
      <c r="BU1579" s="67">
        <v>-237</v>
      </c>
      <c r="BV1579" s="65">
        <f>+BT1579+BU1579</f>
        <v>-237</v>
      </c>
      <c r="BX1579" s="67">
        <v>0</v>
      </c>
      <c r="BY1579" s="67">
        <v>0</v>
      </c>
      <c r="BZ1579" s="65">
        <f>+BX1579+BY1579</f>
        <v>0</v>
      </c>
      <c r="CB1579" s="67">
        <v>0</v>
      </c>
      <c r="CC1579" s="67">
        <v>0</v>
      </c>
      <c r="CD1579" s="65">
        <f t="shared" si="2279"/>
        <v>0</v>
      </c>
      <c r="CF1579" s="67">
        <v>0</v>
      </c>
      <c r="CG1579" s="67">
        <v>0</v>
      </c>
      <c r="CH1579" s="65">
        <f t="shared" si="2280"/>
        <v>0</v>
      </c>
      <c r="CJ1579" s="67">
        <v>0</v>
      </c>
      <c r="CK1579" s="67">
        <v>0</v>
      </c>
      <c r="CL1579" s="65">
        <f t="shared" si="2281"/>
        <v>0</v>
      </c>
      <c r="CN1579" s="67">
        <v>0</v>
      </c>
      <c r="CO1579" s="67">
        <v>0</v>
      </c>
      <c r="CP1579" s="65">
        <f t="shared" si="2282"/>
        <v>0</v>
      </c>
      <c r="CR1579" s="67">
        <v>0</v>
      </c>
      <c r="CS1579" s="67">
        <v>0</v>
      </c>
      <c r="CT1579" s="65">
        <f t="shared" si="2283"/>
        <v>0</v>
      </c>
      <c r="CV1579" s="67">
        <v>0</v>
      </c>
      <c r="CW1579" s="67">
        <v>0</v>
      </c>
      <c r="CX1579" s="65">
        <f t="shared" si="2284"/>
        <v>0</v>
      </c>
      <c r="CZ1579" s="67">
        <v>0</v>
      </c>
      <c r="DA1579" s="67">
        <v>0</v>
      </c>
      <c r="DB1579" s="65">
        <f t="shared" si="2285"/>
        <v>0</v>
      </c>
      <c r="DD1579" s="67">
        <v>0</v>
      </c>
      <c r="DE1579" s="67">
        <v>0</v>
      </c>
      <c r="DF1579" s="65">
        <f t="shared" si="2286"/>
        <v>0</v>
      </c>
      <c r="DH1579" s="67">
        <v>0</v>
      </c>
      <c r="DI1579" s="67">
        <v>0</v>
      </c>
      <c r="DJ1579" s="65">
        <f t="shared" si="2287"/>
        <v>0</v>
      </c>
      <c r="DL1579" s="67">
        <v>0</v>
      </c>
      <c r="DM1579" s="67">
        <v>0</v>
      </c>
      <c r="DN1579" s="65">
        <f t="shared" si="2288"/>
        <v>0</v>
      </c>
      <c r="DP1579" s="67">
        <v>0</v>
      </c>
      <c r="DQ1579" s="67">
        <v>0</v>
      </c>
      <c r="DR1579" s="65">
        <f t="shared" si="2289"/>
        <v>0</v>
      </c>
    </row>
    <row r="1580" spans="1:128" s="20" customFormat="1" ht="13.8">
      <c r="A1580" s="581" t="s">
        <v>804</v>
      </c>
      <c r="B1580" s="49"/>
      <c r="BH1580" s="49"/>
      <c r="BI1580" s="49"/>
      <c r="BJ1580" s="49"/>
      <c r="BK1580" s="49"/>
      <c r="BL1580" s="49"/>
      <c r="BM1580" s="49"/>
      <c r="BN1580" s="49"/>
      <c r="BO1580" s="49"/>
      <c r="BP1580" s="72"/>
      <c r="BQ1580" s="72"/>
      <c r="BR1580" s="72"/>
      <c r="BT1580" s="72">
        <f>SUM(BT1573:BT1579)</f>
        <v>-617</v>
      </c>
      <c r="BU1580" s="72">
        <f>SUM(BU1573:BU1579)</f>
        <v>-271</v>
      </c>
      <c r="BV1580" s="72">
        <f>SUM(BV1573:BV1579)</f>
        <v>-657</v>
      </c>
      <c r="BX1580" s="72">
        <f>SUM(BX1573:BX1579)</f>
        <v>-266</v>
      </c>
      <c r="BY1580" s="72">
        <f>SUM(BY1573:BY1579)</f>
        <v>0</v>
      </c>
      <c r="BZ1580" s="72">
        <f>SUM(BZ1573:BZ1579)</f>
        <v>58</v>
      </c>
      <c r="CB1580" s="72">
        <f>SUM(CB1573:CB1579)</f>
        <v>0</v>
      </c>
      <c r="CC1580" s="72">
        <f>SUM(CC1573:CC1579)</f>
        <v>0</v>
      </c>
      <c r="CD1580" s="72">
        <f>SUM(CD1573:CD1579)</f>
        <v>0</v>
      </c>
      <c r="CF1580" s="72">
        <f>SUM(CF1573:CF1579)</f>
        <v>0</v>
      </c>
      <c r="CG1580" s="72">
        <f>SUM(CG1573:CG1579)</f>
        <v>0</v>
      </c>
      <c r="CH1580" s="72">
        <f>SUM(CH1573:CH1579)</f>
        <v>0</v>
      </c>
      <c r="CJ1580" s="72">
        <f>SUM(CJ1573:CJ1579)</f>
        <v>0</v>
      </c>
      <c r="CK1580" s="72">
        <f>SUM(CK1573:CK1579)</f>
        <v>0</v>
      </c>
      <c r="CL1580" s="72">
        <f>SUM(CL1573:CL1579)</f>
        <v>0</v>
      </c>
      <c r="CN1580" s="72">
        <f>SUM(CN1573:CN1579)</f>
        <v>0</v>
      </c>
      <c r="CO1580" s="72">
        <f>SUM(CO1573:CO1579)</f>
        <v>0</v>
      </c>
      <c r="CP1580" s="72">
        <f>SUM(CP1573:CP1579)</f>
        <v>0</v>
      </c>
      <c r="CR1580" s="72">
        <f>SUM(CR1573:CR1579)</f>
        <v>0</v>
      </c>
      <c r="CS1580" s="72">
        <f>SUM(CS1573:CS1579)</f>
        <v>0</v>
      </c>
      <c r="CT1580" s="72">
        <f>SUM(CT1573:CT1579)</f>
        <v>0</v>
      </c>
      <c r="CV1580" s="72">
        <f>SUM(CV1573:CV1579)</f>
        <v>0</v>
      </c>
      <c r="CW1580" s="72">
        <f>SUM(CW1573:CW1579)</f>
        <v>0</v>
      </c>
      <c r="CX1580" s="72">
        <f>SUM(CX1573:CX1579)</f>
        <v>0</v>
      </c>
      <c r="CZ1580" s="72">
        <f>SUM(CZ1573:CZ1579)</f>
        <v>0</v>
      </c>
      <c r="DA1580" s="72">
        <f>SUM(DA1573:DA1579)</f>
        <v>0</v>
      </c>
      <c r="DB1580" s="72">
        <f>SUM(DB1573:DB1579)</f>
        <v>0</v>
      </c>
      <c r="DD1580" s="72">
        <f>SUM(DD1573:DD1579)</f>
        <v>0</v>
      </c>
      <c r="DE1580" s="72">
        <f>SUM(DE1573:DE1579)</f>
        <v>0</v>
      </c>
      <c r="DF1580" s="72">
        <f>SUM(DF1573:DF1579)</f>
        <v>0</v>
      </c>
      <c r="DH1580" s="72">
        <f>SUM(DH1573:DH1579)</f>
        <v>0</v>
      </c>
      <c r="DI1580" s="72">
        <f>SUM(DI1573:DI1579)</f>
        <v>0</v>
      </c>
      <c r="DJ1580" s="72">
        <f>SUM(DJ1573:DJ1579)</f>
        <v>0</v>
      </c>
      <c r="DL1580" s="72">
        <f>SUM(DL1573:DL1579)</f>
        <v>0</v>
      </c>
      <c r="DM1580" s="72">
        <f>SUM(DM1573:DM1579)</f>
        <v>0</v>
      </c>
      <c r="DN1580" s="72">
        <f>SUM(DN1573:DN1579)</f>
        <v>0</v>
      </c>
      <c r="DP1580" s="72">
        <f>SUM(DP1573:DP1579)</f>
        <v>0</v>
      </c>
      <c r="DQ1580" s="72">
        <f>SUM(DQ1573:DQ1579)</f>
        <v>0</v>
      </c>
      <c r="DR1580" s="72">
        <f>SUM(DR1573:DR1579)</f>
        <v>0</v>
      </c>
    </row>
    <row r="1581" spans="1:128" s="20" customFormat="1" ht="13.8">
      <c r="A1581" s="334"/>
      <c r="B1581" s="49"/>
      <c r="BH1581" s="49"/>
      <c r="BI1581" s="49"/>
      <c r="BJ1581" s="49"/>
      <c r="BK1581" s="49"/>
      <c r="BL1581" s="49"/>
      <c r="BM1581" s="49"/>
      <c r="BN1581" s="49"/>
      <c r="BO1581" s="49"/>
      <c r="BP1581" s="49"/>
      <c r="BQ1581" s="49"/>
      <c r="BT1581" s="49"/>
      <c r="BU1581" s="49"/>
      <c r="BX1581" s="49"/>
      <c r="BY1581" s="49"/>
      <c r="CB1581" s="49"/>
      <c r="CC1581" s="49"/>
      <c r="CF1581" s="49"/>
      <c r="CG1581" s="49"/>
      <c r="CJ1581" s="49"/>
      <c r="CK1581" s="49"/>
      <c r="CN1581" s="49"/>
      <c r="CO1581" s="49"/>
      <c r="CR1581" s="49"/>
      <c r="CS1581" s="49"/>
      <c r="CV1581" s="49"/>
      <c r="CW1581" s="49"/>
      <c r="CZ1581" s="49"/>
      <c r="DA1581" s="49"/>
      <c r="DD1581" s="49"/>
      <c r="DE1581" s="49"/>
      <c r="DH1581" s="49"/>
      <c r="DI1581" s="49"/>
      <c r="DL1581" s="49"/>
      <c r="DM1581" s="49"/>
      <c r="DP1581" s="49"/>
      <c r="DQ1581" s="49"/>
    </row>
    <row r="1582" spans="1:128" s="20" customFormat="1" ht="13.8">
      <c r="A1582" s="581" t="s">
        <v>810</v>
      </c>
      <c r="B1582" s="49"/>
      <c r="BH1582" s="49"/>
      <c r="BI1582" s="49"/>
      <c r="BJ1582" s="49"/>
      <c r="BK1582" s="49"/>
      <c r="BL1582" s="49"/>
      <c r="BM1582" s="49"/>
      <c r="BN1582" s="49"/>
      <c r="BO1582" s="49"/>
      <c r="BP1582" s="49"/>
      <c r="BQ1582" s="49"/>
      <c r="BT1582" s="49"/>
      <c r="BU1582" s="49"/>
      <c r="BX1582" s="49"/>
      <c r="BY1582" s="49"/>
      <c r="CB1582" s="49"/>
      <c r="CC1582" s="49"/>
      <c r="CF1582" s="49"/>
      <c r="CG1582" s="49"/>
      <c r="CJ1582" s="49"/>
      <c r="CK1582" s="49"/>
      <c r="CN1582" s="49"/>
      <c r="CO1582" s="49"/>
      <c r="CR1582" s="49"/>
      <c r="CS1582" s="49"/>
      <c r="CV1582" s="49"/>
      <c r="CW1582" s="49"/>
      <c r="CZ1582" s="49"/>
      <c r="DA1582" s="49"/>
      <c r="DD1582" s="49"/>
      <c r="DE1582" s="49"/>
      <c r="DH1582" s="49"/>
      <c r="DI1582" s="49"/>
      <c r="DL1582" s="49"/>
      <c r="DM1582" s="49"/>
      <c r="DP1582" s="49"/>
      <c r="DQ1582" s="49"/>
    </row>
    <row r="1583" spans="1:128" s="20" customFormat="1" ht="13.8">
      <c r="A1583" s="334" t="s">
        <v>805</v>
      </c>
      <c r="B1583" s="49"/>
      <c r="BH1583" s="49"/>
      <c r="BI1583" s="49"/>
      <c r="BJ1583" s="49"/>
      <c r="BK1583" s="49"/>
      <c r="BL1583" s="49"/>
      <c r="BM1583" s="49"/>
      <c r="BN1583" s="49"/>
      <c r="BO1583" s="49"/>
      <c r="BP1583" s="75"/>
      <c r="BQ1583" s="75"/>
      <c r="BR1583" s="47"/>
      <c r="BT1583" s="96">
        <f>1-(BT1592/BT1573)</f>
        <v>0.30035971223021585</v>
      </c>
      <c r="BU1583" s="96"/>
      <c r="BV1583" s="47"/>
      <c r="BX1583" s="75"/>
      <c r="BY1583" s="96"/>
      <c r="BZ1583" s="47"/>
      <c r="CB1583" s="703">
        <v>0</v>
      </c>
      <c r="CC1583" s="703">
        <v>0</v>
      </c>
      <c r="CF1583" s="703">
        <v>0</v>
      </c>
      <c r="CG1583" s="703">
        <v>0</v>
      </c>
      <c r="CJ1583" s="703">
        <v>0</v>
      </c>
      <c r="CK1583" s="703">
        <v>0</v>
      </c>
      <c r="CN1583" s="703">
        <v>0</v>
      </c>
      <c r="CO1583" s="703">
        <v>0</v>
      </c>
      <c r="CR1583" s="703">
        <v>0</v>
      </c>
      <c r="CS1583" s="703">
        <v>0</v>
      </c>
      <c r="CV1583" s="703">
        <v>0</v>
      </c>
      <c r="CW1583" s="703">
        <v>0</v>
      </c>
      <c r="CZ1583" s="703">
        <v>0</v>
      </c>
      <c r="DA1583" s="703">
        <v>0</v>
      </c>
      <c r="DD1583" s="703">
        <v>0</v>
      </c>
      <c r="DE1583" s="703">
        <v>0</v>
      </c>
      <c r="DH1583" s="703">
        <v>0</v>
      </c>
      <c r="DI1583" s="703">
        <v>0</v>
      </c>
      <c r="DL1583" s="703">
        <v>0</v>
      </c>
      <c r="DM1583" s="703">
        <v>0</v>
      </c>
      <c r="DP1583" s="703">
        <v>0</v>
      </c>
      <c r="DQ1583" s="703">
        <v>0</v>
      </c>
    </row>
    <row r="1584" spans="1:128" s="20" customFormat="1" ht="13.8">
      <c r="A1584" s="334" t="s">
        <v>806</v>
      </c>
      <c r="B1584" s="49"/>
      <c r="BH1584" s="49"/>
      <c r="BI1584" s="49"/>
      <c r="BJ1584" s="49"/>
      <c r="BK1584" s="49"/>
      <c r="BL1584" s="49"/>
      <c r="BM1584" s="49"/>
      <c r="BN1584" s="49"/>
      <c r="BO1584" s="49"/>
      <c r="BP1584" s="75"/>
      <c r="BQ1584" s="75"/>
      <c r="BR1584" s="47"/>
      <c r="BT1584" s="96">
        <f>1-(BT1593/BT1574)</f>
        <v>0</v>
      </c>
      <c r="BU1584" s="96"/>
      <c r="BV1584" s="47"/>
      <c r="BX1584" s="75">
        <f>1-(BX1593/BX1574)</f>
        <v>0</v>
      </c>
      <c r="BY1584" s="96"/>
      <c r="BZ1584" s="47"/>
      <c r="CB1584" s="703">
        <v>0</v>
      </c>
      <c r="CC1584" s="703">
        <v>0</v>
      </c>
      <c r="CF1584" s="703">
        <v>0</v>
      </c>
      <c r="CG1584" s="703">
        <v>0</v>
      </c>
      <c r="CJ1584" s="703">
        <v>0</v>
      </c>
      <c r="CK1584" s="703">
        <v>0</v>
      </c>
      <c r="CN1584" s="703">
        <v>0</v>
      </c>
      <c r="CO1584" s="703">
        <v>0</v>
      </c>
      <c r="CR1584" s="703">
        <v>0</v>
      </c>
      <c r="CS1584" s="703">
        <v>0</v>
      </c>
      <c r="CV1584" s="703">
        <v>0</v>
      </c>
      <c r="CW1584" s="703">
        <v>0</v>
      </c>
      <c r="CZ1584" s="703">
        <v>0</v>
      </c>
      <c r="DA1584" s="703">
        <v>0</v>
      </c>
      <c r="DD1584" s="703">
        <v>0</v>
      </c>
      <c r="DE1584" s="703">
        <v>0</v>
      </c>
      <c r="DH1584" s="703">
        <v>0</v>
      </c>
      <c r="DI1584" s="703">
        <v>0</v>
      </c>
      <c r="DL1584" s="703">
        <v>0</v>
      </c>
      <c r="DM1584" s="703">
        <v>0</v>
      </c>
      <c r="DP1584" s="703">
        <v>0</v>
      </c>
      <c r="DQ1584" s="703">
        <v>0</v>
      </c>
    </row>
    <row r="1585" spans="1:122" s="20" customFormat="1" ht="13.8">
      <c r="A1585" s="334" t="str">
        <f>A1575</f>
        <v>Asian Write-downs / Gains</v>
      </c>
      <c r="B1585" s="49"/>
      <c r="BH1585" s="49"/>
      <c r="BI1585" s="49"/>
      <c r="BJ1585" s="49"/>
      <c r="BK1585" s="49"/>
      <c r="BL1585" s="49"/>
      <c r="BM1585" s="49"/>
      <c r="BN1585" s="49"/>
      <c r="BO1585" s="49"/>
      <c r="BP1585" s="75"/>
      <c r="BQ1585" s="75"/>
      <c r="BR1585" s="47"/>
      <c r="BT1585" s="96"/>
      <c r="BU1585" s="96"/>
      <c r="BV1585" s="47"/>
      <c r="BX1585" s="75"/>
      <c r="BY1585" s="96"/>
      <c r="BZ1585" s="47"/>
      <c r="CB1585" s="703">
        <v>0</v>
      </c>
      <c r="CC1585" s="703">
        <v>0</v>
      </c>
      <c r="CF1585" s="703">
        <v>0</v>
      </c>
      <c r="CG1585" s="703">
        <v>0</v>
      </c>
      <c r="CJ1585" s="703">
        <v>0</v>
      </c>
      <c r="CK1585" s="703">
        <v>0</v>
      </c>
      <c r="CN1585" s="703">
        <v>0</v>
      </c>
      <c r="CO1585" s="703">
        <v>0</v>
      </c>
      <c r="CR1585" s="703">
        <v>0</v>
      </c>
      <c r="CS1585" s="703">
        <v>0</v>
      </c>
      <c r="CV1585" s="703">
        <v>0</v>
      </c>
      <c r="CW1585" s="703">
        <v>0</v>
      </c>
      <c r="CZ1585" s="703">
        <v>0</v>
      </c>
      <c r="DA1585" s="703">
        <v>0</v>
      </c>
      <c r="DD1585" s="703">
        <v>0</v>
      </c>
      <c r="DE1585" s="703">
        <v>0</v>
      </c>
      <c r="DH1585" s="703">
        <v>0</v>
      </c>
      <c r="DI1585" s="703">
        <v>0</v>
      </c>
      <c r="DL1585" s="703">
        <v>0</v>
      </c>
      <c r="DM1585" s="703">
        <v>0</v>
      </c>
      <c r="DP1585" s="703">
        <v>0</v>
      </c>
      <c r="DQ1585" s="703">
        <v>0</v>
      </c>
    </row>
    <row r="1586" spans="1:122" s="20" customFormat="1" ht="13.8">
      <c r="A1586" s="334" t="str">
        <f>A1576</f>
        <v>Asia Retail &amp; Wealth</v>
      </c>
      <c r="B1586" s="49"/>
      <c r="BH1586" s="49"/>
      <c r="BI1586" s="49"/>
      <c r="BJ1586" s="49"/>
      <c r="BK1586" s="49"/>
      <c r="BL1586" s="49"/>
      <c r="BM1586" s="49"/>
      <c r="BN1586" s="49"/>
      <c r="BO1586" s="49"/>
      <c r="BP1586" s="75"/>
      <c r="BQ1586" s="75"/>
      <c r="BR1586" s="47"/>
      <c r="BT1586" s="96"/>
      <c r="BU1586" s="96"/>
      <c r="BV1586" s="47"/>
      <c r="BX1586" s="96">
        <f>1-(BX1595/BX1576)</f>
        <v>0.12345679012345678</v>
      </c>
      <c r="BY1586" s="96"/>
      <c r="BZ1586" s="47"/>
      <c r="CB1586" s="703">
        <v>0</v>
      </c>
      <c r="CC1586" s="703">
        <v>0</v>
      </c>
      <c r="CF1586" s="703">
        <v>0</v>
      </c>
      <c r="CG1586" s="703">
        <v>0</v>
      </c>
      <c r="CJ1586" s="703">
        <v>0</v>
      </c>
      <c r="CK1586" s="703">
        <v>0</v>
      </c>
      <c r="CN1586" s="703">
        <v>0</v>
      </c>
      <c r="CO1586" s="703">
        <v>0</v>
      </c>
      <c r="CR1586" s="703">
        <v>0</v>
      </c>
      <c r="CS1586" s="703">
        <v>0</v>
      </c>
      <c r="CV1586" s="703">
        <v>0</v>
      </c>
      <c r="CW1586" s="703">
        <v>0</v>
      </c>
      <c r="CZ1586" s="703">
        <v>0</v>
      </c>
      <c r="DA1586" s="703">
        <v>0</v>
      </c>
      <c r="DD1586" s="703">
        <v>0</v>
      </c>
      <c r="DE1586" s="703">
        <v>0</v>
      </c>
      <c r="DH1586" s="703">
        <v>0</v>
      </c>
      <c r="DI1586" s="703">
        <v>0</v>
      </c>
      <c r="DL1586" s="703">
        <v>0</v>
      </c>
      <c r="DM1586" s="703">
        <v>0</v>
      </c>
      <c r="DP1586" s="703">
        <v>0</v>
      </c>
      <c r="DQ1586" s="703">
        <v>0</v>
      </c>
    </row>
    <row r="1587" spans="1:122" s="20" customFormat="1" ht="13.8">
      <c r="A1587" s="334" t="s">
        <v>807</v>
      </c>
      <c r="B1587" s="49"/>
      <c r="BH1587" s="49"/>
      <c r="BI1587" s="49"/>
      <c r="BJ1587" s="49"/>
      <c r="BK1587" s="49"/>
      <c r="BL1587" s="49"/>
      <c r="BM1587" s="49"/>
      <c r="BN1587" s="49"/>
      <c r="BO1587" s="49"/>
      <c r="BP1587" s="75"/>
      <c r="BQ1587" s="75"/>
      <c r="BR1587" s="47"/>
      <c r="BT1587" s="96">
        <f>1-(BT1596/BT1577)</f>
        <v>0.26811594202898548</v>
      </c>
      <c r="BU1587" s="96">
        <f>1-(BU1596/BU1577)</f>
        <v>0.2857142857142857</v>
      </c>
      <c r="BV1587" s="47"/>
      <c r="BX1587" s="75"/>
      <c r="BY1587" s="96" t="str">
        <f>IFERROR(1-(BY1596/BY1577),"na")</f>
        <v>na</v>
      </c>
      <c r="BZ1587" s="47"/>
      <c r="CB1587" s="703">
        <v>0</v>
      </c>
      <c r="CC1587" s="703">
        <v>0</v>
      </c>
      <c r="CF1587" s="703">
        <v>0</v>
      </c>
      <c r="CG1587" s="703">
        <v>0</v>
      </c>
      <c r="CJ1587" s="703">
        <v>0</v>
      </c>
      <c r="CK1587" s="703">
        <v>0</v>
      </c>
      <c r="CN1587" s="703">
        <v>0</v>
      </c>
      <c r="CO1587" s="703">
        <v>0</v>
      </c>
      <c r="CR1587" s="703">
        <v>0</v>
      </c>
      <c r="CS1587" s="703">
        <v>0</v>
      </c>
      <c r="CV1587" s="703">
        <v>0</v>
      </c>
      <c r="CW1587" s="703">
        <v>0</v>
      </c>
      <c r="CZ1587" s="703">
        <v>0</v>
      </c>
      <c r="DA1587" s="703">
        <v>0</v>
      </c>
      <c r="DD1587" s="703">
        <v>0</v>
      </c>
      <c r="DE1587" s="703">
        <v>0</v>
      </c>
      <c r="DH1587" s="703">
        <v>0</v>
      </c>
      <c r="DI1587" s="703">
        <v>0</v>
      </c>
      <c r="DL1587" s="703">
        <v>0</v>
      </c>
      <c r="DM1587" s="703">
        <v>0</v>
      </c>
      <c r="DP1587" s="703">
        <v>0</v>
      </c>
      <c r="DQ1587" s="703">
        <v>0</v>
      </c>
    </row>
    <row r="1588" spans="1:122" s="20" customFormat="1" ht="13.8">
      <c r="A1588" s="334" t="s">
        <v>803</v>
      </c>
      <c r="B1588" s="49"/>
      <c r="BH1588" s="49"/>
      <c r="BI1588" s="49"/>
      <c r="BJ1588" s="49"/>
      <c r="BK1588" s="49"/>
      <c r="BL1588" s="49"/>
      <c r="BM1588" s="49"/>
      <c r="BN1588" s="49"/>
      <c r="BO1588" s="49"/>
      <c r="BP1588" s="75"/>
      <c r="BQ1588" s="75"/>
      <c r="BR1588" s="47"/>
      <c r="BT1588" s="96">
        <f>1-(BT1597/BT1578)</f>
        <v>0.3411764705882353</v>
      </c>
      <c r="BU1588" s="96">
        <f>1-(BU1597/BU1578)</f>
        <v>0.3125</v>
      </c>
      <c r="BV1588" s="47"/>
      <c r="BX1588" s="75"/>
      <c r="BY1588" s="96" t="str">
        <f>IFERROR(1-(BY1597/BY1578),"na")</f>
        <v>na</v>
      </c>
      <c r="BZ1588" s="47"/>
      <c r="CB1588" s="703">
        <v>0</v>
      </c>
      <c r="CC1588" s="703">
        <v>0</v>
      </c>
      <c r="CF1588" s="703">
        <v>0</v>
      </c>
      <c r="CG1588" s="703">
        <v>0</v>
      </c>
      <c r="CJ1588" s="703">
        <v>0</v>
      </c>
      <c r="CK1588" s="703">
        <v>0</v>
      </c>
      <c r="CN1588" s="703">
        <v>0</v>
      </c>
      <c r="CO1588" s="703">
        <v>0</v>
      </c>
      <c r="CR1588" s="703">
        <v>0</v>
      </c>
      <c r="CS1588" s="703">
        <v>0</v>
      </c>
      <c r="CV1588" s="703">
        <v>0</v>
      </c>
      <c r="CW1588" s="703">
        <v>0</v>
      </c>
      <c r="CZ1588" s="703">
        <v>0</v>
      </c>
      <c r="DA1588" s="703">
        <v>0</v>
      </c>
      <c r="DD1588" s="703">
        <v>0</v>
      </c>
      <c r="DE1588" s="703">
        <v>0</v>
      </c>
      <c r="DH1588" s="703">
        <v>0</v>
      </c>
      <c r="DI1588" s="703">
        <v>0</v>
      </c>
      <c r="DL1588" s="703">
        <v>0</v>
      </c>
      <c r="DM1588" s="703">
        <v>0</v>
      </c>
      <c r="DP1588" s="703">
        <v>0</v>
      </c>
      <c r="DQ1588" s="703">
        <v>0</v>
      </c>
    </row>
    <row r="1589" spans="1:122" s="20" customFormat="1" ht="13.8">
      <c r="A1589" s="334" t="s">
        <v>808</v>
      </c>
      <c r="B1589" s="49"/>
      <c r="BH1589" s="49"/>
      <c r="BI1589" s="49"/>
      <c r="BJ1589" s="49"/>
      <c r="BK1589" s="49"/>
      <c r="BL1589" s="49"/>
      <c r="BM1589" s="49"/>
      <c r="BN1589" s="49"/>
      <c r="BO1589" s="49"/>
      <c r="BP1589" s="68"/>
      <c r="BQ1589" s="75"/>
      <c r="BT1589" s="71"/>
      <c r="BU1589" s="96">
        <f>1-(BU1598/BU1579)</f>
        <v>0.29113924050632911</v>
      </c>
      <c r="BX1589" s="68"/>
      <c r="BY1589" s="96" t="str">
        <f>IFERROR(1-(BY1598/BY1579),"na")</f>
        <v>na</v>
      </c>
      <c r="CB1589" s="703">
        <v>0</v>
      </c>
      <c r="CC1589" s="703">
        <v>0</v>
      </c>
      <c r="CF1589" s="703">
        <v>0</v>
      </c>
      <c r="CG1589" s="703">
        <v>0</v>
      </c>
      <c r="CJ1589" s="703">
        <v>0</v>
      </c>
      <c r="CK1589" s="703">
        <v>0</v>
      </c>
      <c r="CN1589" s="703">
        <v>0</v>
      </c>
      <c r="CO1589" s="703">
        <v>0</v>
      </c>
      <c r="CR1589" s="703">
        <v>0</v>
      </c>
      <c r="CS1589" s="703">
        <v>0</v>
      </c>
      <c r="CV1589" s="703">
        <v>0</v>
      </c>
      <c r="CW1589" s="703">
        <v>0</v>
      </c>
      <c r="CZ1589" s="703">
        <v>0</v>
      </c>
      <c r="DA1589" s="703">
        <v>0</v>
      </c>
      <c r="DD1589" s="703">
        <v>0</v>
      </c>
      <c r="DE1589" s="703">
        <v>0</v>
      </c>
      <c r="DH1589" s="703">
        <v>0</v>
      </c>
      <c r="DI1589" s="703">
        <v>0</v>
      </c>
      <c r="DL1589" s="703">
        <v>0</v>
      </c>
      <c r="DM1589" s="703">
        <v>0</v>
      </c>
      <c r="DP1589" s="703">
        <v>0</v>
      </c>
      <c r="DQ1589" s="703">
        <v>0</v>
      </c>
    </row>
    <row r="1590" spans="1:122" s="20" customFormat="1" ht="13.8">
      <c r="A1590" s="334"/>
      <c r="B1590" s="49"/>
      <c r="BH1590" s="49"/>
      <c r="BI1590" s="49"/>
      <c r="BJ1590" s="49"/>
      <c r="BK1590" s="49"/>
      <c r="BL1590" s="49"/>
      <c r="BM1590" s="49"/>
      <c r="BN1590" s="49"/>
      <c r="BO1590" s="49"/>
      <c r="BP1590" s="49"/>
      <c r="BQ1590" s="49"/>
      <c r="BT1590" s="49"/>
      <c r="BU1590" s="49"/>
      <c r="BX1590" s="49"/>
      <c r="BY1590" s="49"/>
      <c r="CB1590" s="49"/>
      <c r="CC1590" s="49"/>
      <c r="CF1590" s="49"/>
      <c r="CG1590" s="49"/>
      <c r="CJ1590" s="49"/>
      <c r="CK1590" s="49"/>
      <c r="CN1590" s="49"/>
      <c r="CO1590" s="49"/>
      <c r="CR1590" s="49"/>
      <c r="CS1590" s="49"/>
      <c r="CV1590" s="49"/>
      <c r="CW1590" s="49"/>
      <c r="CZ1590" s="49"/>
      <c r="DA1590" s="49"/>
      <c r="DD1590" s="49"/>
      <c r="DE1590" s="49"/>
      <c r="DH1590" s="49"/>
      <c r="DI1590" s="49"/>
      <c r="DL1590" s="49"/>
      <c r="DM1590" s="49"/>
      <c r="DP1590" s="49"/>
      <c r="DQ1590" s="49"/>
    </row>
    <row r="1591" spans="1:122" s="20" customFormat="1" ht="13.8">
      <c r="A1591" s="334"/>
      <c r="B1591" s="49"/>
      <c r="BH1591" s="49"/>
      <c r="BI1591" s="49"/>
      <c r="BJ1591" s="49"/>
      <c r="BK1591" s="49"/>
      <c r="BL1591" s="49"/>
      <c r="BM1591" s="49"/>
      <c r="BN1591" s="49"/>
      <c r="BO1591" s="49"/>
      <c r="BP1591" s="49"/>
      <c r="BQ1591" s="49"/>
      <c r="BT1591" s="49"/>
      <c r="BU1591" s="49"/>
      <c r="BX1591" s="49"/>
      <c r="BY1591" s="767"/>
      <c r="CB1591" s="49"/>
      <c r="CC1591" s="49"/>
      <c r="CF1591" s="49"/>
      <c r="CG1591" s="49"/>
      <c r="CJ1591" s="49"/>
      <c r="CK1591" s="49"/>
      <c r="CN1591" s="49"/>
      <c r="CO1591" s="49"/>
      <c r="CR1591" s="49"/>
      <c r="CS1591" s="49"/>
      <c r="CV1591" s="49"/>
      <c r="CW1591" s="49"/>
      <c r="CZ1591" s="49"/>
      <c r="DA1591" s="49"/>
      <c r="DD1591" s="49"/>
      <c r="DE1591" s="49"/>
      <c r="DH1591" s="49"/>
      <c r="DI1591" s="49"/>
      <c r="DL1591" s="49"/>
      <c r="DM1591" s="49"/>
      <c r="DP1591" s="49"/>
      <c r="DQ1591" s="49"/>
    </row>
    <row r="1592" spans="1:122" s="20" customFormat="1" ht="13.8">
      <c r="A1592" s="334" t="str">
        <f>A1573</f>
        <v>Software Capitalisation Changes</v>
      </c>
      <c r="B1592" s="49"/>
      <c r="BH1592" s="49"/>
      <c r="BI1592" s="49"/>
      <c r="BJ1592" s="49"/>
      <c r="BK1592" s="49"/>
      <c r="BL1592" s="49"/>
      <c r="BM1592" s="49"/>
      <c r="BN1592" s="49"/>
      <c r="BO1592" s="49"/>
      <c r="BP1592" s="67"/>
      <c r="BQ1592" s="67"/>
      <c r="BR1592" s="65"/>
      <c r="BT1592" s="67">
        <v>-389</v>
      </c>
      <c r="BU1592" s="67">
        <v>0</v>
      </c>
      <c r="BV1592" s="65">
        <f>+BT1592+BU1592</f>
        <v>-389</v>
      </c>
      <c r="BX1592" s="67">
        <v>0</v>
      </c>
      <c r="BY1592" s="67">
        <v>0</v>
      </c>
      <c r="BZ1592" s="65">
        <f>+BX1592+BY1592</f>
        <v>0</v>
      </c>
      <c r="CB1592" s="67">
        <v>0</v>
      </c>
      <c r="CC1592" s="604">
        <f t="shared" ref="CC1592:CC1598" si="2290">+CC1573*(1-CC1583)</f>
        <v>0</v>
      </c>
      <c r="CD1592" s="65">
        <f t="shared" ref="CD1592:CD1598" si="2291">+CB1592+CC1592</f>
        <v>0</v>
      </c>
      <c r="CF1592" s="604">
        <f t="shared" ref="CF1592:CG1598" si="2292">+CF1573*(1-CF1583)</f>
        <v>0</v>
      </c>
      <c r="CG1592" s="604">
        <f t="shared" si="2292"/>
        <v>0</v>
      </c>
      <c r="CH1592" s="65">
        <f t="shared" ref="CH1592:CH1598" si="2293">+CF1592+CG1592</f>
        <v>0</v>
      </c>
      <c r="CJ1592" s="604">
        <f t="shared" ref="CJ1592:CK1598" si="2294">+CJ1573*(1-CJ1583)</f>
        <v>0</v>
      </c>
      <c r="CK1592" s="604">
        <f t="shared" si="2294"/>
        <v>0</v>
      </c>
      <c r="CL1592" s="65">
        <f t="shared" ref="CL1592:CL1598" si="2295">+CJ1592+CK1592</f>
        <v>0</v>
      </c>
      <c r="CN1592" s="604">
        <f t="shared" ref="CN1592" si="2296">+CN1573*(1-CN1583)</f>
        <v>0</v>
      </c>
      <c r="CO1592" s="604">
        <f t="shared" ref="CO1592:CO1598" si="2297">+CO1573*(1-CO1583)</f>
        <v>0</v>
      </c>
      <c r="CP1592" s="65">
        <f t="shared" ref="CP1592:CP1598" si="2298">+CN1592+CO1592</f>
        <v>0</v>
      </c>
      <c r="CR1592" s="604">
        <f t="shared" ref="CR1592:CS1598" si="2299">+CR1573*(1-CR1583)</f>
        <v>0</v>
      </c>
      <c r="CS1592" s="604">
        <f t="shared" si="2299"/>
        <v>0</v>
      </c>
      <c r="CT1592" s="65">
        <f t="shared" ref="CT1592:CT1598" si="2300">+CR1592+CS1592</f>
        <v>0</v>
      </c>
      <c r="CV1592" s="604">
        <f t="shared" ref="CV1592:CW1592" si="2301">+CV1573*(1-CV1583)</f>
        <v>0</v>
      </c>
      <c r="CW1592" s="604">
        <f t="shared" si="2301"/>
        <v>0</v>
      </c>
      <c r="CX1592" s="65">
        <f t="shared" ref="CX1592:CX1598" si="2302">+CV1592+CW1592</f>
        <v>0</v>
      </c>
      <c r="CZ1592" s="604">
        <f t="shared" ref="CZ1592:DA1592" si="2303">+CZ1573*(1-CZ1583)</f>
        <v>0</v>
      </c>
      <c r="DA1592" s="604">
        <f t="shared" si="2303"/>
        <v>0</v>
      </c>
      <c r="DB1592" s="65">
        <f t="shared" ref="DB1592:DB1598" si="2304">+CZ1592+DA1592</f>
        <v>0</v>
      </c>
      <c r="DD1592" s="604">
        <f t="shared" ref="DD1592:DE1592" si="2305">+DD1573*(1-DD1583)</f>
        <v>0</v>
      </c>
      <c r="DE1592" s="604">
        <f t="shared" si="2305"/>
        <v>0</v>
      </c>
      <c r="DF1592" s="65">
        <f t="shared" ref="DF1592:DF1598" si="2306">+DD1592+DE1592</f>
        <v>0</v>
      </c>
      <c r="DH1592" s="604">
        <f t="shared" ref="DH1592:DI1592" si="2307">+DH1573*(1-DH1583)</f>
        <v>0</v>
      </c>
      <c r="DI1592" s="604">
        <f t="shared" si="2307"/>
        <v>0</v>
      </c>
      <c r="DJ1592" s="65">
        <f t="shared" ref="DJ1592:DJ1598" si="2308">+DH1592+DI1592</f>
        <v>0</v>
      </c>
      <c r="DL1592" s="604">
        <f t="shared" ref="DL1592:DM1592" si="2309">+DL1573*(1-DL1583)</f>
        <v>0</v>
      </c>
      <c r="DM1592" s="604">
        <f t="shared" si="2309"/>
        <v>0</v>
      </c>
      <c r="DN1592" s="65">
        <f t="shared" ref="DN1592:DN1598" si="2310">+DL1592+DM1592</f>
        <v>0</v>
      </c>
      <c r="DP1592" s="604">
        <f t="shared" ref="DP1592:DQ1592" si="2311">+DP1573*(1-DP1583)</f>
        <v>0</v>
      </c>
      <c r="DQ1592" s="604">
        <f t="shared" si="2311"/>
        <v>0</v>
      </c>
      <c r="DR1592" s="65">
        <f t="shared" ref="DR1592:DR1598" si="2312">+DP1592+DQ1592</f>
        <v>0</v>
      </c>
    </row>
    <row r="1593" spans="1:122" s="20" customFormat="1" ht="13.8">
      <c r="A1593" s="334" t="str">
        <f t="shared" ref="A1593:A1598" si="2313">A1574</f>
        <v>Asian Minority Stakes</v>
      </c>
      <c r="B1593" s="49"/>
      <c r="BH1593" s="49"/>
      <c r="BI1593" s="49"/>
      <c r="BJ1593" s="49"/>
      <c r="BK1593" s="49"/>
      <c r="BL1593" s="49"/>
      <c r="BM1593" s="49"/>
      <c r="BN1593" s="49"/>
      <c r="BO1593" s="49"/>
      <c r="BP1593" s="67"/>
      <c r="BQ1593" s="67"/>
      <c r="BR1593" s="65"/>
      <c r="BT1593" s="67">
        <v>223</v>
      </c>
      <c r="BU1593" s="67">
        <v>122</v>
      </c>
      <c r="BV1593" s="65">
        <f>+BT1593+BU1593</f>
        <v>345</v>
      </c>
      <c r="BX1593" s="67">
        <v>58</v>
      </c>
      <c r="BY1593" s="67">
        <v>0</v>
      </c>
      <c r="BZ1593" s="65">
        <f>+BX1593+BY1593</f>
        <v>58</v>
      </c>
      <c r="CB1593" s="67">
        <v>0</v>
      </c>
      <c r="CC1593" s="604">
        <f t="shared" si="2290"/>
        <v>0</v>
      </c>
      <c r="CD1593" s="65">
        <f t="shared" si="2291"/>
        <v>0</v>
      </c>
      <c r="CF1593" s="604">
        <f t="shared" si="2292"/>
        <v>0</v>
      </c>
      <c r="CG1593" s="604">
        <f t="shared" si="2292"/>
        <v>0</v>
      </c>
      <c r="CH1593" s="65">
        <f t="shared" si="2293"/>
        <v>0</v>
      </c>
      <c r="CJ1593" s="604">
        <f t="shared" si="2294"/>
        <v>0</v>
      </c>
      <c r="CK1593" s="604">
        <f t="shared" si="2294"/>
        <v>0</v>
      </c>
      <c r="CL1593" s="65">
        <f t="shared" si="2295"/>
        <v>0</v>
      </c>
      <c r="CN1593" s="604">
        <f t="shared" ref="CN1593" si="2314">+CN1574*(1-CN1584)</f>
        <v>0</v>
      </c>
      <c r="CO1593" s="604">
        <f t="shared" si="2297"/>
        <v>0</v>
      </c>
      <c r="CP1593" s="65">
        <f t="shared" si="2298"/>
        <v>0</v>
      </c>
      <c r="CR1593" s="604">
        <f t="shared" si="2299"/>
        <v>0</v>
      </c>
      <c r="CS1593" s="604">
        <f t="shared" si="2299"/>
        <v>0</v>
      </c>
      <c r="CT1593" s="65">
        <f t="shared" si="2300"/>
        <v>0</v>
      </c>
      <c r="CV1593" s="604">
        <f t="shared" ref="CV1593:CW1593" si="2315">+CV1574*(1-CV1584)</f>
        <v>0</v>
      </c>
      <c r="CW1593" s="604">
        <f t="shared" si="2315"/>
        <v>0</v>
      </c>
      <c r="CX1593" s="65">
        <f t="shared" si="2302"/>
        <v>0</v>
      </c>
      <c r="CZ1593" s="604">
        <f t="shared" ref="CZ1593:DA1593" si="2316">+CZ1574*(1-CZ1584)</f>
        <v>0</v>
      </c>
      <c r="DA1593" s="604">
        <f t="shared" si="2316"/>
        <v>0</v>
      </c>
      <c r="DB1593" s="65">
        <f t="shared" si="2304"/>
        <v>0</v>
      </c>
      <c r="DD1593" s="604">
        <f t="shared" ref="DD1593:DE1593" si="2317">+DD1574*(1-DD1584)</f>
        <v>0</v>
      </c>
      <c r="DE1593" s="604">
        <f t="shared" si="2317"/>
        <v>0</v>
      </c>
      <c r="DF1593" s="65">
        <f t="shared" si="2306"/>
        <v>0</v>
      </c>
      <c r="DH1593" s="604">
        <f t="shared" ref="DH1593:DI1593" si="2318">+DH1574*(1-DH1584)</f>
        <v>0</v>
      </c>
      <c r="DI1593" s="604">
        <f t="shared" si="2318"/>
        <v>0</v>
      </c>
      <c r="DJ1593" s="65">
        <f t="shared" si="2308"/>
        <v>0</v>
      </c>
      <c r="DL1593" s="604">
        <f t="shared" ref="DL1593:DM1593" si="2319">+DL1574*(1-DL1584)</f>
        <v>0</v>
      </c>
      <c r="DM1593" s="604">
        <f t="shared" si="2319"/>
        <v>0</v>
      </c>
      <c r="DN1593" s="65">
        <f t="shared" si="2310"/>
        <v>0</v>
      </c>
      <c r="DP1593" s="604">
        <f t="shared" ref="DP1593:DQ1593" si="2320">+DP1574*(1-DP1584)</f>
        <v>0</v>
      </c>
      <c r="DQ1593" s="604">
        <f t="shared" si="2320"/>
        <v>0</v>
      </c>
      <c r="DR1593" s="65">
        <f t="shared" si="2312"/>
        <v>0</v>
      </c>
    </row>
    <row r="1594" spans="1:122" s="20" customFormat="1" ht="13.8">
      <c r="A1594" s="334" t="str">
        <f t="shared" si="2313"/>
        <v>Asian Write-downs / Gains</v>
      </c>
      <c r="B1594" s="49"/>
      <c r="BH1594" s="49"/>
      <c r="BI1594" s="49"/>
      <c r="BJ1594" s="49"/>
      <c r="BK1594" s="49"/>
      <c r="BL1594" s="49"/>
      <c r="BM1594" s="49"/>
      <c r="BN1594" s="49"/>
      <c r="BO1594" s="49"/>
      <c r="BP1594" s="67"/>
      <c r="BQ1594" s="67"/>
      <c r="BR1594" s="65"/>
      <c r="BT1594" s="67">
        <v>-231</v>
      </c>
      <c r="BU1594" s="67">
        <v>0</v>
      </c>
      <c r="BV1594" s="65"/>
      <c r="BX1594" s="67">
        <v>0</v>
      </c>
      <c r="BY1594" s="67">
        <v>0</v>
      </c>
      <c r="BZ1594" s="65"/>
      <c r="CB1594" s="67">
        <v>0</v>
      </c>
      <c r="CC1594" s="604">
        <f t="shared" si="2290"/>
        <v>0</v>
      </c>
      <c r="CD1594" s="65">
        <f t="shared" si="2291"/>
        <v>0</v>
      </c>
      <c r="CF1594" s="604">
        <f t="shared" si="2292"/>
        <v>0</v>
      </c>
      <c r="CG1594" s="604">
        <f t="shared" si="2292"/>
        <v>0</v>
      </c>
      <c r="CH1594" s="65">
        <f t="shared" si="2293"/>
        <v>0</v>
      </c>
      <c r="CJ1594" s="604">
        <f t="shared" si="2294"/>
        <v>0</v>
      </c>
      <c r="CK1594" s="604">
        <f t="shared" si="2294"/>
        <v>0</v>
      </c>
      <c r="CL1594" s="65">
        <f t="shared" si="2295"/>
        <v>0</v>
      </c>
      <c r="CN1594" s="604">
        <f t="shared" ref="CN1594" si="2321">+CN1575*(1-CN1585)</f>
        <v>0</v>
      </c>
      <c r="CO1594" s="604">
        <f t="shared" si="2297"/>
        <v>0</v>
      </c>
      <c r="CP1594" s="65">
        <f t="shared" si="2298"/>
        <v>0</v>
      </c>
      <c r="CR1594" s="604">
        <f t="shared" si="2299"/>
        <v>0</v>
      </c>
      <c r="CS1594" s="604">
        <f t="shared" si="2299"/>
        <v>0</v>
      </c>
      <c r="CT1594" s="65">
        <f t="shared" si="2300"/>
        <v>0</v>
      </c>
      <c r="CV1594" s="604">
        <f t="shared" ref="CV1594:CW1594" si="2322">+CV1575*(1-CV1585)</f>
        <v>0</v>
      </c>
      <c r="CW1594" s="604">
        <f t="shared" si="2322"/>
        <v>0</v>
      </c>
      <c r="CX1594" s="65">
        <f t="shared" si="2302"/>
        <v>0</v>
      </c>
      <c r="CZ1594" s="604">
        <f t="shared" ref="CZ1594:DA1594" si="2323">+CZ1575*(1-CZ1585)</f>
        <v>0</v>
      </c>
      <c r="DA1594" s="604">
        <f t="shared" si="2323"/>
        <v>0</v>
      </c>
      <c r="DB1594" s="65">
        <f t="shared" si="2304"/>
        <v>0</v>
      </c>
      <c r="DD1594" s="604">
        <f t="shared" ref="DD1594:DE1594" si="2324">+DD1575*(1-DD1585)</f>
        <v>0</v>
      </c>
      <c r="DE1594" s="604">
        <f t="shared" si="2324"/>
        <v>0</v>
      </c>
      <c r="DF1594" s="65">
        <f t="shared" si="2306"/>
        <v>0</v>
      </c>
      <c r="DH1594" s="604">
        <f t="shared" ref="DH1594:DI1594" si="2325">+DH1575*(1-DH1585)</f>
        <v>0</v>
      </c>
      <c r="DI1594" s="604">
        <f t="shared" si="2325"/>
        <v>0</v>
      </c>
      <c r="DJ1594" s="65">
        <f t="shared" si="2308"/>
        <v>0</v>
      </c>
      <c r="DL1594" s="604">
        <f t="shared" ref="DL1594:DM1594" si="2326">+DL1575*(1-DL1585)</f>
        <v>0</v>
      </c>
      <c r="DM1594" s="604">
        <f t="shared" si="2326"/>
        <v>0</v>
      </c>
      <c r="DN1594" s="65">
        <f t="shared" si="2310"/>
        <v>0</v>
      </c>
      <c r="DP1594" s="604">
        <f t="shared" ref="DP1594:DQ1594" si="2327">+DP1575*(1-DP1585)</f>
        <v>0</v>
      </c>
      <c r="DQ1594" s="604">
        <f t="shared" si="2327"/>
        <v>0</v>
      </c>
      <c r="DR1594" s="65">
        <f t="shared" si="2312"/>
        <v>0</v>
      </c>
    </row>
    <row r="1595" spans="1:122" s="20" customFormat="1" ht="13.8">
      <c r="A1595" s="334" t="str">
        <f t="shared" si="2313"/>
        <v>Asia Retail &amp; Wealth</v>
      </c>
      <c r="B1595" s="49"/>
      <c r="BH1595" s="49"/>
      <c r="BI1595" s="49"/>
      <c r="BJ1595" s="49"/>
      <c r="BK1595" s="49"/>
      <c r="BL1595" s="49"/>
      <c r="BM1595" s="49"/>
      <c r="BN1595" s="49"/>
      <c r="BO1595" s="49"/>
      <c r="BP1595" s="67"/>
      <c r="BQ1595" s="67"/>
      <c r="BR1595" s="65"/>
      <c r="BT1595" s="67">
        <v>0</v>
      </c>
      <c r="BU1595" s="67">
        <v>0</v>
      </c>
      <c r="BV1595" s="65"/>
      <c r="BX1595" s="67">
        <v>-284</v>
      </c>
      <c r="BY1595" s="67">
        <v>0</v>
      </c>
      <c r="BZ1595" s="65"/>
      <c r="CB1595" s="67">
        <v>0</v>
      </c>
      <c r="CC1595" s="604">
        <f t="shared" si="2290"/>
        <v>0</v>
      </c>
      <c r="CD1595" s="65">
        <f t="shared" si="2291"/>
        <v>0</v>
      </c>
      <c r="CF1595" s="604">
        <f t="shared" si="2292"/>
        <v>0</v>
      </c>
      <c r="CG1595" s="604">
        <f t="shared" si="2292"/>
        <v>0</v>
      </c>
      <c r="CH1595" s="65">
        <f t="shared" si="2293"/>
        <v>0</v>
      </c>
      <c r="CJ1595" s="604">
        <f t="shared" si="2294"/>
        <v>0</v>
      </c>
      <c r="CK1595" s="604">
        <f t="shared" si="2294"/>
        <v>0</v>
      </c>
      <c r="CL1595" s="65">
        <f t="shared" si="2295"/>
        <v>0</v>
      </c>
      <c r="CN1595" s="604">
        <f t="shared" ref="CN1595" si="2328">+CN1576*(1-CN1586)</f>
        <v>0</v>
      </c>
      <c r="CO1595" s="604">
        <f t="shared" si="2297"/>
        <v>0</v>
      </c>
      <c r="CP1595" s="65">
        <f t="shared" si="2298"/>
        <v>0</v>
      </c>
      <c r="CR1595" s="604">
        <f t="shared" si="2299"/>
        <v>0</v>
      </c>
      <c r="CS1595" s="604">
        <f t="shared" si="2299"/>
        <v>0</v>
      </c>
      <c r="CT1595" s="65">
        <f t="shared" si="2300"/>
        <v>0</v>
      </c>
      <c r="CV1595" s="604">
        <f t="shared" ref="CV1595:CW1595" si="2329">+CV1576*(1-CV1586)</f>
        <v>0</v>
      </c>
      <c r="CW1595" s="604">
        <f t="shared" si="2329"/>
        <v>0</v>
      </c>
      <c r="CX1595" s="65">
        <f t="shared" si="2302"/>
        <v>0</v>
      </c>
      <c r="CZ1595" s="604">
        <f t="shared" ref="CZ1595:DA1595" si="2330">+CZ1576*(1-CZ1586)</f>
        <v>0</v>
      </c>
      <c r="DA1595" s="604">
        <f t="shared" si="2330"/>
        <v>0</v>
      </c>
      <c r="DB1595" s="65">
        <f t="shared" si="2304"/>
        <v>0</v>
      </c>
      <c r="DD1595" s="604">
        <f t="shared" ref="DD1595:DE1595" si="2331">+DD1576*(1-DD1586)</f>
        <v>0</v>
      </c>
      <c r="DE1595" s="604">
        <f t="shared" si="2331"/>
        <v>0</v>
      </c>
      <c r="DF1595" s="65">
        <f t="shared" si="2306"/>
        <v>0</v>
      </c>
      <c r="DH1595" s="604">
        <f t="shared" ref="DH1595:DI1595" si="2332">+DH1576*(1-DH1586)</f>
        <v>0</v>
      </c>
      <c r="DI1595" s="604">
        <f t="shared" si="2332"/>
        <v>0</v>
      </c>
      <c r="DJ1595" s="65">
        <f t="shared" si="2308"/>
        <v>0</v>
      </c>
      <c r="DL1595" s="604">
        <f t="shared" ref="DL1595:DM1595" si="2333">+DL1576*(1-DL1586)</f>
        <v>0</v>
      </c>
      <c r="DM1595" s="604">
        <f t="shared" si="2333"/>
        <v>0</v>
      </c>
      <c r="DN1595" s="65">
        <f t="shared" si="2310"/>
        <v>0</v>
      </c>
      <c r="DP1595" s="604">
        <f t="shared" ref="DP1595:DQ1595" si="2334">+DP1576*(1-DP1586)</f>
        <v>0</v>
      </c>
      <c r="DQ1595" s="604">
        <f t="shared" si="2334"/>
        <v>0</v>
      </c>
      <c r="DR1595" s="65">
        <f t="shared" si="2312"/>
        <v>0</v>
      </c>
    </row>
    <row r="1596" spans="1:122" s="20" customFormat="1" ht="13.8">
      <c r="A1596" s="334" t="str">
        <f t="shared" si="2313"/>
        <v>Restructuring</v>
      </c>
      <c r="B1596" s="49"/>
      <c r="BH1596" s="49"/>
      <c r="BI1596" s="49"/>
      <c r="BJ1596" s="49"/>
      <c r="BK1596" s="49"/>
      <c r="BL1596" s="49"/>
      <c r="BM1596" s="49"/>
      <c r="BN1596" s="49"/>
      <c r="BO1596" s="49"/>
      <c r="BP1596" s="67"/>
      <c r="BQ1596" s="67"/>
      <c r="BR1596" s="65"/>
      <c r="BT1596" s="67">
        <v>-101</v>
      </c>
      <c r="BU1596" s="67">
        <v>-100</v>
      </c>
      <c r="BV1596" s="65">
        <f>+BT1596+BU1596</f>
        <v>-201</v>
      </c>
      <c r="BX1596" s="67">
        <v>0</v>
      </c>
      <c r="BY1596" s="67">
        <v>0</v>
      </c>
      <c r="BZ1596" s="65">
        <f>+BX1596+BY1596</f>
        <v>0</v>
      </c>
      <c r="CB1596" s="67">
        <v>0</v>
      </c>
      <c r="CC1596" s="604">
        <f t="shared" si="2290"/>
        <v>0</v>
      </c>
      <c r="CD1596" s="65">
        <f t="shared" si="2291"/>
        <v>0</v>
      </c>
      <c r="CF1596" s="604">
        <f t="shared" si="2292"/>
        <v>0</v>
      </c>
      <c r="CG1596" s="604">
        <f t="shared" si="2292"/>
        <v>0</v>
      </c>
      <c r="CH1596" s="65">
        <f t="shared" si="2293"/>
        <v>0</v>
      </c>
      <c r="CJ1596" s="604">
        <f t="shared" si="2294"/>
        <v>0</v>
      </c>
      <c r="CK1596" s="604">
        <f t="shared" si="2294"/>
        <v>0</v>
      </c>
      <c r="CL1596" s="65">
        <f t="shared" si="2295"/>
        <v>0</v>
      </c>
      <c r="CN1596" s="604">
        <f t="shared" ref="CN1596" si="2335">+CN1577*(1-CN1587)</f>
        <v>0</v>
      </c>
      <c r="CO1596" s="604">
        <f t="shared" si="2297"/>
        <v>0</v>
      </c>
      <c r="CP1596" s="65">
        <f t="shared" si="2298"/>
        <v>0</v>
      </c>
      <c r="CR1596" s="604">
        <f t="shared" si="2299"/>
        <v>0</v>
      </c>
      <c r="CS1596" s="604">
        <f t="shared" si="2299"/>
        <v>0</v>
      </c>
      <c r="CT1596" s="65">
        <f t="shared" si="2300"/>
        <v>0</v>
      </c>
      <c r="CV1596" s="604">
        <f t="shared" ref="CV1596:CW1596" si="2336">+CV1577*(1-CV1587)</f>
        <v>0</v>
      </c>
      <c r="CW1596" s="604">
        <f t="shared" si="2336"/>
        <v>0</v>
      </c>
      <c r="CX1596" s="65">
        <f t="shared" si="2302"/>
        <v>0</v>
      </c>
      <c r="CZ1596" s="604">
        <f t="shared" ref="CZ1596:DA1596" si="2337">+CZ1577*(1-CZ1587)</f>
        <v>0</v>
      </c>
      <c r="DA1596" s="604">
        <f t="shared" si="2337"/>
        <v>0</v>
      </c>
      <c r="DB1596" s="65">
        <f t="shared" si="2304"/>
        <v>0</v>
      </c>
      <c r="DD1596" s="604">
        <f t="shared" ref="DD1596:DE1596" si="2338">+DD1577*(1-DD1587)</f>
        <v>0</v>
      </c>
      <c r="DE1596" s="604">
        <f t="shared" si="2338"/>
        <v>0</v>
      </c>
      <c r="DF1596" s="65">
        <f t="shared" si="2306"/>
        <v>0</v>
      </c>
      <c r="DH1596" s="604">
        <f t="shared" ref="DH1596:DI1596" si="2339">+DH1577*(1-DH1587)</f>
        <v>0</v>
      </c>
      <c r="DI1596" s="604">
        <f t="shared" si="2339"/>
        <v>0</v>
      </c>
      <c r="DJ1596" s="65">
        <f t="shared" si="2308"/>
        <v>0</v>
      </c>
      <c r="DL1596" s="604">
        <f t="shared" ref="DL1596:DM1596" si="2340">+DL1577*(1-DL1587)</f>
        <v>0</v>
      </c>
      <c r="DM1596" s="604">
        <f t="shared" si="2340"/>
        <v>0</v>
      </c>
      <c r="DN1596" s="65">
        <f t="shared" si="2310"/>
        <v>0</v>
      </c>
      <c r="DP1596" s="604">
        <f t="shared" ref="DP1596:DQ1596" si="2341">+DP1577*(1-DP1587)</f>
        <v>0</v>
      </c>
      <c r="DQ1596" s="604">
        <f t="shared" si="2341"/>
        <v>0</v>
      </c>
      <c r="DR1596" s="65">
        <f t="shared" si="2312"/>
        <v>0</v>
      </c>
    </row>
    <row r="1597" spans="1:122" s="20" customFormat="1" ht="13.8">
      <c r="A1597" s="334" t="str">
        <f t="shared" si="2313"/>
        <v>Esanda Dealer Finance</v>
      </c>
      <c r="B1597" s="49"/>
      <c r="BH1597" s="49"/>
      <c r="BI1597" s="49"/>
      <c r="BJ1597" s="49"/>
      <c r="BK1597" s="49"/>
      <c r="BL1597" s="49"/>
      <c r="BM1597" s="49"/>
      <c r="BN1597" s="49"/>
      <c r="BO1597" s="49"/>
      <c r="BP1597" s="67"/>
      <c r="BQ1597" s="67"/>
      <c r="BR1597" s="65"/>
      <c r="BT1597" s="67">
        <v>56</v>
      </c>
      <c r="BU1597" s="67">
        <v>-11</v>
      </c>
      <c r="BV1597" s="65">
        <f>+BT1597+BU1597</f>
        <v>45</v>
      </c>
      <c r="BX1597" s="67">
        <v>0</v>
      </c>
      <c r="BY1597" s="67">
        <v>0</v>
      </c>
      <c r="BZ1597" s="65">
        <f>+BX1597+BY1597</f>
        <v>0</v>
      </c>
      <c r="CB1597" s="67">
        <v>0</v>
      </c>
      <c r="CC1597" s="604">
        <f t="shared" si="2290"/>
        <v>0</v>
      </c>
      <c r="CD1597" s="65">
        <f t="shared" si="2291"/>
        <v>0</v>
      </c>
      <c r="CF1597" s="604">
        <f t="shared" si="2292"/>
        <v>0</v>
      </c>
      <c r="CG1597" s="604">
        <f t="shared" si="2292"/>
        <v>0</v>
      </c>
      <c r="CH1597" s="65">
        <f t="shared" si="2293"/>
        <v>0</v>
      </c>
      <c r="CJ1597" s="604">
        <f t="shared" si="2294"/>
        <v>0</v>
      </c>
      <c r="CK1597" s="604">
        <f t="shared" si="2294"/>
        <v>0</v>
      </c>
      <c r="CL1597" s="65">
        <f t="shared" si="2295"/>
        <v>0</v>
      </c>
      <c r="CN1597" s="604">
        <f t="shared" ref="CN1597" si="2342">+CN1578*(1-CN1588)</f>
        <v>0</v>
      </c>
      <c r="CO1597" s="604">
        <f t="shared" si="2297"/>
        <v>0</v>
      </c>
      <c r="CP1597" s="65">
        <f t="shared" si="2298"/>
        <v>0</v>
      </c>
      <c r="CR1597" s="604">
        <f t="shared" si="2299"/>
        <v>0</v>
      </c>
      <c r="CS1597" s="604">
        <f t="shared" si="2299"/>
        <v>0</v>
      </c>
      <c r="CT1597" s="65">
        <f t="shared" si="2300"/>
        <v>0</v>
      </c>
      <c r="CV1597" s="604">
        <f t="shared" ref="CV1597:CW1597" si="2343">+CV1578*(1-CV1588)</f>
        <v>0</v>
      </c>
      <c r="CW1597" s="604">
        <f t="shared" si="2343"/>
        <v>0</v>
      </c>
      <c r="CX1597" s="65">
        <f t="shared" si="2302"/>
        <v>0</v>
      </c>
      <c r="CZ1597" s="604">
        <f t="shared" ref="CZ1597:DA1597" si="2344">+CZ1578*(1-CZ1588)</f>
        <v>0</v>
      </c>
      <c r="DA1597" s="604">
        <f t="shared" si="2344"/>
        <v>0</v>
      </c>
      <c r="DB1597" s="65">
        <f t="shared" si="2304"/>
        <v>0</v>
      </c>
      <c r="DD1597" s="604">
        <f t="shared" ref="DD1597:DE1597" si="2345">+DD1578*(1-DD1588)</f>
        <v>0</v>
      </c>
      <c r="DE1597" s="604">
        <f t="shared" si="2345"/>
        <v>0</v>
      </c>
      <c r="DF1597" s="65">
        <f t="shared" si="2306"/>
        <v>0</v>
      </c>
      <c r="DH1597" s="604">
        <f t="shared" ref="DH1597:DI1597" si="2346">+DH1578*(1-DH1588)</f>
        <v>0</v>
      </c>
      <c r="DI1597" s="604">
        <f t="shared" si="2346"/>
        <v>0</v>
      </c>
      <c r="DJ1597" s="65">
        <f t="shared" si="2308"/>
        <v>0</v>
      </c>
      <c r="DL1597" s="604">
        <f t="shared" ref="DL1597:DM1597" si="2347">+DL1578*(1-DL1588)</f>
        <v>0</v>
      </c>
      <c r="DM1597" s="604">
        <f t="shared" si="2347"/>
        <v>0</v>
      </c>
      <c r="DN1597" s="65">
        <f t="shared" si="2310"/>
        <v>0</v>
      </c>
      <c r="DP1597" s="604">
        <f t="shared" ref="DP1597:DQ1597" si="2348">+DP1578*(1-DP1588)</f>
        <v>0</v>
      </c>
      <c r="DQ1597" s="604">
        <f t="shared" si="2348"/>
        <v>0</v>
      </c>
      <c r="DR1597" s="65">
        <f t="shared" si="2312"/>
        <v>0</v>
      </c>
    </row>
    <row r="1598" spans="1:122" s="20" customFormat="1" ht="13.8">
      <c r="A1598" s="334" t="str">
        <f t="shared" si="2313"/>
        <v>CVA Methodology Change</v>
      </c>
      <c r="B1598" s="49"/>
      <c r="BH1598" s="49"/>
      <c r="BI1598" s="49"/>
      <c r="BJ1598" s="49"/>
      <c r="BK1598" s="49"/>
      <c r="BL1598" s="49"/>
      <c r="BM1598" s="49"/>
      <c r="BN1598" s="49"/>
      <c r="BO1598" s="49"/>
      <c r="BP1598" s="67"/>
      <c r="BQ1598" s="67"/>
      <c r="BR1598" s="65"/>
      <c r="BT1598" s="67">
        <v>0</v>
      </c>
      <c r="BU1598" s="67">
        <v>-168</v>
      </c>
      <c r="BV1598" s="65">
        <f>+BT1598+BU1598</f>
        <v>-168</v>
      </c>
      <c r="BX1598" s="67">
        <v>0</v>
      </c>
      <c r="BY1598" s="67">
        <v>0</v>
      </c>
      <c r="BZ1598" s="65">
        <f>+BX1598+BY1598</f>
        <v>0</v>
      </c>
      <c r="CB1598" s="67">
        <v>0</v>
      </c>
      <c r="CC1598" s="604">
        <f t="shared" si="2290"/>
        <v>0</v>
      </c>
      <c r="CD1598" s="65">
        <f t="shared" si="2291"/>
        <v>0</v>
      </c>
      <c r="CF1598" s="604">
        <f t="shared" si="2292"/>
        <v>0</v>
      </c>
      <c r="CG1598" s="604">
        <f t="shared" si="2292"/>
        <v>0</v>
      </c>
      <c r="CH1598" s="65">
        <f t="shared" si="2293"/>
        <v>0</v>
      </c>
      <c r="CJ1598" s="604">
        <f t="shared" si="2294"/>
        <v>0</v>
      </c>
      <c r="CK1598" s="604">
        <f t="shared" si="2294"/>
        <v>0</v>
      </c>
      <c r="CL1598" s="65">
        <f t="shared" si="2295"/>
        <v>0</v>
      </c>
      <c r="CN1598" s="604">
        <f t="shared" ref="CN1598" si="2349">+CN1579*(1-CN1589)</f>
        <v>0</v>
      </c>
      <c r="CO1598" s="604">
        <f t="shared" si="2297"/>
        <v>0</v>
      </c>
      <c r="CP1598" s="65">
        <f t="shared" si="2298"/>
        <v>0</v>
      </c>
      <c r="CR1598" s="604">
        <f t="shared" si="2299"/>
        <v>0</v>
      </c>
      <c r="CS1598" s="604">
        <f t="shared" si="2299"/>
        <v>0</v>
      </c>
      <c r="CT1598" s="65">
        <f t="shared" si="2300"/>
        <v>0</v>
      </c>
      <c r="CV1598" s="604">
        <f t="shared" ref="CV1598:CW1598" si="2350">+CV1579*(1-CV1589)</f>
        <v>0</v>
      </c>
      <c r="CW1598" s="604">
        <f t="shared" si="2350"/>
        <v>0</v>
      </c>
      <c r="CX1598" s="65">
        <f t="shared" si="2302"/>
        <v>0</v>
      </c>
      <c r="CZ1598" s="604">
        <f t="shared" ref="CZ1598:DA1598" si="2351">+CZ1579*(1-CZ1589)</f>
        <v>0</v>
      </c>
      <c r="DA1598" s="604">
        <f t="shared" si="2351"/>
        <v>0</v>
      </c>
      <c r="DB1598" s="65">
        <f t="shared" si="2304"/>
        <v>0</v>
      </c>
      <c r="DD1598" s="604">
        <f t="shared" ref="DD1598:DE1598" si="2352">+DD1579*(1-DD1589)</f>
        <v>0</v>
      </c>
      <c r="DE1598" s="604">
        <f t="shared" si="2352"/>
        <v>0</v>
      </c>
      <c r="DF1598" s="65">
        <f t="shared" si="2306"/>
        <v>0</v>
      </c>
      <c r="DH1598" s="604">
        <f t="shared" ref="DH1598:DI1598" si="2353">+DH1579*(1-DH1589)</f>
        <v>0</v>
      </c>
      <c r="DI1598" s="604">
        <f t="shared" si="2353"/>
        <v>0</v>
      </c>
      <c r="DJ1598" s="65">
        <f t="shared" si="2308"/>
        <v>0</v>
      </c>
      <c r="DL1598" s="604">
        <f t="shared" ref="DL1598:DM1598" si="2354">+DL1579*(1-DL1589)</f>
        <v>0</v>
      </c>
      <c r="DM1598" s="604">
        <f t="shared" si="2354"/>
        <v>0</v>
      </c>
      <c r="DN1598" s="65">
        <f t="shared" si="2310"/>
        <v>0</v>
      </c>
      <c r="DP1598" s="604">
        <f t="shared" ref="DP1598:DQ1598" si="2355">+DP1579*(1-DP1589)</f>
        <v>0</v>
      </c>
      <c r="DQ1598" s="604">
        <f t="shared" si="2355"/>
        <v>0</v>
      </c>
      <c r="DR1598" s="65">
        <f t="shared" si="2312"/>
        <v>0</v>
      </c>
    </row>
    <row r="1599" spans="1:122" s="20" customFormat="1" ht="13.8">
      <c r="A1599" s="581" t="s">
        <v>809</v>
      </c>
      <c r="B1599" s="49"/>
      <c r="BH1599" s="49"/>
      <c r="BI1599" s="49"/>
      <c r="BJ1599" s="49"/>
      <c r="BK1599" s="49"/>
      <c r="BL1599" s="49"/>
      <c r="BM1599" s="49"/>
      <c r="BN1599" s="49"/>
      <c r="BO1599" s="49"/>
      <c r="BP1599" s="72"/>
      <c r="BQ1599" s="72"/>
      <c r="BR1599" s="72"/>
      <c r="BT1599" s="72">
        <f>SUM(BT1592:BT1598)</f>
        <v>-442</v>
      </c>
      <c r="BU1599" s="72">
        <f>SUM(BU1592:BU1598)</f>
        <v>-157</v>
      </c>
      <c r="BV1599" s="72">
        <f>SUM(BV1592:BV1598)</f>
        <v>-368</v>
      </c>
      <c r="BX1599" s="72">
        <f>SUM(BX1592:BX1598)</f>
        <v>-226</v>
      </c>
      <c r="BY1599" s="72">
        <f>SUM(BY1592:BY1598)</f>
        <v>0</v>
      </c>
      <c r="BZ1599" s="72">
        <f>SUM(BZ1592:BZ1598)</f>
        <v>58</v>
      </c>
      <c r="CB1599" s="72">
        <f>SUM(CB1592:CB1598)</f>
        <v>0</v>
      </c>
      <c r="CC1599" s="72">
        <f>SUM(CC1592:CC1598)</f>
        <v>0</v>
      </c>
      <c r="CD1599" s="72">
        <f>SUM(CD1592:CD1598)</f>
        <v>0</v>
      </c>
      <c r="CF1599" s="72">
        <f>SUM(CF1592:CF1598)</f>
        <v>0</v>
      </c>
      <c r="CG1599" s="72">
        <f>SUM(CG1592:CG1598)</f>
        <v>0</v>
      </c>
      <c r="CH1599" s="72">
        <f>SUM(CH1592:CH1598)</f>
        <v>0</v>
      </c>
      <c r="CJ1599" s="72">
        <f>SUM(CJ1592:CJ1598)</f>
        <v>0</v>
      </c>
      <c r="CK1599" s="72">
        <f>SUM(CK1592:CK1598)</f>
        <v>0</v>
      </c>
      <c r="CL1599" s="72">
        <f>SUM(CL1592:CL1598)</f>
        <v>0</v>
      </c>
      <c r="CN1599" s="72">
        <f>SUM(CN1592:CN1598)</f>
        <v>0</v>
      </c>
      <c r="CO1599" s="72">
        <f>SUM(CO1592:CO1598)</f>
        <v>0</v>
      </c>
      <c r="CP1599" s="72">
        <f>SUM(CP1592:CP1598)</f>
        <v>0</v>
      </c>
      <c r="CR1599" s="72">
        <f>SUM(CR1592:CR1598)</f>
        <v>0</v>
      </c>
      <c r="CS1599" s="72">
        <f>SUM(CS1592:CS1598)</f>
        <v>0</v>
      </c>
      <c r="CT1599" s="72">
        <f>SUM(CT1592:CT1598)</f>
        <v>0</v>
      </c>
      <c r="CV1599" s="72">
        <f>SUM(CV1592:CV1598)</f>
        <v>0</v>
      </c>
      <c r="CW1599" s="72">
        <f>SUM(CW1592:CW1598)</f>
        <v>0</v>
      </c>
      <c r="CX1599" s="72">
        <f>SUM(CX1592:CX1598)</f>
        <v>0</v>
      </c>
      <c r="CZ1599" s="72">
        <f>SUM(CZ1592:CZ1598)</f>
        <v>0</v>
      </c>
      <c r="DA1599" s="72">
        <f>SUM(DA1592:DA1598)</f>
        <v>0</v>
      </c>
      <c r="DB1599" s="72">
        <f>SUM(DB1592:DB1598)</f>
        <v>0</v>
      </c>
      <c r="DD1599" s="72">
        <f>SUM(DD1592:DD1598)</f>
        <v>0</v>
      </c>
      <c r="DE1599" s="72">
        <f>SUM(DE1592:DE1598)</f>
        <v>0</v>
      </c>
      <c r="DF1599" s="72">
        <f>SUM(DF1592:DF1598)</f>
        <v>0</v>
      </c>
      <c r="DH1599" s="72">
        <f>SUM(DH1592:DH1598)</f>
        <v>0</v>
      </c>
      <c r="DI1599" s="72">
        <f>SUM(DI1592:DI1598)</f>
        <v>0</v>
      </c>
      <c r="DJ1599" s="72">
        <f>SUM(DJ1592:DJ1598)</f>
        <v>0</v>
      </c>
      <c r="DL1599" s="72">
        <f>SUM(DL1592:DL1598)</f>
        <v>0</v>
      </c>
      <c r="DM1599" s="72">
        <f>SUM(DM1592:DM1598)</f>
        <v>0</v>
      </c>
      <c r="DN1599" s="72">
        <f>SUM(DN1592:DN1598)</f>
        <v>0</v>
      </c>
      <c r="DP1599" s="72">
        <f>SUM(DP1592:DP1598)</f>
        <v>0</v>
      </c>
      <c r="DQ1599" s="72">
        <f>SUM(DQ1592:DQ1598)</f>
        <v>0</v>
      </c>
      <c r="DR1599" s="72">
        <f>SUM(DR1592:DR1598)</f>
        <v>0</v>
      </c>
    </row>
    <row r="1600" spans="1:122" s="20" customFormat="1" ht="13.8">
      <c r="A1600" s="334"/>
      <c r="B1600" s="49"/>
      <c r="BH1600" s="49"/>
      <c r="BI1600" s="49"/>
      <c r="BJ1600" s="49"/>
      <c r="BK1600" s="49"/>
      <c r="BL1600" s="49"/>
      <c r="BM1600" s="49"/>
      <c r="BN1600" s="49"/>
      <c r="BO1600" s="49"/>
      <c r="BP1600" s="49"/>
      <c r="BT1600" s="49"/>
      <c r="BX1600" s="49"/>
      <c r="CB1600" s="49"/>
      <c r="CF1600" s="49"/>
      <c r="CJ1600" s="49"/>
      <c r="CN1600" s="49"/>
      <c r="CR1600" s="49"/>
      <c r="CV1600" s="49"/>
      <c r="CZ1600" s="49"/>
      <c r="DD1600" s="49"/>
      <c r="DH1600" s="49"/>
      <c r="DL1600" s="49"/>
      <c r="DP1600" s="49"/>
    </row>
    <row r="1601" spans="1:128" s="20" customFormat="1" ht="13.8">
      <c r="A1601" s="334"/>
      <c r="B1601" s="49"/>
      <c r="BH1601" s="49"/>
      <c r="BI1601" s="49"/>
      <c r="BJ1601" s="49"/>
      <c r="BK1601" s="49"/>
      <c r="BL1601" s="49"/>
      <c r="BM1601" s="49"/>
      <c r="BN1601" s="49"/>
      <c r="BO1601" s="49"/>
      <c r="BP1601" s="49"/>
      <c r="BT1601" s="49"/>
      <c r="BX1601" s="49"/>
      <c r="CB1601" s="49"/>
      <c r="CF1601" s="49"/>
      <c r="CJ1601" s="49"/>
      <c r="CN1601" s="49"/>
      <c r="CR1601" s="49"/>
      <c r="CV1601" s="49"/>
      <c r="CZ1601" s="49"/>
      <c r="DD1601" s="49"/>
      <c r="DH1601" s="49"/>
      <c r="DL1601" s="49"/>
      <c r="DP1601" s="49"/>
    </row>
    <row r="1602" spans="1:128" s="343" customFormat="1" ht="13.8">
      <c r="A1602" s="343" t="s">
        <v>847</v>
      </c>
      <c r="B1602" s="344"/>
      <c r="BH1602" s="344"/>
      <c r="BI1602" s="344"/>
      <c r="BJ1602" s="344"/>
      <c r="BK1602" s="344"/>
      <c r="BL1602" s="344"/>
      <c r="BM1602" s="344"/>
      <c r="BN1602" s="344"/>
      <c r="BO1602" s="344"/>
      <c r="BP1602" s="344"/>
      <c r="BT1602" s="344"/>
      <c r="BX1602" s="344"/>
      <c r="CB1602" s="344"/>
      <c r="CF1602" s="344"/>
      <c r="CJ1602" s="344"/>
      <c r="CN1602" s="344"/>
      <c r="CR1602" s="344"/>
      <c r="CV1602" s="344"/>
      <c r="CZ1602" s="344"/>
      <c r="DD1602" s="344"/>
      <c r="DH1602" s="344"/>
      <c r="DL1602" s="344"/>
      <c r="DP1602" s="344"/>
      <c r="DT1602" s="743"/>
      <c r="DU1602" s="743"/>
      <c r="DV1602" s="743"/>
      <c r="DW1602" s="21"/>
      <c r="DX1602" s="21"/>
    </row>
    <row r="1603" spans="1:128" s="20" customFormat="1" ht="13.8">
      <c r="A1603" s="334"/>
      <c r="B1603" s="49"/>
      <c r="BH1603" s="49"/>
      <c r="BI1603" s="49"/>
      <c r="BJ1603" s="49"/>
      <c r="BK1603" s="49"/>
      <c r="BL1603" s="49"/>
      <c r="BM1603" s="49"/>
      <c r="BN1603" s="49"/>
      <c r="BO1603" s="49"/>
      <c r="BP1603" s="49"/>
      <c r="BT1603" s="49"/>
      <c r="BX1603" s="49"/>
      <c r="CB1603" s="49"/>
      <c r="CF1603" s="49"/>
      <c r="CJ1603" s="49"/>
      <c r="CN1603" s="49"/>
      <c r="CR1603" s="49"/>
      <c r="CV1603" s="49"/>
      <c r="CZ1603" s="49"/>
      <c r="DD1603" s="49"/>
      <c r="DH1603" s="49"/>
      <c r="DL1603" s="49"/>
      <c r="DP1603" s="49"/>
    </row>
    <row r="1604" spans="1:128" s="20" customFormat="1" ht="13.8">
      <c r="A1604" s="334" t="s">
        <v>805</v>
      </c>
      <c r="B1604" s="49"/>
      <c r="BH1604" s="49"/>
      <c r="BI1604" s="49"/>
      <c r="BJ1604" s="49"/>
      <c r="BK1604" s="49"/>
      <c r="BL1604" s="49"/>
      <c r="BM1604" s="49"/>
      <c r="BN1604" s="49"/>
      <c r="BO1604" s="49"/>
      <c r="BP1604" s="65">
        <f ca="1">BP883</f>
        <v>0</v>
      </c>
      <c r="BQ1604" s="65">
        <f ca="1">BQ883</f>
        <v>0</v>
      </c>
      <c r="BR1604" s="65">
        <f ca="1">+BP1604+BQ1604</f>
        <v>0</v>
      </c>
      <c r="BT1604" s="65">
        <f>BT883</f>
        <v>-556</v>
      </c>
      <c r="BU1604" s="65">
        <f>BU883</f>
        <v>0</v>
      </c>
      <c r="BV1604" s="65">
        <f>+BT1604+BU1604</f>
        <v>-556</v>
      </c>
      <c r="BX1604" s="65">
        <f>BX883</f>
        <v>0</v>
      </c>
      <c r="BY1604" s="65">
        <f>BY883</f>
        <v>0</v>
      </c>
      <c r="BZ1604" s="65">
        <f>+BX1604+BY1604</f>
        <v>0</v>
      </c>
      <c r="CB1604" s="65">
        <f>CB883</f>
        <v>0</v>
      </c>
      <c r="CC1604" s="65">
        <f>CC883</f>
        <v>-251</v>
      </c>
      <c r="CD1604" s="65">
        <f>+CB1604+CC1604</f>
        <v>-251</v>
      </c>
      <c r="CF1604" s="65">
        <f>CF883</f>
        <v>0</v>
      </c>
      <c r="CG1604" s="65">
        <f>CG883</f>
        <v>0</v>
      </c>
      <c r="CH1604" s="65">
        <f>+CF1604+CG1604</f>
        <v>0</v>
      </c>
      <c r="CJ1604" s="65">
        <f>CJ883</f>
        <v>0</v>
      </c>
      <c r="CK1604" s="65">
        <f>CK883</f>
        <v>-197</v>
      </c>
      <c r="CL1604" s="65">
        <f>+CJ1604+CK1604</f>
        <v>-197</v>
      </c>
      <c r="CN1604" s="65">
        <f>CN883</f>
        <v>0</v>
      </c>
      <c r="CO1604" s="65">
        <f>CO883</f>
        <v>0</v>
      </c>
      <c r="CP1604" s="65">
        <f>+CN1604+CO1604</f>
        <v>0</v>
      </c>
      <c r="CR1604" s="65">
        <f>CR883</f>
        <v>0</v>
      </c>
      <c r="CS1604" s="65">
        <f>CS883</f>
        <v>0</v>
      </c>
      <c r="CT1604" s="65">
        <f>+CR1604+CS1604</f>
        <v>0</v>
      </c>
      <c r="CV1604" s="65">
        <f>CV883</f>
        <v>0</v>
      </c>
      <c r="CW1604" s="65">
        <f>CW883</f>
        <v>0</v>
      </c>
      <c r="CX1604" s="65">
        <f>+CV1604+CW1604</f>
        <v>0</v>
      </c>
      <c r="CZ1604" s="65">
        <f>CZ883</f>
        <v>0</v>
      </c>
      <c r="DA1604" s="65">
        <f>DA883</f>
        <v>0</v>
      </c>
      <c r="DB1604" s="65">
        <f>+CZ1604+DA1604</f>
        <v>0</v>
      </c>
      <c r="DD1604" s="65">
        <f>DD883</f>
        <v>0</v>
      </c>
      <c r="DE1604" s="65">
        <f>DE883</f>
        <v>0</v>
      </c>
      <c r="DF1604" s="65">
        <f>+DD1604+DE1604</f>
        <v>0</v>
      </c>
      <c r="DH1604" s="65">
        <f>DH883</f>
        <v>0</v>
      </c>
      <c r="DI1604" s="65">
        <f>DI883</f>
        <v>0</v>
      </c>
      <c r="DJ1604" s="65">
        <f>+DH1604+DI1604</f>
        <v>0</v>
      </c>
      <c r="DL1604" s="65">
        <f>DL883</f>
        <v>0</v>
      </c>
      <c r="DM1604" s="65">
        <f>DM883</f>
        <v>0</v>
      </c>
      <c r="DN1604" s="65">
        <f>+DL1604+DM1604</f>
        <v>0</v>
      </c>
      <c r="DP1604" s="65">
        <f>DP883</f>
        <v>0</v>
      </c>
      <c r="DQ1604" s="65">
        <f>DQ883</f>
        <v>0</v>
      </c>
      <c r="DR1604" s="65">
        <f>+DP1604+DQ1604</f>
        <v>0</v>
      </c>
    </row>
    <row r="1605" spans="1:128" s="20" customFormat="1" ht="13.8">
      <c r="A1605" s="334" t="s">
        <v>806</v>
      </c>
      <c r="B1605" s="49"/>
      <c r="BH1605" s="49"/>
      <c r="BI1605" s="49"/>
      <c r="BJ1605" s="49"/>
      <c r="BK1605" s="49"/>
      <c r="BL1605" s="49"/>
      <c r="BM1605" s="49"/>
      <c r="BN1605" s="49"/>
      <c r="BO1605" s="49"/>
      <c r="BP1605" s="65">
        <f>BP742</f>
        <v>0</v>
      </c>
      <c r="BQ1605" s="65">
        <f>BQ742</f>
        <v>0</v>
      </c>
      <c r="BR1605" s="65">
        <f>+BP1605+BQ1605</f>
        <v>0</v>
      </c>
      <c r="BT1605" s="65">
        <f>BT742</f>
        <v>-231</v>
      </c>
      <c r="BU1605" s="65">
        <f>BU742</f>
        <v>0</v>
      </c>
      <c r="BV1605" s="65">
        <f>+BT1605+BU1605</f>
        <v>-231</v>
      </c>
      <c r="BX1605" s="65">
        <f>BX742</f>
        <v>-324</v>
      </c>
      <c r="BY1605" s="67">
        <v>0</v>
      </c>
      <c r="BZ1605" s="65">
        <f>+BX1605+BY1605</f>
        <v>-324</v>
      </c>
      <c r="CB1605" s="67">
        <v>0</v>
      </c>
      <c r="CC1605" s="67">
        <v>0</v>
      </c>
      <c r="CD1605" s="65">
        <f>+CB1605+CC1605</f>
        <v>0</v>
      </c>
      <c r="CF1605" s="67">
        <v>0</v>
      </c>
      <c r="CG1605" s="67">
        <v>0</v>
      </c>
      <c r="CH1605" s="65">
        <f>+CF1605+CG1605</f>
        <v>0</v>
      </c>
      <c r="CJ1605" s="67">
        <v>0</v>
      </c>
      <c r="CK1605" s="67">
        <v>0</v>
      </c>
      <c r="CL1605" s="65">
        <f>+CJ1605+CK1605</f>
        <v>0</v>
      </c>
      <c r="CN1605" s="67">
        <v>0</v>
      </c>
      <c r="CO1605" s="67">
        <v>0</v>
      </c>
      <c r="CP1605" s="65">
        <f>+CN1605+CO1605</f>
        <v>0</v>
      </c>
      <c r="CR1605" s="67">
        <v>0</v>
      </c>
      <c r="CS1605" s="67">
        <v>0</v>
      </c>
      <c r="CT1605" s="65">
        <f>+CR1605+CS1605</f>
        <v>0</v>
      </c>
      <c r="CV1605" s="67">
        <v>0</v>
      </c>
      <c r="CW1605" s="67">
        <v>0</v>
      </c>
      <c r="CX1605" s="65">
        <f>+CV1605+CW1605</f>
        <v>0</v>
      </c>
      <c r="CZ1605" s="67">
        <v>0</v>
      </c>
      <c r="DA1605" s="67">
        <v>0</v>
      </c>
      <c r="DB1605" s="65">
        <f>+CZ1605+DA1605</f>
        <v>0</v>
      </c>
      <c r="DD1605" s="67">
        <v>0</v>
      </c>
      <c r="DE1605" s="67">
        <v>0</v>
      </c>
      <c r="DF1605" s="65">
        <f>+DD1605+DE1605</f>
        <v>0</v>
      </c>
      <c r="DH1605" s="67">
        <v>0</v>
      </c>
      <c r="DI1605" s="67">
        <v>0</v>
      </c>
      <c r="DJ1605" s="65">
        <f>+DH1605+DI1605</f>
        <v>0</v>
      </c>
      <c r="DL1605" s="67">
        <v>0</v>
      </c>
      <c r="DM1605" s="67">
        <v>0</v>
      </c>
      <c r="DN1605" s="65">
        <f>+DL1605+DM1605</f>
        <v>0</v>
      </c>
      <c r="DP1605" s="67">
        <v>0</v>
      </c>
      <c r="DQ1605" s="67">
        <v>0</v>
      </c>
      <c r="DR1605" s="65">
        <f>+DP1605+DQ1605</f>
        <v>0</v>
      </c>
    </row>
    <row r="1606" spans="1:128" s="20" customFormat="1" ht="13.8">
      <c r="A1606" s="334" t="s">
        <v>807</v>
      </c>
      <c r="B1606" s="49"/>
      <c r="BH1606" s="49"/>
      <c r="BI1606" s="49"/>
      <c r="BJ1606" s="49"/>
      <c r="BK1606" s="49"/>
      <c r="BL1606" s="49"/>
      <c r="BM1606" s="49"/>
      <c r="BN1606" s="49"/>
      <c r="BO1606" s="49"/>
      <c r="BP1606" s="604">
        <f>BP942</f>
        <v>-10</v>
      </c>
      <c r="BQ1606" s="604">
        <f>BQ942</f>
        <v>-21</v>
      </c>
      <c r="BR1606" s="65">
        <f>+BP1606+BQ1606</f>
        <v>-31</v>
      </c>
      <c r="BT1606" s="604">
        <f>BT942</f>
        <v>-138</v>
      </c>
      <c r="BU1606" s="604">
        <f>BU942</f>
        <v>-140</v>
      </c>
      <c r="BV1606" s="65">
        <f>+BT1606+BU1606</f>
        <v>-278</v>
      </c>
      <c r="BX1606" s="604">
        <f>BX942</f>
        <v>-36</v>
      </c>
      <c r="BY1606" s="604">
        <f>BY942</f>
        <v>-26</v>
      </c>
      <c r="BZ1606" s="65">
        <f>+BX1606+BY1606</f>
        <v>-62</v>
      </c>
      <c r="CB1606" s="604">
        <f>CB942</f>
        <v>-78</v>
      </c>
      <c r="CC1606" s="604">
        <f>CC942</f>
        <v>-149</v>
      </c>
      <c r="CD1606" s="65">
        <f>+CB1606+CC1606</f>
        <v>-227</v>
      </c>
      <c r="CF1606" s="604">
        <f>CF942</f>
        <v>-26</v>
      </c>
      <c r="CG1606" s="604">
        <f>CG942</f>
        <v>3</v>
      </c>
      <c r="CH1606" s="65">
        <f>+CF1606+CG1606</f>
        <v>-23</v>
      </c>
      <c r="CJ1606" s="604">
        <f>CJ942</f>
        <v>-32</v>
      </c>
      <c r="CK1606" s="604">
        <f>CK942</f>
        <v>-15</v>
      </c>
      <c r="CL1606" s="65">
        <f>+CJ1606+CK1606</f>
        <v>-47</v>
      </c>
      <c r="CN1606" s="604">
        <f>CN942</f>
        <v>-150</v>
      </c>
      <c r="CO1606" s="604">
        <f>CO942</f>
        <v>-1</v>
      </c>
      <c r="CP1606" s="65">
        <f>+CN1606+CO1606</f>
        <v>-151</v>
      </c>
      <c r="CR1606" s="604">
        <f>CR942</f>
        <v>-1</v>
      </c>
      <c r="CS1606" s="604">
        <f>CS942</f>
        <v>-21</v>
      </c>
      <c r="CT1606" s="65">
        <f>+CR1606+CS1606</f>
        <v>-22</v>
      </c>
      <c r="CV1606" s="604">
        <f>CV942</f>
        <v>-19</v>
      </c>
      <c r="CW1606" s="604">
        <f>CW942</f>
        <v>-15</v>
      </c>
      <c r="CX1606" s="65">
        <f>+CV1606+CW1606</f>
        <v>-34</v>
      </c>
      <c r="CZ1606" s="604">
        <f>CZ942</f>
        <v>-21</v>
      </c>
      <c r="DA1606" s="604">
        <f>DA942</f>
        <v>0</v>
      </c>
      <c r="DB1606" s="65">
        <f>+CZ1606+DA1606</f>
        <v>-21</v>
      </c>
      <c r="DD1606" s="604">
        <f>DD942</f>
        <v>0</v>
      </c>
      <c r="DE1606" s="604">
        <f>DE942</f>
        <v>0</v>
      </c>
      <c r="DF1606" s="65">
        <f>+DD1606+DE1606</f>
        <v>0</v>
      </c>
      <c r="DH1606" s="604">
        <f>DH942</f>
        <v>0</v>
      </c>
      <c r="DI1606" s="604">
        <f>DI942</f>
        <v>0</v>
      </c>
      <c r="DJ1606" s="65">
        <f>+DH1606+DI1606</f>
        <v>0</v>
      </c>
      <c r="DL1606" s="604">
        <f>DL942</f>
        <v>0</v>
      </c>
      <c r="DM1606" s="604">
        <f>DM942</f>
        <v>0</v>
      </c>
      <c r="DN1606" s="65">
        <f>+DL1606+DM1606</f>
        <v>0</v>
      </c>
      <c r="DP1606" s="604">
        <f>DP942</f>
        <v>0</v>
      </c>
      <c r="DQ1606" s="604">
        <f>DQ942</f>
        <v>0</v>
      </c>
      <c r="DR1606" s="65">
        <f>+DP1606+DQ1606</f>
        <v>0</v>
      </c>
    </row>
    <row r="1607" spans="1:128" s="20" customFormat="1" ht="13.8">
      <c r="A1607" s="334" t="s">
        <v>803</v>
      </c>
      <c r="B1607" s="49"/>
      <c r="BH1607" s="49"/>
      <c r="BI1607" s="49"/>
      <c r="BJ1607" s="49"/>
      <c r="BK1607" s="49"/>
      <c r="BL1607" s="49"/>
      <c r="BM1607" s="49"/>
      <c r="BN1607" s="49"/>
      <c r="BO1607" s="49"/>
      <c r="BP1607" s="67">
        <v>65</v>
      </c>
      <c r="BQ1607" s="67">
        <v>68</v>
      </c>
      <c r="BR1607" s="65">
        <f>+BP1607+BQ1607</f>
        <v>133</v>
      </c>
      <c r="BT1607" s="67">
        <v>85</v>
      </c>
      <c r="BU1607" s="67">
        <v>-16</v>
      </c>
      <c r="BV1607" s="65">
        <f>+BT1607+BU1607</f>
        <v>69</v>
      </c>
      <c r="BX1607" s="67">
        <v>85</v>
      </c>
      <c r="BY1607" s="67">
        <v>0</v>
      </c>
      <c r="BZ1607" s="65">
        <f>+BX1607+BY1607</f>
        <v>85</v>
      </c>
      <c r="CB1607" s="67">
        <v>0</v>
      </c>
      <c r="CC1607" s="67">
        <v>0</v>
      </c>
      <c r="CD1607" s="65">
        <f>+CB1607+CC1607</f>
        <v>0</v>
      </c>
      <c r="CF1607" s="67">
        <v>0</v>
      </c>
      <c r="CG1607" s="67">
        <v>0</v>
      </c>
      <c r="CH1607" s="65">
        <f>+CF1607+CG1607</f>
        <v>0</v>
      </c>
      <c r="CJ1607" s="67">
        <v>0</v>
      </c>
      <c r="CK1607" s="67">
        <v>0</v>
      </c>
      <c r="CL1607" s="65">
        <f>+CJ1607+CK1607</f>
        <v>0</v>
      </c>
      <c r="CN1607" s="67">
        <v>0</v>
      </c>
      <c r="CO1607" s="67">
        <v>0</v>
      </c>
      <c r="CP1607" s="65">
        <f>+CN1607+CO1607</f>
        <v>0</v>
      </c>
      <c r="CR1607" s="67">
        <v>0</v>
      </c>
      <c r="CS1607" s="67">
        <v>0</v>
      </c>
      <c r="CT1607" s="65">
        <f>+CR1607+CS1607</f>
        <v>0</v>
      </c>
      <c r="CV1607" s="67">
        <v>0</v>
      </c>
      <c r="CW1607" s="67">
        <v>0</v>
      </c>
      <c r="CX1607" s="65">
        <f>+CV1607+CW1607</f>
        <v>0</v>
      </c>
      <c r="CZ1607" s="67">
        <v>0</v>
      </c>
      <c r="DA1607" s="67">
        <v>0</v>
      </c>
      <c r="DB1607" s="65">
        <f>+CZ1607+DA1607</f>
        <v>0</v>
      </c>
      <c r="DD1607" s="67">
        <v>0</v>
      </c>
      <c r="DE1607" s="67">
        <v>0</v>
      </c>
      <c r="DF1607" s="65">
        <f>+DD1607+DE1607</f>
        <v>0</v>
      </c>
      <c r="DH1607" s="67">
        <v>0</v>
      </c>
      <c r="DI1607" s="67">
        <v>0</v>
      </c>
      <c r="DJ1607" s="65">
        <f>+DH1607+DI1607</f>
        <v>0</v>
      </c>
      <c r="DL1607" s="67">
        <v>0</v>
      </c>
      <c r="DM1607" s="67">
        <v>0</v>
      </c>
      <c r="DN1607" s="65">
        <f>+DL1607+DM1607</f>
        <v>0</v>
      </c>
      <c r="DP1607" s="67">
        <v>0</v>
      </c>
      <c r="DQ1607" s="67">
        <v>0</v>
      </c>
      <c r="DR1607" s="65">
        <f>+DP1607+DQ1607</f>
        <v>0</v>
      </c>
    </row>
    <row r="1608" spans="1:128" s="20" customFormat="1" ht="13.8">
      <c r="A1608" s="334" t="s">
        <v>808</v>
      </c>
      <c r="B1608" s="49"/>
      <c r="BH1608" s="49"/>
      <c r="BI1608" s="49"/>
      <c r="BJ1608" s="49"/>
      <c r="BK1608" s="49"/>
      <c r="BL1608" s="49"/>
      <c r="BM1608" s="49"/>
      <c r="BN1608" s="49"/>
      <c r="BO1608" s="49"/>
      <c r="BP1608" s="67">
        <v>0</v>
      </c>
      <c r="BQ1608" s="67">
        <v>0</v>
      </c>
      <c r="BR1608" s="65">
        <f>+BP1608+BQ1608</f>
        <v>0</v>
      </c>
      <c r="BT1608" s="67">
        <v>0</v>
      </c>
      <c r="BU1608" s="67">
        <v>-237</v>
      </c>
      <c r="BV1608" s="65">
        <f>+BT1608+BU1608</f>
        <v>-237</v>
      </c>
      <c r="BX1608" s="67">
        <v>0</v>
      </c>
      <c r="BY1608" s="67">
        <v>0</v>
      </c>
      <c r="BZ1608" s="65">
        <f>+BX1608+BY1608</f>
        <v>0</v>
      </c>
      <c r="CB1608" s="67">
        <v>0</v>
      </c>
      <c r="CC1608" s="67">
        <v>0</v>
      </c>
      <c r="CD1608" s="65">
        <f>+CB1608+CC1608</f>
        <v>0</v>
      </c>
      <c r="CF1608" s="67">
        <v>0</v>
      </c>
      <c r="CG1608" s="67">
        <v>0</v>
      </c>
      <c r="CH1608" s="65">
        <f>+CF1608+CG1608</f>
        <v>0</v>
      </c>
      <c r="CJ1608" s="67">
        <v>0</v>
      </c>
      <c r="CK1608" s="67">
        <v>0</v>
      </c>
      <c r="CL1608" s="65">
        <f>+CJ1608+CK1608</f>
        <v>0</v>
      </c>
      <c r="CN1608" s="67">
        <v>0</v>
      </c>
      <c r="CO1608" s="67">
        <v>0</v>
      </c>
      <c r="CP1608" s="65">
        <f>+CN1608+CO1608</f>
        <v>0</v>
      </c>
      <c r="CR1608" s="67">
        <v>0</v>
      </c>
      <c r="CS1608" s="67">
        <v>0</v>
      </c>
      <c r="CT1608" s="65">
        <f>+CR1608+CS1608</f>
        <v>0</v>
      </c>
      <c r="CV1608" s="67">
        <v>0</v>
      </c>
      <c r="CW1608" s="67">
        <v>0</v>
      </c>
      <c r="CX1608" s="65">
        <f>+CV1608+CW1608</f>
        <v>0</v>
      </c>
      <c r="CZ1608" s="67">
        <v>0</v>
      </c>
      <c r="DA1608" s="67">
        <v>0</v>
      </c>
      <c r="DB1608" s="65">
        <f>+CZ1608+DA1608</f>
        <v>0</v>
      </c>
      <c r="DD1608" s="67">
        <v>0</v>
      </c>
      <c r="DE1608" s="67">
        <v>0</v>
      </c>
      <c r="DF1608" s="65">
        <f>+DD1608+DE1608</f>
        <v>0</v>
      </c>
      <c r="DH1608" s="67">
        <v>0</v>
      </c>
      <c r="DI1608" s="67">
        <v>0</v>
      </c>
      <c r="DJ1608" s="65">
        <f>+DH1608+DI1608</f>
        <v>0</v>
      </c>
      <c r="DL1608" s="67">
        <v>0</v>
      </c>
      <c r="DM1608" s="67">
        <v>0</v>
      </c>
      <c r="DN1608" s="65">
        <f>+DL1608+DM1608</f>
        <v>0</v>
      </c>
      <c r="DP1608" s="67">
        <v>0</v>
      </c>
      <c r="DQ1608" s="67">
        <v>0</v>
      </c>
      <c r="DR1608" s="65">
        <f>+DP1608+DQ1608</f>
        <v>0</v>
      </c>
    </row>
    <row r="1609" spans="1:128" s="20" customFormat="1" ht="13.8">
      <c r="A1609" s="581" t="s">
        <v>804</v>
      </c>
      <c r="B1609" s="49"/>
      <c r="BH1609" s="49"/>
      <c r="BI1609" s="49"/>
      <c r="BJ1609" s="49"/>
      <c r="BK1609" s="49"/>
      <c r="BL1609" s="49"/>
      <c r="BM1609" s="49"/>
      <c r="BN1609" s="49"/>
      <c r="BO1609" s="49"/>
      <c r="BP1609" s="72">
        <f ca="1">SUM(BP1604:BP1608)</f>
        <v>55</v>
      </c>
      <c r="BQ1609" s="72">
        <f ca="1">SUM(BQ1604:BQ1608)</f>
        <v>47</v>
      </c>
      <c r="BR1609" s="72">
        <f ca="1">SUM(BR1604:BR1608)</f>
        <v>102</v>
      </c>
      <c r="BT1609" s="72">
        <f>SUM(BT1604:BT1608)</f>
        <v>-840</v>
      </c>
      <c r="BU1609" s="72">
        <f>SUM(BU1604:BU1608)</f>
        <v>-393</v>
      </c>
      <c r="BV1609" s="72">
        <f>SUM(BV1604:BV1608)</f>
        <v>-1233</v>
      </c>
      <c r="BX1609" s="72">
        <f>SUM(BX1604:BX1608)</f>
        <v>-275</v>
      </c>
      <c r="BY1609" s="72">
        <f>SUM(BY1604:BY1608)</f>
        <v>-26</v>
      </c>
      <c r="BZ1609" s="72">
        <f>SUM(BZ1604:BZ1608)</f>
        <v>-301</v>
      </c>
      <c r="CB1609" s="72">
        <f>SUM(CB1604:CB1608)</f>
        <v>-78</v>
      </c>
      <c r="CC1609" s="72">
        <f>SUM(CC1604:CC1608)</f>
        <v>-400</v>
      </c>
      <c r="CD1609" s="72">
        <f>SUM(CD1604:CD1608)</f>
        <v>-478</v>
      </c>
      <c r="CF1609" s="72">
        <f>SUM(CF1604:CF1608)</f>
        <v>-26</v>
      </c>
      <c r="CG1609" s="72">
        <f>SUM(CG1604:CG1608)</f>
        <v>3</v>
      </c>
      <c r="CH1609" s="72">
        <f>SUM(CH1604:CH1608)</f>
        <v>-23</v>
      </c>
      <c r="CJ1609" s="72">
        <f>SUM(CJ1604:CJ1608)</f>
        <v>-32</v>
      </c>
      <c r="CK1609" s="72">
        <f>SUM(CK1604:CK1608)</f>
        <v>-212</v>
      </c>
      <c r="CL1609" s="72">
        <f>SUM(CL1604:CL1608)</f>
        <v>-244</v>
      </c>
      <c r="CN1609" s="72">
        <f>SUM(CN1604:CN1608)</f>
        <v>-150</v>
      </c>
      <c r="CO1609" s="72">
        <f>SUM(CO1604:CO1608)</f>
        <v>-1</v>
      </c>
      <c r="CP1609" s="72">
        <f>SUM(CP1604:CP1608)</f>
        <v>-151</v>
      </c>
      <c r="CR1609" s="72">
        <f>SUM(CR1604:CR1608)</f>
        <v>-1</v>
      </c>
      <c r="CS1609" s="72">
        <f>SUM(CS1604:CS1608)</f>
        <v>-21</v>
      </c>
      <c r="CT1609" s="72">
        <f>SUM(CT1604:CT1608)</f>
        <v>-22</v>
      </c>
      <c r="CV1609" s="72">
        <f>SUM(CV1604:CV1608)</f>
        <v>-19</v>
      </c>
      <c r="CW1609" s="72">
        <f>SUM(CW1604:CW1608)</f>
        <v>-15</v>
      </c>
      <c r="CX1609" s="72">
        <f>SUM(CX1604:CX1608)</f>
        <v>-34</v>
      </c>
      <c r="CZ1609" s="72">
        <f>SUM(CZ1604:CZ1608)</f>
        <v>-21</v>
      </c>
      <c r="DA1609" s="72">
        <f>SUM(DA1604:DA1608)</f>
        <v>0</v>
      </c>
      <c r="DB1609" s="72">
        <f>SUM(DB1604:DB1608)</f>
        <v>-21</v>
      </c>
      <c r="DD1609" s="72">
        <f>SUM(DD1604:DD1608)</f>
        <v>0</v>
      </c>
      <c r="DE1609" s="72">
        <f>SUM(DE1604:DE1608)</f>
        <v>0</v>
      </c>
      <c r="DF1609" s="72">
        <f>SUM(DF1604:DF1608)</f>
        <v>0</v>
      </c>
      <c r="DH1609" s="72">
        <f>SUM(DH1604:DH1608)</f>
        <v>0</v>
      </c>
      <c r="DI1609" s="72">
        <f>SUM(DI1604:DI1608)</f>
        <v>0</v>
      </c>
      <c r="DJ1609" s="72">
        <f>SUM(DJ1604:DJ1608)</f>
        <v>0</v>
      </c>
      <c r="DL1609" s="72">
        <f>SUM(DL1604:DL1608)</f>
        <v>0</v>
      </c>
      <c r="DM1609" s="72">
        <f>SUM(DM1604:DM1608)</f>
        <v>0</v>
      </c>
      <c r="DN1609" s="72">
        <f>SUM(DN1604:DN1608)</f>
        <v>0</v>
      </c>
      <c r="DP1609" s="72">
        <f>SUM(DP1604:DP1608)</f>
        <v>0</v>
      </c>
      <c r="DQ1609" s="72">
        <f>SUM(DQ1604:DQ1608)</f>
        <v>0</v>
      </c>
      <c r="DR1609" s="72">
        <f>SUM(DR1604:DR1608)</f>
        <v>0</v>
      </c>
    </row>
    <row r="1610" spans="1:128" s="20" customFormat="1" ht="13.8">
      <c r="A1610" s="334"/>
      <c r="B1610" s="49"/>
      <c r="BH1610" s="49"/>
      <c r="BI1610" s="49"/>
      <c r="BJ1610" s="49"/>
      <c r="BK1610" s="49"/>
      <c r="BL1610" s="49"/>
      <c r="BM1610" s="49"/>
      <c r="BN1610" s="49"/>
      <c r="BO1610" s="49"/>
      <c r="BP1610" s="49"/>
      <c r="BQ1610" s="49"/>
      <c r="BT1610" s="49"/>
      <c r="BU1610" s="49"/>
      <c r="BX1610" s="49"/>
      <c r="BY1610" s="49"/>
      <c r="CB1610" s="49"/>
      <c r="CC1610" s="49"/>
      <c r="CF1610" s="49"/>
      <c r="CG1610" s="49"/>
      <c r="CJ1610" s="49"/>
      <c r="CK1610" s="49"/>
      <c r="CN1610" s="49"/>
      <c r="CO1610" s="49"/>
      <c r="CR1610" s="49"/>
      <c r="CS1610" s="49"/>
      <c r="CV1610" s="49"/>
      <c r="CW1610" s="49"/>
      <c r="CZ1610" s="49"/>
      <c r="DA1610" s="49"/>
      <c r="DD1610" s="49"/>
      <c r="DE1610" s="49"/>
      <c r="DH1610" s="49"/>
      <c r="DI1610" s="49"/>
      <c r="DL1610" s="49"/>
      <c r="DM1610" s="49"/>
      <c r="DP1610" s="49"/>
      <c r="DQ1610" s="49"/>
    </row>
    <row r="1611" spans="1:128" s="20" customFormat="1" ht="13.8">
      <c r="A1611" s="581" t="s">
        <v>810</v>
      </c>
      <c r="B1611" s="49"/>
      <c r="BH1611" s="49"/>
      <c r="BI1611" s="49"/>
      <c r="BJ1611" s="49"/>
      <c r="BK1611" s="49"/>
      <c r="BL1611" s="49"/>
      <c r="BM1611" s="49"/>
      <c r="BN1611" s="49"/>
      <c r="BO1611" s="49"/>
      <c r="BP1611" s="49"/>
      <c r="BQ1611" s="49"/>
      <c r="BT1611" s="49"/>
      <c r="BU1611" s="49"/>
      <c r="BX1611" s="49"/>
      <c r="BY1611" s="49"/>
      <c r="CB1611" s="49"/>
      <c r="CC1611" s="49"/>
      <c r="CF1611" s="49"/>
      <c r="CG1611" s="49"/>
      <c r="CJ1611" s="49"/>
      <c r="CK1611" s="49"/>
      <c r="CN1611" s="49"/>
      <c r="CO1611" s="49"/>
      <c r="CR1611" s="49"/>
      <c r="CS1611" s="49"/>
      <c r="CV1611" s="49"/>
      <c r="CW1611" s="49"/>
      <c r="CZ1611" s="49"/>
      <c r="DA1611" s="49"/>
      <c r="DD1611" s="49"/>
      <c r="DE1611" s="49"/>
      <c r="DH1611" s="49"/>
      <c r="DI1611" s="49"/>
      <c r="DL1611" s="49"/>
      <c r="DM1611" s="49"/>
      <c r="DP1611" s="49"/>
      <c r="DQ1611" s="49"/>
    </row>
    <row r="1612" spans="1:128" s="20" customFormat="1" ht="13.8">
      <c r="A1612" s="334" t="s">
        <v>805</v>
      </c>
      <c r="B1612" s="49"/>
      <c r="BH1612" s="49"/>
      <c r="BI1612" s="49"/>
      <c r="BJ1612" s="49"/>
      <c r="BK1612" s="49"/>
      <c r="BL1612" s="49"/>
      <c r="BM1612" s="49"/>
      <c r="BN1612" s="49"/>
      <c r="BO1612" s="49"/>
      <c r="BP1612" s="75"/>
      <c r="BQ1612" s="75"/>
      <c r="BR1612" s="47"/>
      <c r="BT1612" s="75">
        <f>1-(BT1619/BT1604)</f>
        <v>0.20683453237410077</v>
      </c>
      <c r="BU1612" s="75"/>
      <c r="BV1612" s="47"/>
      <c r="BX1612" s="96"/>
      <c r="BY1612" s="605"/>
      <c r="CB1612" s="605"/>
      <c r="CC1612" s="605"/>
      <c r="CF1612" s="605"/>
      <c r="CG1612" s="605"/>
      <c r="CJ1612" s="605"/>
      <c r="CK1612" s="605"/>
      <c r="CN1612" s="605"/>
      <c r="CO1612" s="605"/>
      <c r="CR1612" s="605"/>
      <c r="CS1612" s="605"/>
      <c r="CV1612" s="605"/>
      <c r="CW1612" s="605"/>
      <c r="CZ1612" s="605"/>
      <c r="DA1612" s="605"/>
      <c r="DD1612" s="605"/>
      <c r="DE1612" s="605"/>
      <c r="DH1612" s="605"/>
      <c r="DI1612" s="605"/>
      <c r="DL1612" s="605"/>
      <c r="DM1612" s="605"/>
      <c r="DP1612" s="605"/>
      <c r="DQ1612" s="605"/>
    </row>
    <row r="1613" spans="1:128" s="20" customFormat="1" ht="13.8">
      <c r="A1613" s="334" t="s">
        <v>806</v>
      </c>
      <c r="B1613" s="49"/>
      <c r="BH1613" s="49"/>
      <c r="BI1613" s="49"/>
      <c r="BJ1613" s="49"/>
      <c r="BK1613" s="49"/>
      <c r="BL1613" s="49"/>
      <c r="BM1613" s="49"/>
      <c r="BN1613" s="49"/>
      <c r="BO1613" s="49"/>
      <c r="BP1613" s="75"/>
      <c r="BQ1613" s="75"/>
      <c r="BR1613" s="47"/>
      <c r="BT1613" s="75">
        <f t="shared" ref="BT1613:BU1616" si="2356">1-(BT1620/BT1605)</f>
        <v>0</v>
      </c>
      <c r="BU1613" s="75"/>
      <c r="BV1613" s="47"/>
      <c r="BX1613" s="96"/>
      <c r="BY1613" s="49"/>
      <c r="CB1613" s="49"/>
      <c r="CC1613" s="49"/>
      <c r="CF1613" s="49"/>
      <c r="CG1613" s="49"/>
      <c r="CJ1613" s="49"/>
      <c r="CK1613" s="49"/>
      <c r="CN1613" s="49"/>
      <c r="CO1613" s="49"/>
      <c r="CR1613" s="49"/>
      <c r="CS1613" s="49"/>
      <c r="CV1613" s="49"/>
      <c r="CW1613" s="49"/>
      <c r="CZ1613" s="49"/>
      <c r="DA1613" s="49"/>
      <c r="DD1613" s="49"/>
      <c r="DE1613" s="49"/>
      <c r="DH1613" s="49"/>
      <c r="DI1613" s="49"/>
      <c r="DL1613" s="49"/>
      <c r="DM1613" s="49"/>
      <c r="DP1613" s="49"/>
      <c r="DQ1613" s="49"/>
    </row>
    <row r="1614" spans="1:128" s="20" customFormat="1" ht="13.8">
      <c r="A1614" s="334" t="s">
        <v>807</v>
      </c>
      <c r="B1614" s="49"/>
      <c r="BH1614" s="49"/>
      <c r="BI1614" s="49"/>
      <c r="BJ1614" s="49"/>
      <c r="BK1614" s="49"/>
      <c r="BL1614" s="49"/>
      <c r="BM1614" s="49"/>
      <c r="BN1614" s="49"/>
      <c r="BO1614" s="49"/>
      <c r="BP1614" s="75">
        <f>1-(BP1621/BP1606)</f>
        <v>0.30000000000000004</v>
      </c>
      <c r="BQ1614" s="75">
        <f>1-(BQ1621/BQ1606)</f>
        <v>0.2857142857142857</v>
      </c>
      <c r="BR1614" s="47"/>
      <c r="BT1614" s="75">
        <f t="shared" si="2356"/>
        <v>0.26811594202898548</v>
      </c>
      <c r="BU1614" s="75">
        <f t="shared" si="2356"/>
        <v>0.2857142857142857</v>
      </c>
      <c r="BV1614" s="47"/>
      <c r="BX1614" s="96"/>
      <c r="BY1614" s="605"/>
      <c r="CB1614" s="605"/>
      <c r="CC1614" s="605"/>
      <c r="CF1614" s="605"/>
      <c r="CG1614" s="605"/>
      <c r="CJ1614" s="605"/>
      <c r="CK1614" s="605"/>
      <c r="CN1614" s="605"/>
      <c r="CO1614" s="605"/>
      <c r="CR1614" s="605"/>
      <c r="CS1614" s="605"/>
      <c r="CV1614" s="605"/>
      <c r="CW1614" s="605"/>
      <c r="CZ1614" s="605"/>
      <c r="DA1614" s="605"/>
      <c r="DD1614" s="605"/>
      <c r="DE1614" s="605"/>
      <c r="DH1614" s="605"/>
      <c r="DI1614" s="605"/>
      <c r="DL1614" s="605"/>
      <c r="DM1614" s="605"/>
      <c r="DP1614" s="605"/>
      <c r="DQ1614" s="605"/>
    </row>
    <row r="1615" spans="1:128" s="20" customFormat="1" ht="13.8">
      <c r="A1615" s="334" t="s">
        <v>803</v>
      </c>
      <c r="B1615" s="49"/>
      <c r="BH1615" s="49"/>
      <c r="BI1615" s="49"/>
      <c r="BJ1615" s="49"/>
      <c r="BK1615" s="49"/>
      <c r="BL1615" s="49"/>
      <c r="BM1615" s="49"/>
      <c r="BN1615" s="49"/>
      <c r="BO1615" s="49"/>
      <c r="BP1615" s="75">
        <f>1-(BP1622/BP1607)</f>
        <v>0.30769230769230771</v>
      </c>
      <c r="BQ1615" s="75">
        <f>1-(BQ1622/BQ1607)</f>
        <v>0.29411764705882348</v>
      </c>
      <c r="BR1615" s="47"/>
      <c r="BT1615" s="75">
        <f t="shared" si="2356"/>
        <v>0.3411764705882353</v>
      </c>
      <c r="BU1615" s="75">
        <f t="shared" si="2356"/>
        <v>0.3125</v>
      </c>
      <c r="BV1615" s="47"/>
      <c r="BX1615" s="96"/>
      <c r="BY1615" s="49"/>
      <c r="CB1615" s="49"/>
      <c r="CC1615" s="49"/>
      <c r="CF1615" s="49"/>
      <c r="CG1615" s="49"/>
      <c r="CJ1615" s="49"/>
      <c r="CK1615" s="49"/>
      <c r="CN1615" s="49"/>
      <c r="CO1615" s="49"/>
      <c r="CR1615" s="49"/>
      <c r="CS1615" s="49"/>
      <c r="CV1615" s="49"/>
      <c r="CW1615" s="49"/>
      <c r="CZ1615" s="49"/>
      <c r="DA1615" s="49"/>
      <c r="DD1615" s="49"/>
      <c r="DE1615" s="49"/>
      <c r="DH1615" s="49"/>
      <c r="DI1615" s="49"/>
      <c r="DL1615" s="49"/>
      <c r="DM1615" s="49"/>
      <c r="DP1615" s="49"/>
      <c r="DQ1615" s="49"/>
    </row>
    <row r="1616" spans="1:128" s="20" customFormat="1" ht="13.8">
      <c r="A1616" s="334" t="s">
        <v>808</v>
      </c>
      <c r="B1616" s="49"/>
      <c r="BH1616" s="49"/>
      <c r="BI1616" s="49"/>
      <c r="BJ1616" s="49"/>
      <c r="BK1616" s="49"/>
      <c r="BL1616" s="49"/>
      <c r="BM1616" s="49"/>
      <c r="BN1616" s="49"/>
      <c r="BO1616" s="49"/>
      <c r="BP1616" s="68"/>
      <c r="BQ1616" s="75"/>
      <c r="BT1616" s="68"/>
      <c r="BU1616" s="75">
        <f t="shared" si="2356"/>
        <v>0.29113924050632911</v>
      </c>
      <c r="BX1616" s="71"/>
      <c r="BY1616" s="605"/>
      <c r="CB1616" s="605"/>
      <c r="CC1616" s="605"/>
      <c r="CF1616" s="605"/>
      <c r="CG1616" s="605"/>
      <c r="CJ1616" s="605"/>
      <c r="CK1616" s="605"/>
      <c r="CN1616" s="605"/>
      <c r="CO1616" s="605"/>
      <c r="CR1616" s="605"/>
      <c r="CS1616" s="605"/>
      <c r="CV1616" s="605"/>
      <c r="CW1616" s="605"/>
      <c r="CZ1616" s="605"/>
      <c r="DA1616" s="605"/>
      <c r="DD1616" s="605"/>
      <c r="DE1616" s="605"/>
      <c r="DH1616" s="605"/>
      <c r="DI1616" s="605"/>
      <c r="DL1616" s="605"/>
      <c r="DM1616" s="605"/>
      <c r="DP1616" s="605"/>
      <c r="DQ1616" s="605"/>
    </row>
    <row r="1617" spans="1:122" s="20" customFormat="1" ht="13.8">
      <c r="A1617" s="334"/>
      <c r="B1617" s="49"/>
      <c r="BH1617" s="49"/>
      <c r="BI1617" s="49"/>
      <c r="BJ1617" s="49"/>
      <c r="BK1617" s="49"/>
      <c r="BL1617" s="49"/>
      <c r="BM1617" s="49"/>
      <c r="BN1617" s="49"/>
      <c r="BO1617" s="49"/>
      <c r="BP1617" s="49"/>
      <c r="BQ1617" s="49"/>
      <c r="BT1617" s="49"/>
      <c r="BU1617" s="49"/>
      <c r="BX1617" s="49"/>
      <c r="BY1617" s="49"/>
      <c r="CB1617" s="49"/>
      <c r="CC1617" s="49"/>
      <c r="CF1617" s="49"/>
      <c r="CG1617" s="49"/>
      <c r="CJ1617" s="49"/>
      <c r="CK1617" s="49"/>
      <c r="CN1617" s="49"/>
      <c r="CO1617" s="49"/>
      <c r="CR1617" s="49"/>
      <c r="CS1617" s="49"/>
      <c r="CV1617" s="49"/>
      <c r="CW1617" s="49"/>
      <c r="CZ1617" s="49"/>
      <c r="DA1617" s="49"/>
      <c r="DD1617" s="49"/>
      <c r="DE1617" s="49"/>
      <c r="DH1617" s="49"/>
      <c r="DI1617" s="49"/>
      <c r="DL1617" s="49"/>
      <c r="DM1617" s="49"/>
      <c r="DP1617" s="49"/>
      <c r="DQ1617" s="49"/>
    </row>
    <row r="1618" spans="1:122" s="20" customFormat="1" ht="13.8">
      <c r="A1618" s="334"/>
      <c r="B1618" s="49"/>
      <c r="BH1618" s="49"/>
      <c r="BI1618" s="49"/>
      <c r="BJ1618" s="49"/>
      <c r="BK1618" s="49"/>
      <c r="BL1618" s="49"/>
      <c r="BM1618" s="49"/>
      <c r="BN1618" s="49"/>
      <c r="BO1618" s="49"/>
      <c r="BP1618" s="49"/>
      <c r="BQ1618" s="49"/>
      <c r="BT1618" s="49"/>
      <c r="BU1618" s="49"/>
      <c r="BX1618" s="49"/>
      <c r="BY1618" s="49"/>
      <c r="CB1618" s="49"/>
      <c r="CC1618" s="49"/>
      <c r="CF1618" s="49"/>
      <c r="CG1618" s="49"/>
      <c r="CJ1618" s="49"/>
      <c r="CK1618" s="49"/>
      <c r="CN1618" s="49"/>
      <c r="CO1618" s="49"/>
      <c r="CR1618" s="49"/>
      <c r="CS1618" s="49"/>
      <c r="CV1618" s="49"/>
      <c r="CW1618" s="49"/>
      <c r="CZ1618" s="49"/>
      <c r="DA1618" s="49"/>
      <c r="DD1618" s="49"/>
      <c r="DE1618" s="49"/>
      <c r="DH1618" s="49"/>
      <c r="DI1618" s="49"/>
      <c r="DL1618" s="49"/>
      <c r="DM1618" s="49"/>
      <c r="DP1618" s="49"/>
      <c r="DQ1618" s="49"/>
    </row>
    <row r="1619" spans="1:122" s="20" customFormat="1" ht="13.8">
      <c r="A1619" s="334" t="s">
        <v>805</v>
      </c>
      <c r="B1619" s="49"/>
      <c r="BH1619" s="49"/>
      <c r="BI1619" s="49"/>
      <c r="BJ1619" s="49"/>
      <c r="BK1619" s="49"/>
      <c r="BL1619" s="49"/>
      <c r="BM1619" s="49"/>
      <c r="BN1619" s="49"/>
      <c r="BO1619" s="49"/>
      <c r="BP1619" s="67">
        <v>0</v>
      </c>
      <c r="BQ1619" s="67">
        <v>0</v>
      </c>
      <c r="BR1619" s="65">
        <f>+BP1619+BQ1619</f>
        <v>0</v>
      </c>
      <c r="BT1619" s="67">
        <v>-441</v>
      </c>
      <c r="BU1619" s="67">
        <v>-81</v>
      </c>
      <c r="BV1619" s="65">
        <f>+BT1619+BU1619</f>
        <v>-522</v>
      </c>
      <c r="BX1619" s="67"/>
      <c r="BY1619" s="604"/>
      <c r="BZ1619" s="65"/>
      <c r="CB1619" s="604"/>
      <c r="CC1619" s="604"/>
      <c r="CD1619" s="65"/>
      <c r="CF1619" s="604"/>
      <c r="CG1619" s="604"/>
      <c r="CH1619" s="65"/>
      <c r="CJ1619" s="604"/>
      <c r="CK1619" s="604"/>
      <c r="CL1619" s="65"/>
      <c r="CN1619" s="604"/>
      <c r="CO1619" s="604"/>
      <c r="CP1619" s="65"/>
      <c r="CR1619" s="604"/>
      <c r="CS1619" s="604"/>
      <c r="CT1619" s="65"/>
      <c r="CV1619" s="604"/>
      <c r="CW1619" s="604"/>
      <c r="CX1619" s="65"/>
      <c r="CZ1619" s="604"/>
      <c r="DA1619" s="604"/>
      <c r="DB1619" s="65"/>
      <c r="DD1619" s="604"/>
      <c r="DE1619" s="604"/>
      <c r="DF1619" s="65"/>
      <c r="DH1619" s="604"/>
      <c r="DI1619" s="604"/>
      <c r="DJ1619" s="65"/>
      <c r="DL1619" s="604"/>
      <c r="DM1619" s="604"/>
      <c r="DN1619" s="65"/>
      <c r="DP1619" s="604"/>
      <c r="DQ1619" s="604"/>
      <c r="DR1619" s="65"/>
    </row>
    <row r="1620" spans="1:122" s="20" customFormat="1" ht="13.8">
      <c r="A1620" s="334" t="s">
        <v>806</v>
      </c>
      <c r="B1620" s="49"/>
      <c r="BH1620" s="49"/>
      <c r="BI1620" s="49"/>
      <c r="BJ1620" s="49"/>
      <c r="BK1620" s="49"/>
      <c r="BL1620" s="49"/>
      <c r="BM1620" s="49"/>
      <c r="BN1620" s="49"/>
      <c r="BO1620" s="49"/>
      <c r="BP1620" s="67">
        <v>0</v>
      </c>
      <c r="BQ1620" s="67">
        <v>0</v>
      </c>
      <c r="BR1620" s="65">
        <f>+BP1620+BQ1620</f>
        <v>0</v>
      </c>
      <c r="BT1620" s="67">
        <v>-231</v>
      </c>
      <c r="BU1620" s="67">
        <v>0</v>
      </c>
      <c r="BV1620" s="65">
        <f>+BT1620+BU1620</f>
        <v>-231</v>
      </c>
      <c r="BX1620" s="67"/>
      <c r="BY1620" s="604"/>
      <c r="BZ1620" s="65"/>
      <c r="CB1620" s="604"/>
      <c r="CC1620" s="604"/>
      <c r="CD1620" s="65"/>
      <c r="CF1620" s="604"/>
      <c r="CG1620" s="604"/>
      <c r="CH1620" s="65"/>
      <c r="CJ1620" s="604"/>
      <c r="CK1620" s="604"/>
      <c r="CL1620" s="65"/>
      <c r="CN1620" s="604"/>
      <c r="CO1620" s="604"/>
      <c r="CP1620" s="65"/>
      <c r="CR1620" s="604"/>
      <c r="CS1620" s="604"/>
      <c r="CT1620" s="65"/>
      <c r="CV1620" s="604"/>
      <c r="CW1620" s="604"/>
      <c r="CX1620" s="65"/>
      <c r="CZ1620" s="604"/>
      <c r="DA1620" s="604"/>
      <c r="DB1620" s="65"/>
      <c r="DD1620" s="604"/>
      <c r="DE1620" s="604"/>
      <c r="DF1620" s="65"/>
      <c r="DH1620" s="604"/>
      <c r="DI1620" s="604"/>
      <c r="DJ1620" s="65"/>
      <c r="DL1620" s="604"/>
      <c r="DM1620" s="604"/>
      <c r="DN1620" s="65"/>
      <c r="DP1620" s="604"/>
      <c r="DQ1620" s="604"/>
      <c r="DR1620" s="65"/>
    </row>
    <row r="1621" spans="1:122" s="20" customFormat="1" ht="13.8">
      <c r="A1621" s="334" t="s">
        <v>807</v>
      </c>
      <c r="B1621" s="49"/>
      <c r="BH1621" s="49"/>
      <c r="BI1621" s="49"/>
      <c r="BJ1621" s="49"/>
      <c r="BK1621" s="49"/>
      <c r="BL1621" s="49"/>
      <c r="BM1621" s="49"/>
      <c r="BN1621" s="49"/>
      <c r="BO1621" s="49"/>
      <c r="BP1621" s="67">
        <v>-7</v>
      </c>
      <c r="BQ1621" s="67">
        <v>-15</v>
      </c>
      <c r="BR1621" s="65">
        <f>+BP1621+BQ1621</f>
        <v>-22</v>
      </c>
      <c r="BT1621" s="67">
        <v>-101</v>
      </c>
      <c r="BU1621" s="67">
        <v>-100</v>
      </c>
      <c r="BV1621" s="65">
        <f>+BT1621+BU1621</f>
        <v>-201</v>
      </c>
      <c r="BX1621" s="67"/>
      <c r="BY1621" s="604"/>
      <c r="BZ1621" s="65"/>
      <c r="CB1621" s="604"/>
      <c r="CC1621" s="604"/>
      <c r="CD1621" s="65"/>
      <c r="CF1621" s="604"/>
      <c r="CG1621" s="604"/>
      <c r="CH1621" s="65"/>
      <c r="CJ1621" s="604"/>
      <c r="CK1621" s="604"/>
      <c r="CL1621" s="65"/>
      <c r="CN1621" s="604"/>
      <c r="CO1621" s="604"/>
      <c r="CP1621" s="65"/>
      <c r="CR1621" s="604"/>
      <c r="CS1621" s="604"/>
      <c r="CT1621" s="65"/>
      <c r="CV1621" s="604"/>
      <c r="CW1621" s="604"/>
      <c r="CX1621" s="65"/>
      <c r="CZ1621" s="604"/>
      <c r="DA1621" s="604"/>
      <c r="DB1621" s="65"/>
      <c r="DD1621" s="604"/>
      <c r="DE1621" s="604"/>
      <c r="DF1621" s="65"/>
      <c r="DH1621" s="604"/>
      <c r="DI1621" s="604"/>
      <c r="DJ1621" s="65"/>
      <c r="DL1621" s="604"/>
      <c r="DM1621" s="604"/>
      <c r="DN1621" s="65"/>
      <c r="DP1621" s="604"/>
      <c r="DQ1621" s="604"/>
      <c r="DR1621" s="65"/>
    </row>
    <row r="1622" spans="1:122" s="20" customFormat="1" ht="13.8">
      <c r="A1622" s="334" t="s">
        <v>803</v>
      </c>
      <c r="B1622" s="49"/>
      <c r="BH1622" s="49"/>
      <c r="BI1622" s="49"/>
      <c r="BJ1622" s="49"/>
      <c r="BK1622" s="49"/>
      <c r="BL1622" s="49"/>
      <c r="BM1622" s="49"/>
      <c r="BN1622" s="49"/>
      <c r="BO1622" s="49"/>
      <c r="BP1622" s="67">
        <v>45</v>
      </c>
      <c r="BQ1622" s="67">
        <v>48</v>
      </c>
      <c r="BR1622" s="65">
        <f>+BP1622+BQ1622</f>
        <v>93</v>
      </c>
      <c r="BT1622" s="67">
        <v>56</v>
      </c>
      <c r="BU1622" s="67">
        <v>-11</v>
      </c>
      <c r="BV1622" s="65">
        <f>+BT1622+BU1622</f>
        <v>45</v>
      </c>
      <c r="BX1622" s="67"/>
      <c r="BY1622" s="604"/>
      <c r="BZ1622" s="65"/>
      <c r="CB1622" s="604"/>
      <c r="CC1622" s="604"/>
      <c r="CD1622" s="65"/>
      <c r="CF1622" s="604"/>
      <c r="CG1622" s="604"/>
      <c r="CH1622" s="65"/>
      <c r="CJ1622" s="604"/>
      <c r="CK1622" s="604"/>
      <c r="CL1622" s="65"/>
      <c r="CN1622" s="604"/>
      <c r="CO1622" s="604"/>
      <c r="CP1622" s="65"/>
      <c r="CR1622" s="604"/>
      <c r="CS1622" s="604"/>
      <c r="CT1622" s="65"/>
      <c r="CV1622" s="604"/>
      <c r="CW1622" s="604"/>
      <c r="CX1622" s="65"/>
      <c r="CZ1622" s="604"/>
      <c r="DA1622" s="604"/>
      <c r="DB1622" s="65"/>
      <c r="DD1622" s="604"/>
      <c r="DE1622" s="604"/>
      <c r="DF1622" s="65"/>
      <c r="DH1622" s="604"/>
      <c r="DI1622" s="604"/>
      <c r="DJ1622" s="65"/>
      <c r="DL1622" s="604"/>
      <c r="DM1622" s="604"/>
      <c r="DN1622" s="65"/>
      <c r="DP1622" s="604"/>
      <c r="DQ1622" s="604"/>
      <c r="DR1622" s="65"/>
    </row>
    <row r="1623" spans="1:122" s="20" customFormat="1" ht="13.8">
      <c r="A1623" s="334" t="s">
        <v>808</v>
      </c>
      <c r="B1623" s="49"/>
      <c r="BH1623" s="49"/>
      <c r="BI1623" s="49"/>
      <c r="BJ1623" s="49"/>
      <c r="BK1623" s="49"/>
      <c r="BL1623" s="49"/>
      <c r="BM1623" s="49"/>
      <c r="BN1623" s="49"/>
      <c r="BO1623" s="49"/>
      <c r="BP1623" s="67">
        <v>0</v>
      </c>
      <c r="BQ1623" s="67">
        <v>0</v>
      </c>
      <c r="BR1623" s="65">
        <f>+BP1623+BQ1623</f>
        <v>0</v>
      </c>
      <c r="BT1623" s="67">
        <v>0</v>
      </c>
      <c r="BU1623" s="67">
        <v>-168</v>
      </c>
      <c r="BV1623" s="65">
        <f>+BT1623+BU1623</f>
        <v>-168</v>
      </c>
      <c r="BX1623" s="67"/>
      <c r="BY1623" s="604"/>
      <c r="BZ1623" s="65"/>
      <c r="CB1623" s="604"/>
      <c r="CC1623" s="604"/>
      <c r="CD1623" s="65"/>
      <c r="CF1623" s="604"/>
      <c r="CG1623" s="604"/>
      <c r="CH1623" s="65"/>
      <c r="CJ1623" s="604"/>
      <c r="CK1623" s="604"/>
      <c r="CL1623" s="65"/>
      <c r="CN1623" s="604"/>
      <c r="CO1623" s="604"/>
      <c r="CP1623" s="65"/>
      <c r="CR1623" s="604"/>
      <c r="CS1623" s="604"/>
      <c r="CT1623" s="65"/>
      <c r="CV1623" s="604"/>
      <c r="CW1623" s="604"/>
      <c r="CX1623" s="65"/>
      <c r="CZ1623" s="604"/>
      <c r="DA1623" s="604"/>
      <c r="DB1623" s="65"/>
      <c r="DD1623" s="604"/>
      <c r="DE1623" s="604"/>
      <c r="DF1623" s="65"/>
      <c r="DH1623" s="604"/>
      <c r="DI1623" s="604"/>
      <c r="DJ1623" s="65"/>
      <c r="DL1623" s="604"/>
      <c r="DM1623" s="604"/>
      <c r="DN1623" s="65"/>
      <c r="DP1623" s="604"/>
      <c r="DQ1623" s="604"/>
      <c r="DR1623" s="65"/>
    </row>
    <row r="1624" spans="1:122" s="20" customFormat="1" ht="13.8">
      <c r="A1624" s="581" t="s">
        <v>809</v>
      </c>
      <c r="B1624" s="49"/>
      <c r="BH1624" s="49"/>
      <c r="BI1624" s="49"/>
      <c r="BJ1624" s="49"/>
      <c r="BK1624" s="49"/>
      <c r="BL1624" s="49"/>
      <c r="BM1624" s="49"/>
      <c r="BN1624" s="49"/>
      <c r="BO1624" s="49"/>
      <c r="BP1624" s="72">
        <f>SUM(BP1619:BP1623)</f>
        <v>38</v>
      </c>
      <c r="BQ1624" s="72">
        <f>SUM(BQ1619:BQ1623)</f>
        <v>33</v>
      </c>
      <c r="BR1624" s="72">
        <f>SUM(BR1619:BR1623)</f>
        <v>71</v>
      </c>
      <c r="BT1624" s="72">
        <f>SUM(BT1619:BT1623)</f>
        <v>-717</v>
      </c>
      <c r="BU1624" s="72">
        <f>SUM(BU1619:BU1623)</f>
        <v>-360</v>
      </c>
      <c r="BV1624" s="72">
        <f>SUM(BV1619:BV1623)</f>
        <v>-1077</v>
      </c>
      <c r="BX1624" s="72"/>
      <c r="BY1624" s="72"/>
      <c r="BZ1624" s="72"/>
      <c r="CB1624" s="72"/>
      <c r="CC1624" s="72"/>
      <c r="CD1624" s="72"/>
      <c r="CF1624" s="72"/>
      <c r="CG1624" s="72"/>
      <c r="CH1624" s="72"/>
      <c r="CJ1624" s="72"/>
      <c r="CK1624" s="72"/>
      <c r="CL1624" s="72"/>
      <c r="CN1624" s="72"/>
      <c r="CO1624" s="72"/>
      <c r="CP1624" s="72"/>
      <c r="CR1624" s="72"/>
      <c r="CS1624" s="72"/>
      <c r="CT1624" s="72"/>
      <c r="CV1624" s="72"/>
      <c r="CW1624" s="72"/>
      <c r="CX1624" s="72"/>
      <c r="CZ1624" s="72"/>
      <c r="DA1624" s="72"/>
      <c r="DB1624" s="72"/>
      <c r="DD1624" s="72"/>
      <c r="DE1624" s="72"/>
      <c r="DF1624" s="72"/>
      <c r="DH1624" s="72"/>
      <c r="DI1624" s="72"/>
      <c r="DJ1624" s="72"/>
      <c r="DL1624" s="72"/>
      <c r="DM1624" s="72"/>
      <c r="DN1624" s="72"/>
      <c r="DP1624" s="72"/>
      <c r="DQ1624" s="72"/>
      <c r="DR1624" s="72"/>
    </row>
    <row r="1628" spans="1:122">
      <c r="DD1628" s="619"/>
    </row>
    <row r="1630" spans="1:122">
      <c r="DD1630" s="619"/>
    </row>
    <row r="1631" spans="1:122">
      <c r="DD1631" s="1586"/>
    </row>
  </sheetData>
  <phoneticPr fontId="3" type="noConversion"/>
  <pageMargins left="0.75" right="0.75" top="1" bottom="1" header="0.5" footer="0.5"/>
  <pageSetup paperSize="9" orientation="portrait" horizontalDpi="300" verticalDpi="300"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tabColor rgb="FFFFC000"/>
    <pageSetUpPr fitToPage="1"/>
  </sheetPr>
  <dimension ref="C2:BJ343"/>
  <sheetViews>
    <sheetView workbookViewId="0">
      <selection activeCell="C2" sqref="C2"/>
    </sheetView>
  </sheetViews>
  <sheetFormatPr defaultRowHeight="13.8" outlineLevelRow="1" outlineLevelCol="1"/>
  <cols>
    <col min="3" max="3" width="27.5546875" style="444" customWidth="1"/>
    <col min="4" max="7" width="9.109375" style="444" hidden="1" customWidth="1"/>
    <col min="8" max="8" width="11.44140625" style="680" hidden="1" customWidth="1"/>
    <col min="9" max="11" width="0" style="444" hidden="1" customWidth="1"/>
    <col min="12" max="12" width="8.109375" style="680" customWidth="1"/>
    <col min="13" max="15" width="0" style="444" hidden="1" customWidth="1"/>
    <col min="16" max="16" width="9.109375" style="680" customWidth="1"/>
    <col min="17" max="19" width="9.109375" hidden="1" customWidth="1" outlineLevel="1"/>
    <col min="20" max="20" width="9.109375" customWidth="1" collapsed="1"/>
    <col min="21" max="23" width="9.109375" hidden="1" customWidth="1" outlineLevel="1"/>
    <col min="24" max="24" width="9.109375" customWidth="1" collapsed="1"/>
    <col min="25" max="27" width="9.109375" hidden="1" customWidth="1" outlineLevel="1"/>
    <col min="28" max="28" width="9.109375" customWidth="1" collapsed="1"/>
    <col min="29" max="31" width="9.109375" hidden="1" customWidth="1" outlineLevel="1"/>
    <col min="32" max="32" width="9.109375" customWidth="1" collapsed="1"/>
    <col min="33" max="35" width="9.109375" hidden="1" customWidth="1" outlineLevel="1"/>
    <col min="36" max="36" width="9.109375" customWidth="1" collapsed="1"/>
    <col min="37" max="39" width="9.109375" hidden="1" customWidth="1" outlineLevel="1"/>
    <col min="40" max="40" width="9.109375" customWidth="1" collapsed="1"/>
    <col min="41" max="43" width="9.109375" hidden="1" customWidth="1" outlineLevel="1"/>
    <col min="44" max="44" width="9.109375" customWidth="1" collapsed="1"/>
    <col min="45" max="47" width="9.109375" hidden="1" customWidth="1" outlineLevel="1"/>
    <col min="48" max="48" width="9.109375" customWidth="1" collapsed="1"/>
    <col min="49" max="51" width="9.109375" hidden="1" customWidth="1" outlineLevel="1"/>
    <col min="52" max="52" width="9.109375" customWidth="1" collapsed="1"/>
    <col min="53" max="55" width="9.109375" hidden="1" customWidth="1" outlineLevel="1"/>
    <col min="56" max="56" width="9.109375" customWidth="1" collapsed="1"/>
  </cols>
  <sheetData>
    <row r="2" spans="3:56">
      <c r="C2" s="624"/>
      <c r="D2" s="625" t="str">
        <f>MODEL!BR7</f>
        <v>FY15</v>
      </c>
      <c r="E2" s="624"/>
      <c r="F2" s="624"/>
      <c r="G2" s="624"/>
      <c r="H2" s="625" t="str">
        <f>MODEL!BV7</f>
        <v>FY16</v>
      </c>
      <c r="I2" s="624"/>
      <c r="J2" s="624"/>
      <c r="K2" s="624"/>
      <c r="L2" s="625" t="str">
        <f>MODEL!BZ7</f>
        <v>FY17</v>
      </c>
      <c r="M2" s="624"/>
      <c r="N2" s="624"/>
      <c r="O2" s="624"/>
      <c r="P2" s="625" t="str">
        <f>MODEL!CD7</f>
        <v>FY18</v>
      </c>
      <c r="T2" s="625" t="str">
        <f>MODEL!CH7</f>
        <v>FY19</v>
      </c>
      <c r="X2" s="1028" t="str">
        <f>MODEL!CL7</f>
        <v>FY20</v>
      </c>
      <c r="Y2" s="686"/>
      <c r="Z2" s="686"/>
      <c r="AA2" s="686"/>
      <c r="AB2" s="1028" t="str">
        <f>MODEL!CP7</f>
        <v>FY21</v>
      </c>
      <c r="AC2" s="686"/>
      <c r="AD2" s="686"/>
      <c r="AE2" s="686"/>
      <c r="AF2" s="1028" t="str">
        <f>MODEL!CT7</f>
        <v>FY22</v>
      </c>
      <c r="AG2" s="686"/>
      <c r="AH2" s="686"/>
      <c r="AI2" s="686"/>
      <c r="AJ2" s="1028" t="str">
        <f>MODEL!CX7</f>
        <v>FY23</v>
      </c>
      <c r="AK2" s="686"/>
      <c r="AL2" s="686"/>
      <c r="AM2" s="686"/>
      <c r="AN2" s="625" t="str">
        <f>MODEL!DB7</f>
        <v>FY24</v>
      </c>
      <c r="AO2" s="686"/>
      <c r="AP2" s="686"/>
      <c r="AQ2" s="686"/>
      <c r="AR2" s="1672" t="str">
        <f>MODEL!DF7</f>
        <v>FY25</v>
      </c>
      <c r="AS2" s="686"/>
      <c r="AT2" s="686"/>
      <c r="AU2" s="686"/>
      <c r="AV2" s="625" t="str">
        <f>MODEL!DJ7</f>
        <v>FY26E</v>
      </c>
      <c r="AW2" s="686"/>
      <c r="AX2" s="686"/>
      <c r="AY2" s="686"/>
      <c r="AZ2" s="625" t="str">
        <f>MODEL!DN7</f>
        <v>FY27E</v>
      </c>
      <c r="BA2" s="686"/>
      <c r="BB2" s="686"/>
      <c r="BC2" s="686"/>
      <c r="BD2" s="625" t="str">
        <f>MODEL!DR7</f>
        <v>FY28E</v>
      </c>
    </row>
    <row r="3" spans="3:56">
      <c r="C3" s="626" t="s">
        <v>732</v>
      </c>
      <c r="D3" s="627"/>
      <c r="E3" s="626"/>
      <c r="F3" s="626"/>
      <c r="G3" s="626"/>
      <c r="H3" s="627"/>
      <c r="I3" s="628"/>
      <c r="J3" s="628"/>
      <c r="K3" s="628"/>
      <c r="L3" s="627"/>
      <c r="M3" s="628"/>
      <c r="N3" s="628"/>
      <c r="O3" s="628"/>
      <c r="P3" s="627"/>
      <c r="T3" s="627"/>
      <c r="X3" s="627"/>
      <c r="Y3" s="627"/>
      <c r="Z3" s="627"/>
      <c r="AA3" s="627"/>
      <c r="AB3" s="627"/>
      <c r="AC3" s="627"/>
      <c r="AD3" s="627"/>
      <c r="AE3" s="627"/>
      <c r="AF3" s="627"/>
      <c r="AG3" s="627"/>
      <c r="AH3" s="627"/>
      <c r="AI3" s="627"/>
      <c r="AJ3" s="627"/>
      <c r="AK3" s="627"/>
      <c r="AL3" s="627"/>
      <c r="AM3" s="627"/>
      <c r="AN3" s="627"/>
      <c r="AO3" s="627"/>
      <c r="AP3" s="627"/>
      <c r="AQ3" s="627"/>
      <c r="AR3" s="1673"/>
      <c r="AS3" s="627"/>
      <c r="AT3" s="627"/>
      <c r="AU3" s="627"/>
      <c r="AV3" s="627"/>
      <c r="AW3" s="627"/>
      <c r="AX3" s="627"/>
      <c r="AY3" s="627"/>
      <c r="AZ3" s="627"/>
      <c r="BA3" s="627"/>
      <c r="BB3" s="627"/>
      <c r="BC3" s="627"/>
      <c r="BD3" s="627"/>
    </row>
    <row r="4" spans="3:56">
      <c r="C4" s="444" t="s">
        <v>500</v>
      </c>
      <c r="D4" s="629">
        <f>MODEL!BR149/1000</f>
        <v>300.46800000000002</v>
      </c>
      <c r="E4" s="630"/>
      <c r="F4" s="630"/>
      <c r="G4" s="630"/>
      <c r="H4" s="629">
        <f>MODEL!BV149/1000</f>
        <v>323.14400000000001</v>
      </c>
      <c r="I4" s="630"/>
      <c r="J4" s="630"/>
      <c r="K4" s="630"/>
      <c r="L4" s="629">
        <f>MODEL!BZ149/1000</f>
        <v>337.30900000000003</v>
      </c>
      <c r="M4" s="630"/>
      <c r="N4" s="630"/>
      <c r="O4" s="630"/>
      <c r="P4" s="629">
        <f>MODEL!CD149/1000</f>
        <v>346.154</v>
      </c>
      <c r="T4" s="629">
        <f>MODEL!CH149/1000</f>
        <v>343.80799999999999</v>
      </c>
      <c r="X4" s="629">
        <f>MODEL!CL149/1000</f>
        <v>358.35</v>
      </c>
      <c r="Y4" s="629"/>
      <c r="Z4" s="629"/>
      <c r="AA4" s="629"/>
      <c r="AB4" s="629">
        <f>MODEL!CP149/1000</f>
        <v>372.572</v>
      </c>
      <c r="AC4" s="1029">
        <f>MODEL!CQ149/1000</f>
        <v>3.9687456397376809E-5</v>
      </c>
      <c r="AD4" s="1029">
        <f>MODEL!CR149/1000</f>
        <v>374.15199999999999</v>
      </c>
      <c r="AE4" s="1029">
        <f>MODEL!CS149/1000</f>
        <v>374.625</v>
      </c>
      <c r="AF4" s="629">
        <f>MODEL!CT149/1000</f>
        <v>374.625</v>
      </c>
      <c r="AG4" s="629"/>
      <c r="AH4" s="629"/>
      <c r="AI4" s="629"/>
      <c r="AJ4" s="629">
        <f>MODEL!CX149/1000</f>
        <v>404.49099999999999</v>
      </c>
      <c r="AK4" s="629"/>
      <c r="AL4" s="629"/>
      <c r="AM4" s="629"/>
      <c r="AN4" s="629">
        <f>MODEL!DB149/1000</f>
        <v>484.55399999999997</v>
      </c>
      <c r="AO4" s="629"/>
      <c r="AP4" s="629"/>
      <c r="AQ4" s="629"/>
      <c r="AR4" s="1674">
        <f>MODEL!DF149/1000</f>
        <v>503.99700000000001</v>
      </c>
      <c r="AS4" s="629"/>
      <c r="AT4" s="629"/>
      <c r="AU4" s="629"/>
      <c r="AV4" s="629">
        <f>MODEL!DJ149/1000</f>
        <v>522.4459170565849</v>
      </c>
      <c r="AW4" s="629"/>
      <c r="AX4" s="629"/>
      <c r="AY4" s="629"/>
      <c r="AZ4" s="629">
        <f>MODEL!DN149/1000</f>
        <v>552.10782554237517</v>
      </c>
      <c r="BA4" s="629"/>
      <c r="BB4" s="629"/>
      <c r="BC4" s="629"/>
      <c r="BD4" s="629">
        <f>MODEL!DR149/1000</f>
        <v>577.83186688080593</v>
      </c>
    </row>
    <row r="5" spans="3:56">
      <c r="C5" s="631" t="s">
        <v>258</v>
      </c>
      <c r="D5" s="632">
        <f>MODEL!BS149</f>
        <v>0.10715285863781743</v>
      </c>
      <c r="E5" s="633"/>
      <c r="F5" s="633"/>
      <c r="G5" s="633"/>
      <c r="H5" s="632">
        <f>MODEL!BW149</f>
        <v>7.5468935127867232E-2</v>
      </c>
      <c r="I5" s="633"/>
      <c r="J5" s="633"/>
      <c r="K5" s="633"/>
      <c r="L5" s="632">
        <f>MODEL!CA149</f>
        <v>4.3834946649171869E-2</v>
      </c>
      <c r="M5" s="633"/>
      <c r="N5" s="633"/>
      <c r="O5" s="633"/>
      <c r="P5" s="632">
        <f>MODEL!CE149</f>
        <v>2.6222247256966202E-2</v>
      </c>
      <c r="T5" s="632">
        <f>MODEL!CI149</f>
        <v>-6.7773303211865477E-3</v>
      </c>
      <c r="X5" s="1030">
        <f>MODEL!CM149</f>
        <v>4.2296863365599346E-2</v>
      </c>
      <c r="Y5" s="1030"/>
      <c r="Z5" s="1030"/>
      <c r="AA5" s="1030"/>
      <c r="AB5" s="1030">
        <f>MODEL!CQ149</f>
        <v>3.9687456397376808E-2</v>
      </c>
      <c r="AC5" s="1031">
        <f>MODEL!CR149</f>
        <v>374152</v>
      </c>
      <c r="AD5" s="1031">
        <f>MODEL!CS149</f>
        <v>374625</v>
      </c>
      <c r="AE5" s="1031">
        <f>MODEL!CT149</f>
        <v>374625</v>
      </c>
      <c r="AF5" s="1030">
        <f>MODEL!CU149</f>
        <v>5.5103443092878734E-3</v>
      </c>
      <c r="AG5" s="632"/>
      <c r="AH5" s="632"/>
      <c r="AI5" s="632"/>
      <c r="AJ5" s="1030">
        <f>MODEL!CY149</f>
        <v>7.9722389055722376E-2</v>
      </c>
      <c r="AK5" s="632"/>
      <c r="AL5" s="632"/>
      <c r="AM5" s="632"/>
      <c r="AN5" s="1030">
        <f>MODEL!DC149</f>
        <v>0.19793518273583333</v>
      </c>
      <c r="AO5" s="632"/>
      <c r="AP5" s="632"/>
      <c r="AQ5" s="632"/>
      <c r="AR5" s="1675">
        <f>MODEL!DG149</f>
        <v>4.0125558761252567E-2</v>
      </c>
      <c r="AS5" s="632"/>
      <c r="AT5" s="632"/>
      <c r="AU5" s="632"/>
      <c r="AV5" s="632">
        <f>MODEL!DK149</f>
        <v>3.6605212048057556E-2</v>
      </c>
      <c r="AW5" s="632"/>
      <c r="AX5" s="632"/>
      <c r="AY5" s="632"/>
      <c r="AZ5" s="632">
        <f>MODEL!DO149</f>
        <v>5.6775079520006599E-2</v>
      </c>
      <c r="BA5" s="632"/>
      <c r="BB5" s="632"/>
      <c r="BC5" s="632"/>
      <c r="BD5" s="632">
        <f>MODEL!DS149</f>
        <v>4.6592422980348269E-2</v>
      </c>
    </row>
    <row r="6" spans="3:56">
      <c r="C6" s="444" t="s">
        <v>410</v>
      </c>
      <c r="D6" s="657">
        <f>+D8-D4</f>
        <v>274.52600000000001</v>
      </c>
      <c r="H6" s="657">
        <f>+H8-H4</f>
        <v>257.43499999999995</v>
      </c>
      <c r="L6" s="657">
        <f>+L8-L4</f>
        <v>247.19299999999993</v>
      </c>
      <c r="P6" s="657">
        <f>+P8-P4</f>
        <v>262.65599999999995</v>
      </c>
      <c r="T6" s="657">
        <f>+T8-T4</f>
        <v>275.35699999999997</v>
      </c>
      <c r="X6" s="657">
        <f>+X8-X4</f>
        <v>264.18399999999997</v>
      </c>
      <c r="Y6" s="657"/>
      <c r="Z6" s="657"/>
      <c r="AA6" s="657"/>
      <c r="AB6" s="657">
        <f>+AB8-AB4</f>
        <v>261.62599999999998</v>
      </c>
      <c r="AC6" s="1032">
        <f t="shared" ref="AC6:AF6" si="0">+AC8-AC4</f>
        <v>-2.0951130349321502E-5</v>
      </c>
      <c r="AD6" s="1032">
        <f t="shared" si="0"/>
        <v>281.30300000000005</v>
      </c>
      <c r="AE6" s="1032">
        <f t="shared" si="0"/>
        <v>301.88199999999995</v>
      </c>
      <c r="AF6" s="657">
        <f t="shared" si="0"/>
        <v>301.88199999999995</v>
      </c>
      <c r="AG6" s="657"/>
      <c r="AH6" s="657"/>
      <c r="AI6" s="657"/>
      <c r="AJ6" s="657">
        <f t="shared" ref="AJ6" si="1">+AJ8-AJ4</f>
        <v>306.61400000000003</v>
      </c>
      <c r="AK6" s="657"/>
      <c r="AL6" s="657"/>
      <c r="AM6" s="657"/>
      <c r="AN6" s="657">
        <f t="shared" ref="AN6" si="2">+AN8-AN4</f>
        <v>323.01800000000003</v>
      </c>
      <c r="AO6" s="657"/>
      <c r="AP6" s="657"/>
      <c r="AQ6" s="657"/>
      <c r="AR6" s="1676">
        <f t="shared" ref="AR6" si="3">+AR8-AR4</f>
        <v>329.97399999999999</v>
      </c>
      <c r="AS6" s="657"/>
      <c r="AT6" s="657"/>
      <c r="AU6" s="657"/>
      <c r="AV6" s="657">
        <f>+AV8-AV4</f>
        <v>335.60571605331018</v>
      </c>
      <c r="AW6" s="657"/>
      <c r="AX6" s="657"/>
      <c r="AY6" s="657"/>
      <c r="AZ6" s="657">
        <f>+AZ8-AZ4</f>
        <v>346.33347497835337</v>
      </c>
      <c r="BA6" s="657"/>
      <c r="BB6" s="657"/>
      <c r="BC6" s="657"/>
      <c r="BD6" s="657">
        <f>+BD8-BD4</f>
        <v>358.55883926172214</v>
      </c>
    </row>
    <row r="7" spans="3:56">
      <c r="C7" s="631" t="s">
        <v>260</v>
      </c>
      <c r="D7" s="632"/>
      <c r="E7" s="633"/>
      <c r="F7" s="633"/>
      <c r="G7" s="633"/>
      <c r="H7" s="658">
        <f>+H6/D6-1</f>
        <v>-6.225639830107188E-2</v>
      </c>
      <c r="I7" s="631"/>
      <c r="J7" s="631"/>
      <c r="K7" s="631"/>
      <c r="L7" s="658">
        <f>+L6/H6-1</f>
        <v>-3.9784800046613777E-2</v>
      </c>
      <c r="M7" s="631"/>
      <c r="N7" s="631"/>
      <c r="O7" s="631"/>
      <c r="P7" s="658">
        <f>+P6/L6-1</f>
        <v>6.2554360358100913E-2</v>
      </c>
      <c r="T7" s="658">
        <f>+T6/P6-1</f>
        <v>4.8356024610136439E-2</v>
      </c>
      <c r="X7" s="1033">
        <f>+X6/T6-1</f>
        <v>-4.0576415344443784E-2</v>
      </c>
      <c r="Y7" s="1033"/>
      <c r="Z7" s="1033"/>
      <c r="AA7" s="1033"/>
      <c r="AB7" s="1033">
        <f>+AB6/X6-1</f>
        <v>-9.6826454289434816E-3</v>
      </c>
      <c r="AC7" s="1034" t="e">
        <f t="shared" ref="AC7:AF7" si="4">+AC6/Y6-1</f>
        <v>#DIV/0!</v>
      </c>
      <c r="AD7" s="1034" t="e">
        <f t="shared" si="4"/>
        <v>#DIV/0!</v>
      </c>
      <c r="AE7" s="1034" t="e">
        <f t="shared" si="4"/>
        <v>#DIV/0!</v>
      </c>
      <c r="AF7" s="1033">
        <f t="shared" si="4"/>
        <v>0.1538684993081727</v>
      </c>
      <c r="AG7" s="658"/>
      <c r="AH7" s="658"/>
      <c r="AI7" s="658"/>
      <c r="AJ7" s="1033">
        <f t="shared" ref="AJ7" si="5">+AJ6/AF6-1</f>
        <v>1.5674998840606857E-2</v>
      </c>
      <c r="AK7" s="658"/>
      <c r="AL7" s="658"/>
      <c r="AM7" s="658"/>
      <c r="AN7" s="1033">
        <f t="shared" ref="AN7" si="6">+AN6/AJ6-1</f>
        <v>5.3500492475881734E-2</v>
      </c>
      <c r="AO7" s="658"/>
      <c r="AP7" s="658"/>
      <c r="AQ7" s="658"/>
      <c r="AR7" s="1677">
        <f t="shared" ref="AR7" si="7">+AR6/AN6-1</f>
        <v>2.1534403655523615E-2</v>
      </c>
      <c r="AS7" s="658"/>
      <c r="AT7" s="658"/>
      <c r="AU7" s="658"/>
      <c r="AV7" s="658">
        <f>+AV6/AR6-1</f>
        <v>1.7067150906769024E-2</v>
      </c>
      <c r="AW7" s="658"/>
      <c r="AX7" s="658"/>
      <c r="AY7" s="658"/>
      <c r="AZ7" s="658">
        <f>+AZ6/AV6-1</f>
        <v>3.1965364151721243E-2</v>
      </c>
      <c r="BA7" s="658"/>
      <c r="BB7" s="658"/>
      <c r="BC7" s="658"/>
      <c r="BD7" s="658">
        <f>+BD6/AZ6-1</f>
        <v>3.5299401203227276E-2</v>
      </c>
    </row>
    <row r="8" spans="3:56">
      <c r="C8" s="444" t="s">
        <v>715</v>
      </c>
      <c r="D8" s="629">
        <f>MODEL!BR154/1000</f>
        <v>574.99400000000003</v>
      </c>
      <c r="E8" s="630"/>
      <c r="F8" s="630"/>
      <c r="G8" s="630"/>
      <c r="H8" s="629">
        <f>MODEL!BV154/1000</f>
        <v>580.57899999999995</v>
      </c>
      <c r="I8" s="630"/>
      <c r="J8" s="630"/>
      <c r="K8" s="630"/>
      <c r="L8" s="629">
        <f>MODEL!BZ154/1000</f>
        <v>584.50199999999995</v>
      </c>
      <c r="M8" s="630"/>
      <c r="N8" s="630"/>
      <c r="O8" s="630"/>
      <c r="P8" s="629">
        <f>MODEL!CD154/1000</f>
        <v>608.80999999999995</v>
      </c>
      <c r="T8" s="629">
        <f>MODEL!CH154/1000</f>
        <v>619.16499999999996</v>
      </c>
      <c r="X8" s="629">
        <f>MODEL!CL154/1000</f>
        <v>622.53399999999999</v>
      </c>
      <c r="Y8" s="629"/>
      <c r="Z8" s="629"/>
      <c r="AA8" s="629"/>
      <c r="AB8" s="629">
        <f>MODEL!CP154/1000</f>
        <v>634.19799999999998</v>
      </c>
      <c r="AC8" s="1029">
        <f>MODEL!CQ154/1000</f>
        <v>1.8736326048055306E-5</v>
      </c>
      <c r="AD8" s="1029">
        <f>MODEL!CR154/1000</f>
        <v>655.45500000000004</v>
      </c>
      <c r="AE8" s="1029">
        <f>MODEL!CS154/1000</f>
        <v>676.50699999999995</v>
      </c>
      <c r="AF8" s="629">
        <f>MODEL!CT154/1000</f>
        <v>676.50699999999995</v>
      </c>
      <c r="AG8" s="629"/>
      <c r="AH8" s="629"/>
      <c r="AI8" s="629"/>
      <c r="AJ8" s="629">
        <f>MODEL!CX154/1000</f>
        <v>711.10500000000002</v>
      </c>
      <c r="AK8" s="629"/>
      <c r="AL8" s="629"/>
      <c r="AM8" s="629"/>
      <c r="AN8" s="629">
        <f>MODEL!DB154/1000</f>
        <v>807.572</v>
      </c>
      <c r="AO8" s="629"/>
      <c r="AP8" s="629"/>
      <c r="AQ8" s="629"/>
      <c r="AR8" s="1674">
        <f>MODEL!DF154/1000</f>
        <v>833.971</v>
      </c>
      <c r="AS8" s="629"/>
      <c r="AT8" s="629"/>
      <c r="AU8" s="629"/>
      <c r="AV8" s="629">
        <f>MODEL!DJ154/1000</f>
        <v>858.05163310989508</v>
      </c>
      <c r="AW8" s="629"/>
      <c r="AX8" s="629"/>
      <c r="AY8" s="629"/>
      <c r="AZ8" s="629">
        <f>MODEL!DN154/1000</f>
        <v>898.44130052072853</v>
      </c>
      <c r="BA8" s="629"/>
      <c r="BB8" s="629"/>
      <c r="BC8" s="629"/>
      <c r="BD8" s="629">
        <f>MODEL!DR154/1000</f>
        <v>936.39070614252807</v>
      </c>
    </row>
    <row r="9" spans="3:56">
      <c r="C9" s="631" t="s">
        <v>754</v>
      </c>
      <c r="D9" s="632">
        <f>MODEL!BS154</f>
        <v>9.1946666869232807E-2</v>
      </c>
      <c r="E9" s="633"/>
      <c r="F9" s="633"/>
      <c r="G9" s="633"/>
      <c r="H9" s="632">
        <f>MODEL!BW154</f>
        <v>9.7131448328156011E-3</v>
      </c>
      <c r="I9" s="633"/>
      <c r="J9" s="633"/>
      <c r="K9" s="633"/>
      <c r="L9" s="632">
        <f>MODEL!CA154</f>
        <v>6.757047705824748E-3</v>
      </c>
      <c r="M9" s="633"/>
      <c r="N9" s="633"/>
      <c r="O9" s="633"/>
      <c r="P9" s="632">
        <f>MODEL!CE154</f>
        <v>4.1587539478051383E-2</v>
      </c>
      <c r="T9" s="632">
        <f>MODEL!CI154</f>
        <v>1.7008590529064893E-2</v>
      </c>
      <c r="X9" s="1030">
        <f>MODEL!CM154</f>
        <v>5.441199034183164E-3</v>
      </c>
      <c r="Y9" s="1030"/>
      <c r="Z9" s="1030"/>
      <c r="AA9" s="1030"/>
      <c r="AB9" s="1030">
        <f>MODEL!CQ154</f>
        <v>1.8736326048055307E-2</v>
      </c>
      <c r="AC9" s="1031">
        <f>MODEL!CR154</f>
        <v>655455</v>
      </c>
      <c r="AD9" s="1031">
        <f>MODEL!CS154</f>
        <v>676507</v>
      </c>
      <c r="AE9" s="1031">
        <f>MODEL!CT154</f>
        <v>676507</v>
      </c>
      <c r="AF9" s="1030">
        <f>MODEL!CU154</f>
        <v>6.6712603950185967E-2</v>
      </c>
      <c r="AG9" s="632"/>
      <c r="AH9" s="632"/>
      <c r="AI9" s="632"/>
      <c r="AJ9" s="1030">
        <f>MODEL!CY154</f>
        <v>5.1142116785192204E-2</v>
      </c>
      <c r="AK9" s="632"/>
      <c r="AL9" s="632"/>
      <c r="AM9" s="632"/>
      <c r="AN9" s="1030">
        <f>MODEL!DC154</f>
        <v>0.13565788455994543</v>
      </c>
      <c r="AO9" s="632"/>
      <c r="AP9" s="632"/>
      <c r="AQ9" s="632"/>
      <c r="AR9" s="1675">
        <f>MODEL!DG154</f>
        <v>3.2689345346297305E-2</v>
      </c>
      <c r="AS9" s="632"/>
      <c r="AT9" s="632"/>
      <c r="AU9" s="632"/>
      <c r="AV9" s="632">
        <f>MODEL!DK154</f>
        <v>2.8874664838339781E-2</v>
      </c>
      <c r="AW9" s="632"/>
      <c r="AX9" s="632"/>
      <c r="AY9" s="632"/>
      <c r="AZ9" s="632">
        <f>MODEL!DO154</f>
        <v>4.7071371759350278E-2</v>
      </c>
      <c r="BA9" s="632"/>
      <c r="BB9" s="632"/>
      <c r="BC9" s="632"/>
      <c r="BD9" s="632">
        <f>MODEL!DS154</f>
        <v>4.2239159753457933E-2</v>
      </c>
    </row>
    <row r="10" spans="3:56">
      <c r="C10" s="444" t="s">
        <v>831</v>
      </c>
      <c r="D10" s="629">
        <f>MODEL!BR461/1000</f>
        <v>555.60249999999996</v>
      </c>
      <c r="E10" s="630"/>
      <c r="F10" s="630"/>
      <c r="G10" s="630"/>
      <c r="H10" s="629">
        <f>MODEL!BV461/1000</f>
        <v>551.00850000000003</v>
      </c>
      <c r="I10" s="630"/>
      <c r="J10" s="630"/>
      <c r="K10" s="630"/>
      <c r="L10" s="629">
        <f>MODEL!BZ461/1000</f>
        <v>557.06849999999997</v>
      </c>
      <c r="M10" s="630"/>
      <c r="N10" s="630"/>
      <c r="O10" s="630"/>
      <c r="P10" s="629">
        <f>MODEL!CD461/1000</f>
        <v>567.10299999999995</v>
      </c>
      <c r="T10" s="629">
        <f>MODEL!CH461/1000</f>
        <v>587.92399999999998</v>
      </c>
      <c r="X10" s="629">
        <f>MODEL!CL461/1000</f>
        <v>606.01700000000005</v>
      </c>
      <c r="Y10" s="629"/>
      <c r="Z10" s="629"/>
      <c r="AA10" s="629"/>
      <c r="AB10" s="629">
        <f>MODEL!CP461/1000</f>
        <v>586.88499999999999</v>
      </c>
      <c r="AC10" s="1029">
        <f>MODEL!CQ461/1000</f>
        <v>-3.1570071466642037E-5</v>
      </c>
      <c r="AD10" s="1029">
        <f>MODEL!CR461/1000</f>
        <v>607.08699999999999</v>
      </c>
      <c r="AE10" s="1029">
        <f>MODEL!CS461/1000</f>
        <v>619.49</v>
      </c>
      <c r="AF10" s="629">
        <f>MODEL!CT461/1000</f>
        <v>613.30499999999995</v>
      </c>
      <c r="AG10" s="629"/>
      <c r="AH10" s="629"/>
      <c r="AI10" s="629"/>
      <c r="AJ10" s="629">
        <f>MODEL!CX461/1000</f>
        <v>649.71299999999997</v>
      </c>
      <c r="AK10" s="629"/>
      <c r="AL10" s="629"/>
      <c r="AM10" s="629"/>
      <c r="AN10" s="629">
        <f>MODEL!DB461/1000</f>
        <v>681.68</v>
      </c>
      <c r="AO10" s="629"/>
      <c r="AP10" s="629"/>
      <c r="AQ10" s="629"/>
      <c r="AR10" s="1674">
        <f>MODEL!DF461/1000</f>
        <v>769.89499999999998</v>
      </c>
      <c r="AS10" s="629"/>
      <c r="AT10" s="629"/>
      <c r="AU10" s="629"/>
      <c r="AV10" s="629">
        <f>MODEL!DJ461/1000</f>
        <v>789.98964688358058</v>
      </c>
      <c r="AW10" s="629"/>
      <c r="AX10" s="629"/>
      <c r="AY10" s="629"/>
      <c r="AZ10" s="629">
        <f>MODEL!DN461/1000</f>
        <v>822.59761511426757</v>
      </c>
      <c r="BA10" s="629"/>
      <c r="BB10" s="629"/>
      <c r="BC10" s="629"/>
      <c r="BD10" s="629">
        <f>MODEL!DR461/1000</f>
        <v>859.39964735679575</v>
      </c>
    </row>
    <row r="11" spans="3:56">
      <c r="C11" s="444" t="s">
        <v>832</v>
      </c>
      <c r="D11" s="629">
        <f>MODEL!BR462/1000</f>
        <v>161.36850000000001</v>
      </c>
      <c r="E11" s="630"/>
      <c r="F11" s="630"/>
      <c r="G11" s="630"/>
      <c r="H11" s="629">
        <f>MODEL!BV462/1000</f>
        <v>179.82650000000001</v>
      </c>
      <c r="I11" s="630"/>
      <c r="J11" s="630"/>
      <c r="K11" s="630"/>
      <c r="L11" s="629">
        <f>MODEL!BZ462/1000</f>
        <v>190.92099999999999</v>
      </c>
      <c r="M11" s="630"/>
      <c r="N11" s="630"/>
      <c r="O11" s="630"/>
      <c r="P11" s="629">
        <f>MODEL!CD462/1000</f>
        <v>207.78100000000001</v>
      </c>
      <c r="T11" s="629">
        <f>MODEL!CH462/1000</f>
        <v>225.29499999999999</v>
      </c>
      <c r="X11" s="629">
        <f>MODEL!CL462/1000</f>
        <v>256.86500000000001</v>
      </c>
      <c r="Y11" s="629"/>
      <c r="Z11" s="629"/>
      <c r="AA11" s="629"/>
      <c r="AB11" s="629">
        <f>MODEL!CP462/1000</f>
        <v>276.80599999999998</v>
      </c>
      <c r="AC11" s="1029">
        <f>MODEL!CQ462/1000</f>
        <v>7.7632219259143873E-5</v>
      </c>
      <c r="AD11" s="1029">
        <f>MODEL!CR462/1000</f>
        <v>292.59100000000001</v>
      </c>
      <c r="AE11" s="1029">
        <f>MODEL!CS462/1000</f>
        <v>300.85000000000002</v>
      </c>
      <c r="AF11" s="629">
        <f>MODEL!CT462/1000</f>
        <v>296.73200000000003</v>
      </c>
      <c r="AG11" s="629"/>
      <c r="AH11" s="629"/>
      <c r="AI11" s="629"/>
      <c r="AJ11" s="629">
        <f>MODEL!CX462/1000</f>
        <v>325.36599999999999</v>
      </c>
      <c r="AK11" s="629"/>
      <c r="AL11" s="629"/>
      <c r="AM11" s="629"/>
      <c r="AN11" s="629">
        <f>MODEL!DB462/1000</f>
        <v>341.93599999999998</v>
      </c>
      <c r="AO11" s="629"/>
      <c r="AP11" s="629"/>
      <c r="AQ11" s="629"/>
      <c r="AR11" s="1674">
        <f>MODEL!DF462/1000</f>
        <v>389.79300000000001</v>
      </c>
      <c r="AS11" s="629"/>
      <c r="AT11" s="629"/>
      <c r="AU11" s="629"/>
      <c r="AV11" s="629">
        <f>MODEL!DJ462/1000</f>
        <v>406.5454258691945</v>
      </c>
      <c r="AW11" s="629"/>
      <c r="AX11" s="629"/>
      <c r="AY11" s="629"/>
      <c r="AZ11" s="629">
        <f>MODEL!DN462/1000</f>
        <v>423.32617784913452</v>
      </c>
      <c r="BA11" s="629"/>
      <c r="BB11" s="629"/>
      <c r="BC11" s="629"/>
      <c r="BD11" s="629">
        <f>MODEL!DR462/1000</f>
        <v>442.26528411453006</v>
      </c>
    </row>
    <row r="12" spans="3:56">
      <c r="C12" s="584" t="s">
        <v>598</v>
      </c>
      <c r="D12" s="629">
        <f>MODEL!BR463/1000</f>
        <v>716.971</v>
      </c>
      <c r="E12" s="634"/>
      <c r="F12" s="634"/>
      <c r="G12" s="634"/>
      <c r="H12" s="629">
        <f>MODEL!BV463/1000</f>
        <v>730.83500000000004</v>
      </c>
      <c r="I12" s="634"/>
      <c r="J12" s="634"/>
      <c r="K12" s="634"/>
      <c r="L12" s="629">
        <f>MODEL!BZ463/1000</f>
        <v>747.98950000000002</v>
      </c>
      <c r="M12" s="634"/>
      <c r="N12" s="634"/>
      <c r="O12" s="634"/>
      <c r="P12" s="629">
        <f>MODEL!CD463/1000</f>
        <v>774.88400000000001</v>
      </c>
      <c r="T12" s="629">
        <f>MODEL!CH463/1000</f>
        <v>813.21900000000005</v>
      </c>
      <c r="X12" s="629">
        <f>MODEL!CL463/1000</f>
        <v>862.88199999999995</v>
      </c>
      <c r="Y12" s="629"/>
      <c r="Z12" s="629"/>
      <c r="AA12" s="629"/>
      <c r="AB12" s="629">
        <f>MODEL!CP463/1000</f>
        <v>863.69100000000003</v>
      </c>
      <c r="AC12" s="1029">
        <f>MODEL!CQ463/1000</f>
        <v>9.3755577239984508E-7</v>
      </c>
      <c r="AD12" s="1029">
        <f>MODEL!CR463/1000</f>
        <v>899.678</v>
      </c>
      <c r="AE12" s="1029">
        <f>MODEL!CS463/1000</f>
        <v>920.34</v>
      </c>
      <c r="AF12" s="629">
        <f>MODEL!CT463/1000</f>
        <v>910.03700000000003</v>
      </c>
      <c r="AG12" s="629"/>
      <c r="AH12" s="629"/>
      <c r="AI12" s="629"/>
      <c r="AJ12" s="629">
        <f>MODEL!CX463/1000</f>
        <v>975.07899999999995</v>
      </c>
      <c r="AK12" s="629"/>
      <c r="AL12" s="629"/>
      <c r="AM12" s="629"/>
      <c r="AN12" s="629">
        <f>MODEL!DB463/1000</f>
        <v>1023.616</v>
      </c>
      <c r="AO12" s="629"/>
      <c r="AP12" s="629"/>
      <c r="AQ12" s="629"/>
      <c r="AR12" s="1674">
        <f>MODEL!DF463/1000</f>
        <v>1159.6880000000001</v>
      </c>
      <c r="AS12" s="629"/>
      <c r="AT12" s="629"/>
      <c r="AU12" s="629"/>
      <c r="AV12" s="629">
        <f>MODEL!DJ463/1000</f>
        <v>1196.5350727527752</v>
      </c>
      <c r="AW12" s="629"/>
      <c r="AX12" s="629"/>
      <c r="AY12" s="629"/>
      <c r="AZ12" s="629">
        <f>MODEL!DN463/1000</f>
        <v>1245.9237929634021</v>
      </c>
      <c r="BA12" s="629"/>
      <c r="BB12" s="629"/>
      <c r="BC12" s="629"/>
      <c r="BD12" s="629">
        <f>MODEL!DR463/1000</f>
        <v>1301.6649314713259</v>
      </c>
    </row>
    <row r="13" spans="3:56">
      <c r="C13" s="444" t="s">
        <v>833</v>
      </c>
      <c r="D13" s="635">
        <f>MODEL!BR606</f>
        <v>2.0385761767212341E-2</v>
      </c>
      <c r="E13" s="630"/>
      <c r="F13" s="630"/>
      <c r="G13" s="630"/>
      <c r="H13" s="635">
        <f>MODEL!BV606</f>
        <v>2.0654456888353732E-2</v>
      </c>
      <c r="I13" s="630"/>
      <c r="J13" s="630"/>
      <c r="K13" s="630"/>
      <c r="L13" s="635">
        <f>MODEL!BZ606</f>
        <v>1.9886642793782532E-2</v>
      </c>
      <c r="M13" s="630"/>
      <c r="N13" s="630"/>
      <c r="O13" s="630"/>
      <c r="P13" s="635">
        <f>MODEL!CD606</f>
        <v>1.8730545475193705E-2</v>
      </c>
      <c r="T13" s="635">
        <f>MODEL!CH606</f>
        <v>1.763239668527174E-2</v>
      </c>
      <c r="X13" s="635">
        <f>MODEL!CL606</f>
        <v>1.6281484606238166E-2</v>
      </c>
      <c r="Y13" s="635"/>
      <c r="Z13" s="635"/>
      <c r="AA13" s="635"/>
      <c r="AB13" s="635">
        <f>MODEL!CP606</f>
        <v>1.639591011137085E-2</v>
      </c>
      <c r="AC13" s="1035">
        <f>MODEL!CQ606</f>
        <v>0</v>
      </c>
      <c r="AD13" s="1035">
        <f>MODEL!CR606</f>
        <v>1.5826785793373838E-2</v>
      </c>
      <c r="AE13" s="1035">
        <f>MODEL!CS606</f>
        <v>1.684759885008047E-2</v>
      </c>
      <c r="AF13" s="635">
        <f>MODEL!CT606</f>
        <v>1.6344390392918091E-2</v>
      </c>
      <c r="AG13" s="635"/>
      <c r="AH13" s="635"/>
      <c r="AI13" s="635"/>
      <c r="AJ13" s="635">
        <f>MODEL!CX606</f>
        <v>1.6997597117771997E-2</v>
      </c>
      <c r="AK13" s="635"/>
      <c r="AL13" s="635"/>
      <c r="AM13" s="635"/>
      <c r="AN13" s="635">
        <f>MODEL!DB606</f>
        <v>1.5698269663623858E-2</v>
      </c>
      <c r="AO13" s="635"/>
      <c r="AP13" s="635"/>
      <c r="AQ13" s="635"/>
      <c r="AR13" s="1678">
        <f>MODEL!DF606</f>
        <v>1.5487786370127137E-2</v>
      </c>
      <c r="AS13" s="635"/>
      <c r="AT13" s="635"/>
      <c r="AU13" s="635"/>
      <c r="AV13" s="635">
        <f ca="1">MODEL!DJ606</f>
        <v>1.5453664481681915E-2</v>
      </c>
      <c r="AW13" s="635"/>
      <c r="AX13" s="635"/>
      <c r="AY13" s="635"/>
      <c r="AZ13" s="635">
        <f ca="1">MODEL!DN606</f>
        <v>1.5350070568405903E-2</v>
      </c>
      <c r="BA13" s="635"/>
      <c r="BB13" s="635"/>
      <c r="BC13" s="635"/>
      <c r="BD13" s="635">
        <f ca="1">MODEL!DR606</f>
        <v>1.5299304220094795E-2</v>
      </c>
    </row>
    <row r="14" spans="3:56">
      <c r="C14" s="631" t="s">
        <v>127</v>
      </c>
      <c r="D14" s="636">
        <f>MODEL!BR608</f>
        <v>-9.3891207207903032E-4</v>
      </c>
      <c r="E14" s="633"/>
      <c r="F14" s="633"/>
      <c r="G14" s="633"/>
      <c r="H14" s="636">
        <f>MODEL!BV608</f>
        <v>2.6869512114139141E-4</v>
      </c>
      <c r="I14" s="633"/>
      <c r="J14" s="637"/>
      <c r="K14" s="637"/>
      <c r="L14" s="636">
        <f>MODEL!BZ608</f>
        <v>-7.6781409457120017E-4</v>
      </c>
      <c r="M14" s="633"/>
      <c r="N14" s="637"/>
      <c r="O14" s="637"/>
      <c r="P14" s="636">
        <f>MODEL!CD608</f>
        <v>-1.1560973185888272E-3</v>
      </c>
      <c r="T14" s="636">
        <f>MODEL!CH608</f>
        <v>-1.0981487899219648E-3</v>
      </c>
      <c r="X14" s="1036">
        <f>MODEL!CL608</f>
        <v>-1.3509120790335741E-3</v>
      </c>
      <c r="Y14" s="1036"/>
      <c r="Z14" s="1036"/>
      <c r="AA14" s="1036"/>
      <c r="AB14" s="1036">
        <f>MODEL!CP608</f>
        <v>1.1442550513268354E-4</v>
      </c>
      <c r="AC14" s="1037">
        <f>MODEL!CQ608</f>
        <v>0</v>
      </c>
      <c r="AD14" s="1037">
        <f>MODEL!CR608</f>
        <v>-5.1139787890194105E-4</v>
      </c>
      <c r="AE14" s="1037">
        <f>MODEL!CS608</f>
        <v>3.9510283108035171E-4</v>
      </c>
      <c r="AF14" s="1036">
        <f>MODEL!CT608</f>
        <v>-5.1519718452758961E-5</v>
      </c>
      <c r="AG14" s="636"/>
      <c r="AH14" s="636"/>
      <c r="AI14" s="636"/>
      <c r="AJ14" s="1036">
        <f>MODEL!CX608</f>
        <v>6.5320672485390599E-4</v>
      </c>
      <c r="AK14" s="636"/>
      <c r="AL14" s="636"/>
      <c r="AM14" s="636"/>
      <c r="AN14" s="1036">
        <f>MODEL!DB608</f>
        <v>-1.2993274541481387E-3</v>
      </c>
      <c r="AO14" s="636"/>
      <c r="AP14" s="636"/>
      <c r="AQ14" s="636"/>
      <c r="AR14" s="1679">
        <f>MODEL!DF608</f>
        <v>-2.1048329349672087E-4</v>
      </c>
      <c r="AS14" s="636"/>
      <c r="AT14" s="636"/>
      <c r="AU14" s="636"/>
      <c r="AV14" s="636">
        <f ca="1">MODEL!DJ608</f>
        <v>-3.412188844522171E-5</v>
      </c>
      <c r="AW14" s="636"/>
      <c r="AX14" s="636"/>
      <c r="AY14" s="636"/>
      <c r="AZ14" s="636">
        <f ca="1">MODEL!DN608</f>
        <v>-1.0359391327601289E-4</v>
      </c>
      <c r="BA14" s="636"/>
      <c r="BB14" s="636"/>
      <c r="BC14" s="636"/>
      <c r="BD14" s="636">
        <f ca="1">MODEL!DR608</f>
        <v>-5.0766348311108087E-5</v>
      </c>
    </row>
    <row r="15" spans="3:56">
      <c r="C15" s="444" t="s">
        <v>282</v>
      </c>
      <c r="D15" s="638">
        <f>MODEL!BR14</f>
        <v>14616</v>
      </c>
      <c r="E15" s="630"/>
      <c r="F15" s="630"/>
      <c r="G15" s="630"/>
      <c r="H15" s="638">
        <f>MODEL!BV14</f>
        <v>15095</v>
      </c>
      <c r="I15" s="630"/>
      <c r="J15" s="630"/>
      <c r="K15" s="630"/>
      <c r="L15" s="638">
        <f>MODEL!BZ14</f>
        <v>14875</v>
      </c>
      <c r="M15" s="630"/>
      <c r="N15" s="630"/>
      <c r="O15" s="630"/>
      <c r="P15" s="638">
        <f>MODEL!CD14</f>
        <v>14514</v>
      </c>
      <c r="T15" s="638">
        <f>MODEL!CH14</f>
        <v>14339</v>
      </c>
      <c r="X15" s="638">
        <f>MODEL!CL14</f>
        <v>14049</v>
      </c>
      <c r="Y15" s="638"/>
      <c r="Z15" s="638"/>
      <c r="AA15" s="638"/>
      <c r="AB15" s="638">
        <f>MODEL!CP14</f>
        <v>14161</v>
      </c>
      <c r="AC15" s="1038">
        <f>MODEL!CQ14</f>
        <v>7.9720976581962866E-3</v>
      </c>
      <c r="AD15" s="1038">
        <f>MODEL!CR14</f>
        <v>7100</v>
      </c>
      <c r="AE15" s="1038">
        <f>MODEL!CS14</f>
        <v>7774</v>
      </c>
      <c r="AF15" s="638">
        <f>MODEL!CT14</f>
        <v>14874</v>
      </c>
      <c r="AG15" s="638"/>
      <c r="AH15" s="638"/>
      <c r="AI15" s="638"/>
      <c r="AJ15" s="638">
        <f>MODEL!CX14</f>
        <v>16574</v>
      </c>
      <c r="AK15" s="638"/>
      <c r="AL15" s="638"/>
      <c r="AM15" s="638"/>
      <c r="AN15" s="638">
        <f>MODEL!DB14</f>
        <v>16069</v>
      </c>
      <c r="AO15" s="638"/>
      <c r="AP15" s="638"/>
      <c r="AQ15" s="638"/>
      <c r="AR15" s="1680">
        <f>MODEL!DF14</f>
        <v>17961</v>
      </c>
      <c r="AS15" s="638"/>
      <c r="AT15" s="638"/>
      <c r="AU15" s="638"/>
      <c r="AV15" s="638">
        <f ca="1">MODEL!DJ14</f>
        <v>18490.851554886249</v>
      </c>
      <c r="AW15" s="638"/>
      <c r="AX15" s="638"/>
      <c r="AY15" s="638"/>
      <c r="AZ15" s="638">
        <f ca="1">MODEL!DN14</f>
        <v>19125.018144844169</v>
      </c>
      <c r="BA15" s="638"/>
      <c r="BB15" s="638"/>
      <c r="BC15" s="638"/>
      <c r="BD15" s="638">
        <f ca="1">MODEL!DR14</f>
        <v>19914.567779208657</v>
      </c>
    </row>
    <row r="16" spans="3:56">
      <c r="C16" s="444" t="s">
        <v>1053</v>
      </c>
      <c r="D16" s="638"/>
      <c r="E16" s="630"/>
      <c r="F16" s="630"/>
      <c r="G16" s="630"/>
      <c r="H16" s="638"/>
      <c r="I16" s="630"/>
      <c r="J16" s="630"/>
      <c r="K16" s="630"/>
      <c r="L16" s="639">
        <f t="shared" ref="L16:AJ16" si="8">L18-L17</f>
        <v>4941</v>
      </c>
      <c r="M16" s="639">
        <f t="shared" si="8"/>
        <v>0</v>
      </c>
      <c r="N16" s="639">
        <f t="shared" si="8"/>
        <v>-406</v>
      </c>
      <c r="O16" s="639">
        <f t="shared" si="8"/>
        <v>19</v>
      </c>
      <c r="P16" s="639">
        <f t="shared" si="8"/>
        <v>4466</v>
      </c>
      <c r="Q16" s="639">
        <f t="shared" si="8"/>
        <v>0</v>
      </c>
      <c r="R16" s="639">
        <f t="shared" si="8"/>
        <v>-238</v>
      </c>
      <c r="S16" s="639">
        <f t="shared" si="8"/>
        <v>95</v>
      </c>
      <c r="T16" s="639">
        <f t="shared" si="8"/>
        <v>4547</v>
      </c>
      <c r="U16" s="639">
        <f t="shared" si="8"/>
        <v>0</v>
      </c>
      <c r="V16" s="639">
        <f t="shared" si="8"/>
        <v>797</v>
      </c>
      <c r="W16" s="639">
        <f t="shared" si="8"/>
        <v>162</v>
      </c>
      <c r="X16" s="639">
        <f t="shared" si="8"/>
        <v>4662</v>
      </c>
      <c r="Y16" s="639">
        <f t="shared" si="8"/>
        <v>0</v>
      </c>
      <c r="Z16" s="639">
        <f t="shared" si="8"/>
        <v>659</v>
      </c>
      <c r="AA16" s="639">
        <f t="shared" si="8"/>
        <v>68</v>
      </c>
      <c r="AB16" s="639">
        <f t="shared" si="8"/>
        <v>4013</v>
      </c>
      <c r="AC16" s="1039">
        <f t="shared" ref="AC16:AF16" si="9">AC18-AC17</f>
        <v>0.28639434129089314</v>
      </c>
      <c r="AD16" s="1039">
        <f t="shared" si="9"/>
        <v>1579</v>
      </c>
      <c r="AE16" s="1039">
        <f t="shared" si="9"/>
        <v>1807</v>
      </c>
      <c r="AF16" s="639">
        <f t="shared" si="9"/>
        <v>3386</v>
      </c>
      <c r="AG16" s="639">
        <f t="shared" si="8"/>
        <v>0</v>
      </c>
      <c r="AH16" s="639">
        <f t="shared" si="8"/>
        <v>60</v>
      </c>
      <c r="AI16" s="639">
        <f t="shared" si="8"/>
        <v>-35</v>
      </c>
      <c r="AJ16" s="639">
        <f t="shared" si="8"/>
        <v>4356</v>
      </c>
      <c r="AK16" s="639">
        <f t="shared" ref="AK16:AN16" si="10">AK18-AK17</f>
        <v>0</v>
      </c>
      <c r="AL16" s="639">
        <f t="shared" si="10"/>
        <v>21</v>
      </c>
      <c r="AM16" s="639">
        <f t="shared" si="10"/>
        <v>0</v>
      </c>
      <c r="AN16" s="639">
        <f t="shared" si="10"/>
        <v>4761</v>
      </c>
      <c r="AO16" s="639"/>
      <c r="AP16" s="639"/>
      <c r="AQ16" s="639"/>
      <c r="AR16" s="1681">
        <f t="shared" ref="AR16" si="11">AR18-AR17</f>
        <v>4223</v>
      </c>
      <c r="AS16" s="639"/>
      <c r="AT16" s="639"/>
      <c r="AU16" s="639"/>
      <c r="AV16" s="639">
        <f>AV18-AV17</f>
        <v>4172.6483440000002</v>
      </c>
      <c r="AW16" s="639"/>
      <c r="AX16" s="639"/>
      <c r="AY16" s="639"/>
      <c r="AZ16" s="639">
        <f>AZ18-AZ17</f>
        <v>4299.8124964675999</v>
      </c>
      <c r="BA16" s="639"/>
      <c r="BB16" s="639"/>
      <c r="BC16" s="639"/>
      <c r="BD16" s="639">
        <f>BD18-BD17</f>
        <v>4409.9696226462283</v>
      </c>
    </row>
    <row r="17" spans="3:56">
      <c r="C17" s="444" t="s">
        <v>973</v>
      </c>
      <c r="D17" s="638"/>
      <c r="E17" s="630"/>
      <c r="F17" s="630"/>
      <c r="G17" s="630"/>
      <c r="H17" s="638"/>
      <c r="I17" s="630"/>
      <c r="J17" s="630"/>
      <c r="K17" s="630"/>
      <c r="L17" s="638">
        <f>MODEL!BZ581</f>
        <v>0</v>
      </c>
      <c r="M17" s="638">
        <f>MODEL!CA581</f>
        <v>0</v>
      </c>
      <c r="N17" s="638">
        <f>MODEL!CB581</f>
        <v>406</v>
      </c>
      <c r="O17" s="638">
        <f>MODEL!CC581</f>
        <v>-19</v>
      </c>
      <c r="P17" s="638">
        <f>MODEL!CD581</f>
        <v>387</v>
      </c>
      <c r="Q17" s="638">
        <f>MODEL!CE581</f>
        <v>0</v>
      </c>
      <c r="R17" s="638">
        <f>MODEL!CF581</f>
        <v>238</v>
      </c>
      <c r="S17" s="638">
        <f>MODEL!CG581</f>
        <v>-95</v>
      </c>
      <c r="T17" s="638">
        <f>MODEL!CH581</f>
        <v>143</v>
      </c>
      <c r="U17" s="638">
        <f>MODEL!CI581</f>
        <v>0</v>
      </c>
      <c r="V17" s="638">
        <f>MODEL!CJ581</f>
        <v>-797</v>
      </c>
      <c r="W17" s="638">
        <f>MODEL!CK581</f>
        <v>-162</v>
      </c>
      <c r="X17" s="638">
        <f>MODEL!CL581</f>
        <v>-959</v>
      </c>
      <c r="Y17" s="638">
        <f>MODEL!CM581</f>
        <v>0</v>
      </c>
      <c r="Z17" s="638">
        <f>MODEL!CN581</f>
        <v>-659</v>
      </c>
      <c r="AA17" s="638">
        <f>MODEL!CO581</f>
        <v>-68</v>
      </c>
      <c r="AB17" s="638">
        <f>MODEL!CP581</f>
        <v>-727</v>
      </c>
      <c r="AC17" s="1038">
        <f>MODEL!CQ581</f>
        <v>0</v>
      </c>
      <c r="AD17" s="1038">
        <f>MODEL!CR581</f>
        <v>269</v>
      </c>
      <c r="AE17" s="1038">
        <f>MODEL!CS581</f>
        <v>18</v>
      </c>
      <c r="AF17" s="638">
        <f>MODEL!CT581</f>
        <v>287</v>
      </c>
      <c r="AG17" s="638">
        <f>MODEL!CU581</f>
        <v>0</v>
      </c>
      <c r="AH17" s="638">
        <f>MODEL!CV581</f>
        <v>-60</v>
      </c>
      <c r="AI17" s="638">
        <f>MODEL!CW581</f>
        <v>35</v>
      </c>
      <c r="AJ17" s="638">
        <f>MODEL!CX581</f>
        <v>-25</v>
      </c>
      <c r="AK17" s="638">
        <f>MODEL!CY581</f>
        <v>0</v>
      </c>
      <c r="AL17" s="638">
        <f>MODEL!CZ581</f>
        <v>-21</v>
      </c>
      <c r="AM17" s="638">
        <f>MODEL!DA581</f>
        <v>0</v>
      </c>
      <c r="AN17" s="638">
        <f>MODEL!DB581</f>
        <v>-21</v>
      </c>
      <c r="AO17" s="638"/>
      <c r="AP17" s="638"/>
      <c r="AQ17" s="638"/>
      <c r="AR17" s="1680">
        <f>MODEL!DF581</f>
        <v>-285</v>
      </c>
      <c r="AS17" s="638"/>
      <c r="AT17" s="638"/>
      <c r="AU17" s="638"/>
      <c r="AV17" s="638">
        <f>MODEL!DJ581</f>
        <v>0</v>
      </c>
      <c r="AW17" s="638"/>
      <c r="AX17" s="638"/>
      <c r="AY17" s="638"/>
      <c r="AZ17" s="638">
        <f>MODEL!DN581</f>
        <v>0</v>
      </c>
      <c r="BA17" s="638"/>
      <c r="BB17" s="638"/>
      <c r="BC17" s="638"/>
      <c r="BD17" s="638">
        <f>MODEL!DR581</f>
        <v>0</v>
      </c>
    </row>
    <row r="18" spans="3:56">
      <c r="C18" s="444" t="s">
        <v>488</v>
      </c>
      <c r="D18" s="638">
        <f>+MODEL!BR19+MODEL!BR25</f>
        <v>5921</v>
      </c>
      <c r="E18" s="630"/>
      <c r="F18" s="630"/>
      <c r="G18" s="630"/>
      <c r="H18" s="638">
        <f>+MODEL!BV19+MODEL!BV25</f>
        <v>5499</v>
      </c>
      <c r="I18" s="630"/>
      <c r="J18" s="630"/>
      <c r="K18" s="630"/>
      <c r="L18" s="638">
        <f>+MODEL!BZ19+MODEL!BZ25</f>
        <v>4941</v>
      </c>
      <c r="M18" s="630"/>
      <c r="N18" s="630"/>
      <c r="O18" s="630"/>
      <c r="P18" s="638">
        <f>+MODEL!CD19+MODEL!CD25</f>
        <v>4853</v>
      </c>
      <c r="T18" s="638">
        <f>+MODEL!CH19+MODEL!CH25</f>
        <v>4690</v>
      </c>
      <c r="X18" s="638">
        <f>+MODEL!CL19+MODEL!CL25</f>
        <v>3703</v>
      </c>
      <c r="Y18" s="638"/>
      <c r="Z18" s="638"/>
      <c r="AA18" s="638"/>
      <c r="AB18" s="638">
        <f>+MODEL!CP19+MODEL!CP25</f>
        <v>3286</v>
      </c>
      <c r="AC18" s="1038">
        <f>+MODEL!CQ19+MODEL!CQ25</f>
        <v>0.28639434129089314</v>
      </c>
      <c r="AD18" s="1038">
        <f>+MODEL!CR19+MODEL!CR25</f>
        <v>1848</v>
      </c>
      <c r="AE18" s="1038">
        <f>+MODEL!CS19+MODEL!CS25</f>
        <v>1825</v>
      </c>
      <c r="AF18" s="638">
        <f>+MODEL!CT19+MODEL!CT25</f>
        <v>3673</v>
      </c>
      <c r="AG18" s="638"/>
      <c r="AH18" s="638"/>
      <c r="AI18" s="638"/>
      <c r="AJ18" s="638">
        <f>+MODEL!CX19+MODEL!CX25</f>
        <v>4331</v>
      </c>
      <c r="AK18" s="638"/>
      <c r="AL18" s="638"/>
      <c r="AM18" s="638"/>
      <c r="AN18" s="638">
        <f>+MODEL!DB19+MODEL!DB25</f>
        <v>4740</v>
      </c>
      <c r="AO18" s="638"/>
      <c r="AP18" s="638"/>
      <c r="AQ18" s="638"/>
      <c r="AR18" s="1680">
        <f>+MODEL!DF19+MODEL!DF25</f>
        <v>3938</v>
      </c>
      <c r="AS18" s="638"/>
      <c r="AT18" s="638"/>
      <c r="AU18" s="638"/>
      <c r="AV18" s="638">
        <f>+MODEL!DJ19+MODEL!DJ25</f>
        <v>4172.6483440000002</v>
      </c>
      <c r="AW18" s="638"/>
      <c r="AX18" s="638"/>
      <c r="AY18" s="638"/>
      <c r="AZ18" s="638">
        <f>+MODEL!DN19+MODEL!DN25</f>
        <v>4299.8124964675999</v>
      </c>
      <c r="BA18" s="638"/>
      <c r="BB18" s="638"/>
      <c r="BC18" s="638"/>
      <c r="BD18" s="638">
        <f>+MODEL!DR19+MODEL!DR25</f>
        <v>4409.9696226462283</v>
      </c>
    </row>
    <row r="19" spans="3:56">
      <c r="C19" s="444" t="s">
        <v>1054</v>
      </c>
      <c r="D19" s="638"/>
      <c r="E19" s="630"/>
      <c r="F19" s="630"/>
      <c r="G19" s="630"/>
      <c r="H19" s="638"/>
      <c r="I19" s="630"/>
      <c r="J19" s="630"/>
      <c r="K19" s="630"/>
      <c r="L19" s="638">
        <f>MODEL!BZ555</f>
        <v>19816</v>
      </c>
      <c r="M19" s="638">
        <f>MODEL!CA555</f>
        <v>0</v>
      </c>
      <c r="N19" s="638">
        <f>MODEL!CB555</f>
        <v>9464</v>
      </c>
      <c r="O19" s="638">
        <f>MODEL!CC555</f>
        <v>9516</v>
      </c>
      <c r="P19" s="638">
        <f>MODEL!CD555</f>
        <v>18980</v>
      </c>
      <c r="Q19" s="638">
        <f>MODEL!CE555</f>
        <v>0</v>
      </c>
      <c r="R19" s="638">
        <f>MODEL!CF555</f>
        <v>9508</v>
      </c>
      <c r="S19" s="638">
        <f>MODEL!CG555</f>
        <v>9378</v>
      </c>
      <c r="T19" s="638">
        <f>MODEL!CH555</f>
        <v>18886</v>
      </c>
      <c r="U19" s="638">
        <f>MODEL!CI555</f>
        <v>0</v>
      </c>
      <c r="V19" s="638">
        <f>MODEL!CJ555</f>
        <v>9376</v>
      </c>
      <c r="W19" s="638">
        <f>MODEL!CK555</f>
        <v>9335</v>
      </c>
      <c r="X19" s="638">
        <f>MODEL!CL555</f>
        <v>18711</v>
      </c>
      <c r="Y19" s="638">
        <f>MODEL!CM555</f>
        <v>0</v>
      </c>
      <c r="Z19" s="638">
        <f>MODEL!CN555</f>
        <v>9082</v>
      </c>
      <c r="AA19" s="638">
        <f>MODEL!CO555</f>
        <v>9092</v>
      </c>
      <c r="AB19" s="638">
        <f>MODEL!CP555</f>
        <v>18174</v>
      </c>
      <c r="AC19" s="1038">
        <f>MODEL!CQ555</f>
        <v>0</v>
      </c>
      <c r="AD19" s="1038">
        <f>MODEL!CR555</f>
        <v>8679</v>
      </c>
      <c r="AE19" s="1038">
        <f>MODEL!CS555</f>
        <v>9581</v>
      </c>
      <c r="AF19" s="638">
        <f>MODEL!CT555</f>
        <v>18260</v>
      </c>
      <c r="AG19" s="638">
        <f>MODEL!CU555</f>
        <v>0</v>
      </c>
      <c r="AH19" s="638">
        <f>MODEL!CV555</f>
        <v>10600</v>
      </c>
      <c r="AI19" s="638">
        <f>MODEL!CW555</f>
        <v>10330</v>
      </c>
      <c r="AJ19" s="638">
        <f>MODEL!CX555</f>
        <v>20930</v>
      </c>
      <c r="AK19" s="638">
        <f>MODEL!CY555</f>
        <v>0</v>
      </c>
      <c r="AL19" s="638">
        <f>MODEL!CZ555</f>
        <v>10368</v>
      </c>
      <c r="AM19" s="638">
        <f>MODEL!DA555</f>
        <v>10462</v>
      </c>
      <c r="AN19" s="638">
        <f>MODEL!DB555</f>
        <v>20830</v>
      </c>
      <c r="AO19" s="638"/>
      <c r="AP19" s="638"/>
      <c r="AQ19" s="638"/>
      <c r="AR19" s="1680">
        <f>MODEL!DF555</f>
        <v>22184</v>
      </c>
      <c r="AS19" s="638"/>
      <c r="AT19" s="638"/>
      <c r="AU19" s="638"/>
      <c r="AV19" s="638">
        <f ca="1">MODEL!DJ555</f>
        <v>22663.49989888625</v>
      </c>
      <c r="AW19" s="638"/>
      <c r="AX19" s="638"/>
      <c r="AY19" s="638"/>
      <c r="AZ19" s="638">
        <f ca="1">MODEL!DN555</f>
        <v>23424.830641311772</v>
      </c>
      <c r="BA19" s="638"/>
      <c r="BB19" s="638"/>
      <c r="BC19" s="638"/>
      <c r="BD19" s="638">
        <f ca="1">MODEL!DR555</f>
        <v>24324.537401854886</v>
      </c>
    </row>
    <row r="20" spans="3:56">
      <c r="C20" s="444" t="s">
        <v>256</v>
      </c>
      <c r="D20" s="639">
        <f>+D15+D18</f>
        <v>20537</v>
      </c>
      <c r="H20" s="639">
        <f>+H15+H18</f>
        <v>20594</v>
      </c>
      <c r="L20" s="639">
        <f>+L15+L18</f>
        <v>19816</v>
      </c>
      <c r="P20" s="639">
        <f>+P15+P18</f>
        <v>19367</v>
      </c>
      <c r="T20" s="639">
        <f>+T15+T18</f>
        <v>19029</v>
      </c>
      <c r="X20" s="639">
        <f>+X15+X18</f>
        <v>17752</v>
      </c>
      <c r="Y20" s="639"/>
      <c r="Z20" s="639"/>
      <c r="AA20" s="639"/>
      <c r="AB20" s="639">
        <f>+AB15+AB18</f>
        <v>17447</v>
      </c>
      <c r="AC20" s="1039">
        <f t="shared" ref="AC20:AF20" si="12">+AC15+AC18</f>
        <v>0.29436643894908943</v>
      </c>
      <c r="AD20" s="1039">
        <f t="shared" si="12"/>
        <v>8948</v>
      </c>
      <c r="AE20" s="1039">
        <f t="shared" si="12"/>
        <v>9599</v>
      </c>
      <c r="AF20" s="639">
        <f t="shared" si="12"/>
        <v>18547</v>
      </c>
      <c r="AG20" s="639"/>
      <c r="AH20" s="639"/>
      <c r="AI20" s="639"/>
      <c r="AJ20" s="639">
        <f t="shared" ref="AJ20" si="13">+AJ15+AJ18</f>
        <v>20905</v>
      </c>
      <c r="AK20" s="639"/>
      <c r="AL20" s="639"/>
      <c r="AM20" s="639"/>
      <c r="AN20" s="639">
        <f t="shared" ref="AN20" si="14">+AN15+AN18</f>
        <v>20809</v>
      </c>
      <c r="AO20" s="639"/>
      <c r="AP20" s="639"/>
      <c r="AQ20" s="639"/>
      <c r="AR20" s="1681">
        <f t="shared" ref="AR20" si="15">+AR15+AR18</f>
        <v>21899</v>
      </c>
      <c r="AS20" s="639"/>
      <c r="AT20" s="639"/>
      <c r="AU20" s="639"/>
      <c r="AV20" s="639">
        <f ca="1">+AV15+AV18</f>
        <v>22663.49989888625</v>
      </c>
      <c r="AW20" s="639"/>
      <c r="AX20" s="639"/>
      <c r="AY20" s="639"/>
      <c r="AZ20" s="639">
        <f ca="1">+AZ15+AZ18</f>
        <v>23424.830641311768</v>
      </c>
      <c r="BA20" s="639"/>
      <c r="BB20" s="639"/>
      <c r="BC20" s="639"/>
      <c r="BD20" s="639">
        <f ca="1">+BD15+BD18</f>
        <v>24324.537401854886</v>
      </c>
    </row>
    <row r="21" spans="3:56">
      <c r="C21" s="585" t="s">
        <v>554</v>
      </c>
      <c r="D21" s="734"/>
      <c r="E21" s="585"/>
      <c r="F21" s="585"/>
      <c r="G21" s="585"/>
      <c r="H21" s="671">
        <f>+H20/D20-1</f>
        <v>2.7754784048303893E-3</v>
      </c>
      <c r="I21" s="585"/>
      <c r="J21" s="585"/>
      <c r="K21" s="585"/>
      <c r="L21" s="671">
        <f>+L20/H20-1</f>
        <v>-3.7777993590366155E-2</v>
      </c>
      <c r="M21" s="585"/>
      <c r="N21" s="585"/>
      <c r="O21" s="585"/>
      <c r="P21" s="671">
        <f>+P20/L20-1</f>
        <v>-2.2658457811869148E-2</v>
      </c>
      <c r="T21" s="671">
        <f>+T20/P20-1</f>
        <v>-1.7452367429132032E-2</v>
      </c>
      <c r="X21" s="1040">
        <f>+X20/T20-1</f>
        <v>-6.7108098165957197E-2</v>
      </c>
      <c r="Y21" s="1040"/>
      <c r="Z21" s="1040"/>
      <c r="AA21" s="1040"/>
      <c r="AB21" s="1040">
        <f>+AB20/X20-1</f>
        <v>-1.7181162685894535E-2</v>
      </c>
      <c r="AC21" s="1041" t="e">
        <f t="shared" ref="AC21:AF21" si="16">+AC20/Y20-1</f>
        <v>#DIV/0!</v>
      </c>
      <c r="AD21" s="1041" t="e">
        <f t="shared" si="16"/>
        <v>#DIV/0!</v>
      </c>
      <c r="AE21" s="1041" t="e">
        <f t="shared" si="16"/>
        <v>#DIV/0!</v>
      </c>
      <c r="AF21" s="1040">
        <f t="shared" si="16"/>
        <v>6.3048088496589605E-2</v>
      </c>
      <c r="AG21" s="671"/>
      <c r="AH21" s="671"/>
      <c r="AI21" s="671"/>
      <c r="AJ21" s="1040">
        <f t="shared" ref="AJ21" si="17">+AJ20/AF20-1</f>
        <v>0.12713646411818624</v>
      </c>
      <c r="AK21" s="671"/>
      <c r="AL21" s="671"/>
      <c r="AM21" s="671"/>
      <c r="AN21" s="1040">
        <f t="shared" ref="AN21" si="18">+AN20/AJ20-1</f>
        <v>-4.5922028222913358E-3</v>
      </c>
      <c r="AO21" s="671"/>
      <c r="AP21" s="671"/>
      <c r="AQ21" s="671"/>
      <c r="AR21" s="1682">
        <f t="shared" ref="AR21" si="19">+AR20/AN20-1</f>
        <v>5.2381181219664619E-2</v>
      </c>
      <c r="AS21" s="671"/>
      <c r="AT21" s="671"/>
      <c r="AU21" s="671"/>
      <c r="AV21" s="671">
        <f ca="1">+AV20/AR20-1</f>
        <v>3.4910265258059736E-2</v>
      </c>
      <c r="AW21" s="671"/>
      <c r="AX21" s="671"/>
      <c r="AY21" s="671"/>
      <c r="AZ21" s="671">
        <f ca="1">+AZ20/AV20-1</f>
        <v>3.3592814252971337E-2</v>
      </c>
      <c r="BA21" s="671"/>
      <c r="BB21" s="671"/>
      <c r="BC21" s="671"/>
      <c r="BD21" s="671">
        <f ca="1">+BD20/AZ20-1</f>
        <v>3.8408250386937848E-2</v>
      </c>
    </row>
    <row r="22" spans="3:56">
      <c r="C22" s="444" t="s">
        <v>789</v>
      </c>
      <c r="D22" s="949"/>
      <c r="E22" s="950"/>
      <c r="F22" s="950"/>
      <c r="G22" s="950"/>
      <c r="H22" s="951"/>
      <c r="I22" s="950"/>
      <c r="J22" s="950"/>
      <c r="K22" s="950"/>
      <c r="L22" s="638">
        <f>MODEL!BZ847</f>
        <v>-8905</v>
      </c>
      <c r="M22" s="638">
        <f>MODEL!CA847</f>
        <v>0</v>
      </c>
      <c r="N22" s="638">
        <f>MODEL!CB847</f>
        <v>-4284</v>
      </c>
      <c r="O22" s="638">
        <f>MODEL!CC847</f>
        <v>-4279</v>
      </c>
      <c r="P22" s="638">
        <f>MODEL!CD847</f>
        <v>-8563</v>
      </c>
      <c r="Q22" s="638">
        <f>MODEL!CE847</f>
        <v>-3.8405390230207725E-2</v>
      </c>
      <c r="R22" s="638">
        <f>MODEL!CF847</f>
        <v>-4240</v>
      </c>
      <c r="S22" s="638">
        <f>MODEL!CG847</f>
        <v>-4322</v>
      </c>
      <c r="T22" s="638">
        <f>MODEL!CH847</f>
        <v>-8562</v>
      </c>
      <c r="U22" s="638">
        <f>MODEL!CI847</f>
        <v>-1.1678150181015923E-4</v>
      </c>
      <c r="V22" s="638">
        <f>MODEL!CJ847</f>
        <v>-4361</v>
      </c>
      <c r="W22" s="638">
        <f>MODEL!CK847</f>
        <v>-4288</v>
      </c>
      <c r="X22" s="638">
        <f>MODEL!CL847</f>
        <v>-8649</v>
      </c>
      <c r="Y22" s="638">
        <f>MODEL!CM847</f>
        <v>1.0161177295024526E-2</v>
      </c>
      <c r="Z22" s="638">
        <f>MODEL!CN847</f>
        <v>-4216</v>
      </c>
      <c r="AA22" s="638">
        <f>MODEL!CO847</f>
        <v>-4454</v>
      </c>
      <c r="AB22" s="638">
        <f>MODEL!CP847</f>
        <v>-8670</v>
      </c>
      <c r="AC22" s="1038">
        <f>MODEL!CQ847</f>
        <v>2.4280263614291364E-3</v>
      </c>
      <c r="AD22" s="1038">
        <f>MODEL!CR847</f>
        <v>-4544</v>
      </c>
      <c r="AE22" s="1038">
        <f>MODEL!CS847</f>
        <v>-4626</v>
      </c>
      <c r="AF22" s="638">
        <f>MODEL!CT847</f>
        <v>-9170</v>
      </c>
      <c r="AG22" s="638">
        <f>MODEL!CU847</f>
        <v>5.7670126874279193E-2</v>
      </c>
      <c r="AH22" s="638">
        <f>MODEL!CV847</f>
        <v>-4844</v>
      </c>
      <c r="AI22" s="638">
        <f>MODEL!CW847</f>
        <v>-4874</v>
      </c>
      <c r="AJ22" s="638">
        <f>MODEL!CX847</f>
        <v>-9718</v>
      </c>
      <c r="AK22" s="638">
        <f>MODEL!CY847</f>
        <v>5.9760087241003346E-2</v>
      </c>
      <c r="AL22" s="638">
        <f>MODEL!CZ847</f>
        <v>-5074</v>
      </c>
      <c r="AM22" s="638">
        <f>MODEL!DA847</f>
        <v>-5526</v>
      </c>
      <c r="AN22" s="638">
        <f>MODEL!DB847</f>
        <v>-10600</v>
      </c>
      <c r="AO22" s="638"/>
      <c r="AP22" s="638"/>
      <c r="AQ22" s="638"/>
      <c r="AR22" s="1680">
        <f>MODEL!DF847</f>
        <v>-11849</v>
      </c>
      <c r="AS22" s="638"/>
      <c r="AT22" s="638"/>
      <c r="AU22" s="638"/>
      <c r="AV22" s="638">
        <f>MODEL!DJ847</f>
        <v>-11375.429220663427</v>
      </c>
      <c r="AW22" s="638"/>
      <c r="AX22" s="638"/>
      <c r="AY22" s="638"/>
      <c r="AZ22" s="638">
        <f>MODEL!DN847</f>
        <v>-11257.572697625954</v>
      </c>
      <c r="BA22" s="638"/>
      <c r="BB22" s="638"/>
      <c r="BC22" s="638"/>
      <c r="BD22" s="638">
        <f>MODEL!DR847</f>
        <v>-11314.288742693803</v>
      </c>
    </row>
    <row r="23" spans="3:56">
      <c r="C23" s="631" t="s">
        <v>554</v>
      </c>
      <c r="D23" s="947"/>
      <c r="E23" s="631"/>
      <c r="F23" s="631"/>
      <c r="G23" s="631"/>
      <c r="H23" s="658"/>
      <c r="I23" s="631"/>
      <c r="J23" s="631"/>
      <c r="K23" s="631"/>
      <c r="L23" s="658"/>
      <c r="M23" s="631"/>
      <c r="N23" s="631"/>
      <c r="O23" s="631"/>
      <c r="P23" s="658">
        <f t="shared" ref="P23:AJ23" si="20">P22/L22-1</f>
        <v>-3.8405390230207725E-2</v>
      </c>
      <c r="Q23" s="658" t="e">
        <f t="shared" si="20"/>
        <v>#DIV/0!</v>
      </c>
      <c r="R23" s="658">
        <f t="shared" si="20"/>
        <v>-1.0270774976657293E-2</v>
      </c>
      <c r="S23" s="658">
        <f t="shared" si="20"/>
        <v>1.0049076887123087E-2</v>
      </c>
      <c r="T23" s="658">
        <f t="shared" si="20"/>
        <v>-1.1678150181015923E-4</v>
      </c>
      <c r="U23" s="658">
        <f t="shared" si="20"/>
        <v>-0.99695924189000151</v>
      </c>
      <c r="V23" s="658">
        <f t="shared" si="20"/>
        <v>2.8537735849056611E-2</v>
      </c>
      <c r="W23" s="658">
        <f t="shared" si="20"/>
        <v>-7.8667283664970444E-3</v>
      </c>
      <c r="X23" s="1033">
        <f t="shared" si="20"/>
        <v>1.0161177295024526E-2</v>
      </c>
      <c r="Y23" s="1033">
        <f t="shared" si="20"/>
        <v>-88.010161177260784</v>
      </c>
      <c r="Z23" s="1033">
        <f t="shared" si="20"/>
        <v>-3.3249254758083047E-2</v>
      </c>
      <c r="AA23" s="1033">
        <f t="shared" si="20"/>
        <v>3.871268656716409E-2</v>
      </c>
      <c r="AB23" s="1033">
        <f t="shared" si="20"/>
        <v>2.4280263614291364E-3</v>
      </c>
      <c r="AC23" s="1034">
        <f t="shared" ref="AC23" si="21">AC22/Y22-1</f>
        <v>-0.76104871601659463</v>
      </c>
      <c r="AD23" s="1034">
        <f t="shared" ref="AD23" si="22">AD22/Z22-1</f>
        <v>7.7798861480075976E-2</v>
      </c>
      <c r="AE23" s="1034">
        <f t="shared" ref="AE23" si="23">AE22/AA22-1</f>
        <v>3.8616973506960139E-2</v>
      </c>
      <c r="AF23" s="1033">
        <f t="shared" ref="AF23" si="24">AF22/AB22-1</f>
        <v>5.7670126874279193E-2</v>
      </c>
      <c r="AG23" s="658">
        <f t="shared" si="20"/>
        <v>22.751853682648878</v>
      </c>
      <c r="AH23" s="658">
        <f t="shared" si="20"/>
        <v>6.6021126760563487E-2</v>
      </c>
      <c r="AI23" s="658">
        <f t="shared" si="20"/>
        <v>5.3610030263726793E-2</v>
      </c>
      <c r="AJ23" s="1033">
        <f t="shared" si="20"/>
        <v>5.9760087241003346E-2</v>
      </c>
      <c r="AK23" s="658">
        <f t="shared" ref="AK23" si="25">AK22/AG22-1</f>
        <v>3.623991275899674E-2</v>
      </c>
      <c r="AL23" s="658">
        <f t="shared" ref="AL23" si="26">AL22/AH22-1</f>
        <v>4.7481420313790323E-2</v>
      </c>
      <c r="AM23" s="658">
        <f t="shared" ref="AM23" si="27">AM22/AI22-1</f>
        <v>0.13377102995486245</v>
      </c>
      <c r="AN23" s="1033">
        <f t="shared" ref="AN23" si="28">AN22/AJ22-1</f>
        <v>9.0759415517596143E-2</v>
      </c>
      <c r="AO23" s="658"/>
      <c r="AP23" s="658"/>
      <c r="AQ23" s="658"/>
      <c r="AR23" s="1677">
        <f t="shared" ref="AR23" si="29">AR22/AN22-1</f>
        <v>0.11783018867924522</v>
      </c>
      <c r="AS23" s="658"/>
      <c r="AT23" s="658"/>
      <c r="AU23" s="658"/>
      <c r="AV23" s="658">
        <f>AV22/AR22-1</f>
        <v>-3.9967151602377626E-2</v>
      </c>
      <c r="AW23" s="658"/>
      <c r="AX23" s="658"/>
      <c r="AY23" s="658"/>
      <c r="AZ23" s="658">
        <f>AZ22/AV22-1</f>
        <v>-1.03606220698369E-2</v>
      </c>
      <c r="BA23" s="658"/>
      <c r="BB23" s="658"/>
      <c r="BC23" s="658"/>
      <c r="BD23" s="658">
        <f>BD22/AZ22-1</f>
        <v>5.0380349824266091E-3</v>
      </c>
    </row>
    <row r="24" spans="3:56">
      <c r="C24" s="444" t="s">
        <v>967</v>
      </c>
      <c r="D24" s="949"/>
      <c r="E24" s="950"/>
      <c r="F24" s="950"/>
      <c r="G24" s="950"/>
      <c r="H24" s="951"/>
      <c r="I24" s="950"/>
      <c r="J24" s="950"/>
      <c r="K24" s="950"/>
      <c r="L24" s="638">
        <f>MODEL!BZ846</f>
        <v>-62</v>
      </c>
      <c r="M24" s="638">
        <f>MODEL!CA846</f>
        <v>0</v>
      </c>
      <c r="N24" s="638">
        <f>MODEL!CB846</f>
        <v>-189</v>
      </c>
      <c r="O24" s="638">
        <f>MODEL!CC846</f>
        <v>-649</v>
      </c>
      <c r="P24" s="638">
        <f>MODEL!CD846</f>
        <v>-838</v>
      </c>
      <c r="Q24" s="638">
        <f>MODEL!CE846</f>
        <v>0</v>
      </c>
      <c r="R24" s="638">
        <f>MODEL!CF846</f>
        <v>-125</v>
      </c>
      <c r="S24" s="638">
        <f>MODEL!CG846</f>
        <v>-384</v>
      </c>
      <c r="T24" s="638">
        <f>MODEL!CH846</f>
        <v>-509</v>
      </c>
      <c r="U24" s="638">
        <f>MODEL!CI846</f>
        <v>0</v>
      </c>
      <c r="V24" s="638">
        <f>MODEL!CJ846</f>
        <v>-244</v>
      </c>
      <c r="W24" s="638">
        <f>MODEL!CK846</f>
        <v>-490</v>
      </c>
      <c r="X24" s="638">
        <f>MODEL!CL846</f>
        <v>-734</v>
      </c>
      <c r="Y24" s="638">
        <f>MODEL!CM846</f>
        <v>0</v>
      </c>
      <c r="Z24" s="638">
        <f>MODEL!CN846</f>
        <v>-266</v>
      </c>
      <c r="AA24" s="638">
        <f>MODEL!CO846</f>
        <v>-115</v>
      </c>
      <c r="AB24" s="638">
        <f>MODEL!CP846</f>
        <v>-381</v>
      </c>
      <c r="AC24" s="1038">
        <f>MODEL!CQ846</f>
        <v>0</v>
      </c>
      <c r="AD24" s="1038">
        <f>MODEL!CR846</f>
        <v>-247</v>
      </c>
      <c r="AE24" s="1038">
        <f>MODEL!CS846</f>
        <v>-162</v>
      </c>
      <c r="AF24" s="638">
        <f>MODEL!CT846</f>
        <v>-409</v>
      </c>
      <c r="AG24" s="638">
        <f>MODEL!CU846</f>
        <v>0</v>
      </c>
      <c r="AH24" s="638">
        <f>MODEL!CV846</f>
        <v>-153</v>
      </c>
      <c r="AI24" s="638">
        <f>MODEL!CW846</f>
        <v>-268</v>
      </c>
      <c r="AJ24" s="638">
        <f>MODEL!CX846</f>
        <v>-421</v>
      </c>
      <c r="AK24" s="638">
        <f>MODEL!CY846</f>
        <v>0</v>
      </c>
      <c r="AL24" s="638">
        <f>MODEL!CZ846</f>
        <v>-141</v>
      </c>
      <c r="AM24" s="638">
        <f>MODEL!DA846</f>
        <v>0</v>
      </c>
      <c r="AN24" s="638">
        <f>MODEL!DB846</f>
        <v>-141</v>
      </c>
      <c r="AO24" s="638"/>
      <c r="AP24" s="638"/>
      <c r="AQ24" s="638"/>
      <c r="AR24" s="1680">
        <f>MODEL!DF846</f>
        <v>-1031</v>
      </c>
      <c r="AS24" s="638"/>
      <c r="AT24" s="638"/>
      <c r="AU24" s="638"/>
      <c r="AV24" s="638">
        <f>MODEL!DJ846</f>
        <v>0</v>
      </c>
      <c r="AW24" s="638"/>
      <c r="AX24" s="638"/>
      <c r="AY24" s="638"/>
      <c r="AZ24" s="638">
        <f>MODEL!DN846</f>
        <v>0</v>
      </c>
      <c r="BA24" s="638"/>
      <c r="BB24" s="638"/>
      <c r="BC24" s="638"/>
      <c r="BD24" s="638">
        <f>MODEL!DR846</f>
        <v>0</v>
      </c>
    </row>
    <row r="25" spans="3:56">
      <c r="C25" s="444" t="s">
        <v>238</v>
      </c>
      <c r="D25" s="638">
        <f>MODEL!BR31</f>
        <v>-9378</v>
      </c>
      <c r="E25" s="630"/>
      <c r="F25" s="630"/>
      <c r="G25" s="630"/>
      <c r="H25" s="638">
        <f>MODEL!BV31</f>
        <v>-10439</v>
      </c>
      <c r="I25" s="630"/>
      <c r="J25" s="630"/>
      <c r="K25" s="630"/>
      <c r="L25" s="639">
        <f t="shared" ref="L25:AJ25" si="30">L22+L24</f>
        <v>-8967</v>
      </c>
      <c r="M25" s="639">
        <f t="shared" si="30"/>
        <v>0</v>
      </c>
      <c r="N25" s="639">
        <f t="shared" si="30"/>
        <v>-4473</v>
      </c>
      <c r="O25" s="639">
        <f t="shared" si="30"/>
        <v>-4928</v>
      </c>
      <c r="P25" s="639">
        <f t="shared" si="30"/>
        <v>-9401</v>
      </c>
      <c r="Q25" s="639">
        <f t="shared" si="30"/>
        <v>-3.8405390230207725E-2</v>
      </c>
      <c r="R25" s="639">
        <f t="shared" si="30"/>
        <v>-4365</v>
      </c>
      <c r="S25" s="639">
        <f t="shared" si="30"/>
        <v>-4706</v>
      </c>
      <c r="T25" s="639">
        <f t="shared" si="30"/>
        <v>-9071</v>
      </c>
      <c r="U25" s="639">
        <f t="shared" si="30"/>
        <v>-1.1678150181015923E-4</v>
      </c>
      <c r="V25" s="639">
        <f t="shared" si="30"/>
        <v>-4605</v>
      </c>
      <c r="W25" s="639">
        <f t="shared" si="30"/>
        <v>-4778</v>
      </c>
      <c r="X25" s="639">
        <f t="shared" si="30"/>
        <v>-9383</v>
      </c>
      <c r="Y25" s="639">
        <f t="shared" si="30"/>
        <v>1.0161177295024526E-2</v>
      </c>
      <c r="Z25" s="639">
        <f t="shared" si="30"/>
        <v>-4482</v>
      </c>
      <c r="AA25" s="639">
        <f t="shared" si="30"/>
        <v>-4569</v>
      </c>
      <c r="AB25" s="639">
        <f t="shared" si="30"/>
        <v>-9051</v>
      </c>
      <c r="AC25" s="1039">
        <f t="shared" ref="AC25:AF25" si="31">AC22+AC24</f>
        <v>2.4280263614291364E-3</v>
      </c>
      <c r="AD25" s="1039">
        <f t="shared" si="31"/>
        <v>-4791</v>
      </c>
      <c r="AE25" s="1039">
        <f t="shared" si="31"/>
        <v>-4788</v>
      </c>
      <c r="AF25" s="639">
        <f t="shared" si="31"/>
        <v>-9579</v>
      </c>
      <c r="AG25" s="639">
        <f t="shared" si="30"/>
        <v>5.7670126874279193E-2</v>
      </c>
      <c r="AH25" s="639">
        <f t="shared" si="30"/>
        <v>-4997</v>
      </c>
      <c r="AI25" s="639">
        <f t="shared" si="30"/>
        <v>-5142</v>
      </c>
      <c r="AJ25" s="639">
        <f t="shared" si="30"/>
        <v>-10139</v>
      </c>
      <c r="AK25" s="639">
        <f t="shared" ref="AK25:AN25" si="32">AK22+AK24</f>
        <v>5.9760087241003346E-2</v>
      </c>
      <c r="AL25" s="639">
        <f t="shared" si="32"/>
        <v>-5215</v>
      </c>
      <c r="AM25" s="639">
        <f t="shared" si="32"/>
        <v>-5526</v>
      </c>
      <c r="AN25" s="639">
        <f t="shared" si="32"/>
        <v>-10741</v>
      </c>
      <c r="AO25" s="639"/>
      <c r="AP25" s="639"/>
      <c r="AQ25" s="639"/>
      <c r="AR25" s="1681">
        <f t="shared" ref="AR25" si="33">AR22+AR24</f>
        <v>-12880</v>
      </c>
      <c r="AS25" s="639"/>
      <c r="AT25" s="639"/>
      <c r="AU25" s="639"/>
      <c r="AV25" s="639">
        <f>AV22+AV24</f>
        <v>-11375.429220663427</v>
      </c>
      <c r="AW25" s="639"/>
      <c r="AX25" s="639"/>
      <c r="AY25" s="639"/>
      <c r="AZ25" s="639">
        <f>AZ22+AZ24</f>
        <v>-11257.572697625954</v>
      </c>
      <c r="BA25" s="639"/>
      <c r="BB25" s="639"/>
      <c r="BC25" s="639"/>
      <c r="BD25" s="639">
        <f>BD22+BD24</f>
        <v>-11314.288742693803</v>
      </c>
    </row>
    <row r="26" spans="3:56">
      <c r="C26" s="585" t="s">
        <v>554</v>
      </c>
      <c r="D26" s="739">
        <f>MODEL!BS31</f>
        <v>7.0547945205479357E-2</v>
      </c>
      <c r="E26" s="585"/>
      <c r="F26" s="585"/>
      <c r="G26" s="585"/>
      <c r="H26" s="739">
        <f>MODEL!BW31</f>
        <v>0.11313712945190879</v>
      </c>
      <c r="I26" s="585"/>
      <c r="J26" s="585"/>
      <c r="K26" s="585"/>
      <c r="L26" s="739">
        <f>MODEL!CA31</f>
        <v>-0.14100967525625063</v>
      </c>
      <c r="M26" s="585"/>
      <c r="N26" s="585"/>
      <c r="O26" s="585"/>
      <c r="P26" s="739">
        <f>MODEL!CE31</f>
        <v>4.8399687743950093E-2</v>
      </c>
      <c r="Q26" s="618"/>
      <c r="R26" s="618"/>
      <c r="S26" s="618"/>
      <c r="T26" s="739">
        <f>MODEL!CI31</f>
        <v>-3.5102648654398494E-2</v>
      </c>
      <c r="U26" s="618"/>
      <c r="V26" s="618"/>
      <c r="W26" s="618"/>
      <c r="X26" s="776">
        <f>MODEL!CM31</f>
        <v>3.4395325763421969E-2</v>
      </c>
      <c r="Y26" s="776"/>
      <c r="Z26" s="776"/>
      <c r="AA26" s="776"/>
      <c r="AB26" s="776">
        <f>MODEL!CQ31</f>
        <v>-3.5383139720771561E-2</v>
      </c>
      <c r="AC26" s="1042">
        <f>MODEL!CR31</f>
        <v>-4791</v>
      </c>
      <c r="AD26" s="1042">
        <f>MODEL!CS31</f>
        <v>-4788</v>
      </c>
      <c r="AE26" s="1042">
        <f>MODEL!CT31</f>
        <v>-9579</v>
      </c>
      <c r="AF26" s="776">
        <f>MODEL!CU31</f>
        <v>5.8336095459065263E-2</v>
      </c>
      <c r="AG26" s="739"/>
      <c r="AH26" s="739"/>
      <c r="AI26" s="739"/>
      <c r="AJ26" s="776">
        <f>MODEL!CY31</f>
        <v>5.8461217246059016E-2</v>
      </c>
      <c r="AK26" s="739"/>
      <c r="AL26" s="739"/>
      <c r="AM26" s="739"/>
      <c r="AN26" s="776">
        <f>MODEL!DC31</f>
        <v>5.9374691784199518E-2</v>
      </c>
      <c r="AO26" s="739"/>
      <c r="AP26" s="739"/>
      <c r="AQ26" s="739"/>
      <c r="AR26" s="1683">
        <f>MODEL!DG31</f>
        <v>0.19914346895074941</v>
      </c>
      <c r="AS26" s="739"/>
      <c r="AT26" s="739"/>
      <c r="AU26" s="739"/>
      <c r="AV26" s="739">
        <f>MODEL!DK31</f>
        <v>-0.11681450150128669</v>
      </c>
      <c r="AW26" s="739"/>
      <c r="AX26" s="739"/>
      <c r="AY26" s="739"/>
      <c r="AZ26" s="739">
        <f>MODEL!DO31</f>
        <v>-1.03606220698369E-2</v>
      </c>
      <c r="BA26" s="739"/>
      <c r="BB26" s="739"/>
      <c r="BC26" s="739"/>
      <c r="BD26" s="739">
        <f>MODEL!DS31</f>
        <v>5.0380349824266091E-3</v>
      </c>
    </row>
    <row r="27" spans="3:56">
      <c r="C27" s="673" t="s">
        <v>149</v>
      </c>
      <c r="D27" s="1583"/>
      <c r="E27" s="673"/>
      <c r="F27" s="673"/>
      <c r="G27" s="673"/>
      <c r="H27" s="1583"/>
      <c r="I27" s="673"/>
      <c r="J27" s="673"/>
      <c r="K27" s="673"/>
      <c r="L27" s="1583">
        <f>-L25/L20</f>
        <v>0.45251312071053695</v>
      </c>
      <c r="M27" s="673"/>
      <c r="N27" s="673"/>
      <c r="O27" s="673"/>
      <c r="P27" s="1583">
        <f>-P25/P20</f>
        <v>0.48541333195642072</v>
      </c>
      <c r="Q27" s="565"/>
      <c r="R27" s="565"/>
      <c r="S27" s="565"/>
      <c r="T27" s="1583">
        <f>-T25/T20</f>
        <v>0.47669346786483791</v>
      </c>
      <c r="U27" s="565"/>
      <c r="V27" s="565"/>
      <c r="W27" s="565"/>
      <c r="X27" s="777">
        <f>-X25/X20</f>
        <v>0.52856016223524105</v>
      </c>
      <c r="Y27" s="777"/>
      <c r="Z27" s="777"/>
      <c r="AA27" s="777"/>
      <c r="AB27" s="777">
        <f>-AB25/AB20</f>
        <v>0.51877113543875741</v>
      </c>
      <c r="AC27" s="1584"/>
      <c r="AD27" s="1584"/>
      <c r="AE27" s="1584"/>
      <c r="AF27" s="777">
        <f>-AF25/AF20</f>
        <v>0.51647166657680488</v>
      </c>
      <c r="AG27" s="1583"/>
      <c r="AH27" s="1583"/>
      <c r="AI27" s="1583"/>
      <c r="AJ27" s="777">
        <f>-AJ25/AJ20</f>
        <v>0.48500358765845492</v>
      </c>
      <c r="AK27" s="1583"/>
      <c r="AL27" s="1583"/>
      <c r="AM27" s="1583"/>
      <c r="AN27" s="777">
        <f>-AN25/AN20</f>
        <v>0.51617088759671292</v>
      </c>
      <c r="AO27" s="1583"/>
      <c r="AP27" s="1583"/>
      <c r="AQ27" s="1583"/>
      <c r="AR27" s="1684">
        <f>-AR25/AR20</f>
        <v>0.58815471026074251</v>
      </c>
      <c r="AS27" s="1583"/>
      <c r="AT27" s="1583"/>
      <c r="AU27" s="1583"/>
      <c r="AV27" s="1583">
        <f ca="1">-AV25/AV20</f>
        <v>0.50192729593466046</v>
      </c>
      <c r="AW27" s="1583"/>
      <c r="AX27" s="1583"/>
      <c r="AY27" s="1583"/>
      <c r="AZ27" s="1583">
        <f ca="1">-AZ25/AZ20</f>
        <v>0.48058288531538945</v>
      </c>
      <c r="BA27" s="1583"/>
      <c r="BB27" s="1583"/>
      <c r="BC27" s="1583"/>
      <c r="BD27" s="1583">
        <f ca="1">-BD25/BD20</f>
        <v>0.46513890709514677</v>
      </c>
    </row>
    <row r="28" spans="3:56">
      <c r="C28" s="444" t="s">
        <v>448</v>
      </c>
      <c r="D28" s="639">
        <f>SUM(D20:D25)</f>
        <v>11159</v>
      </c>
      <c r="H28" s="639">
        <f>SUM(H20:H25)</f>
        <v>10155.002775478406</v>
      </c>
      <c r="L28" s="639">
        <f t="shared" ref="L28:AJ28" si="34">L20+L25</f>
        <v>10849</v>
      </c>
      <c r="M28" s="639">
        <f t="shared" si="34"/>
        <v>0</v>
      </c>
      <c r="N28" s="639">
        <f t="shared" si="34"/>
        <v>-4473</v>
      </c>
      <c r="O28" s="639">
        <f t="shared" si="34"/>
        <v>-4928</v>
      </c>
      <c r="P28" s="639">
        <f t="shared" si="34"/>
        <v>9966</v>
      </c>
      <c r="Q28" s="639">
        <f t="shared" si="34"/>
        <v>-3.8405390230207725E-2</v>
      </c>
      <c r="R28" s="639">
        <f t="shared" si="34"/>
        <v>-4365</v>
      </c>
      <c r="S28" s="639">
        <f t="shared" si="34"/>
        <v>-4706</v>
      </c>
      <c r="T28" s="639">
        <f t="shared" si="34"/>
        <v>9958</v>
      </c>
      <c r="U28" s="639">
        <f t="shared" si="34"/>
        <v>-1.1678150181015923E-4</v>
      </c>
      <c r="V28" s="639">
        <f t="shared" si="34"/>
        <v>-4605</v>
      </c>
      <c r="W28" s="639">
        <f t="shared" si="34"/>
        <v>-4778</v>
      </c>
      <c r="X28" s="639">
        <f t="shared" si="34"/>
        <v>8369</v>
      </c>
      <c r="Y28" s="639">
        <f t="shared" si="34"/>
        <v>1.0161177295024526E-2</v>
      </c>
      <c r="Z28" s="639">
        <f t="shared" si="34"/>
        <v>-4482</v>
      </c>
      <c r="AA28" s="639">
        <f t="shared" si="34"/>
        <v>-4569</v>
      </c>
      <c r="AB28" s="639">
        <f t="shared" si="34"/>
        <v>8396</v>
      </c>
      <c r="AC28" s="1039">
        <f t="shared" ref="AC28:AF28" si="35">AC20+AC25</f>
        <v>0.29679446531051856</v>
      </c>
      <c r="AD28" s="1039">
        <f t="shared" si="35"/>
        <v>4157</v>
      </c>
      <c r="AE28" s="1039">
        <f t="shared" si="35"/>
        <v>4811</v>
      </c>
      <c r="AF28" s="639">
        <f t="shared" si="35"/>
        <v>8968</v>
      </c>
      <c r="AG28" s="639">
        <f t="shared" si="34"/>
        <v>5.7670126874279193E-2</v>
      </c>
      <c r="AH28" s="639">
        <f t="shared" si="34"/>
        <v>-4997</v>
      </c>
      <c r="AI28" s="639">
        <f t="shared" si="34"/>
        <v>-5142</v>
      </c>
      <c r="AJ28" s="639">
        <f t="shared" si="34"/>
        <v>10766</v>
      </c>
      <c r="AK28" s="639">
        <f t="shared" ref="AK28:AN28" si="36">AK20+AK25</f>
        <v>5.9760087241003346E-2</v>
      </c>
      <c r="AL28" s="639">
        <f t="shared" si="36"/>
        <v>-5215</v>
      </c>
      <c r="AM28" s="639">
        <f t="shared" si="36"/>
        <v>-5526</v>
      </c>
      <c r="AN28" s="639">
        <f t="shared" si="36"/>
        <v>10068</v>
      </c>
      <c r="AO28" s="639"/>
      <c r="AP28" s="639"/>
      <c r="AQ28" s="639"/>
      <c r="AR28" s="1681">
        <f t="shared" ref="AR28" si="37">AR20+AR25</f>
        <v>9019</v>
      </c>
      <c r="AS28" s="639"/>
      <c r="AT28" s="639"/>
      <c r="AU28" s="639"/>
      <c r="AV28" s="639">
        <f ca="1">AV20+AV25</f>
        <v>11288.070678222823</v>
      </c>
      <c r="AW28" s="639"/>
      <c r="AX28" s="639"/>
      <c r="AY28" s="639"/>
      <c r="AZ28" s="639">
        <f ca="1">AZ20+AZ25</f>
        <v>12167.257943685814</v>
      </c>
      <c r="BA28" s="639"/>
      <c r="BB28" s="639"/>
      <c r="BC28" s="639"/>
      <c r="BD28" s="639">
        <f ca="1">BD20+BD25</f>
        <v>13010.248659161083</v>
      </c>
    </row>
    <row r="29" spans="3:56">
      <c r="C29" s="444" t="s">
        <v>490</v>
      </c>
      <c r="D29" s="638">
        <f>MODEL!BR33</f>
        <v>-1205</v>
      </c>
      <c r="E29" s="630"/>
      <c r="F29" s="630"/>
      <c r="G29" s="630"/>
      <c r="H29" s="638">
        <f>MODEL!BV33</f>
        <v>-1956</v>
      </c>
      <c r="I29" s="630"/>
      <c r="J29" s="630"/>
      <c r="K29" s="630"/>
      <c r="L29" s="638">
        <f>MODEL!BZ33</f>
        <v>-1199</v>
      </c>
      <c r="M29" s="630"/>
      <c r="N29" s="630"/>
      <c r="O29" s="630"/>
      <c r="P29" s="638">
        <f>MODEL!CD33</f>
        <v>-688</v>
      </c>
      <c r="T29" s="638">
        <f>MODEL!CH33</f>
        <v>-795</v>
      </c>
      <c r="X29" s="638">
        <f>MODEL!CL33</f>
        <v>-2738</v>
      </c>
      <c r="Y29" s="638"/>
      <c r="Z29" s="638"/>
      <c r="AA29" s="638"/>
      <c r="AB29" s="638">
        <f>MODEL!CP33</f>
        <v>567</v>
      </c>
      <c r="AC29" s="1038">
        <f>MODEL!CQ33</f>
        <v>-1.2070854638422206</v>
      </c>
      <c r="AD29" s="1038">
        <f>MODEL!CR33</f>
        <v>284</v>
      </c>
      <c r="AE29" s="1038">
        <f>MODEL!CS33</f>
        <v>-52</v>
      </c>
      <c r="AF29" s="638">
        <f>MODEL!CT33</f>
        <v>232</v>
      </c>
      <c r="AG29" s="638"/>
      <c r="AH29" s="638"/>
      <c r="AI29" s="638"/>
      <c r="AJ29" s="638">
        <f>MODEL!CX33</f>
        <v>-245</v>
      </c>
      <c r="AK29" s="638"/>
      <c r="AL29" s="638"/>
      <c r="AM29" s="638"/>
      <c r="AN29" s="638">
        <f>MODEL!DB33</f>
        <v>-406</v>
      </c>
      <c r="AO29" s="638"/>
      <c r="AP29" s="638"/>
      <c r="AQ29" s="638"/>
      <c r="AR29" s="1680">
        <f>MODEL!DF33</f>
        <v>-441</v>
      </c>
      <c r="AS29" s="638"/>
      <c r="AT29" s="638"/>
      <c r="AU29" s="638"/>
      <c r="AV29" s="638">
        <f>MODEL!DJ33</f>
        <v>-553.53940151358358</v>
      </c>
      <c r="AW29" s="638"/>
      <c r="AX29" s="638"/>
      <c r="AY29" s="638"/>
      <c r="AZ29" s="638">
        <f>MODEL!DN33</f>
        <v>-799.04874714688481</v>
      </c>
      <c r="BA29" s="638"/>
      <c r="BB29" s="638"/>
      <c r="BC29" s="638"/>
      <c r="BD29" s="638">
        <f>MODEL!DR33</f>
        <v>-926.46021679081628</v>
      </c>
    </row>
    <row r="30" spans="3:56">
      <c r="C30" s="631" t="s">
        <v>834</v>
      </c>
      <c r="D30" s="640">
        <f>-D29/(D8*1000)</f>
        <v>2.0956740418160884E-3</v>
      </c>
      <c r="E30" s="631"/>
      <c r="F30" s="631"/>
      <c r="G30" s="631"/>
      <c r="H30" s="640">
        <f>-H29/(H8*1000)</f>
        <v>3.3690505512600352E-3</v>
      </c>
      <c r="I30" s="631"/>
      <c r="J30" s="631"/>
      <c r="K30" s="631"/>
      <c r="L30" s="640">
        <f>-L29/(L8*1000)</f>
        <v>2.0513189005341298E-3</v>
      </c>
      <c r="M30" s="631"/>
      <c r="N30" s="631"/>
      <c r="O30" s="631"/>
      <c r="P30" s="640">
        <f>-P29/(P8*1000)</f>
        <v>1.1300734219214534E-3</v>
      </c>
      <c r="T30" s="640">
        <f>-T29/(T8*1000)</f>
        <v>1.2839873054839987E-3</v>
      </c>
      <c r="X30" s="1043">
        <f>-X29/(X8*1000)</f>
        <v>4.3981533538730412E-3</v>
      </c>
      <c r="Y30" s="1043"/>
      <c r="Z30" s="1043"/>
      <c r="AA30" s="1043"/>
      <c r="AB30" s="1043">
        <f>-AB29/(AB8*1000)</f>
        <v>-8.9404255453344223E-4</v>
      </c>
      <c r="AC30" s="1044">
        <f t="shared" ref="AC30:AF30" si="38">-AC29/(AC8*1000)</f>
        <v>64.424875012649935</v>
      </c>
      <c r="AD30" s="1044">
        <f t="shared" si="38"/>
        <v>-4.3328680077198281E-4</v>
      </c>
      <c r="AE30" s="1044">
        <f t="shared" si="38"/>
        <v>7.6865427852187778E-5</v>
      </c>
      <c r="AF30" s="1043">
        <f t="shared" si="38"/>
        <v>-3.4293806272514549E-4</v>
      </c>
      <c r="AG30" s="640"/>
      <c r="AH30" s="640"/>
      <c r="AI30" s="640"/>
      <c r="AJ30" s="1043">
        <f t="shared" ref="AJ30" si="39">-AJ29/(AJ8*1000)</f>
        <v>3.445342108408744E-4</v>
      </c>
      <c r="AK30" s="640"/>
      <c r="AL30" s="640"/>
      <c r="AM30" s="640"/>
      <c r="AN30" s="1043">
        <f t="shared" ref="AN30" si="40">-AN29/(AN8*1000)</f>
        <v>5.0274155121772426E-4</v>
      </c>
      <c r="AO30" s="640"/>
      <c r="AP30" s="640"/>
      <c r="AQ30" s="640"/>
      <c r="AR30" s="1685">
        <f t="shared" ref="AR30" si="41">-AR29/(AR8*1000)</f>
        <v>5.287953657861005E-4</v>
      </c>
      <c r="AS30" s="640"/>
      <c r="AT30" s="640"/>
      <c r="AU30" s="640"/>
      <c r="AV30" s="640">
        <f>-AV29/(AV8*1000)</f>
        <v>6.451119957750712E-4</v>
      </c>
      <c r="AW30" s="640"/>
      <c r="AX30" s="640"/>
      <c r="AY30" s="640"/>
      <c r="AZ30" s="640">
        <f>-AZ29/(AZ8*1000)</f>
        <v>8.8937223465101534E-4</v>
      </c>
      <c r="BA30" s="640"/>
      <c r="BB30" s="640"/>
      <c r="BC30" s="640"/>
      <c r="BD30" s="640">
        <f>-BD29/(BD8*1000)</f>
        <v>9.8939492960943565E-4</v>
      </c>
    </row>
    <row r="31" spans="3:56">
      <c r="C31" s="585" t="s">
        <v>839</v>
      </c>
      <c r="D31" s="735">
        <f>-D29/(D6*1000)</f>
        <v>4.3893838834937306E-3</v>
      </c>
      <c r="E31" s="585"/>
      <c r="F31" s="585"/>
      <c r="G31" s="585"/>
      <c r="H31" s="735">
        <f>-H29/(H6*1000)</f>
        <v>7.598034455299398E-3</v>
      </c>
      <c r="I31" s="585"/>
      <c r="J31" s="585"/>
      <c r="K31" s="585"/>
      <c r="L31" s="735">
        <f>-L29/(L6*1000)</f>
        <v>4.8504609758366962E-3</v>
      </c>
      <c r="M31" s="736"/>
      <c r="N31" s="736"/>
      <c r="O31" s="736"/>
      <c r="P31" s="735">
        <f>-P29/(P6*1000)</f>
        <v>2.6193957115009754E-3</v>
      </c>
      <c r="T31" s="735">
        <f>-T29/(T6*1000)</f>
        <v>2.8871610309525453E-3</v>
      </c>
      <c r="X31" s="1045">
        <f>-X29/(X6*1000)</f>
        <v>1.0363988735124006E-2</v>
      </c>
      <c r="Y31" s="1045"/>
      <c r="Z31" s="1045"/>
      <c r="AA31" s="1045"/>
      <c r="AB31" s="1045">
        <f>-AB29/(AB6*1000)</f>
        <v>-2.1672157965951398E-3</v>
      </c>
      <c r="AC31" s="1046">
        <f t="shared" ref="AC31:AF31" si="42">-AC29/(AC6*1000)</f>
        <v>-57.614336015112038</v>
      </c>
      <c r="AD31" s="1046">
        <f t="shared" si="42"/>
        <v>-1.0095875266172062E-3</v>
      </c>
      <c r="AE31" s="1046">
        <f t="shared" si="42"/>
        <v>1.7225273451216042E-4</v>
      </c>
      <c r="AF31" s="1045">
        <f t="shared" si="42"/>
        <v>-7.685122001311772E-4</v>
      </c>
      <c r="AG31" s="735"/>
      <c r="AH31" s="735"/>
      <c r="AI31" s="735"/>
      <c r="AJ31" s="1045">
        <f t="shared" ref="AJ31" si="43">-AJ29/(AJ6*1000)</f>
        <v>7.9905027167709222E-4</v>
      </c>
      <c r="AK31" s="735"/>
      <c r="AL31" s="735"/>
      <c r="AM31" s="735"/>
      <c r="AN31" s="1045">
        <f t="shared" ref="AN31" si="44">-AN29/(AN6*1000)</f>
        <v>1.2568959005380504E-3</v>
      </c>
      <c r="AO31" s="735"/>
      <c r="AP31" s="735"/>
      <c r="AQ31" s="735"/>
      <c r="AR31" s="1686">
        <f t="shared" ref="AR31" si="45">-AR29/(AR6*1000)</f>
        <v>1.3364689339160055E-3</v>
      </c>
      <c r="AS31" s="735"/>
      <c r="AT31" s="735"/>
      <c r="AU31" s="735"/>
      <c r="AV31" s="735">
        <f>-AV29/(AV6*1000)</f>
        <v>1.6493741764090071E-3</v>
      </c>
      <c r="AW31" s="735"/>
      <c r="AX31" s="735"/>
      <c r="AY31" s="735"/>
      <c r="AZ31" s="735">
        <f>-AZ29/(AZ6*1000)</f>
        <v>2.3071657950385167E-3</v>
      </c>
      <c r="BA31" s="735"/>
      <c r="BB31" s="735"/>
      <c r="BC31" s="735"/>
      <c r="BD31" s="735">
        <f>-BD29/(BD6*1000)</f>
        <v>2.5838443104579745E-3</v>
      </c>
    </row>
    <row r="32" spans="3:56">
      <c r="C32" s="444" t="s">
        <v>708</v>
      </c>
      <c r="D32" s="638">
        <f>MODEL!BR34</f>
        <v>9954</v>
      </c>
      <c r="E32" s="630"/>
      <c r="F32" s="630"/>
      <c r="G32" s="630"/>
      <c r="H32" s="638">
        <f>MODEL!BV34</f>
        <v>8199</v>
      </c>
      <c r="I32" s="630"/>
      <c r="J32" s="630"/>
      <c r="K32" s="630"/>
      <c r="L32" s="638">
        <f>MODEL!BZ34</f>
        <v>9650</v>
      </c>
      <c r="M32" s="630"/>
      <c r="N32" s="630"/>
      <c r="O32" s="630"/>
      <c r="P32" s="638">
        <f>MODEL!CD34</f>
        <v>9278</v>
      </c>
      <c r="T32" s="638">
        <f>MODEL!CH34</f>
        <v>9163</v>
      </c>
      <c r="X32" s="638">
        <f>MODEL!CL34</f>
        <v>5631</v>
      </c>
      <c r="Y32" s="638"/>
      <c r="Z32" s="638"/>
      <c r="AA32" s="638"/>
      <c r="AB32" s="638">
        <f>MODEL!CP34</f>
        <v>8963</v>
      </c>
      <c r="AC32" s="1038">
        <f>MODEL!CQ34</f>
        <v>0.59172438288048301</v>
      </c>
      <c r="AD32" s="1038">
        <f>MODEL!CR34</f>
        <v>4441</v>
      </c>
      <c r="AE32" s="1038">
        <f>MODEL!CS34</f>
        <v>4759</v>
      </c>
      <c r="AF32" s="638">
        <f>MODEL!CT34</f>
        <v>9200</v>
      </c>
      <c r="AG32" s="638"/>
      <c r="AH32" s="638"/>
      <c r="AI32" s="638"/>
      <c r="AJ32" s="638">
        <f>MODEL!CX34</f>
        <v>10521</v>
      </c>
      <c r="AK32" s="638"/>
      <c r="AL32" s="638"/>
      <c r="AM32" s="638"/>
      <c r="AN32" s="638">
        <f>MODEL!DB34</f>
        <v>9662</v>
      </c>
      <c r="AO32" s="638"/>
      <c r="AP32" s="638"/>
      <c r="AQ32" s="638"/>
      <c r="AR32" s="1680">
        <f>MODEL!DF34</f>
        <v>8578</v>
      </c>
      <c r="AS32" s="638"/>
      <c r="AT32" s="638"/>
      <c r="AU32" s="638"/>
      <c r="AV32" s="638">
        <f ca="1">MODEL!DJ34</f>
        <v>10734.531276709238</v>
      </c>
      <c r="AW32" s="638"/>
      <c r="AX32" s="638"/>
      <c r="AY32" s="638"/>
      <c r="AZ32" s="638">
        <f ca="1">MODEL!DN34</f>
        <v>11368.209196538934</v>
      </c>
      <c r="BA32" s="638"/>
      <c r="BB32" s="638"/>
      <c r="BC32" s="638"/>
      <c r="BD32" s="638">
        <f ca="1">MODEL!DR34</f>
        <v>12083.788442370267</v>
      </c>
    </row>
    <row r="33" spans="3:56">
      <c r="C33" s="641" t="s">
        <v>545</v>
      </c>
      <c r="D33" s="638">
        <f>MODEL!BR35</f>
        <v>-2724</v>
      </c>
      <c r="E33" s="642"/>
      <c r="F33" s="642"/>
      <c r="G33" s="642"/>
      <c r="H33" s="638">
        <f>MODEL!BV35</f>
        <v>-2299</v>
      </c>
      <c r="I33" s="630"/>
      <c r="J33" s="630"/>
      <c r="K33" s="630"/>
      <c r="L33" s="638">
        <f>MODEL!BZ35</f>
        <v>-2826</v>
      </c>
      <c r="M33" s="630"/>
      <c r="N33" s="630"/>
      <c r="O33" s="630"/>
      <c r="P33" s="638">
        <f>MODEL!CD35</f>
        <v>-2775</v>
      </c>
      <c r="T33" s="638">
        <f>MODEL!CH35</f>
        <v>-2678</v>
      </c>
      <c r="X33" s="638">
        <f>MODEL!CL35</f>
        <v>-1872</v>
      </c>
      <c r="Y33" s="638"/>
      <c r="Z33" s="638"/>
      <c r="AA33" s="638"/>
      <c r="AB33" s="638">
        <f>MODEL!CP35</f>
        <v>-2764</v>
      </c>
      <c r="AC33" s="1038">
        <f>MODEL!CQ35</f>
        <v>0</v>
      </c>
      <c r="AD33" s="1038">
        <f>MODEL!CR35</f>
        <v>-1328</v>
      </c>
      <c r="AE33" s="1038">
        <f>MODEL!CS35</f>
        <v>-1357</v>
      </c>
      <c r="AF33" s="638">
        <f>MODEL!CT35</f>
        <v>-2685</v>
      </c>
      <c r="AG33" s="638"/>
      <c r="AH33" s="638"/>
      <c r="AI33" s="638"/>
      <c r="AJ33" s="638">
        <f>MODEL!CX35</f>
        <v>-3080</v>
      </c>
      <c r="AK33" s="638"/>
      <c r="AL33" s="638"/>
      <c r="AM33" s="638"/>
      <c r="AN33" s="638">
        <f>MODEL!DB35</f>
        <v>-2902</v>
      </c>
      <c r="AO33" s="638"/>
      <c r="AP33" s="638"/>
      <c r="AQ33" s="638"/>
      <c r="AR33" s="1680">
        <f>MODEL!DF35</f>
        <v>-2750</v>
      </c>
      <c r="AS33" s="638"/>
      <c r="AT33" s="638"/>
      <c r="AU33" s="638"/>
      <c r="AV33" s="638">
        <f ca="1">MODEL!DJ35</f>
        <v>-3166.6867266292256</v>
      </c>
      <c r="AW33" s="638"/>
      <c r="AX33" s="638"/>
      <c r="AY33" s="638"/>
      <c r="AZ33" s="638">
        <f ca="1">MODEL!DN35</f>
        <v>-3353.6217129789848</v>
      </c>
      <c r="BA33" s="638"/>
      <c r="BB33" s="638"/>
      <c r="BC33" s="638"/>
      <c r="BD33" s="638">
        <f ca="1">MODEL!DR35</f>
        <v>-3564.7175904992273</v>
      </c>
    </row>
    <row r="34" spans="3:56">
      <c r="C34" s="643" t="s">
        <v>454</v>
      </c>
      <c r="D34" s="644">
        <f>-D33/D32</f>
        <v>0.27365883062085594</v>
      </c>
      <c r="E34" s="643"/>
      <c r="F34" s="643"/>
      <c r="G34" s="643"/>
      <c r="H34" s="644">
        <f>-H33/H32</f>
        <v>0.28040004878643737</v>
      </c>
      <c r="I34" s="585"/>
      <c r="J34" s="585"/>
      <c r="K34" s="585"/>
      <c r="L34" s="644">
        <f>-L33/L32</f>
        <v>0.29284974093264249</v>
      </c>
      <c r="M34" s="585"/>
      <c r="N34" s="585"/>
      <c r="O34" s="585"/>
      <c r="P34" s="644">
        <f>-P33/P32</f>
        <v>0.29909463246389306</v>
      </c>
      <c r="T34" s="644">
        <f>-T33/T32</f>
        <v>0.29226235948925022</v>
      </c>
      <c r="X34" s="1047">
        <f>-X33/X32</f>
        <v>0.33244539158231218</v>
      </c>
      <c r="Y34" s="1047"/>
      <c r="Z34" s="1047"/>
      <c r="AA34" s="1047"/>
      <c r="AB34" s="1047">
        <f>-AB33/AB32</f>
        <v>0.30837889099631821</v>
      </c>
      <c r="AC34" s="1048">
        <f t="shared" ref="AC34:AF34" si="46">-AC33/AC32</f>
        <v>0</v>
      </c>
      <c r="AD34" s="1048">
        <f t="shared" si="46"/>
        <v>0.29903174960594459</v>
      </c>
      <c r="AE34" s="1048">
        <f t="shared" si="46"/>
        <v>0.28514393780205927</v>
      </c>
      <c r="AF34" s="1047">
        <f t="shared" si="46"/>
        <v>0.29184782608695653</v>
      </c>
      <c r="AG34" s="644"/>
      <c r="AH34" s="644"/>
      <c r="AI34" s="644"/>
      <c r="AJ34" s="1047">
        <f t="shared" ref="AJ34" si="47">-AJ33/AJ32</f>
        <v>0.29274783765801732</v>
      </c>
      <c r="AK34" s="644"/>
      <c r="AL34" s="644"/>
      <c r="AM34" s="644"/>
      <c r="AN34" s="1047">
        <f t="shared" ref="AN34" si="48">-AN33/AN32</f>
        <v>0.30035189401780171</v>
      </c>
      <c r="AO34" s="644"/>
      <c r="AP34" s="644"/>
      <c r="AQ34" s="644"/>
      <c r="AR34" s="1687">
        <f t="shared" ref="AR34" si="49">-AR33/AR32</f>
        <v>0.32058754954534857</v>
      </c>
      <c r="AS34" s="644"/>
      <c r="AT34" s="644"/>
      <c r="AU34" s="644"/>
      <c r="AV34" s="644">
        <f ca="1">-AV33/AV32</f>
        <v>0.29500000000000004</v>
      </c>
      <c r="AW34" s="644"/>
      <c r="AX34" s="644"/>
      <c r="AY34" s="644"/>
      <c r="AZ34" s="644">
        <f ca="1">-AZ33/AZ32</f>
        <v>0.29499999999999993</v>
      </c>
      <c r="BA34" s="644"/>
      <c r="BB34" s="644"/>
      <c r="BC34" s="644"/>
      <c r="BD34" s="644">
        <f ca="1">-BD33/BD32</f>
        <v>0.29499999999999987</v>
      </c>
    </row>
    <row r="35" spans="3:56">
      <c r="C35" s="444" t="s">
        <v>712</v>
      </c>
      <c r="D35" s="638">
        <f>MODEL!BR36</f>
        <v>-14</v>
      </c>
      <c r="E35" s="630"/>
      <c r="F35" s="630"/>
      <c r="G35" s="630"/>
      <c r="H35" s="638">
        <f>MODEL!BV36</f>
        <v>-11</v>
      </c>
      <c r="I35" s="630"/>
      <c r="J35" s="630"/>
      <c r="K35" s="630"/>
      <c r="L35" s="638">
        <f>MODEL!BZ36</f>
        <v>-15</v>
      </c>
      <c r="M35" s="630"/>
      <c r="N35" s="630"/>
      <c r="O35" s="630"/>
      <c r="P35" s="638">
        <f>MODEL!CD36</f>
        <v>-16</v>
      </c>
      <c r="T35" s="638">
        <f>MODEL!CH36</f>
        <v>-15</v>
      </c>
      <c r="X35" s="638">
        <f>MODEL!CL36</f>
        <v>-1</v>
      </c>
      <c r="Y35" s="638"/>
      <c r="Z35" s="638"/>
      <c r="AA35" s="638"/>
      <c r="AB35" s="638">
        <f>MODEL!CP36</f>
        <v>-1</v>
      </c>
      <c r="AC35" s="1038">
        <f>MODEL!CQ36</f>
        <v>0</v>
      </c>
      <c r="AD35" s="1038">
        <f>MODEL!CR36</f>
        <v>0</v>
      </c>
      <c r="AE35" s="1038">
        <f>MODEL!CS36</f>
        <v>0</v>
      </c>
      <c r="AF35" s="638">
        <f>MODEL!CT36</f>
        <v>0</v>
      </c>
      <c r="AG35" s="638"/>
      <c r="AH35" s="638"/>
      <c r="AI35" s="638"/>
      <c r="AJ35" s="638">
        <f>MODEL!CX36</f>
        <v>-28</v>
      </c>
      <c r="AK35" s="638"/>
      <c r="AL35" s="638"/>
      <c r="AM35" s="638"/>
      <c r="AN35" s="638">
        <f>MODEL!DB36</f>
        <v>-35</v>
      </c>
      <c r="AO35" s="638"/>
      <c r="AP35" s="638"/>
      <c r="AQ35" s="638"/>
      <c r="AR35" s="1680">
        <f>MODEL!DF36</f>
        <v>-41</v>
      </c>
      <c r="AS35" s="638"/>
      <c r="AT35" s="638"/>
      <c r="AU35" s="638"/>
      <c r="AV35" s="638">
        <f>MODEL!DJ36</f>
        <v>-40</v>
      </c>
      <c r="AW35" s="638"/>
      <c r="AX35" s="638"/>
      <c r="AY35" s="638"/>
      <c r="AZ35" s="638">
        <f>MODEL!DN36</f>
        <v>-40</v>
      </c>
      <c r="BA35" s="638"/>
      <c r="BB35" s="638"/>
      <c r="BC35" s="638"/>
      <c r="BD35" s="638">
        <f>MODEL!DR36</f>
        <v>-40</v>
      </c>
    </row>
    <row r="36" spans="3:56">
      <c r="C36" s="584" t="s">
        <v>136</v>
      </c>
      <c r="D36" s="638">
        <f>MODEL!BR37</f>
        <v>7216</v>
      </c>
      <c r="E36" s="634"/>
      <c r="F36" s="634"/>
      <c r="G36" s="634"/>
      <c r="H36" s="638">
        <f>MODEL!BV37</f>
        <v>5889</v>
      </c>
      <c r="I36" s="634"/>
      <c r="J36" s="634"/>
      <c r="K36" s="634"/>
      <c r="L36" s="638">
        <f>MODEL!BZ37</f>
        <v>6809</v>
      </c>
      <c r="M36" s="634"/>
      <c r="N36" s="634"/>
      <c r="O36" s="634"/>
      <c r="P36" s="638">
        <f>MODEL!CD37</f>
        <v>6487</v>
      </c>
      <c r="T36" s="638">
        <f>MODEL!CH37</f>
        <v>6470</v>
      </c>
      <c r="X36" s="638">
        <f>MODEL!CL37</f>
        <v>3758</v>
      </c>
      <c r="Y36" s="638"/>
      <c r="Z36" s="638"/>
      <c r="AA36" s="638"/>
      <c r="AB36" s="638">
        <f>MODEL!CP37</f>
        <v>6198</v>
      </c>
      <c r="AC36" s="1038">
        <f>MODEL!CQ37</f>
        <v>0.64928153273017553</v>
      </c>
      <c r="AD36" s="1038">
        <f>MODEL!CR37</f>
        <v>3113</v>
      </c>
      <c r="AE36" s="1038">
        <f>MODEL!CS37</f>
        <v>3402</v>
      </c>
      <c r="AF36" s="638">
        <f>MODEL!CT37</f>
        <v>6515</v>
      </c>
      <c r="AG36" s="638"/>
      <c r="AH36" s="638"/>
      <c r="AI36" s="638"/>
      <c r="AJ36" s="638">
        <f>MODEL!CX37</f>
        <v>7413</v>
      </c>
      <c r="AK36" s="638"/>
      <c r="AL36" s="638"/>
      <c r="AM36" s="638"/>
      <c r="AN36" s="638">
        <f>MODEL!DB37</f>
        <v>6725</v>
      </c>
      <c r="AO36" s="638"/>
      <c r="AP36" s="638"/>
      <c r="AQ36" s="638"/>
      <c r="AR36" s="1680">
        <f>MODEL!DF37</f>
        <v>5787</v>
      </c>
      <c r="AS36" s="638"/>
      <c r="AT36" s="638"/>
      <c r="AU36" s="638"/>
      <c r="AV36" s="638">
        <f ca="1">MODEL!DJ37</f>
        <v>7527.8445500800126</v>
      </c>
      <c r="AW36" s="638"/>
      <c r="AX36" s="638"/>
      <c r="AY36" s="638"/>
      <c r="AZ36" s="638">
        <f ca="1">MODEL!DN37</f>
        <v>7974.5874835599489</v>
      </c>
      <c r="BA36" s="638"/>
      <c r="BB36" s="638"/>
      <c r="BC36" s="638"/>
      <c r="BD36" s="638">
        <f ca="1">MODEL!DR37</f>
        <v>8479.0708518710398</v>
      </c>
    </row>
    <row r="37" spans="3:56">
      <c r="C37" s="584" t="s">
        <v>1110</v>
      </c>
      <c r="D37" s="638">
        <f>MODEL!BR38</f>
        <v>0</v>
      </c>
      <c r="E37" s="634"/>
      <c r="F37" s="634"/>
      <c r="G37" s="634"/>
      <c r="H37" s="638">
        <f>MODEL!BV38</f>
        <v>0</v>
      </c>
      <c r="I37" s="634"/>
      <c r="J37" s="634"/>
      <c r="K37" s="634"/>
      <c r="L37" s="638">
        <f>MODEL!BZ538</f>
        <v>0</v>
      </c>
      <c r="M37" s="634"/>
      <c r="N37" s="634"/>
      <c r="O37" s="634"/>
      <c r="P37" s="638">
        <f>MODEL!CD538</f>
        <v>6868</v>
      </c>
      <c r="T37" s="638">
        <f>MODEL!CH538</f>
        <v>6772</v>
      </c>
      <c r="X37" s="638">
        <f>MODEL!CL538</f>
        <v>5259</v>
      </c>
      <c r="Y37" s="638"/>
      <c r="Z37" s="638"/>
      <c r="AA37" s="638"/>
      <c r="AB37" s="638">
        <f>MODEL!CP538</f>
        <v>7144</v>
      </c>
      <c r="AC37" s="1038">
        <f>MODEL!CQ538</f>
        <v>0</v>
      </c>
      <c r="AD37" s="1038">
        <f>MODEL!CR538</f>
        <v>3154</v>
      </c>
      <c r="AE37" s="1038">
        <f>MODEL!CS538</f>
        <v>3515</v>
      </c>
      <c r="AF37" s="638">
        <f>MODEL!CT538</f>
        <v>6669</v>
      </c>
      <c r="AG37" s="638"/>
      <c r="AH37" s="638"/>
      <c r="AI37" s="638"/>
      <c r="AJ37" s="638">
        <f>MODEL!CX538</f>
        <v>7720</v>
      </c>
      <c r="AK37" s="638"/>
      <c r="AL37" s="638"/>
      <c r="AM37" s="638"/>
      <c r="AN37" s="638">
        <f>MODEL!DB538</f>
        <v>6887</v>
      </c>
      <c r="AO37" s="638"/>
      <c r="AP37" s="638"/>
      <c r="AQ37" s="638"/>
      <c r="AR37" s="1680">
        <f>MODEL!DF538</f>
        <v>6896</v>
      </c>
      <c r="AS37" s="638"/>
      <c r="AT37" s="638"/>
      <c r="AU37" s="638"/>
      <c r="AV37" s="638">
        <f ca="1">MODEL!DJ538</f>
        <v>7527.8445500800135</v>
      </c>
      <c r="AW37" s="638"/>
      <c r="AX37" s="638"/>
      <c r="AY37" s="638"/>
      <c r="AZ37" s="638">
        <f ca="1">MODEL!DN538</f>
        <v>7974.5874835599479</v>
      </c>
      <c r="BA37" s="638"/>
      <c r="BB37" s="638"/>
      <c r="BC37" s="638"/>
      <c r="BD37" s="638">
        <f ca="1">MODEL!DR538</f>
        <v>8479.0708518710362</v>
      </c>
    </row>
    <row r="38" spans="3:56">
      <c r="C38" s="645" t="s">
        <v>554</v>
      </c>
      <c r="D38" s="646">
        <f>MODEL!BS37</f>
        <v>1.391035548686248E-2</v>
      </c>
      <c r="E38" s="647"/>
      <c r="F38" s="647"/>
      <c r="G38" s="647"/>
      <c r="H38" s="646">
        <f>MODEL!BW37</f>
        <v>-0.18389689578713964</v>
      </c>
      <c r="I38" s="647"/>
      <c r="J38" s="647"/>
      <c r="K38" s="647"/>
      <c r="L38" s="646">
        <f>MODEL!CA37</f>
        <v>0.15622346748174554</v>
      </c>
      <c r="M38" s="647"/>
      <c r="N38" s="647"/>
      <c r="O38" s="647"/>
      <c r="P38" s="646">
        <f>MODEL!CE37</f>
        <v>-4.7290351006021414E-2</v>
      </c>
      <c r="T38" s="646">
        <f>MODEL!CI37</f>
        <v>-2.6206258671188642E-3</v>
      </c>
      <c r="X38" s="1049">
        <f>MODEL!CM37</f>
        <v>-0.41916537867078829</v>
      </c>
      <c r="Y38" s="1049"/>
      <c r="Z38" s="1049"/>
      <c r="AA38" s="1049"/>
      <c r="AB38" s="1049">
        <f>MODEL!CQ37</f>
        <v>0.64928153273017553</v>
      </c>
      <c r="AC38" s="1050">
        <f>MODEL!CR37</f>
        <v>3113</v>
      </c>
      <c r="AD38" s="1050">
        <f>MODEL!CS37</f>
        <v>3402</v>
      </c>
      <c r="AE38" s="1050">
        <f>MODEL!CT37</f>
        <v>6515</v>
      </c>
      <c r="AF38" s="1049">
        <f>MODEL!CU37</f>
        <v>5.1145530816392393E-2</v>
      </c>
      <c r="AG38" s="646"/>
      <c r="AH38" s="646"/>
      <c r="AI38" s="646"/>
      <c r="AJ38" s="1049">
        <f>MODEL!CY37</f>
        <v>0.1378357636224099</v>
      </c>
      <c r="AK38" s="646"/>
      <c r="AL38" s="646"/>
      <c r="AM38" s="646"/>
      <c r="AN38" s="1049">
        <f>MODEL!DC37</f>
        <v>-9.2809928503979511E-2</v>
      </c>
      <c r="AO38" s="646"/>
      <c r="AP38" s="646"/>
      <c r="AQ38" s="646"/>
      <c r="AR38" s="1688">
        <f>MODEL!DG37</f>
        <v>-0.13947955390334577</v>
      </c>
      <c r="AS38" s="646"/>
      <c r="AT38" s="646"/>
      <c r="AU38" s="646"/>
      <c r="AV38" s="646">
        <f ca="1">MODEL!DK37</f>
        <v>0.30081986350095269</v>
      </c>
      <c r="AW38" s="646"/>
      <c r="AX38" s="646"/>
      <c r="AY38" s="646"/>
      <c r="AZ38" s="646">
        <f ca="1">MODEL!DO37</f>
        <v>5.9345398341838385E-2</v>
      </c>
      <c r="BA38" s="646"/>
      <c r="BB38" s="646"/>
      <c r="BC38" s="646"/>
      <c r="BD38" s="646">
        <f ca="1">MODEL!DS37</f>
        <v>6.3261374880031251E-2</v>
      </c>
    </row>
    <row r="39" spans="3:56">
      <c r="C39" s="444" t="s">
        <v>350</v>
      </c>
      <c r="D39" s="638">
        <f>MODEL!BR44</f>
        <v>-1</v>
      </c>
      <c r="E39" s="630"/>
      <c r="F39" s="630"/>
      <c r="G39" s="630"/>
      <c r="H39" s="638">
        <f>MODEL!BV44</f>
        <v>0</v>
      </c>
      <c r="I39" s="630"/>
      <c r="J39" s="630"/>
      <c r="K39" s="630"/>
      <c r="L39" s="638">
        <f>MODEL!BZ44</f>
        <v>0</v>
      </c>
      <c r="M39" s="630"/>
      <c r="N39" s="630"/>
      <c r="O39" s="630"/>
      <c r="P39" s="638">
        <f>MODEL!CD44</f>
        <v>0</v>
      </c>
      <c r="T39" s="638">
        <f>MODEL!CH44</f>
        <v>0</v>
      </c>
      <c r="X39" s="638">
        <f>MODEL!CL44</f>
        <v>0</v>
      </c>
      <c r="Y39" s="638"/>
      <c r="Z39" s="638"/>
      <c r="AA39" s="638"/>
      <c r="AB39" s="638">
        <f>MODEL!CP44</f>
        <v>0</v>
      </c>
      <c r="AC39" s="1038">
        <f>MODEL!CQ44</f>
        <v>0</v>
      </c>
      <c r="AD39" s="1038">
        <f>MODEL!CR44</f>
        <v>0</v>
      </c>
      <c r="AE39" s="1038">
        <f>MODEL!CS44</f>
        <v>0</v>
      </c>
      <c r="AF39" s="638">
        <f>MODEL!CT44</f>
        <v>0</v>
      </c>
      <c r="AG39" s="638"/>
      <c r="AH39" s="638"/>
      <c r="AI39" s="638"/>
      <c r="AJ39" s="638">
        <f>MODEL!CX44</f>
        <v>0</v>
      </c>
      <c r="AK39" s="638"/>
      <c r="AL39" s="638"/>
      <c r="AM39" s="638"/>
      <c r="AN39" s="638">
        <f>MODEL!DB44</f>
        <v>0</v>
      </c>
      <c r="AO39" s="638"/>
      <c r="AP39" s="638"/>
      <c r="AQ39" s="638"/>
      <c r="AR39" s="1680">
        <f>MODEL!DF44</f>
        <v>0</v>
      </c>
      <c r="AS39" s="638"/>
      <c r="AT39" s="638"/>
      <c r="AU39" s="638"/>
      <c r="AV39" s="638">
        <f>MODEL!DJ44</f>
        <v>0</v>
      </c>
      <c r="AW39" s="638"/>
      <c r="AX39" s="638"/>
      <c r="AY39" s="638"/>
      <c r="AZ39" s="638">
        <f>MODEL!DN44</f>
        <v>0</v>
      </c>
      <c r="BA39" s="638"/>
      <c r="BB39" s="638"/>
      <c r="BC39" s="638"/>
      <c r="BD39" s="638">
        <f>MODEL!DR44</f>
        <v>0</v>
      </c>
    </row>
    <row r="40" spans="3:56">
      <c r="C40" s="584" t="s">
        <v>1</v>
      </c>
      <c r="D40" s="648">
        <f>+D36+D39</f>
        <v>7215</v>
      </c>
      <c r="E40" s="584"/>
      <c r="F40" s="584"/>
      <c r="G40" s="584"/>
      <c r="H40" s="648">
        <f>+H36+H39</f>
        <v>5889</v>
      </c>
      <c r="I40" s="584"/>
      <c r="J40" s="584"/>
      <c r="K40" s="584"/>
      <c r="L40" s="648">
        <f>+L36+L39</f>
        <v>6809</v>
      </c>
      <c r="M40" s="584"/>
      <c r="N40" s="584"/>
      <c r="O40" s="584"/>
      <c r="P40" s="648">
        <f>+P36+P39</f>
        <v>6487</v>
      </c>
      <c r="T40" s="648">
        <f>+T36+T39</f>
        <v>6470</v>
      </c>
      <c r="X40" s="648">
        <f>+X36+X39</f>
        <v>3758</v>
      </c>
      <c r="Y40" s="648"/>
      <c r="Z40" s="648"/>
      <c r="AA40" s="648"/>
      <c r="AB40" s="648">
        <f>+AB36+AB39</f>
        <v>6198</v>
      </c>
      <c r="AC40" s="1051">
        <f t="shared" ref="AC40:AF40" si="50">+AC36+AC39</f>
        <v>0.64928153273017553</v>
      </c>
      <c r="AD40" s="1051">
        <f t="shared" si="50"/>
        <v>3113</v>
      </c>
      <c r="AE40" s="1051">
        <f t="shared" si="50"/>
        <v>3402</v>
      </c>
      <c r="AF40" s="648">
        <f t="shared" si="50"/>
        <v>6515</v>
      </c>
      <c r="AG40" s="648"/>
      <c r="AH40" s="648"/>
      <c r="AI40" s="648"/>
      <c r="AJ40" s="648">
        <f t="shared" ref="AJ40" si="51">+AJ36+AJ39</f>
        <v>7413</v>
      </c>
      <c r="AK40" s="648"/>
      <c r="AL40" s="648"/>
      <c r="AM40" s="648"/>
      <c r="AN40" s="648">
        <f t="shared" ref="AN40" si="52">+AN36+AN39</f>
        <v>6725</v>
      </c>
      <c r="AO40" s="648"/>
      <c r="AP40" s="648"/>
      <c r="AQ40" s="648"/>
      <c r="AR40" s="1689">
        <f t="shared" ref="AR40" si="53">+AR36+AR39</f>
        <v>5787</v>
      </c>
      <c r="AS40" s="648"/>
      <c r="AT40" s="648"/>
      <c r="AU40" s="648"/>
      <c r="AV40" s="648">
        <f ca="1">+AV36+AV39</f>
        <v>7527.8445500800126</v>
      </c>
      <c r="AW40" s="648"/>
      <c r="AX40" s="648"/>
      <c r="AY40" s="648"/>
      <c r="AZ40" s="648">
        <f ca="1">+AZ36+AZ39</f>
        <v>7974.5874835599489</v>
      </c>
      <c r="BA40" s="648"/>
      <c r="BB40" s="648"/>
      <c r="BC40" s="648"/>
      <c r="BD40" s="648">
        <f ca="1">+BD36+BD39</f>
        <v>8479.0708518710398</v>
      </c>
    </row>
    <row r="41" spans="3:56">
      <c r="C41" s="444" t="s">
        <v>835</v>
      </c>
      <c r="D41" s="638">
        <f>MODEL!BR1212</f>
        <v>2771.4</v>
      </c>
      <c r="E41" s="649"/>
      <c r="F41" s="649"/>
      <c r="G41" s="649"/>
      <c r="H41" s="638">
        <f>MODEL!BV1212</f>
        <v>2906.2</v>
      </c>
      <c r="I41" s="649"/>
      <c r="J41" s="649"/>
      <c r="K41" s="649"/>
      <c r="L41" s="638">
        <f>MODEL!BZ1212</f>
        <v>2926.4</v>
      </c>
      <c r="M41" s="649"/>
      <c r="N41" s="649"/>
      <c r="O41" s="649"/>
      <c r="P41" s="638">
        <f>MODEL!CD1212</f>
        <v>2903.3</v>
      </c>
      <c r="T41" s="638">
        <f>MODEL!CH1212</f>
        <v>2843.1</v>
      </c>
      <c r="X41" s="638">
        <f>MODEL!CL1212</f>
        <v>2830.9</v>
      </c>
      <c r="Y41" s="638"/>
      <c r="Z41" s="638"/>
      <c r="AA41" s="638"/>
      <c r="AB41" s="638">
        <f>MODEL!CP1212</f>
        <v>2838.6</v>
      </c>
      <c r="AC41" s="1038">
        <f>MODEL!CQ1212</f>
        <v>0</v>
      </c>
      <c r="AD41" s="1038">
        <f>MODEL!CR1212</f>
        <v>2808.7</v>
      </c>
      <c r="AE41" s="1038">
        <f>MODEL!CS1212</f>
        <v>2862.5</v>
      </c>
      <c r="AF41" s="638">
        <f>MODEL!CT1212</f>
        <v>2847.5</v>
      </c>
      <c r="AG41" s="638"/>
      <c r="AH41" s="638"/>
      <c r="AI41" s="638"/>
      <c r="AJ41" s="638">
        <f>MODEL!CX1212</f>
        <v>2997.2</v>
      </c>
      <c r="AK41" s="638"/>
      <c r="AL41" s="638"/>
      <c r="AM41" s="638"/>
      <c r="AN41" s="638">
        <f>MODEL!DB1212</f>
        <v>2998.4</v>
      </c>
      <c r="AO41" s="638"/>
      <c r="AP41" s="638"/>
      <c r="AQ41" s="638"/>
      <c r="AR41" s="1680">
        <f>MODEL!DF1212</f>
        <v>2972.6</v>
      </c>
      <c r="AS41" s="638"/>
      <c r="AT41" s="638"/>
      <c r="AU41" s="638"/>
      <c r="AV41" s="638">
        <f ca="1">MODEL!DJ1212</f>
        <v>2994.9587242710249</v>
      </c>
      <c r="AW41" s="638"/>
      <c r="AX41" s="638"/>
      <c r="AY41" s="638"/>
      <c r="AZ41" s="638">
        <f ca="1">MODEL!DN1212</f>
        <v>2998.284514162041</v>
      </c>
      <c r="BA41" s="638"/>
      <c r="BB41" s="638"/>
      <c r="BC41" s="638"/>
      <c r="BD41" s="638">
        <f ca="1">MODEL!DR1212</f>
        <v>2979.5513073404563</v>
      </c>
    </row>
    <row r="42" spans="3:56">
      <c r="C42" s="584" t="s">
        <v>1111</v>
      </c>
      <c r="D42" s="650">
        <f>+D39/D40*100</f>
        <v>-1.386001386001386E-2</v>
      </c>
      <c r="E42" s="584"/>
      <c r="F42" s="584"/>
      <c r="G42" s="584"/>
      <c r="H42" s="650">
        <f>+H39/H40*100</f>
        <v>0</v>
      </c>
      <c r="I42" s="584"/>
      <c r="J42" s="584"/>
      <c r="K42" s="584"/>
      <c r="L42" s="650">
        <f t="shared" ref="L42:AJ42" si="54">+L37/L41*100</f>
        <v>0</v>
      </c>
      <c r="M42" s="584" t="e">
        <f t="shared" si="54"/>
        <v>#DIV/0!</v>
      </c>
      <c r="N42" s="584" t="e">
        <f t="shared" si="54"/>
        <v>#DIV/0!</v>
      </c>
      <c r="O42" s="584" t="e">
        <f t="shared" si="54"/>
        <v>#DIV/0!</v>
      </c>
      <c r="P42" s="650">
        <f t="shared" si="54"/>
        <v>236.55839906313503</v>
      </c>
      <c r="Q42" t="e">
        <f t="shared" si="54"/>
        <v>#DIV/0!</v>
      </c>
      <c r="R42" t="e">
        <f t="shared" si="54"/>
        <v>#DIV/0!</v>
      </c>
      <c r="S42" t="e">
        <f t="shared" si="54"/>
        <v>#DIV/0!</v>
      </c>
      <c r="T42" s="650">
        <f t="shared" si="54"/>
        <v>238.19070732650979</v>
      </c>
      <c r="U42" t="e">
        <f t="shared" si="54"/>
        <v>#DIV/0!</v>
      </c>
      <c r="V42" t="e">
        <f t="shared" si="54"/>
        <v>#DIV/0!</v>
      </c>
      <c r="W42" t="e">
        <f t="shared" si="54"/>
        <v>#DIV/0!</v>
      </c>
      <c r="X42" s="650">
        <f t="shared" si="54"/>
        <v>185.77130947755128</v>
      </c>
      <c r="Y42" s="650" t="e">
        <f t="shared" si="54"/>
        <v>#DIV/0!</v>
      </c>
      <c r="Z42" s="650" t="e">
        <f t="shared" si="54"/>
        <v>#DIV/0!</v>
      </c>
      <c r="AA42" s="650" t="e">
        <f t="shared" si="54"/>
        <v>#DIV/0!</v>
      </c>
      <c r="AB42" s="650">
        <f t="shared" si="54"/>
        <v>251.67336010709508</v>
      </c>
      <c r="AC42" s="1052" t="e">
        <f t="shared" ref="AC42:AF42" si="55">+AC37/AC41*100</f>
        <v>#DIV/0!</v>
      </c>
      <c r="AD42" s="1052">
        <f t="shared" si="55"/>
        <v>112.29394381742443</v>
      </c>
      <c r="AE42" s="1052">
        <f t="shared" si="55"/>
        <v>122.7947598253275</v>
      </c>
      <c r="AF42" s="650">
        <f t="shared" si="55"/>
        <v>234.20544337137841</v>
      </c>
      <c r="AG42" s="650" t="e">
        <f t="shared" si="54"/>
        <v>#DIV/0!</v>
      </c>
      <c r="AH42" s="650" t="e">
        <f t="shared" si="54"/>
        <v>#DIV/0!</v>
      </c>
      <c r="AI42" s="650" t="e">
        <f t="shared" si="54"/>
        <v>#DIV/0!</v>
      </c>
      <c r="AJ42" s="650">
        <f t="shared" si="54"/>
        <v>257.57373548645404</v>
      </c>
      <c r="AK42" s="650" t="e">
        <f t="shared" ref="AK42:AN42" si="56">+AK37/AK41*100</f>
        <v>#DIV/0!</v>
      </c>
      <c r="AL42" s="650" t="e">
        <f t="shared" si="56"/>
        <v>#DIV/0!</v>
      </c>
      <c r="AM42" s="650" t="e">
        <f t="shared" si="56"/>
        <v>#DIV/0!</v>
      </c>
      <c r="AN42" s="650">
        <f t="shared" si="56"/>
        <v>229.68916755602987</v>
      </c>
      <c r="AO42" s="650"/>
      <c r="AP42" s="650"/>
      <c r="AQ42" s="650"/>
      <c r="AR42" s="1690">
        <f t="shared" ref="AR42" si="57">+AR37/AR41*100</f>
        <v>231.98546726771178</v>
      </c>
      <c r="AS42" s="650"/>
      <c r="AT42" s="650"/>
      <c r="AU42" s="650"/>
      <c r="AV42" s="650">
        <f t="shared" ref="AV42" ca="1" si="58">+AV37/AV41*100</f>
        <v>251.35052744048406</v>
      </c>
      <c r="AW42" s="650"/>
      <c r="AX42" s="650"/>
      <c r="AY42" s="650"/>
      <c r="AZ42" s="650">
        <f t="shared" ref="AZ42" ca="1" si="59">+AZ37/AZ41*100</f>
        <v>265.97167299810712</v>
      </c>
      <c r="BA42" s="650"/>
      <c r="BB42" s="650"/>
      <c r="BC42" s="650"/>
      <c r="BD42" s="650">
        <f t="shared" ref="BD42" ca="1" si="60">+BD37/BD41*100</f>
        <v>284.57542687658713</v>
      </c>
    </row>
    <row r="43" spans="3:56">
      <c r="C43" s="584" t="s">
        <v>909</v>
      </c>
      <c r="D43" s="650">
        <f>+D40/D41*100</f>
        <v>260.33773544057158</v>
      </c>
      <c r="E43" s="584"/>
      <c r="F43" s="584"/>
      <c r="G43" s="584"/>
      <c r="H43" s="650">
        <f>+H40/H41*100</f>
        <v>202.6357442708692</v>
      </c>
      <c r="I43" s="584"/>
      <c r="J43" s="584"/>
      <c r="K43" s="584"/>
      <c r="L43" s="650">
        <f>+L40/L41*100</f>
        <v>232.67495899398577</v>
      </c>
      <c r="M43" s="584"/>
      <c r="N43" s="584"/>
      <c r="O43" s="584"/>
      <c r="P43" s="650">
        <f>+P40/P41*100</f>
        <v>223.43540109530534</v>
      </c>
      <c r="T43" s="650">
        <f>+T40/T41*100</f>
        <v>227.56849917343746</v>
      </c>
      <c r="X43" s="650">
        <f>+X40/X41*100</f>
        <v>132.74930234201136</v>
      </c>
      <c r="Y43" s="650"/>
      <c r="Z43" s="650"/>
      <c r="AA43" s="650"/>
      <c r="AB43" s="650">
        <f>+AB40/AB41*100</f>
        <v>218.34707250052844</v>
      </c>
      <c r="AC43" s="1052" t="e">
        <f t="shared" ref="AC43:AF43" si="61">+AC40/AC41*100</f>
        <v>#DIV/0!</v>
      </c>
      <c r="AD43" s="1052">
        <f t="shared" si="61"/>
        <v>110.83419375511802</v>
      </c>
      <c r="AE43" s="1052">
        <f t="shared" si="61"/>
        <v>118.8471615720524</v>
      </c>
      <c r="AF43" s="650">
        <f t="shared" si="61"/>
        <v>228.79719051799822</v>
      </c>
      <c r="AG43" s="650"/>
      <c r="AH43" s="650"/>
      <c r="AI43" s="650"/>
      <c r="AJ43" s="650">
        <f t="shared" ref="AJ43" si="62">+AJ40/AJ41*100</f>
        <v>247.33084211931134</v>
      </c>
      <c r="AK43" s="650"/>
      <c r="AL43" s="650"/>
      <c r="AM43" s="650"/>
      <c r="AN43" s="650">
        <f t="shared" ref="AN43" si="63">+AN40/AN41*100</f>
        <v>224.28628601921025</v>
      </c>
      <c r="AO43" s="650"/>
      <c r="AP43" s="650"/>
      <c r="AQ43" s="650"/>
      <c r="AR43" s="1690">
        <f t="shared" ref="AR43" si="64">+AR40/AR41*100</f>
        <v>194.67805961111486</v>
      </c>
      <c r="AS43" s="650"/>
      <c r="AT43" s="650"/>
      <c r="AU43" s="650"/>
      <c r="AV43" s="650">
        <f ca="1">+AV40/AV41*100</f>
        <v>251.350527440484</v>
      </c>
      <c r="AW43" s="650"/>
      <c r="AX43" s="650"/>
      <c r="AY43" s="650"/>
      <c r="AZ43" s="650">
        <f ca="1">+AZ40/AZ41*100</f>
        <v>265.97167299810718</v>
      </c>
      <c r="BA43" s="650"/>
      <c r="BB43" s="650"/>
      <c r="BC43" s="650"/>
      <c r="BD43" s="650">
        <f ca="1">+BD40/BD41*100</f>
        <v>284.57542687658724</v>
      </c>
    </row>
    <row r="44" spans="3:56">
      <c r="C44" s="651" t="s">
        <v>554</v>
      </c>
      <c r="D44" s="652"/>
      <c r="E44" s="651"/>
      <c r="F44" s="651"/>
      <c r="G44" s="651"/>
      <c r="H44" s="652">
        <f>+H43/D43-1</f>
        <v>-0.22164282512503553</v>
      </c>
      <c r="I44" s="651"/>
      <c r="J44" s="651"/>
      <c r="K44" s="651"/>
      <c r="L44" s="652">
        <f>+L43/H43-1</f>
        <v>0.14824242796454645</v>
      </c>
      <c r="M44" s="651"/>
      <c r="N44" s="651"/>
      <c r="O44" s="651"/>
      <c r="P44" s="652">
        <f>+P43/L43-1</f>
        <v>-3.9710151615065969E-2</v>
      </c>
      <c r="T44" s="652">
        <f>+T43/P43-1</f>
        <v>1.8497955372654529E-2</v>
      </c>
      <c r="X44" s="1053">
        <f>+X43/T43-1</f>
        <v>-0.41666222335614767</v>
      </c>
      <c r="Y44" s="684"/>
      <c r="Z44" s="684"/>
      <c r="AA44" s="684"/>
      <c r="AB44" s="1053">
        <f>+AB43/X43-1</f>
        <v>0.64480768371938812</v>
      </c>
      <c r="AC44" s="1054" t="e">
        <f t="shared" ref="AC44:AF44" si="65">+AC43/Y43-1</f>
        <v>#DIV/0!</v>
      </c>
      <c r="AD44" s="1054" t="e">
        <f t="shared" si="65"/>
        <v>#DIV/0!</v>
      </c>
      <c r="AE44" s="1054" t="e">
        <f t="shared" si="65"/>
        <v>#DIV/0!</v>
      </c>
      <c r="AF44" s="756">
        <f t="shared" si="65"/>
        <v>4.7860124240706181E-2</v>
      </c>
      <c r="AG44" s="684"/>
      <c r="AH44" s="684"/>
      <c r="AI44" s="684"/>
      <c r="AJ44" s="1307">
        <f t="shared" ref="AJ44" si="66">+AJ43/AF43-1</f>
        <v>8.1004716707197444E-2</v>
      </c>
      <c r="AK44" s="684"/>
      <c r="AL44" s="684"/>
      <c r="AM44" s="684"/>
      <c r="AN44" s="1669">
        <f t="shared" ref="AN44" si="67">+AN43/AJ43-1</f>
        <v>-9.3172998169732901E-2</v>
      </c>
      <c r="AO44" s="684"/>
      <c r="AP44" s="684"/>
      <c r="AQ44" s="684"/>
      <c r="AR44" s="1691">
        <f t="shared" ref="AR44" si="68">+AR43/AN43-1</f>
        <v>-0.13201086403276319</v>
      </c>
      <c r="AS44" s="684"/>
      <c r="AT44" s="684"/>
      <c r="AU44" s="684"/>
      <c r="AV44" s="652">
        <f ca="1">+AV43/AR43-1</f>
        <v>0.29110865365402239</v>
      </c>
      <c r="AW44" s="684"/>
      <c r="AX44" s="684"/>
      <c r="AY44" s="684"/>
      <c r="AZ44" s="652">
        <f ca="1">+AZ43/AV43-1</f>
        <v>5.8170339670702509E-2</v>
      </c>
      <c r="BA44" s="684"/>
      <c r="BB44" s="684"/>
      <c r="BC44" s="684"/>
      <c r="BD44" s="652">
        <f ca="1">+BD43/AZ43-1</f>
        <v>6.9946373118510374E-2</v>
      </c>
    </row>
    <row r="45" spans="3:56">
      <c r="C45" s="584" t="s">
        <v>24</v>
      </c>
      <c r="D45" s="653">
        <f>MODEL!BR1238</f>
        <v>258.28106733059104</v>
      </c>
      <c r="E45" s="634"/>
      <c r="F45" s="634"/>
      <c r="G45" s="634"/>
      <c r="H45" s="653">
        <f>MODEL!BV1238</f>
        <v>201.03492189112933</v>
      </c>
      <c r="I45" s="634"/>
      <c r="J45" s="634"/>
      <c r="K45" s="634"/>
      <c r="L45" s="653">
        <f>MODEL!BZ1238</f>
        <v>230.83682681793329</v>
      </c>
      <c r="M45" s="634"/>
      <c r="N45" s="634"/>
      <c r="O45" s="634"/>
      <c r="P45" s="653">
        <f>MODEL!CD1238</f>
        <v>221.67026142665242</v>
      </c>
      <c r="T45" s="653">
        <f>MODEL!CH1238</f>
        <v>225.7707080299673</v>
      </c>
      <c r="X45" s="653">
        <f>MODEL!CL1238</f>
        <v>131.70058285350947</v>
      </c>
      <c r="Y45" s="653"/>
      <c r="Z45" s="653"/>
      <c r="AA45" s="653"/>
      <c r="AB45" s="653">
        <f>MODEL!CP1238</f>
        <v>216.62213062777425</v>
      </c>
      <c r="AC45" s="1055">
        <f>MODEL!CQ1238</f>
        <v>0.6448076837193879</v>
      </c>
      <c r="AD45" s="1055">
        <f>MODEL!CR1238</f>
        <v>109.95860362445259</v>
      </c>
      <c r="AE45" s="653">
        <f>MODEL!CS1238</f>
        <v>118.8471615720524</v>
      </c>
      <c r="AF45" s="653">
        <f>MODEL!CT1238</f>
        <v>228.79719051799822</v>
      </c>
      <c r="AG45" s="653"/>
      <c r="AH45" s="653"/>
      <c r="AI45" s="653"/>
      <c r="AJ45" s="653">
        <f>MODEL!CX1238</f>
        <v>247.33084211931134</v>
      </c>
      <c r="AK45" s="653"/>
      <c r="AL45" s="653"/>
      <c r="AM45" s="653"/>
      <c r="AN45" s="653">
        <f>MODEL!DB1238</f>
        <v>224.28628601921025</v>
      </c>
      <c r="AO45" s="653"/>
      <c r="AP45" s="653"/>
      <c r="AQ45" s="653"/>
      <c r="AR45" s="1692">
        <f>MODEL!DF1238</f>
        <v>194.67805961111486</v>
      </c>
      <c r="AS45" s="653"/>
      <c r="AT45" s="653"/>
      <c r="AU45" s="653"/>
      <c r="AV45" s="653">
        <f ca="1">MODEL!DJ1238</f>
        <v>251.350527440484</v>
      </c>
      <c r="AW45" s="653"/>
      <c r="AX45" s="653"/>
      <c r="AY45" s="653"/>
      <c r="AZ45" s="653">
        <f ca="1">MODEL!DN1238</f>
        <v>265.97167299810718</v>
      </c>
      <c r="BA45" s="653"/>
      <c r="BB45" s="653"/>
      <c r="BC45" s="653"/>
      <c r="BD45" s="653">
        <f ca="1">MODEL!DR1238</f>
        <v>284.57542687658724</v>
      </c>
    </row>
    <row r="46" spans="3:56">
      <c r="C46" s="444" t="s">
        <v>129</v>
      </c>
      <c r="H46" s="682">
        <f>H184/(H156*100)</f>
        <v>0</v>
      </c>
      <c r="I46" s="682" t="e">
        <f>I184/(I156*100)</f>
        <v>#DIV/0!</v>
      </c>
      <c r="J46" s="682" t="e">
        <f>J184/(J156*100)</f>
        <v>#DIV/0!</v>
      </c>
      <c r="K46" s="682" t="e">
        <f>K184/(K156*100)</f>
        <v>#DIV/0!</v>
      </c>
      <c r="L46" s="1208">
        <f>MODEL!BZ1524</f>
        <v>0.11618214780846753</v>
      </c>
      <c r="M46" s="1208">
        <f>MODEL!CA1524</f>
        <v>0</v>
      </c>
      <c r="N46" s="1208">
        <f>MODEL!CB1524</f>
        <v>0.11810153093976747</v>
      </c>
      <c r="O46" s="1208">
        <f>MODEL!CC1524</f>
        <v>0.10067501760506938</v>
      </c>
      <c r="P46" s="1208">
        <f>MODEL!CD1524</f>
        <v>0.10913067249863313</v>
      </c>
      <c r="Q46" s="1208">
        <f>MODEL!CE1524</f>
        <v>0</v>
      </c>
      <c r="R46" s="1208">
        <f>MODEL!CF1524</f>
        <v>0.12008101771722557</v>
      </c>
      <c r="S46" s="1208">
        <f>MODEL!CG1524</f>
        <v>9.6676122003189702E-2</v>
      </c>
      <c r="T46" s="1208">
        <f>MODEL!CH1524</f>
        <v>0.10829901911553011</v>
      </c>
      <c r="U46" s="1208">
        <f>MODEL!CI1524</f>
        <v>0</v>
      </c>
      <c r="V46" s="1208">
        <f>MODEL!CJ1524</f>
        <v>4.6920139465382697E-2</v>
      </c>
      <c r="W46" s="1208">
        <f>MODEL!CK1524</f>
        <v>7.6700410486205378E-2</v>
      </c>
      <c r="X46" s="1209">
        <f>MODEL!CL1524</f>
        <v>6.1923279725810701E-2</v>
      </c>
      <c r="Y46" s="1209">
        <f>MODEL!CM1524</f>
        <v>0</v>
      </c>
      <c r="Z46" s="1209">
        <f>MODEL!CN1524</f>
        <v>9.6874401386590606E-2</v>
      </c>
      <c r="AA46" s="1209">
        <f>MODEL!CO1524</f>
        <v>0.10186862086824268</v>
      </c>
      <c r="AB46" s="1209">
        <f>MODEL!CP1524</f>
        <v>9.9397010712682018E-2</v>
      </c>
      <c r="AC46" s="1208">
        <f>MODEL!CQ1524</f>
        <v>0</v>
      </c>
      <c r="AD46" s="1208">
        <f>MODEL!CR1524</f>
        <v>9.9819397473848742E-2</v>
      </c>
      <c r="AE46" s="1208">
        <f>MODEL!CS1524</f>
        <v>0.10750015583120363</v>
      </c>
      <c r="AF46" s="1209">
        <f>MODEL!CT1524</f>
        <v>0.10368920295390884</v>
      </c>
      <c r="AG46" s="1208">
        <f>MODEL!CU1524</f>
        <v>0</v>
      </c>
      <c r="AH46" s="1208">
        <f>MODEL!CV1524</f>
        <v>0.11357676208809901</v>
      </c>
      <c r="AI46" s="1208">
        <f>MODEL!CW1524</f>
        <v>0.1040586831918372</v>
      </c>
      <c r="AJ46" s="1209">
        <f>MODEL!CX1524</f>
        <v>0.10876837749801919</v>
      </c>
      <c r="AK46" s="1208">
        <f>MODEL!CY1524</f>
        <v>0</v>
      </c>
      <c r="AL46" s="1208">
        <f>MODEL!CZ1524</f>
        <v>0.10022149175401718</v>
      </c>
      <c r="AM46" s="1208">
        <f>MODEL!DA1524</f>
        <v>9.1039508794077989E-2</v>
      </c>
      <c r="AN46" s="1209">
        <f>MODEL!DB1524</f>
        <v>9.5669616183458053E-2</v>
      </c>
      <c r="AO46" s="1208"/>
      <c r="AP46" s="1208"/>
      <c r="AQ46" s="1208"/>
      <c r="AR46" s="1693">
        <f>MODEL!DF1524</f>
        <v>8.004370798638967E-2</v>
      </c>
      <c r="AS46" s="1208"/>
      <c r="AT46" s="1208"/>
      <c r="AU46" s="1208"/>
      <c r="AV46" s="1208">
        <f ca="1">MODEL!DJ1524</f>
        <v>0.10041388266150855</v>
      </c>
      <c r="AW46" s="1208"/>
      <c r="AX46" s="1208"/>
      <c r="AY46" s="1208"/>
      <c r="AZ46" s="1208">
        <f ca="1">MODEL!DN1524</f>
        <v>0.10262055165324055</v>
      </c>
      <c r="BA46" s="1208"/>
      <c r="BB46" s="1208"/>
      <c r="BC46" s="1208"/>
      <c r="BD46" s="1208">
        <f ca="1">MODEL!DR1524</f>
        <v>0.10652516956169322</v>
      </c>
    </row>
    <row r="47" spans="3:56">
      <c r="C47" s="444" t="s">
        <v>1269</v>
      </c>
      <c r="D47" s="653"/>
      <c r="E47" s="634"/>
      <c r="F47" s="634"/>
      <c r="G47" s="634"/>
      <c r="H47" s="653"/>
      <c r="I47" s="634"/>
      <c r="J47" s="634"/>
      <c r="K47" s="634"/>
      <c r="L47" s="1208">
        <f>MODEL!BZ1526</f>
        <v>0.13242122356899411</v>
      </c>
      <c r="M47" s="1208">
        <f>MODEL!CA1526</f>
        <v>0</v>
      </c>
      <c r="N47" s="1208">
        <f>MODEL!CB1526</f>
        <v>0.13177314775290735</v>
      </c>
      <c r="O47" s="1208">
        <f>MODEL!CC1526</f>
        <v>0.11021445026507502</v>
      </c>
      <c r="P47" s="1208">
        <f>MODEL!CD1526</f>
        <v>0.12057957006236233</v>
      </c>
      <c r="Q47" s="1208">
        <f>MODEL!CE1526</f>
        <v>0</v>
      </c>
      <c r="R47" s="1208">
        <f>MODEL!CF1526</f>
        <v>0.13102929298311475</v>
      </c>
      <c r="S47" s="1208">
        <f>MODEL!CG1526</f>
        <v>0.10535527071851741</v>
      </c>
      <c r="T47" s="1208">
        <f>MODEL!CH1526</f>
        <v>0.11809640280547405</v>
      </c>
      <c r="U47" s="1208">
        <f>MODEL!CI1526</f>
        <v>0</v>
      </c>
      <c r="V47" s="1208">
        <f>MODEL!CJ1526</f>
        <v>5.1083675277019576E-2</v>
      </c>
      <c r="W47" s="1208">
        <f>MODEL!CK1526</f>
        <v>8.3039713875953894E-2</v>
      </c>
      <c r="X47" s="1209">
        <f>MODEL!CL1526</f>
        <v>6.7227792735176525E-2</v>
      </c>
      <c r="Y47" s="1209">
        <f>MODEL!CM1526</f>
        <v>0</v>
      </c>
      <c r="Z47" s="1209">
        <f>MODEL!CN1526</f>
        <v>0.10392874165134662</v>
      </c>
      <c r="AA47" s="1209">
        <f>MODEL!CO1526</f>
        <v>0.10893423132531779</v>
      </c>
      <c r="AB47" s="1209">
        <f>MODEL!CP1526</f>
        <v>0.10646146182683265</v>
      </c>
      <c r="AC47" s="1208">
        <f>MODEL!CQ1526</f>
        <v>0</v>
      </c>
      <c r="AD47" s="1208">
        <f>MODEL!CR1526</f>
        <v>0.10681467964009711</v>
      </c>
      <c r="AE47" s="1208">
        <f>MODEL!CS1526</f>
        <v>0.11472014600897035</v>
      </c>
      <c r="AF47" s="1209">
        <f>MODEL!CT1526</f>
        <v>0.11080355966002101</v>
      </c>
      <c r="AG47" s="1208">
        <f>MODEL!CU1526</f>
        <v>0</v>
      </c>
      <c r="AH47" s="1208">
        <f>MODEL!CV1526</f>
        <v>0.12063717066544855</v>
      </c>
      <c r="AI47" s="1208">
        <f>MODEL!CW1526</f>
        <v>0.11057356784065288</v>
      </c>
      <c r="AJ47" s="1209">
        <f>MODEL!CX1526</f>
        <v>0.11555413531197511</v>
      </c>
      <c r="AK47" s="1208">
        <f>MODEL!CY1526</f>
        <v>0</v>
      </c>
      <c r="AL47" s="1208">
        <f>MODEL!CZ1526</f>
        <v>0.10625981601974423</v>
      </c>
      <c r="AM47" s="1208">
        <f>MODEL!DA1526</f>
        <v>9.7703671200819076E-2</v>
      </c>
      <c r="AN47" s="1209">
        <f>MODEL!DB1526</f>
        <v>0.10204430012404642</v>
      </c>
      <c r="AO47" s="1208"/>
      <c r="AP47" s="1208"/>
      <c r="AQ47" s="1208"/>
      <c r="AR47" s="1693">
        <f>MODEL!DF1526</f>
        <v>8.6961748551764556E-2</v>
      </c>
      <c r="AS47" s="1208"/>
      <c r="AT47" s="1208"/>
      <c r="AU47" s="1208"/>
      <c r="AV47" s="1208">
        <f ca="1">MODEL!DJ1526</f>
        <v>0.10870985013255156</v>
      </c>
      <c r="AW47" s="1208"/>
      <c r="AX47" s="1208"/>
      <c r="AY47" s="1208"/>
      <c r="AZ47" s="1208">
        <f ca="1">MODEL!DN1526</f>
        <v>0.11068518493202063</v>
      </c>
      <c r="BA47" s="1208"/>
      <c r="BB47" s="1208"/>
      <c r="BC47" s="1208"/>
      <c r="BD47" s="1208">
        <f ca="1">MODEL!DR1526</f>
        <v>0.11462390424892289</v>
      </c>
    </row>
    <row r="48" spans="3:56">
      <c r="C48" s="654" t="s">
        <v>433</v>
      </c>
      <c r="D48" s="655"/>
      <c r="E48" s="654"/>
      <c r="F48" s="654"/>
      <c r="G48" s="654"/>
      <c r="H48" s="655"/>
      <c r="I48" s="656"/>
      <c r="J48" s="656"/>
      <c r="K48" s="656"/>
      <c r="L48" s="655" t="str">
        <f>L$2</f>
        <v>FY17</v>
      </c>
      <c r="M48" s="655">
        <f t="shared" ref="M48:BD48" si="69">M$2</f>
        <v>0</v>
      </c>
      <c r="N48" s="655">
        <f t="shared" si="69"/>
        <v>0</v>
      </c>
      <c r="O48" s="655">
        <f t="shared" si="69"/>
        <v>0</v>
      </c>
      <c r="P48" s="655" t="str">
        <f t="shared" si="69"/>
        <v>FY18</v>
      </c>
      <c r="Q48" s="655">
        <f t="shared" si="69"/>
        <v>0</v>
      </c>
      <c r="R48" s="655">
        <f t="shared" si="69"/>
        <v>0</v>
      </c>
      <c r="S48" s="655">
        <f t="shared" si="69"/>
        <v>0</v>
      </c>
      <c r="T48" s="655" t="str">
        <f t="shared" si="69"/>
        <v>FY19</v>
      </c>
      <c r="U48" s="655">
        <f t="shared" si="69"/>
        <v>0</v>
      </c>
      <c r="V48" s="655">
        <f t="shared" si="69"/>
        <v>0</v>
      </c>
      <c r="W48" s="655">
        <f t="shared" si="69"/>
        <v>0</v>
      </c>
      <c r="X48" s="655" t="str">
        <f t="shared" si="69"/>
        <v>FY20</v>
      </c>
      <c r="Y48" s="655">
        <f t="shared" si="69"/>
        <v>0</v>
      </c>
      <c r="Z48" s="655">
        <f t="shared" si="69"/>
        <v>0</v>
      </c>
      <c r="AA48" s="655">
        <f t="shared" si="69"/>
        <v>0</v>
      </c>
      <c r="AB48" s="655" t="str">
        <f t="shared" si="69"/>
        <v>FY21</v>
      </c>
      <c r="AC48" s="655">
        <f t="shared" si="69"/>
        <v>0</v>
      </c>
      <c r="AD48" s="655">
        <f t="shared" si="69"/>
        <v>0</v>
      </c>
      <c r="AE48" s="655">
        <f t="shared" si="69"/>
        <v>0</v>
      </c>
      <c r="AF48" s="655" t="str">
        <f t="shared" si="69"/>
        <v>FY22</v>
      </c>
      <c r="AG48" s="655">
        <f t="shared" si="69"/>
        <v>0</v>
      </c>
      <c r="AH48" s="655">
        <f t="shared" si="69"/>
        <v>0</v>
      </c>
      <c r="AI48" s="655">
        <f t="shared" si="69"/>
        <v>0</v>
      </c>
      <c r="AJ48" s="655" t="str">
        <f t="shared" si="69"/>
        <v>FY23</v>
      </c>
      <c r="AK48" s="655">
        <f t="shared" si="69"/>
        <v>0</v>
      </c>
      <c r="AL48" s="655">
        <f t="shared" si="69"/>
        <v>0</v>
      </c>
      <c r="AM48" s="655">
        <f t="shared" si="69"/>
        <v>0</v>
      </c>
      <c r="AN48" s="655" t="str">
        <f t="shared" si="69"/>
        <v>FY24</v>
      </c>
      <c r="AO48" s="655">
        <f t="shared" si="69"/>
        <v>0</v>
      </c>
      <c r="AP48" s="655">
        <f t="shared" si="69"/>
        <v>0</v>
      </c>
      <c r="AQ48" s="655">
        <f t="shared" si="69"/>
        <v>0</v>
      </c>
      <c r="AR48" s="1694" t="str">
        <f t="shared" si="69"/>
        <v>FY25</v>
      </c>
      <c r="AS48" s="655">
        <f t="shared" si="69"/>
        <v>0</v>
      </c>
      <c r="AT48" s="655">
        <f t="shared" si="69"/>
        <v>0</v>
      </c>
      <c r="AU48" s="655">
        <f t="shared" si="69"/>
        <v>0</v>
      </c>
      <c r="AV48" s="655" t="str">
        <f t="shared" si="69"/>
        <v>FY26E</v>
      </c>
      <c r="AW48" s="655">
        <f t="shared" si="69"/>
        <v>0</v>
      </c>
      <c r="AX48" s="655">
        <f t="shared" si="69"/>
        <v>0</v>
      </c>
      <c r="AY48" s="655">
        <f t="shared" si="69"/>
        <v>0</v>
      </c>
      <c r="AZ48" s="655" t="str">
        <f t="shared" si="69"/>
        <v>FY27E</v>
      </c>
      <c r="BA48" s="655">
        <f t="shared" si="69"/>
        <v>0</v>
      </c>
      <c r="BB48" s="655">
        <f t="shared" si="69"/>
        <v>0</v>
      </c>
      <c r="BC48" s="655">
        <f t="shared" si="69"/>
        <v>0</v>
      </c>
      <c r="BD48" s="655" t="str">
        <f t="shared" si="69"/>
        <v>FY28E</v>
      </c>
    </row>
    <row r="49" spans="3:56" outlineLevel="1">
      <c r="C49" s="444" t="s">
        <v>500</v>
      </c>
      <c r="D49" s="657">
        <f>D4</f>
        <v>300.46800000000002</v>
      </c>
      <c r="E49" s="630"/>
      <c r="F49" s="630"/>
      <c r="G49" s="630"/>
      <c r="H49" s="657">
        <f>H4</f>
        <v>323.14400000000001</v>
      </c>
      <c r="I49" s="630"/>
      <c r="J49" s="630"/>
      <c r="K49" s="630"/>
      <c r="L49" s="657">
        <f>L4</f>
        <v>337.30900000000003</v>
      </c>
      <c r="P49" s="657">
        <f>P4</f>
        <v>346.154</v>
      </c>
      <c r="T49" s="657">
        <f>T4</f>
        <v>343.80799999999999</v>
      </c>
      <c r="X49" s="657">
        <f>X4</f>
        <v>358.35</v>
      </c>
      <c r="Y49" s="657"/>
      <c r="Z49" s="657"/>
      <c r="AA49" s="657"/>
      <c r="AB49" s="657">
        <f>AB4</f>
        <v>372.572</v>
      </c>
      <c r="AC49" s="1032">
        <f t="shared" ref="AC49:AF49" si="70">AC4</f>
        <v>3.9687456397376809E-5</v>
      </c>
      <c r="AD49" s="1032">
        <f t="shared" si="70"/>
        <v>374.15199999999999</v>
      </c>
      <c r="AE49" s="1032">
        <f t="shared" si="70"/>
        <v>374.625</v>
      </c>
      <c r="AF49" s="657">
        <f t="shared" si="70"/>
        <v>374.625</v>
      </c>
      <c r="AG49" s="657"/>
      <c r="AH49" s="657"/>
      <c r="AI49" s="657"/>
      <c r="AJ49" s="657">
        <f t="shared" ref="AJ49" si="71">AJ4</f>
        <v>404.49099999999999</v>
      </c>
      <c r="AK49" s="657"/>
      <c r="AL49" s="657"/>
      <c r="AM49" s="657"/>
      <c r="AN49" s="657">
        <f t="shared" ref="AN49" si="72">AN4</f>
        <v>484.55399999999997</v>
      </c>
      <c r="AO49" s="657"/>
      <c r="AP49" s="657"/>
      <c r="AQ49" s="657"/>
      <c r="AR49" s="1676">
        <f t="shared" ref="AR49" si="73">AR4</f>
        <v>503.99700000000001</v>
      </c>
      <c r="AS49" s="657"/>
      <c r="AT49" s="657"/>
      <c r="AU49" s="657"/>
      <c r="AV49" s="657">
        <f>+AR49*(1+AV50)</f>
        <v>529.19685000000004</v>
      </c>
      <c r="AW49" s="657"/>
      <c r="AX49" s="657"/>
      <c r="AY49" s="657"/>
      <c r="AZ49" s="657">
        <f>+AV49*(1+AZ50)</f>
        <v>560.94866100000002</v>
      </c>
      <c r="BA49" s="657"/>
      <c r="BB49" s="657"/>
      <c r="BC49" s="657"/>
      <c r="BD49" s="657">
        <f>+AZ49*(1+BD50)</f>
        <v>594.6055806600001</v>
      </c>
    </row>
    <row r="50" spans="3:56" outlineLevel="1">
      <c r="C50" s="631" t="s">
        <v>258</v>
      </c>
      <c r="D50" s="632"/>
      <c r="E50" s="633"/>
      <c r="F50" s="633"/>
      <c r="G50" s="633"/>
      <c r="H50" s="658">
        <f>+H49/D49-1</f>
        <v>7.5468935127867232E-2</v>
      </c>
      <c r="I50" s="633"/>
      <c r="J50" s="633"/>
      <c r="K50" s="633"/>
      <c r="L50" s="658">
        <f>+L49/H49-1</f>
        <v>4.3834946649171869E-2</v>
      </c>
      <c r="M50" s="660"/>
      <c r="N50" s="660"/>
      <c r="O50" s="660"/>
      <c r="P50" s="658">
        <f>+P49/L49-1</f>
        <v>2.622224725696598E-2</v>
      </c>
      <c r="T50" s="658">
        <f>+T49/P49-1</f>
        <v>-6.7773303211865477E-3</v>
      </c>
      <c r="X50" s="1033">
        <f>+X49/T49-1</f>
        <v>4.2296863365599568E-2</v>
      </c>
      <c r="Y50" s="1056"/>
      <c r="Z50" s="1056"/>
      <c r="AA50" s="1056"/>
      <c r="AB50" s="1033">
        <f>+AB49/X49-1</f>
        <v>3.9687456397376808E-2</v>
      </c>
      <c r="AC50" s="1034" t="e">
        <f t="shared" ref="AC50:AF50" si="74">+AC49/Y49-1</f>
        <v>#DIV/0!</v>
      </c>
      <c r="AD50" s="1034" t="e">
        <f t="shared" si="74"/>
        <v>#DIV/0!</v>
      </c>
      <c r="AE50" s="1034" t="e">
        <f t="shared" si="74"/>
        <v>#DIV/0!</v>
      </c>
      <c r="AF50" s="1033">
        <f t="shared" si="74"/>
        <v>5.5103443092878734E-3</v>
      </c>
      <c r="AG50" s="659"/>
      <c r="AH50" s="659"/>
      <c r="AI50" s="659"/>
      <c r="AJ50" s="1033">
        <f t="shared" ref="AJ50" si="75">+AJ49/AF49-1</f>
        <v>7.9722389055722376E-2</v>
      </c>
      <c r="AK50" s="659"/>
      <c r="AL50" s="659"/>
      <c r="AM50" s="659"/>
      <c r="AN50" s="1033">
        <f t="shared" ref="AN50" si="76">+AN49/AJ49-1</f>
        <v>0.19793518273583333</v>
      </c>
      <c r="AO50" s="659"/>
      <c r="AP50" s="659"/>
      <c r="AQ50" s="659"/>
      <c r="AR50" s="1677">
        <f t="shared" ref="AR50" si="77">+AR49/AN49-1</f>
        <v>4.0125558761252789E-2</v>
      </c>
      <c r="AS50" s="659"/>
      <c r="AT50" s="659"/>
      <c r="AU50" s="659"/>
      <c r="AV50" s="659">
        <v>0.05</v>
      </c>
      <c r="AW50" s="659"/>
      <c r="AX50" s="659"/>
      <c r="AY50" s="659"/>
      <c r="AZ50" s="659">
        <v>0.06</v>
      </c>
      <c r="BA50" s="659"/>
      <c r="BB50" s="659"/>
      <c r="BC50" s="659"/>
      <c r="BD50" s="659">
        <v>0.06</v>
      </c>
    </row>
    <row r="51" spans="3:56" outlineLevel="1">
      <c r="C51" s="444" t="s">
        <v>410</v>
      </c>
      <c r="D51" s="657">
        <f>D6</f>
        <v>274.52600000000001</v>
      </c>
      <c r="H51" s="657">
        <f>H6</f>
        <v>257.43499999999995</v>
      </c>
      <c r="L51" s="657">
        <f>L6</f>
        <v>247.19299999999993</v>
      </c>
      <c r="P51" s="657">
        <f>P6</f>
        <v>262.65599999999995</v>
      </c>
      <c r="T51" s="657">
        <f>T6</f>
        <v>275.35699999999997</v>
      </c>
      <c r="X51" s="657">
        <f>X6</f>
        <v>264.18399999999997</v>
      </c>
      <c r="Y51" s="657"/>
      <c r="Z51" s="657"/>
      <c r="AA51" s="657"/>
      <c r="AB51" s="657">
        <f>AB6</f>
        <v>261.62599999999998</v>
      </c>
      <c r="AC51" s="1032">
        <f t="shared" ref="AC51:AF51" si="78">AC6</f>
        <v>-2.0951130349321502E-5</v>
      </c>
      <c r="AD51" s="1032">
        <f t="shared" si="78"/>
        <v>281.30300000000005</v>
      </c>
      <c r="AE51" s="1032">
        <f t="shared" si="78"/>
        <v>301.88199999999995</v>
      </c>
      <c r="AF51" s="657">
        <f t="shared" si="78"/>
        <v>301.88199999999995</v>
      </c>
      <c r="AG51" s="657"/>
      <c r="AH51" s="657"/>
      <c r="AI51" s="657"/>
      <c r="AJ51" s="657">
        <f t="shared" ref="AJ51" si="79">AJ6</f>
        <v>306.61400000000003</v>
      </c>
      <c r="AK51" s="657"/>
      <c r="AL51" s="657"/>
      <c r="AM51" s="657"/>
      <c r="AN51" s="657">
        <f t="shared" ref="AN51" si="80">AN6</f>
        <v>323.01800000000003</v>
      </c>
      <c r="AO51" s="657"/>
      <c r="AP51" s="657"/>
      <c r="AQ51" s="657"/>
      <c r="AR51" s="1676">
        <f t="shared" ref="AR51" si="81">AR6</f>
        <v>329.97399999999999</v>
      </c>
      <c r="AS51" s="657"/>
      <c r="AT51" s="657"/>
      <c r="AU51" s="657"/>
      <c r="AV51" s="657">
        <f>+AV53-AV49</f>
        <v>350.6425549999999</v>
      </c>
      <c r="AW51" s="657"/>
      <c r="AX51" s="657"/>
      <c r="AY51" s="657"/>
      <c r="AZ51" s="657">
        <f>+AZ53-AZ49</f>
        <v>367.28191127499986</v>
      </c>
      <c r="BA51" s="657"/>
      <c r="BB51" s="657"/>
      <c r="BC51" s="657"/>
      <c r="BD51" s="657">
        <f>+BD53-BD49</f>
        <v>389.31882595149978</v>
      </c>
    </row>
    <row r="52" spans="3:56" outlineLevel="1">
      <c r="C52" s="585" t="s">
        <v>260</v>
      </c>
      <c r="D52" s="737"/>
      <c r="E52" s="738"/>
      <c r="F52" s="738"/>
      <c r="G52" s="738"/>
      <c r="H52" s="739">
        <f>+H51/D51-1</f>
        <v>-6.225639830107188E-2</v>
      </c>
      <c r="I52" s="738"/>
      <c r="J52" s="738"/>
      <c r="K52" s="738"/>
      <c r="L52" s="739">
        <f>+L51/H51-1</f>
        <v>-3.9784800046613777E-2</v>
      </c>
      <c r="M52" s="738"/>
      <c r="N52" s="738"/>
      <c r="O52" s="738"/>
      <c r="P52" s="739">
        <f>+P51/L51-1</f>
        <v>6.2554360358100913E-2</v>
      </c>
      <c r="T52" s="739">
        <f>+T51/P51-1</f>
        <v>4.8356024610136439E-2</v>
      </c>
      <c r="X52" s="776">
        <f>+X51/T51-1</f>
        <v>-4.0576415344443784E-2</v>
      </c>
      <c r="Y52" s="776"/>
      <c r="Z52" s="776"/>
      <c r="AA52" s="776"/>
      <c r="AB52" s="776">
        <f>+AB51/X51-1</f>
        <v>-9.6826454289434816E-3</v>
      </c>
      <c r="AC52" s="1042" t="e">
        <f t="shared" ref="AC52:AF52" si="82">+AC51/Y51-1</f>
        <v>#DIV/0!</v>
      </c>
      <c r="AD52" s="1042" t="e">
        <f t="shared" si="82"/>
        <v>#DIV/0!</v>
      </c>
      <c r="AE52" s="1042" t="e">
        <f t="shared" si="82"/>
        <v>#DIV/0!</v>
      </c>
      <c r="AF52" s="776">
        <f t="shared" si="82"/>
        <v>0.1538684993081727</v>
      </c>
      <c r="AG52" s="739"/>
      <c r="AH52" s="739"/>
      <c r="AI52" s="739"/>
      <c r="AJ52" s="776">
        <f t="shared" ref="AJ52" si="83">+AJ51/AF51-1</f>
        <v>1.5674998840606857E-2</v>
      </c>
      <c r="AK52" s="739"/>
      <c r="AL52" s="739"/>
      <c r="AM52" s="739"/>
      <c r="AN52" s="776">
        <f t="shared" ref="AN52" si="84">+AN51/AJ51-1</f>
        <v>5.3500492475881734E-2</v>
      </c>
      <c r="AO52" s="739"/>
      <c r="AP52" s="739"/>
      <c r="AQ52" s="739"/>
      <c r="AR52" s="1683">
        <f t="shared" ref="AR52" si="85">+AR51/AN51-1</f>
        <v>2.1534403655523615E-2</v>
      </c>
      <c r="AS52" s="739"/>
      <c r="AT52" s="739"/>
      <c r="AU52" s="739"/>
      <c r="AV52" s="739">
        <f>+AV51/AR51-1</f>
        <v>6.2636919878535702E-2</v>
      </c>
      <c r="AW52" s="739"/>
      <c r="AX52" s="739"/>
      <c r="AY52" s="739"/>
      <c r="AZ52" s="739">
        <f>+AZ51/AV51-1</f>
        <v>4.7453898671825367E-2</v>
      </c>
      <c r="BA52" s="739"/>
      <c r="BB52" s="739"/>
      <c r="BC52" s="739"/>
      <c r="BD52" s="739">
        <f>+BD51/AZ51-1</f>
        <v>5.9999999999999831E-2</v>
      </c>
    </row>
    <row r="53" spans="3:56" outlineLevel="1">
      <c r="C53" s="444" t="s">
        <v>715</v>
      </c>
      <c r="D53" s="657">
        <f>D$8</f>
        <v>574.99400000000003</v>
      </c>
      <c r="H53" s="657">
        <f>H$8</f>
        <v>580.57899999999995</v>
      </c>
      <c r="L53" s="657">
        <f>L$8</f>
        <v>584.50199999999995</v>
      </c>
      <c r="P53" s="657">
        <f>P$8</f>
        <v>608.80999999999995</v>
      </c>
      <c r="T53" s="657">
        <f>T$8</f>
        <v>619.16499999999996</v>
      </c>
      <c r="X53" s="657">
        <f>X$8</f>
        <v>622.53399999999999</v>
      </c>
      <c r="Y53" s="657"/>
      <c r="Z53" s="657"/>
      <c r="AA53" s="657"/>
      <c r="AB53" s="657">
        <f>AB$8</f>
        <v>634.19799999999998</v>
      </c>
      <c r="AC53" s="1032">
        <f t="shared" ref="AC53:AF53" si="86">AC$8</f>
        <v>1.8736326048055306E-5</v>
      </c>
      <c r="AD53" s="1032">
        <f t="shared" si="86"/>
        <v>655.45500000000004</v>
      </c>
      <c r="AE53" s="1032">
        <f t="shared" si="86"/>
        <v>676.50699999999995</v>
      </c>
      <c r="AF53" s="657">
        <f t="shared" si="86"/>
        <v>676.50699999999995</v>
      </c>
      <c r="AG53" s="657"/>
      <c r="AH53" s="657"/>
      <c r="AI53" s="657"/>
      <c r="AJ53" s="657">
        <f t="shared" ref="AJ53" si="87">AJ$8</f>
        <v>711.10500000000002</v>
      </c>
      <c r="AK53" s="657"/>
      <c r="AL53" s="657"/>
      <c r="AM53" s="657"/>
      <c r="AN53" s="657">
        <f t="shared" ref="AN53" si="88">AN$8</f>
        <v>807.572</v>
      </c>
      <c r="AO53" s="657"/>
      <c r="AP53" s="657"/>
      <c r="AQ53" s="657"/>
      <c r="AR53" s="1676">
        <f t="shared" ref="AR53" si="89">AR$8</f>
        <v>833.971</v>
      </c>
      <c r="AS53" s="657"/>
      <c r="AT53" s="657"/>
      <c r="AU53" s="657"/>
      <c r="AV53" s="657">
        <f>+AR53*(1+AV54)</f>
        <v>879.83940499999994</v>
      </c>
      <c r="AW53" s="657"/>
      <c r="AX53" s="657"/>
      <c r="AY53" s="657"/>
      <c r="AZ53" s="657">
        <f>+AV53*(1+AZ54)</f>
        <v>928.23057227499987</v>
      </c>
      <c r="BA53" s="657"/>
      <c r="BB53" s="657"/>
      <c r="BC53" s="657"/>
      <c r="BD53" s="657">
        <f>+AZ53*(1+BD54)</f>
        <v>983.92440661149988</v>
      </c>
    </row>
    <row r="54" spans="3:56" outlineLevel="1">
      <c r="C54" s="631" t="s">
        <v>754</v>
      </c>
      <c r="D54" s="658">
        <f>D$9</f>
        <v>9.1946666869232807E-2</v>
      </c>
      <c r="E54" s="631"/>
      <c r="F54" s="631"/>
      <c r="G54" s="631"/>
      <c r="H54" s="658">
        <f>H$9</f>
        <v>9.7131448328156011E-3</v>
      </c>
      <c r="I54" s="631"/>
      <c r="J54" s="631"/>
      <c r="K54" s="631"/>
      <c r="L54" s="658">
        <f>L$9</f>
        <v>6.757047705824748E-3</v>
      </c>
      <c r="M54" s="660"/>
      <c r="N54" s="660"/>
      <c r="O54" s="660"/>
      <c r="P54" s="658">
        <f>P$9</f>
        <v>4.1587539478051383E-2</v>
      </c>
      <c r="T54" s="658">
        <f>T$9</f>
        <v>1.7008590529064893E-2</v>
      </c>
      <c r="X54" s="1033">
        <f>X$9</f>
        <v>5.441199034183164E-3</v>
      </c>
      <c r="Y54" s="1056"/>
      <c r="Z54" s="1056"/>
      <c r="AA54" s="1056"/>
      <c r="AB54" s="1033">
        <f>AB$9</f>
        <v>1.8736326048055307E-2</v>
      </c>
      <c r="AC54" s="1034">
        <f t="shared" ref="AC54:AF54" si="90">AC$9</f>
        <v>655455</v>
      </c>
      <c r="AD54" s="1034">
        <f t="shared" si="90"/>
        <v>676507</v>
      </c>
      <c r="AE54" s="1034">
        <f t="shared" si="90"/>
        <v>676507</v>
      </c>
      <c r="AF54" s="1033">
        <f t="shared" si="90"/>
        <v>6.6712603950185967E-2</v>
      </c>
      <c r="AG54" s="659"/>
      <c r="AH54" s="659"/>
      <c r="AI54" s="659"/>
      <c r="AJ54" s="1033">
        <f t="shared" ref="AJ54" si="91">AJ$9</f>
        <v>5.1142116785192204E-2</v>
      </c>
      <c r="AK54" s="659"/>
      <c r="AL54" s="659"/>
      <c r="AM54" s="659"/>
      <c r="AN54" s="1033">
        <f t="shared" ref="AN54" si="92">AN$9</f>
        <v>0.13565788455994543</v>
      </c>
      <c r="AO54" s="659"/>
      <c r="AP54" s="659"/>
      <c r="AQ54" s="659"/>
      <c r="AR54" s="1677">
        <f t="shared" ref="AR54" si="93">AR$9</f>
        <v>3.2689345346297305E-2</v>
      </c>
      <c r="AS54" s="659"/>
      <c r="AT54" s="659"/>
      <c r="AU54" s="659"/>
      <c r="AV54" s="659">
        <v>5.5E-2</v>
      </c>
      <c r="AW54" s="659"/>
      <c r="AX54" s="659"/>
      <c r="AY54" s="659"/>
      <c r="AZ54" s="659">
        <v>5.5E-2</v>
      </c>
      <c r="BA54" s="659"/>
      <c r="BB54" s="659"/>
      <c r="BC54" s="659"/>
      <c r="BD54" s="659">
        <v>0.06</v>
      </c>
    </row>
    <row r="55" spans="3:56" outlineLevel="1">
      <c r="C55" s="444" t="s">
        <v>831</v>
      </c>
      <c r="D55" s="657">
        <f>D$10</f>
        <v>555.60249999999996</v>
      </c>
      <c r="H55" s="657">
        <f>H$10</f>
        <v>551.00850000000003</v>
      </c>
      <c r="L55" s="657">
        <f>L$10</f>
        <v>557.06849999999997</v>
      </c>
      <c r="P55" s="657">
        <f>P$10</f>
        <v>567.10299999999995</v>
      </c>
      <c r="T55" s="657">
        <f>T$10</f>
        <v>587.92399999999998</v>
      </c>
      <c r="X55" s="657">
        <f>X$10</f>
        <v>606.01700000000005</v>
      </c>
      <c r="Y55" s="657"/>
      <c r="Z55" s="657"/>
      <c r="AA55" s="657"/>
      <c r="AB55" s="657">
        <f>AB$10</f>
        <v>586.88499999999999</v>
      </c>
      <c r="AC55" s="1032">
        <f t="shared" ref="AC55:AF55" si="94">AC$10</f>
        <v>-3.1570071466642037E-5</v>
      </c>
      <c r="AD55" s="1032">
        <f t="shared" si="94"/>
        <v>607.08699999999999</v>
      </c>
      <c r="AE55" s="1032">
        <f t="shared" si="94"/>
        <v>619.49</v>
      </c>
      <c r="AF55" s="657">
        <f t="shared" si="94"/>
        <v>613.30499999999995</v>
      </c>
      <c r="AG55" s="657"/>
      <c r="AH55" s="657"/>
      <c r="AI55" s="657"/>
      <c r="AJ55" s="657">
        <f t="shared" ref="AJ55" si="95">AJ$10</f>
        <v>649.71299999999997</v>
      </c>
      <c r="AK55" s="657"/>
      <c r="AL55" s="657"/>
      <c r="AM55" s="657"/>
      <c r="AN55" s="657">
        <f t="shared" ref="AN55" si="96">AN$10</f>
        <v>681.68</v>
      </c>
      <c r="AO55" s="657"/>
      <c r="AP55" s="657"/>
      <c r="AQ55" s="657"/>
      <c r="AR55" s="1676">
        <f t="shared" ref="AR55" si="97">AR$10</f>
        <v>769.89499999999998</v>
      </c>
      <c r="AS55" s="657"/>
      <c r="AT55" s="657"/>
      <c r="AU55" s="657"/>
      <c r="AV55" s="657">
        <f>+AV$10/AV$8*AV53</f>
        <v>810.04917891833816</v>
      </c>
      <c r="AW55" s="657"/>
      <c r="AX55" s="657"/>
      <c r="AY55" s="657"/>
      <c r="AZ55" s="657">
        <f>+AZ$10/AZ$8*AZ53</f>
        <v>849.87216703752824</v>
      </c>
      <c r="BA55" s="657"/>
      <c r="BB55" s="657"/>
      <c r="BC55" s="657"/>
      <c r="BD55" s="657">
        <f>+BD$10/BD$8*BD53</f>
        <v>903.02507545281117</v>
      </c>
    </row>
    <row r="56" spans="3:56" outlineLevel="1">
      <c r="C56" s="444" t="s">
        <v>832</v>
      </c>
      <c r="D56" s="657">
        <f>D$11</f>
        <v>161.36850000000001</v>
      </c>
      <c r="H56" s="657">
        <f>H$11</f>
        <v>179.82650000000001</v>
      </c>
      <c r="L56" s="657">
        <f>L$11</f>
        <v>190.92099999999999</v>
      </c>
      <c r="P56" s="657">
        <f>P$11</f>
        <v>207.78100000000001</v>
      </c>
      <c r="T56" s="657">
        <f>T$11</f>
        <v>225.29499999999999</v>
      </c>
      <c r="X56" s="657">
        <f>X$11</f>
        <v>256.86500000000001</v>
      </c>
      <c r="Y56" s="657"/>
      <c r="Z56" s="657"/>
      <c r="AA56" s="657"/>
      <c r="AB56" s="657">
        <f>AB$11</f>
        <v>276.80599999999998</v>
      </c>
      <c r="AC56" s="1032">
        <f t="shared" ref="AC56:AF56" si="98">AC$11</f>
        <v>7.7632219259143873E-5</v>
      </c>
      <c r="AD56" s="1032">
        <f t="shared" si="98"/>
        <v>292.59100000000001</v>
      </c>
      <c r="AE56" s="1032">
        <f t="shared" si="98"/>
        <v>300.85000000000002</v>
      </c>
      <c r="AF56" s="657">
        <f t="shared" si="98"/>
        <v>296.73200000000003</v>
      </c>
      <c r="AG56" s="657"/>
      <c r="AH56" s="657"/>
      <c r="AI56" s="657"/>
      <c r="AJ56" s="657">
        <f t="shared" ref="AJ56" si="99">AJ$11</f>
        <v>325.36599999999999</v>
      </c>
      <c r="AK56" s="657"/>
      <c r="AL56" s="657"/>
      <c r="AM56" s="657"/>
      <c r="AN56" s="657">
        <f t="shared" ref="AN56" si="100">AN$11</f>
        <v>341.93599999999998</v>
      </c>
      <c r="AO56" s="657"/>
      <c r="AP56" s="657"/>
      <c r="AQ56" s="657"/>
      <c r="AR56" s="1676">
        <f t="shared" ref="AR56" si="101">AR$11</f>
        <v>389.79300000000001</v>
      </c>
      <c r="AS56" s="657"/>
      <c r="AT56" s="657"/>
      <c r="AU56" s="657"/>
      <c r="AV56" s="657">
        <f>AV$11</f>
        <v>406.5454258691945</v>
      </c>
      <c r="AW56" s="657"/>
      <c r="AX56" s="657"/>
      <c r="AY56" s="657"/>
      <c r="AZ56" s="657">
        <f>AZ$11</f>
        <v>423.32617784913452</v>
      </c>
      <c r="BA56" s="657"/>
      <c r="BB56" s="657"/>
      <c r="BC56" s="657"/>
      <c r="BD56" s="657">
        <f>BD$11</f>
        <v>442.26528411453006</v>
      </c>
    </row>
    <row r="57" spans="3:56" outlineLevel="1">
      <c r="C57" s="584" t="s">
        <v>598</v>
      </c>
      <c r="D57" s="650">
        <f>D55+D56</f>
        <v>716.971</v>
      </c>
      <c r="E57" s="584"/>
      <c r="F57" s="584"/>
      <c r="G57" s="584"/>
      <c r="H57" s="650">
        <f>H55+H56</f>
        <v>730.83500000000004</v>
      </c>
      <c r="I57" s="584"/>
      <c r="J57" s="584"/>
      <c r="K57" s="584"/>
      <c r="L57" s="650">
        <f>L55+L56</f>
        <v>747.98949999999991</v>
      </c>
      <c r="M57" s="584"/>
      <c r="N57" s="584"/>
      <c r="O57" s="584"/>
      <c r="P57" s="650">
        <f>P55+P56</f>
        <v>774.88400000000001</v>
      </c>
      <c r="T57" s="650">
        <f>T55+T56</f>
        <v>813.21899999999994</v>
      </c>
      <c r="X57" s="650">
        <f>X55+X56</f>
        <v>862.88200000000006</v>
      </c>
      <c r="Y57" s="650"/>
      <c r="Z57" s="650"/>
      <c r="AA57" s="650"/>
      <c r="AB57" s="650">
        <f>AB55+AB56</f>
        <v>863.69100000000003</v>
      </c>
      <c r="AC57" s="1052">
        <f t="shared" ref="AC57:AF57" si="102">AC55+AC56</f>
        <v>4.6062147792501836E-5</v>
      </c>
      <c r="AD57" s="1052">
        <f t="shared" si="102"/>
        <v>899.678</v>
      </c>
      <c r="AE57" s="1052">
        <f t="shared" si="102"/>
        <v>920.34</v>
      </c>
      <c r="AF57" s="650">
        <f t="shared" si="102"/>
        <v>910.03700000000003</v>
      </c>
      <c r="AG57" s="650"/>
      <c r="AH57" s="650"/>
      <c r="AI57" s="650"/>
      <c r="AJ57" s="650">
        <f t="shared" ref="AJ57" si="103">AJ55+AJ56</f>
        <v>975.07899999999995</v>
      </c>
      <c r="AK57" s="650"/>
      <c r="AL57" s="650"/>
      <c r="AM57" s="650"/>
      <c r="AN57" s="650">
        <f t="shared" ref="AN57" si="104">AN55+AN56</f>
        <v>1023.616</v>
      </c>
      <c r="AO57" s="650"/>
      <c r="AP57" s="650"/>
      <c r="AQ57" s="650"/>
      <c r="AR57" s="1690">
        <f t="shared" ref="AR57" si="105">AR55+AR56</f>
        <v>1159.6880000000001</v>
      </c>
      <c r="AS57" s="650"/>
      <c r="AT57" s="650"/>
      <c r="AU57" s="650"/>
      <c r="AV57" s="650">
        <f>+AV55+AV56</f>
        <v>1216.5946047875327</v>
      </c>
      <c r="AW57" s="650"/>
      <c r="AX57" s="650"/>
      <c r="AY57" s="650"/>
      <c r="AZ57" s="650">
        <f>+AZ55+AZ56</f>
        <v>1273.1983448866627</v>
      </c>
      <c r="BA57" s="650"/>
      <c r="BB57" s="650"/>
      <c r="BC57" s="650"/>
      <c r="BD57" s="650">
        <f>+BD55+BD56</f>
        <v>1345.2903595673413</v>
      </c>
    </row>
    <row r="58" spans="3:56" outlineLevel="1">
      <c r="C58" s="444" t="s">
        <v>833</v>
      </c>
      <c r="D58" s="661">
        <f>D$13</f>
        <v>2.0385761767212341E-2</v>
      </c>
      <c r="H58" s="661">
        <f>H$13</f>
        <v>2.0654456888353732E-2</v>
      </c>
      <c r="L58" s="661">
        <f>L$13</f>
        <v>1.9886642793782532E-2</v>
      </c>
      <c r="P58" s="661">
        <f>P$13</f>
        <v>1.8730545475193705E-2</v>
      </c>
      <c r="T58" s="661">
        <f>T$13</f>
        <v>1.763239668527174E-2</v>
      </c>
      <c r="X58" s="661">
        <f>X$13</f>
        <v>1.6281484606238166E-2</v>
      </c>
      <c r="Y58" s="661"/>
      <c r="Z58" s="661"/>
      <c r="AA58" s="661"/>
      <c r="AB58" s="661">
        <f>AB$13</f>
        <v>1.639591011137085E-2</v>
      </c>
      <c r="AC58" s="1057">
        <f t="shared" ref="AC58:AF58" si="106">AC$13</f>
        <v>0</v>
      </c>
      <c r="AD58" s="1057">
        <f t="shared" si="106"/>
        <v>1.5826785793373838E-2</v>
      </c>
      <c r="AE58" s="1057">
        <f t="shared" si="106"/>
        <v>1.684759885008047E-2</v>
      </c>
      <c r="AF58" s="661">
        <f t="shared" si="106"/>
        <v>1.6344390392918091E-2</v>
      </c>
      <c r="AG58" s="661"/>
      <c r="AH58" s="661"/>
      <c r="AI58" s="661"/>
      <c r="AJ58" s="661">
        <f t="shared" ref="AJ58" si="107">AJ$13</f>
        <v>1.6997597117771997E-2</v>
      </c>
      <c r="AK58" s="661"/>
      <c r="AL58" s="661"/>
      <c r="AM58" s="661"/>
      <c r="AN58" s="661">
        <f t="shared" ref="AN58" si="108">AN$13</f>
        <v>1.5698269663623858E-2</v>
      </c>
      <c r="AO58" s="661"/>
      <c r="AP58" s="661"/>
      <c r="AQ58" s="661"/>
      <c r="AR58" s="1695">
        <f t="shared" ref="AR58" si="109">AR$13</f>
        <v>1.5487786370127137E-2</v>
      </c>
      <c r="AS58" s="661"/>
      <c r="AT58" s="661"/>
      <c r="AU58" s="661"/>
      <c r="AV58" s="661">
        <f>+AR58+AV59</f>
        <v>1.5887786370127138E-2</v>
      </c>
      <c r="AW58" s="661"/>
      <c r="AX58" s="661"/>
      <c r="AY58" s="661"/>
      <c r="AZ58" s="661">
        <f>+AV58+AZ59</f>
        <v>1.6087786370127137E-2</v>
      </c>
      <c r="BA58" s="661"/>
      <c r="BB58" s="661"/>
      <c r="BC58" s="661"/>
      <c r="BD58" s="661">
        <f>+AZ58+BD59</f>
        <v>1.6187786370127136E-2</v>
      </c>
    </row>
    <row r="59" spans="3:56" outlineLevel="1">
      <c r="C59" s="631" t="s">
        <v>127</v>
      </c>
      <c r="D59" s="640">
        <f>D$14</f>
        <v>-9.3891207207903032E-4</v>
      </c>
      <c r="E59" s="631"/>
      <c r="F59" s="631"/>
      <c r="G59" s="631"/>
      <c r="H59" s="640">
        <f>H$14</f>
        <v>2.6869512114139141E-4</v>
      </c>
      <c r="I59" s="631"/>
      <c r="J59" s="662"/>
      <c r="K59" s="662"/>
      <c r="L59" s="640">
        <f>L$14</f>
        <v>-7.6781409457120017E-4</v>
      </c>
      <c r="M59" s="631"/>
      <c r="N59" s="662"/>
      <c r="O59" s="662"/>
      <c r="P59" s="640">
        <f>P$14</f>
        <v>-1.1560973185888272E-3</v>
      </c>
      <c r="T59" s="640">
        <f>T$14</f>
        <v>-1.0981487899219648E-3</v>
      </c>
      <c r="X59" s="1043">
        <f>X$14</f>
        <v>-1.3509120790335741E-3</v>
      </c>
      <c r="Y59" s="1058"/>
      <c r="Z59" s="1058"/>
      <c r="AA59" s="1058"/>
      <c r="AB59" s="1043">
        <f>AB$14</f>
        <v>1.1442550513268354E-4</v>
      </c>
      <c r="AC59" s="1044">
        <f t="shared" ref="AC59:AF59" si="110">AC$14</f>
        <v>0</v>
      </c>
      <c r="AD59" s="1044">
        <f t="shared" si="110"/>
        <v>-5.1139787890194105E-4</v>
      </c>
      <c r="AE59" s="1044">
        <f t="shared" si="110"/>
        <v>3.9510283108035171E-4</v>
      </c>
      <c r="AF59" s="1043">
        <f t="shared" si="110"/>
        <v>-5.1519718452758961E-5</v>
      </c>
      <c r="AG59" s="663"/>
      <c r="AH59" s="663"/>
      <c r="AI59" s="663"/>
      <c r="AJ59" s="1043">
        <f t="shared" ref="AJ59" si="111">AJ$14</f>
        <v>6.5320672485390599E-4</v>
      </c>
      <c r="AK59" s="663"/>
      <c r="AL59" s="663"/>
      <c r="AM59" s="663"/>
      <c r="AN59" s="1043">
        <f t="shared" ref="AN59" si="112">AN$14</f>
        <v>-1.2993274541481387E-3</v>
      </c>
      <c r="AO59" s="663"/>
      <c r="AP59" s="663"/>
      <c r="AQ59" s="663"/>
      <c r="AR59" s="1685">
        <f t="shared" ref="AR59" si="113">AR$14</f>
        <v>-2.1048329349672087E-4</v>
      </c>
      <c r="AS59" s="663"/>
      <c r="AT59" s="663"/>
      <c r="AU59" s="663"/>
      <c r="AV59" s="663">
        <v>4.0000000000000002E-4</v>
      </c>
      <c r="AW59" s="663"/>
      <c r="AX59" s="663"/>
      <c r="AY59" s="663"/>
      <c r="AZ59" s="663">
        <v>2.0000000000000001E-4</v>
      </c>
      <c r="BA59" s="663"/>
      <c r="BB59" s="663"/>
      <c r="BC59" s="663"/>
      <c r="BD59" s="663">
        <v>1E-4</v>
      </c>
    </row>
    <row r="60" spans="3:56" outlineLevel="1">
      <c r="C60" s="444" t="s">
        <v>282</v>
      </c>
      <c r="D60" s="639">
        <f>D$15</f>
        <v>14616</v>
      </c>
      <c r="H60" s="639">
        <f>H$15</f>
        <v>15095</v>
      </c>
      <c r="L60" s="639">
        <f>L$15</f>
        <v>14875</v>
      </c>
      <c r="P60" s="639">
        <f>P$15</f>
        <v>14514</v>
      </c>
      <c r="T60" s="639">
        <f>T$15</f>
        <v>14339</v>
      </c>
      <c r="X60" s="639">
        <f>X$15</f>
        <v>14049</v>
      </c>
      <c r="Y60" s="639"/>
      <c r="Z60" s="639"/>
      <c r="AA60" s="639"/>
      <c r="AB60" s="639">
        <f>AB$15</f>
        <v>14161</v>
      </c>
      <c r="AC60" s="1039">
        <f t="shared" ref="AC60:AF60" si="114">AC$15</f>
        <v>7.9720976581962866E-3</v>
      </c>
      <c r="AD60" s="1039">
        <f t="shared" si="114"/>
        <v>7100</v>
      </c>
      <c r="AE60" s="1039">
        <f t="shared" si="114"/>
        <v>7774</v>
      </c>
      <c r="AF60" s="639">
        <f t="shared" si="114"/>
        <v>14874</v>
      </c>
      <c r="AG60" s="639"/>
      <c r="AH60" s="639"/>
      <c r="AI60" s="639"/>
      <c r="AJ60" s="639">
        <f t="shared" ref="AJ60" si="115">AJ$15</f>
        <v>16574</v>
      </c>
      <c r="AK60" s="639"/>
      <c r="AL60" s="639"/>
      <c r="AM60" s="639"/>
      <c r="AN60" s="639">
        <f t="shared" ref="AN60" si="116">AN$15</f>
        <v>16069</v>
      </c>
      <c r="AO60" s="639"/>
      <c r="AP60" s="639"/>
      <c r="AQ60" s="639"/>
      <c r="AR60" s="1681">
        <f t="shared" ref="AR60" si="117">AR$15</f>
        <v>17961</v>
      </c>
      <c r="AS60" s="639"/>
      <c r="AT60" s="639"/>
      <c r="AU60" s="639"/>
      <c r="AV60" s="639">
        <f>+AV57*AV58*1000</f>
        <v>19328.995179913578</v>
      </c>
      <c r="AW60" s="639"/>
      <c r="AX60" s="639"/>
      <c r="AY60" s="639"/>
      <c r="AZ60" s="639">
        <f>+AZ57*AZ58*1000</f>
        <v>20482.94297933608</v>
      </c>
      <c r="BA60" s="639"/>
      <c r="BB60" s="639"/>
      <c r="BC60" s="639"/>
      <c r="BD60" s="639">
        <f>+BD57*BD58*1000</f>
        <v>21777.272946467641</v>
      </c>
    </row>
    <row r="61" spans="3:56" outlineLevel="1">
      <c r="C61" s="444" t="s">
        <v>1053</v>
      </c>
      <c r="D61" s="639"/>
      <c r="H61" s="639"/>
      <c r="L61" s="639">
        <f t="shared" ref="L61:AJ61" si="118">L16</f>
        <v>4941</v>
      </c>
      <c r="M61" s="639">
        <f t="shared" si="118"/>
        <v>0</v>
      </c>
      <c r="N61" s="639">
        <f t="shared" si="118"/>
        <v>-406</v>
      </c>
      <c r="O61" s="639">
        <f t="shared" si="118"/>
        <v>19</v>
      </c>
      <c r="P61" s="639">
        <f t="shared" si="118"/>
        <v>4466</v>
      </c>
      <c r="Q61" s="639">
        <f t="shared" si="118"/>
        <v>0</v>
      </c>
      <c r="R61" s="639">
        <f t="shared" si="118"/>
        <v>-238</v>
      </c>
      <c r="S61" s="639">
        <f t="shared" si="118"/>
        <v>95</v>
      </c>
      <c r="T61" s="639">
        <f t="shared" si="118"/>
        <v>4547</v>
      </c>
      <c r="U61" s="639">
        <f t="shared" si="118"/>
        <v>0</v>
      </c>
      <c r="V61" s="639">
        <f t="shared" si="118"/>
        <v>797</v>
      </c>
      <c r="W61" s="639">
        <f t="shared" si="118"/>
        <v>162</v>
      </c>
      <c r="X61" s="639">
        <f t="shared" si="118"/>
        <v>4662</v>
      </c>
      <c r="Y61" s="639">
        <f t="shared" si="118"/>
        <v>0</v>
      </c>
      <c r="Z61" s="639">
        <f t="shared" si="118"/>
        <v>659</v>
      </c>
      <c r="AA61" s="639">
        <f t="shared" si="118"/>
        <v>68</v>
      </c>
      <c r="AB61" s="639">
        <f t="shared" si="118"/>
        <v>4013</v>
      </c>
      <c r="AC61" s="1039">
        <f t="shared" ref="AC61:AF61" si="119">AC16</f>
        <v>0.28639434129089314</v>
      </c>
      <c r="AD61" s="1039">
        <f t="shared" si="119"/>
        <v>1579</v>
      </c>
      <c r="AE61" s="1039">
        <f t="shared" si="119"/>
        <v>1807</v>
      </c>
      <c r="AF61" s="639">
        <f t="shared" si="119"/>
        <v>3386</v>
      </c>
      <c r="AG61" s="639">
        <f t="shared" si="118"/>
        <v>0</v>
      </c>
      <c r="AH61" s="639">
        <f t="shared" si="118"/>
        <v>60</v>
      </c>
      <c r="AI61" s="639">
        <f t="shared" si="118"/>
        <v>-35</v>
      </c>
      <c r="AJ61" s="639">
        <f t="shared" si="118"/>
        <v>4356</v>
      </c>
      <c r="AK61" s="639">
        <f t="shared" ref="AK61:AN61" si="120">AK16</f>
        <v>0</v>
      </c>
      <c r="AL61" s="639">
        <f t="shared" si="120"/>
        <v>21</v>
      </c>
      <c r="AM61" s="639">
        <f t="shared" si="120"/>
        <v>0</v>
      </c>
      <c r="AN61" s="639">
        <f t="shared" si="120"/>
        <v>4761</v>
      </c>
      <c r="AO61" s="639"/>
      <c r="AP61" s="639"/>
      <c r="AQ61" s="639"/>
      <c r="AR61" s="1681">
        <f t="shared" ref="AR61" si="121">AR16</f>
        <v>4223</v>
      </c>
      <c r="AS61" s="639"/>
      <c r="AT61" s="639"/>
      <c r="AU61" s="639"/>
      <c r="AV61" s="639">
        <f t="shared" ref="AV61" si="122">AV16</f>
        <v>4172.6483440000002</v>
      </c>
      <c r="AW61" s="639"/>
      <c r="AX61" s="639"/>
      <c r="AY61" s="639"/>
      <c r="AZ61" s="639">
        <f>AZ16</f>
        <v>4299.8124964675999</v>
      </c>
      <c r="BA61" s="639"/>
      <c r="BB61" s="639"/>
      <c r="BC61" s="639"/>
      <c r="BD61" s="639">
        <f>BD16</f>
        <v>4409.9696226462283</v>
      </c>
    </row>
    <row r="62" spans="3:56" outlineLevel="1">
      <c r="C62" s="444" t="s">
        <v>973</v>
      </c>
      <c r="D62" s="639"/>
      <c r="H62" s="639"/>
      <c r="L62" s="639">
        <f t="shared" ref="L62:AJ62" si="123">L17</f>
        <v>0</v>
      </c>
      <c r="M62" s="639">
        <f t="shared" si="123"/>
        <v>0</v>
      </c>
      <c r="N62" s="639">
        <f t="shared" si="123"/>
        <v>406</v>
      </c>
      <c r="O62" s="639">
        <f t="shared" si="123"/>
        <v>-19</v>
      </c>
      <c r="P62" s="639">
        <f t="shared" si="123"/>
        <v>387</v>
      </c>
      <c r="Q62" s="639">
        <f t="shared" si="123"/>
        <v>0</v>
      </c>
      <c r="R62" s="639">
        <f t="shared" si="123"/>
        <v>238</v>
      </c>
      <c r="S62" s="639">
        <f t="shared" si="123"/>
        <v>-95</v>
      </c>
      <c r="T62" s="639">
        <f t="shared" si="123"/>
        <v>143</v>
      </c>
      <c r="U62" s="639">
        <f t="shared" si="123"/>
        <v>0</v>
      </c>
      <c r="V62" s="639">
        <f t="shared" si="123"/>
        <v>-797</v>
      </c>
      <c r="W62" s="639">
        <f t="shared" si="123"/>
        <v>-162</v>
      </c>
      <c r="X62" s="639">
        <f t="shared" si="123"/>
        <v>-959</v>
      </c>
      <c r="Y62" s="639">
        <f t="shared" si="123"/>
        <v>0</v>
      </c>
      <c r="Z62" s="639">
        <f t="shared" si="123"/>
        <v>-659</v>
      </c>
      <c r="AA62" s="639">
        <f t="shared" si="123"/>
        <v>-68</v>
      </c>
      <c r="AB62" s="639">
        <f t="shared" si="123"/>
        <v>-727</v>
      </c>
      <c r="AC62" s="1039">
        <f t="shared" ref="AC62:AF62" si="124">AC17</f>
        <v>0</v>
      </c>
      <c r="AD62" s="1039">
        <f t="shared" si="124"/>
        <v>269</v>
      </c>
      <c r="AE62" s="1039">
        <f t="shared" si="124"/>
        <v>18</v>
      </c>
      <c r="AF62" s="639">
        <f t="shared" si="124"/>
        <v>287</v>
      </c>
      <c r="AG62" s="639">
        <f t="shared" si="123"/>
        <v>0</v>
      </c>
      <c r="AH62" s="639">
        <f t="shared" si="123"/>
        <v>-60</v>
      </c>
      <c r="AI62" s="639">
        <f t="shared" si="123"/>
        <v>35</v>
      </c>
      <c r="AJ62" s="639">
        <f t="shared" si="123"/>
        <v>-25</v>
      </c>
      <c r="AK62" s="639">
        <f t="shared" ref="AK62:AN62" si="125">AK17</f>
        <v>0</v>
      </c>
      <c r="AL62" s="639">
        <f t="shared" si="125"/>
        <v>-21</v>
      </c>
      <c r="AM62" s="639">
        <f t="shared" si="125"/>
        <v>0</v>
      </c>
      <c r="AN62" s="639">
        <f t="shared" si="125"/>
        <v>-21</v>
      </c>
      <c r="AO62" s="639"/>
      <c r="AP62" s="639"/>
      <c r="AQ62" s="639"/>
      <c r="AR62" s="1681">
        <f t="shared" ref="AR62" si="126">AR17</f>
        <v>-285</v>
      </c>
      <c r="AS62" s="639"/>
      <c r="AT62" s="639"/>
      <c r="AU62" s="639"/>
      <c r="AV62" s="639">
        <f t="shared" ref="AV62" si="127">AV17</f>
        <v>0</v>
      </c>
      <c r="AW62" s="639"/>
      <c r="AX62" s="639"/>
      <c r="AY62" s="639"/>
      <c r="AZ62" s="639">
        <f>AZ17</f>
        <v>0</v>
      </c>
      <c r="BA62" s="639"/>
      <c r="BB62" s="639"/>
      <c r="BC62" s="639"/>
      <c r="BD62" s="639">
        <f>BD17</f>
        <v>0</v>
      </c>
    </row>
    <row r="63" spans="3:56" outlineLevel="1">
      <c r="C63" s="444" t="s">
        <v>488</v>
      </c>
      <c r="D63" s="639">
        <f>D$18</f>
        <v>5921</v>
      </c>
      <c r="H63" s="639">
        <f>H$18</f>
        <v>5499</v>
      </c>
      <c r="L63" s="639">
        <f>L$18</f>
        <v>4941</v>
      </c>
      <c r="P63" s="639">
        <f>P$18</f>
        <v>4853</v>
      </c>
      <c r="T63" s="639">
        <f>T$18</f>
        <v>4690</v>
      </c>
      <c r="X63" s="639">
        <f>X$18</f>
        <v>3703</v>
      </c>
      <c r="Y63" s="639"/>
      <c r="Z63" s="639"/>
      <c r="AA63" s="639"/>
      <c r="AB63" s="639">
        <f>AB$18</f>
        <v>3286</v>
      </c>
      <c r="AC63" s="1039">
        <f t="shared" ref="AC63:AF63" si="128">AC$18</f>
        <v>0.28639434129089314</v>
      </c>
      <c r="AD63" s="1039">
        <f t="shared" si="128"/>
        <v>1848</v>
      </c>
      <c r="AE63" s="1039">
        <f t="shared" si="128"/>
        <v>1825</v>
      </c>
      <c r="AF63" s="639">
        <f t="shared" si="128"/>
        <v>3673</v>
      </c>
      <c r="AG63" s="639"/>
      <c r="AH63" s="639"/>
      <c r="AI63" s="639"/>
      <c r="AJ63" s="639">
        <f t="shared" ref="AJ63" si="129">AJ$18</f>
        <v>4331</v>
      </c>
      <c r="AK63" s="639"/>
      <c r="AL63" s="639"/>
      <c r="AM63" s="639"/>
      <c r="AN63" s="639">
        <f t="shared" ref="AN63" si="130">AN$18</f>
        <v>4740</v>
      </c>
      <c r="AO63" s="639"/>
      <c r="AP63" s="639"/>
      <c r="AQ63" s="639"/>
      <c r="AR63" s="1681">
        <f t="shared" ref="AR63" si="131">AR$18</f>
        <v>3938</v>
      </c>
      <c r="AS63" s="639"/>
      <c r="AT63" s="639"/>
      <c r="AU63" s="639"/>
      <c r="AV63" s="639">
        <f>AV$18</f>
        <v>4172.6483440000002</v>
      </c>
      <c r="AW63" s="639"/>
      <c r="AX63" s="639"/>
      <c r="AY63" s="639"/>
      <c r="AZ63" s="639">
        <f>AZ$18</f>
        <v>4299.8124964675999</v>
      </c>
      <c r="BA63" s="639"/>
      <c r="BB63" s="639"/>
      <c r="BC63" s="639"/>
      <c r="BD63" s="639">
        <f>BD$18</f>
        <v>4409.9696226462283</v>
      </c>
    </row>
    <row r="64" spans="3:56" outlineLevel="1">
      <c r="C64" s="444" t="s">
        <v>1054</v>
      </c>
      <c r="D64" s="639"/>
      <c r="H64" s="639"/>
      <c r="L64" s="639">
        <f t="shared" ref="L64:AJ64" si="132">L61+L60</f>
        <v>19816</v>
      </c>
      <c r="M64" s="639">
        <f t="shared" si="132"/>
        <v>0</v>
      </c>
      <c r="N64" s="639">
        <f t="shared" si="132"/>
        <v>-406</v>
      </c>
      <c r="O64" s="639">
        <f t="shared" si="132"/>
        <v>19</v>
      </c>
      <c r="P64" s="639">
        <f t="shared" si="132"/>
        <v>18980</v>
      </c>
      <c r="Q64" s="639">
        <f t="shared" si="132"/>
        <v>0</v>
      </c>
      <c r="R64" s="639">
        <f t="shared" si="132"/>
        <v>-238</v>
      </c>
      <c r="S64" s="639">
        <f t="shared" si="132"/>
        <v>95</v>
      </c>
      <c r="T64" s="639">
        <f t="shared" si="132"/>
        <v>18886</v>
      </c>
      <c r="U64" s="639">
        <f t="shared" si="132"/>
        <v>0</v>
      </c>
      <c r="V64" s="639">
        <f t="shared" si="132"/>
        <v>797</v>
      </c>
      <c r="W64" s="639">
        <f t="shared" si="132"/>
        <v>162</v>
      </c>
      <c r="X64" s="639">
        <f t="shared" si="132"/>
        <v>18711</v>
      </c>
      <c r="Y64" s="639">
        <f t="shared" si="132"/>
        <v>0</v>
      </c>
      <c r="Z64" s="639">
        <f t="shared" si="132"/>
        <v>659</v>
      </c>
      <c r="AA64" s="639">
        <f t="shared" si="132"/>
        <v>68</v>
      </c>
      <c r="AB64" s="639">
        <f t="shared" si="132"/>
        <v>18174</v>
      </c>
      <c r="AC64" s="1039">
        <f t="shared" ref="AC64:AF64" si="133">AC61+AC60</f>
        <v>0.29436643894908943</v>
      </c>
      <c r="AD64" s="1039">
        <f t="shared" si="133"/>
        <v>8679</v>
      </c>
      <c r="AE64" s="1039">
        <f t="shared" si="133"/>
        <v>9581</v>
      </c>
      <c r="AF64" s="639">
        <f t="shared" si="133"/>
        <v>18260</v>
      </c>
      <c r="AG64" s="639">
        <f t="shared" si="132"/>
        <v>0</v>
      </c>
      <c r="AH64" s="639">
        <f t="shared" si="132"/>
        <v>60</v>
      </c>
      <c r="AI64" s="639">
        <f t="shared" si="132"/>
        <v>-35</v>
      </c>
      <c r="AJ64" s="639">
        <f t="shared" si="132"/>
        <v>20930</v>
      </c>
      <c r="AK64" s="639">
        <f t="shared" ref="AK64:AN64" si="134">AK61+AK60</f>
        <v>0</v>
      </c>
      <c r="AL64" s="639">
        <f t="shared" si="134"/>
        <v>21</v>
      </c>
      <c r="AM64" s="639">
        <f t="shared" si="134"/>
        <v>0</v>
      </c>
      <c r="AN64" s="639">
        <f t="shared" si="134"/>
        <v>20830</v>
      </c>
      <c r="AO64" s="639"/>
      <c r="AP64" s="639"/>
      <c r="AQ64" s="639"/>
      <c r="AR64" s="1681">
        <f t="shared" ref="AR64" si="135">AR61+AR60</f>
        <v>22184</v>
      </c>
      <c r="AS64" s="639"/>
      <c r="AT64" s="639"/>
      <c r="AU64" s="639"/>
      <c r="AV64" s="639">
        <f t="shared" ref="AV64" si="136">AV61+AV60</f>
        <v>23501.643523913579</v>
      </c>
      <c r="AW64" s="639"/>
      <c r="AX64" s="639"/>
      <c r="AY64" s="639"/>
      <c r="AZ64" s="639">
        <f t="shared" ref="AZ64" si="137">AZ61+AZ60</f>
        <v>24782.755475803679</v>
      </c>
      <c r="BA64" s="639"/>
      <c r="BB64" s="639"/>
      <c r="BC64" s="639"/>
      <c r="BD64" s="639">
        <f t="shared" ref="BD64" si="138">BD61+BD60</f>
        <v>26187.242569113871</v>
      </c>
    </row>
    <row r="65" spans="3:56" outlineLevel="1">
      <c r="C65" s="444" t="s">
        <v>256</v>
      </c>
      <c r="D65" s="639">
        <f>D$20</f>
        <v>20537</v>
      </c>
      <c r="H65" s="639">
        <f>H$20</f>
        <v>20594</v>
      </c>
      <c r="L65" s="639">
        <f>L$20</f>
        <v>19816</v>
      </c>
      <c r="P65" s="639">
        <f>P$20</f>
        <v>19367</v>
      </c>
      <c r="T65" s="639">
        <f>T$20</f>
        <v>19029</v>
      </c>
      <c r="X65" s="639">
        <f>X$20</f>
        <v>17752</v>
      </c>
      <c r="Y65" s="639"/>
      <c r="Z65" s="639"/>
      <c r="AA65" s="639"/>
      <c r="AB65" s="639">
        <f>AB$20</f>
        <v>17447</v>
      </c>
      <c r="AC65" s="1039">
        <f t="shared" ref="AC65:AF65" si="139">AC$20</f>
        <v>0.29436643894908943</v>
      </c>
      <c r="AD65" s="1039">
        <f t="shared" si="139"/>
        <v>8948</v>
      </c>
      <c r="AE65" s="1039">
        <f t="shared" si="139"/>
        <v>9599</v>
      </c>
      <c r="AF65" s="639">
        <f t="shared" si="139"/>
        <v>18547</v>
      </c>
      <c r="AG65" s="639"/>
      <c r="AH65" s="639"/>
      <c r="AI65" s="639"/>
      <c r="AJ65" s="639">
        <f t="shared" ref="AJ65" si="140">AJ$20</f>
        <v>20905</v>
      </c>
      <c r="AK65" s="639"/>
      <c r="AL65" s="639"/>
      <c r="AM65" s="639"/>
      <c r="AN65" s="639">
        <f t="shared" ref="AN65" si="141">AN$20</f>
        <v>20809</v>
      </c>
      <c r="AO65" s="639"/>
      <c r="AP65" s="639"/>
      <c r="AQ65" s="639"/>
      <c r="AR65" s="1681">
        <f t="shared" ref="AR65" si="142">AR$20</f>
        <v>21899</v>
      </c>
      <c r="AS65" s="639"/>
      <c r="AT65" s="639"/>
      <c r="AU65" s="639"/>
      <c r="AV65" s="639">
        <f>+AV60+AV63</f>
        <v>23501.643523913579</v>
      </c>
      <c r="AW65" s="639"/>
      <c r="AX65" s="639"/>
      <c r="AY65" s="639"/>
      <c r="AZ65" s="639">
        <f>+AZ60+AZ63</f>
        <v>24782.755475803679</v>
      </c>
      <c r="BA65" s="639"/>
      <c r="BB65" s="639"/>
      <c r="BC65" s="639"/>
      <c r="BD65" s="639">
        <f>+BD60+BD63</f>
        <v>26187.242569113871</v>
      </c>
    </row>
    <row r="66" spans="3:56" outlineLevel="1">
      <c r="C66" s="585" t="s">
        <v>554</v>
      </c>
      <c r="D66" s="734"/>
      <c r="E66" s="585"/>
      <c r="F66" s="585"/>
      <c r="G66" s="585"/>
      <c r="H66" s="671">
        <f>+H65/D65-1</f>
        <v>2.7754784048303893E-3</v>
      </c>
      <c r="I66" s="585"/>
      <c r="J66" s="585"/>
      <c r="K66" s="585"/>
      <c r="L66" s="671">
        <f>+L65/H65-1</f>
        <v>-3.7777993590366155E-2</v>
      </c>
      <c r="M66" s="585"/>
      <c r="N66" s="585"/>
      <c r="O66" s="585"/>
      <c r="P66" s="671">
        <f>+P65/L65-1</f>
        <v>-2.2658457811869148E-2</v>
      </c>
      <c r="T66" s="671">
        <f>+T65/P65-1</f>
        <v>-1.7452367429132032E-2</v>
      </c>
      <c r="X66" s="1040">
        <f>+X65/T65-1</f>
        <v>-6.7108098165957197E-2</v>
      </c>
      <c r="Y66" s="1040"/>
      <c r="Z66" s="1040"/>
      <c r="AA66" s="1040"/>
      <c r="AB66" s="1040">
        <f>+AB65/X65-1</f>
        <v>-1.7181162685894535E-2</v>
      </c>
      <c r="AC66" s="1041" t="e">
        <f t="shared" ref="AC66:AF66" si="143">+AC65/Y65-1</f>
        <v>#DIV/0!</v>
      </c>
      <c r="AD66" s="1041" t="e">
        <f t="shared" si="143"/>
        <v>#DIV/0!</v>
      </c>
      <c r="AE66" s="1041" t="e">
        <f t="shared" si="143"/>
        <v>#DIV/0!</v>
      </c>
      <c r="AF66" s="1040">
        <f t="shared" si="143"/>
        <v>6.3048088496589605E-2</v>
      </c>
      <c r="AG66" s="671"/>
      <c r="AH66" s="671"/>
      <c r="AI66" s="671"/>
      <c r="AJ66" s="1040">
        <f t="shared" ref="AJ66" si="144">+AJ65/AF65-1</f>
        <v>0.12713646411818624</v>
      </c>
      <c r="AK66" s="671"/>
      <c r="AL66" s="671"/>
      <c r="AM66" s="671"/>
      <c r="AN66" s="1040">
        <f t="shared" ref="AN66" si="145">+AN65/AJ65-1</f>
        <v>-4.5922028222913358E-3</v>
      </c>
      <c r="AO66" s="671"/>
      <c r="AP66" s="671"/>
      <c r="AQ66" s="671"/>
      <c r="AR66" s="1682">
        <f t="shared" ref="AR66" si="146">+AR65/AN65-1</f>
        <v>5.2381181219664619E-2</v>
      </c>
      <c r="AS66" s="671"/>
      <c r="AT66" s="671"/>
      <c r="AU66" s="671"/>
      <c r="AV66" s="671">
        <f>+AV65/AR65-1</f>
        <v>7.3183411293373135E-2</v>
      </c>
      <c r="AW66" s="671"/>
      <c r="AX66" s="671"/>
      <c r="AY66" s="671"/>
      <c r="AZ66" s="671">
        <f>+AZ65/AV65-1</f>
        <v>5.4511589820794182E-2</v>
      </c>
      <c r="BA66" s="671"/>
      <c r="BB66" s="671"/>
      <c r="BC66" s="671"/>
      <c r="BD66" s="671">
        <f>+BD65/AZ65-1</f>
        <v>5.6671950569880947E-2</v>
      </c>
    </row>
    <row r="67" spans="3:56" outlineLevel="1">
      <c r="C67" s="444" t="s">
        <v>789</v>
      </c>
      <c r="D67" s="639"/>
      <c r="H67" s="639"/>
      <c r="L67" s="639">
        <f t="shared" ref="L67:T67" si="147">L22</f>
        <v>-8905</v>
      </c>
      <c r="M67" s="444">
        <f t="shared" si="147"/>
        <v>0</v>
      </c>
      <c r="N67" s="444">
        <f t="shared" si="147"/>
        <v>-4284</v>
      </c>
      <c r="O67" s="444">
        <f t="shared" si="147"/>
        <v>-4279</v>
      </c>
      <c r="P67" s="639">
        <f t="shared" si="147"/>
        <v>-8563</v>
      </c>
      <c r="Q67">
        <f t="shared" si="147"/>
        <v>-3.8405390230207725E-2</v>
      </c>
      <c r="R67">
        <f t="shared" si="147"/>
        <v>-4240</v>
      </c>
      <c r="S67">
        <f t="shared" si="147"/>
        <v>-4322</v>
      </c>
      <c r="T67" s="639">
        <f t="shared" si="147"/>
        <v>-8562</v>
      </c>
      <c r="X67" s="639">
        <f>X22</f>
        <v>-8649</v>
      </c>
      <c r="Y67" s="639">
        <f t="shared" ref="Y67:AA67" si="148">U67*(1+Y68)</f>
        <v>0</v>
      </c>
      <c r="Z67" s="639">
        <f t="shared" si="148"/>
        <v>0</v>
      </c>
      <c r="AA67" s="639">
        <f t="shared" si="148"/>
        <v>0</v>
      </c>
      <c r="AB67" s="639">
        <f>AB22</f>
        <v>-8670</v>
      </c>
      <c r="AC67" s="1039">
        <f t="shared" ref="AC67:AF67" si="149">AC22</f>
        <v>2.4280263614291364E-3</v>
      </c>
      <c r="AD67" s="1039">
        <f t="shared" si="149"/>
        <v>-4544</v>
      </c>
      <c r="AE67" s="1039">
        <f t="shared" si="149"/>
        <v>-4626</v>
      </c>
      <c r="AF67" s="639">
        <f t="shared" si="149"/>
        <v>-9170</v>
      </c>
      <c r="AG67" s="639">
        <f t="shared" ref="AG67:AI67" si="150">AC67*(1+AG68)</f>
        <v>2.4765868886577193E-3</v>
      </c>
      <c r="AH67" s="639">
        <f t="shared" si="150"/>
        <v>-4634.88</v>
      </c>
      <c r="AI67" s="639">
        <f t="shared" si="150"/>
        <v>-4718.5200000000004</v>
      </c>
      <c r="AJ67" s="639">
        <f t="shared" ref="AJ67" si="151">AJ22</f>
        <v>-9718</v>
      </c>
      <c r="AK67" s="639">
        <f t="shared" ref="AK67" si="152">AG67*(1+AK68)</f>
        <v>2.5261186264308737E-3</v>
      </c>
      <c r="AL67" s="639">
        <f t="shared" ref="AL67" si="153">AH67*(1+AL68)</f>
        <v>-4727.5776000000005</v>
      </c>
      <c r="AM67" s="639">
        <f t="shared" ref="AM67" si="154">AI67*(1+AM68)</f>
        <v>-4812.8904000000002</v>
      </c>
      <c r="AN67" s="639">
        <f t="shared" ref="AN67" si="155">AN22</f>
        <v>-10600</v>
      </c>
      <c r="AO67" s="639"/>
      <c r="AP67" s="639"/>
      <c r="AQ67" s="639"/>
      <c r="AR67" s="1681">
        <f t="shared" ref="AR67" si="156">AR22</f>
        <v>-11849</v>
      </c>
      <c r="AS67" s="639"/>
      <c r="AT67" s="639"/>
      <c r="AU67" s="639"/>
      <c r="AV67" s="639">
        <f t="shared" ref="AV67" si="157">AR67*(1+AV68)</f>
        <v>-11315.795</v>
      </c>
      <c r="AW67" s="639"/>
      <c r="AX67" s="639"/>
      <c r="AY67" s="639"/>
      <c r="AZ67" s="639">
        <f t="shared" ref="AZ67" si="158">AV67*(1+AZ68)</f>
        <v>-11032.900125</v>
      </c>
      <c r="BA67" s="639"/>
      <c r="BB67" s="639"/>
      <c r="BC67" s="639"/>
      <c r="BD67" s="639">
        <f t="shared" ref="BD67" si="159">AZ67*(1+BD68)</f>
        <v>-10922.57112375</v>
      </c>
    </row>
    <row r="68" spans="3:56" outlineLevel="1">
      <c r="C68" s="631" t="s">
        <v>554</v>
      </c>
      <c r="D68" s="947"/>
      <c r="E68" s="631"/>
      <c r="F68" s="631"/>
      <c r="G68" s="631"/>
      <c r="H68" s="658"/>
      <c r="I68" s="631"/>
      <c r="J68" s="631"/>
      <c r="K68" s="631"/>
      <c r="L68" s="658"/>
      <c r="M68" s="631"/>
      <c r="N68" s="631"/>
      <c r="O68" s="631"/>
      <c r="P68" s="658">
        <f>P67/L67-1</f>
        <v>-3.8405390230207725E-2</v>
      </c>
      <c r="Q68" s="948"/>
      <c r="R68" s="948"/>
      <c r="S68" s="948"/>
      <c r="T68" s="658">
        <f>T67/P67-1</f>
        <v>-1.1678150181015923E-4</v>
      </c>
      <c r="U68" s="948"/>
      <c r="V68" s="948"/>
      <c r="W68" s="948"/>
      <c r="X68" s="1033">
        <f>X67/T67-1</f>
        <v>1.0161177295024526E-2</v>
      </c>
      <c r="Y68" s="1056">
        <v>0.02</v>
      </c>
      <c r="Z68" s="1056">
        <v>0.02</v>
      </c>
      <c r="AA68" s="1056">
        <v>0.02</v>
      </c>
      <c r="AB68" s="1033">
        <f>AB67/X67-1</f>
        <v>2.4280263614291364E-3</v>
      </c>
      <c r="AC68" s="1034" t="e">
        <f t="shared" ref="AC68:AF68" si="160">AC67/Y67-1</f>
        <v>#DIV/0!</v>
      </c>
      <c r="AD68" s="1034" t="e">
        <f t="shared" si="160"/>
        <v>#DIV/0!</v>
      </c>
      <c r="AE68" s="1034" t="e">
        <f t="shared" si="160"/>
        <v>#DIV/0!</v>
      </c>
      <c r="AF68" s="1033">
        <f t="shared" si="160"/>
        <v>5.7670126874279193E-2</v>
      </c>
      <c r="AG68" s="659">
        <v>0.02</v>
      </c>
      <c r="AH68" s="659">
        <v>0.02</v>
      </c>
      <c r="AI68" s="659">
        <v>0.02</v>
      </c>
      <c r="AJ68" s="1033">
        <f t="shared" ref="AJ68" si="161">AJ67/AF67-1</f>
        <v>5.9760087241003346E-2</v>
      </c>
      <c r="AK68" s="659">
        <v>0.02</v>
      </c>
      <c r="AL68" s="659">
        <v>0.02</v>
      </c>
      <c r="AM68" s="659">
        <v>0.02</v>
      </c>
      <c r="AN68" s="1033">
        <f t="shared" ref="AN68" si="162">AN67/AJ67-1</f>
        <v>9.0759415517596143E-2</v>
      </c>
      <c r="AO68" s="659"/>
      <c r="AP68" s="659"/>
      <c r="AQ68" s="659"/>
      <c r="AR68" s="1677">
        <f t="shared" ref="AR68" si="163">AR67/AN67-1</f>
        <v>0.11783018867924522</v>
      </c>
      <c r="AS68" s="659"/>
      <c r="AT68" s="659"/>
      <c r="AU68" s="659"/>
      <c r="AV68" s="659">
        <v>-4.4999999999999998E-2</v>
      </c>
      <c r="AW68" s="659"/>
      <c r="AX68" s="659"/>
      <c r="AY68" s="659"/>
      <c r="AZ68" s="659">
        <v>-2.5000000000000001E-2</v>
      </c>
      <c r="BA68" s="659"/>
      <c r="BB68" s="659"/>
      <c r="BC68" s="659"/>
      <c r="BD68" s="659">
        <v>-0.01</v>
      </c>
    </row>
    <row r="69" spans="3:56" outlineLevel="1">
      <c r="C69" s="444" t="s">
        <v>967</v>
      </c>
      <c r="D69" s="639"/>
      <c r="H69" s="639"/>
      <c r="L69" s="639">
        <f t="shared" ref="L69:AJ69" si="164">L24</f>
        <v>-62</v>
      </c>
      <c r="M69" s="444">
        <f t="shared" si="164"/>
        <v>0</v>
      </c>
      <c r="N69" s="444">
        <f t="shared" si="164"/>
        <v>-189</v>
      </c>
      <c r="O69" s="444">
        <f t="shared" si="164"/>
        <v>-649</v>
      </c>
      <c r="P69" s="639">
        <f t="shared" si="164"/>
        <v>-838</v>
      </c>
      <c r="Q69">
        <f t="shared" si="164"/>
        <v>0</v>
      </c>
      <c r="R69">
        <f t="shared" si="164"/>
        <v>-125</v>
      </c>
      <c r="S69">
        <f t="shared" si="164"/>
        <v>-384</v>
      </c>
      <c r="T69" s="639">
        <f t="shared" si="164"/>
        <v>-509</v>
      </c>
      <c r="U69">
        <f t="shared" si="164"/>
        <v>0</v>
      </c>
      <c r="V69">
        <f t="shared" si="164"/>
        <v>-244</v>
      </c>
      <c r="W69">
        <f t="shared" si="164"/>
        <v>-490</v>
      </c>
      <c r="X69" s="639">
        <f t="shared" si="164"/>
        <v>-734</v>
      </c>
      <c r="Y69" s="639">
        <f t="shared" si="164"/>
        <v>0</v>
      </c>
      <c r="Z69" s="639">
        <f t="shared" si="164"/>
        <v>-266</v>
      </c>
      <c r="AA69" s="639">
        <f t="shared" si="164"/>
        <v>-115</v>
      </c>
      <c r="AB69" s="639">
        <f t="shared" si="164"/>
        <v>-381</v>
      </c>
      <c r="AC69" s="1039">
        <f t="shared" ref="AC69:AF69" si="165">AC24</f>
        <v>0</v>
      </c>
      <c r="AD69" s="1039">
        <f t="shared" si="165"/>
        <v>-247</v>
      </c>
      <c r="AE69" s="1039">
        <f t="shared" si="165"/>
        <v>-162</v>
      </c>
      <c r="AF69" s="639">
        <f t="shared" si="165"/>
        <v>-409</v>
      </c>
      <c r="AG69" s="639">
        <f t="shared" si="164"/>
        <v>0</v>
      </c>
      <c r="AH69" s="639">
        <f t="shared" si="164"/>
        <v>-153</v>
      </c>
      <c r="AI69" s="639">
        <f t="shared" si="164"/>
        <v>-268</v>
      </c>
      <c r="AJ69" s="639">
        <f t="shared" si="164"/>
        <v>-421</v>
      </c>
      <c r="AK69" s="639">
        <f t="shared" ref="AK69:AN69" si="166">AK24</f>
        <v>0</v>
      </c>
      <c r="AL69" s="639">
        <f t="shared" si="166"/>
        <v>-141</v>
      </c>
      <c r="AM69" s="639">
        <f t="shared" si="166"/>
        <v>0</v>
      </c>
      <c r="AN69" s="639">
        <f t="shared" si="166"/>
        <v>-141</v>
      </c>
      <c r="AO69" s="639"/>
      <c r="AP69" s="639"/>
      <c r="AQ69" s="639"/>
      <c r="AR69" s="1681">
        <f t="shared" ref="AR69" si="167">AR24</f>
        <v>-1031</v>
      </c>
      <c r="AS69" s="639"/>
      <c r="AT69" s="639"/>
      <c r="AU69" s="639"/>
      <c r="AV69" s="639">
        <f t="shared" ref="AV69" si="168">AV24</f>
        <v>0</v>
      </c>
      <c r="AW69" s="639"/>
      <c r="AX69" s="639"/>
      <c r="AY69" s="639"/>
      <c r="AZ69" s="639">
        <f t="shared" ref="AZ69" si="169">AZ24</f>
        <v>0</v>
      </c>
      <c r="BA69" s="639"/>
      <c r="BB69" s="639"/>
      <c r="BC69" s="639"/>
      <c r="BD69" s="639">
        <f t="shared" ref="BD69" si="170">BD24</f>
        <v>0</v>
      </c>
    </row>
    <row r="70" spans="3:56" outlineLevel="1">
      <c r="C70" s="444" t="s">
        <v>238</v>
      </c>
      <c r="D70" s="639">
        <f>D$25</f>
        <v>-9378</v>
      </c>
      <c r="H70" s="639">
        <f>H$25</f>
        <v>-10439</v>
      </c>
      <c r="L70" s="639">
        <f>L67+L69</f>
        <v>-8967</v>
      </c>
      <c r="M70" s="639">
        <f t="shared" ref="M70:AA70" si="171">M67+M69</f>
        <v>0</v>
      </c>
      <c r="N70" s="639">
        <f t="shared" si="171"/>
        <v>-4473</v>
      </c>
      <c r="O70" s="639">
        <f t="shared" si="171"/>
        <v>-4928</v>
      </c>
      <c r="P70" s="639">
        <f t="shared" si="171"/>
        <v>-9401</v>
      </c>
      <c r="Q70" s="639">
        <f t="shared" si="171"/>
        <v>-3.8405390230207725E-2</v>
      </c>
      <c r="R70" s="639">
        <f t="shared" si="171"/>
        <v>-4365</v>
      </c>
      <c r="S70" s="639">
        <f t="shared" si="171"/>
        <v>-4706</v>
      </c>
      <c r="T70" s="639">
        <f t="shared" si="171"/>
        <v>-9071</v>
      </c>
      <c r="U70" s="639">
        <f t="shared" si="171"/>
        <v>0</v>
      </c>
      <c r="V70" s="639">
        <f t="shared" si="171"/>
        <v>-244</v>
      </c>
      <c r="W70" s="639">
        <f t="shared" si="171"/>
        <v>-490</v>
      </c>
      <c r="X70" s="639">
        <f>X67+X69</f>
        <v>-9383</v>
      </c>
      <c r="Y70" s="639">
        <f t="shared" si="171"/>
        <v>0</v>
      </c>
      <c r="Z70" s="639">
        <f t="shared" si="171"/>
        <v>-266</v>
      </c>
      <c r="AA70" s="639">
        <f t="shared" si="171"/>
        <v>-115</v>
      </c>
      <c r="AB70" s="639">
        <f>AB67+AB69</f>
        <v>-9051</v>
      </c>
      <c r="AC70" s="1039">
        <f t="shared" ref="AC70:AF70" si="172">AC67+AC69</f>
        <v>2.4280263614291364E-3</v>
      </c>
      <c r="AD70" s="1039">
        <f t="shared" si="172"/>
        <v>-4791</v>
      </c>
      <c r="AE70" s="1039">
        <f t="shared" si="172"/>
        <v>-4788</v>
      </c>
      <c r="AF70" s="639">
        <f t="shared" si="172"/>
        <v>-9579</v>
      </c>
      <c r="AG70" s="639">
        <f t="shared" ref="AG70:AJ70" si="173">AG67+AG69</f>
        <v>2.4765868886577193E-3</v>
      </c>
      <c r="AH70" s="639">
        <f t="shared" si="173"/>
        <v>-4787.88</v>
      </c>
      <c r="AI70" s="639">
        <f t="shared" si="173"/>
        <v>-4986.5200000000004</v>
      </c>
      <c r="AJ70" s="639">
        <f t="shared" si="173"/>
        <v>-10139</v>
      </c>
      <c r="AK70" s="639">
        <f t="shared" ref="AK70:AN70" si="174">AK67+AK69</f>
        <v>2.5261186264308737E-3</v>
      </c>
      <c r="AL70" s="639">
        <f t="shared" si="174"/>
        <v>-4868.5776000000005</v>
      </c>
      <c r="AM70" s="639">
        <f t="shared" si="174"/>
        <v>-4812.8904000000002</v>
      </c>
      <c r="AN70" s="639">
        <f t="shared" si="174"/>
        <v>-10741</v>
      </c>
      <c r="AO70" s="639"/>
      <c r="AP70" s="639"/>
      <c r="AQ70" s="639"/>
      <c r="AR70" s="1681">
        <f t="shared" ref="AR70" si="175">AR67+AR69</f>
        <v>-12880</v>
      </c>
      <c r="AS70" s="639"/>
      <c r="AT70" s="639"/>
      <c r="AU70" s="639"/>
      <c r="AV70" s="639">
        <f t="shared" ref="AV70" si="176">AV67+AV69</f>
        <v>-11315.795</v>
      </c>
      <c r="AW70" s="639"/>
      <c r="AX70" s="639"/>
      <c r="AY70" s="639"/>
      <c r="AZ70" s="639">
        <f t="shared" ref="AZ70" si="177">AZ67+AZ69</f>
        <v>-11032.900125</v>
      </c>
      <c r="BA70" s="639"/>
      <c r="BB70" s="639"/>
      <c r="BC70" s="639"/>
      <c r="BD70" s="639">
        <f t="shared" ref="BD70" si="178">BD67+BD69</f>
        <v>-10922.57112375</v>
      </c>
    </row>
    <row r="71" spans="3:56" outlineLevel="1">
      <c r="C71" s="585" t="s">
        <v>554</v>
      </c>
      <c r="D71" s="734"/>
      <c r="E71" s="585"/>
      <c r="F71" s="585"/>
      <c r="G71" s="585"/>
      <c r="H71" s="671">
        <f>+H70/D70-1</f>
        <v>0.11313712945190879</v>
      </c>
      <c r="I71" s="585"/>
      <c r="J71" s="585"/>
      <c r="K71" s="585"/>
      <c r="L71" s="671">
        <f>+L70/H70-1</f>
        <v>-0.14100967525625063</v>
      </c>
      <c r="M71" s="585"/>
      <c r="N71" s="585"/>
      <c r="O71" s="585"/>
      <c r="P71" s="671">
        <f>+P70/L70-1</f>
        <v>4.8399687743950093E-2</v>
      </c>
      <c r="T71" s="671">
        <f>+T70/P70-1</f>
        <v>-3.5102648654398494E-2</v>
      </c>
      <c r="X71" s="1040">
        <f>+X70/T70-1</f>
        <v>3.4395325763421969E-2</v>
      </c>
      <c r="Y71" s="1040"/>
      <c r="Z71" s="1040"/>
      <c r="AA71" s="1040"/>
      <c r="AB71" s="1040">
        <f>+AB70/X70-1</f>
        <v>-3.5383139720771561E-2</v>
      </c>
      <c r="AC71" s="1041" t="e">
        <f t="shared" ref="AC71:AF71" si="179">+AC70/Y70-1</f>
        <v>#DIV/0!</v>
      </c>
      <c r="AD71" s="1041">
        <f t="shared" si="179"/>
        <v>17.011278195488721</v>
      </c>
      <c r="AE71" s="1041">
        <f t="shared" si="179"/>
        <v>40.634782608695652</v>
      </c>
      <c r="AF71" s="1040">
        <f t="shared" si="179"/>
        <v>5.8336095459065263E-2</v>
      </c>
      <c r="AG71" s="671"/>
      <c r="AH71" s="671"/>
      <c r="AI71" s="671"/>
      <c r="AJ71" s="1040">
        <f t="shared" ref="AJ71" si="180">+AJ70/AF70-1</f>
        <v>5.8461217246059016E-2</v>
      </c>
      <c r="AK71" s="671"/>
      <c r="AL71" s="671"/>
      <c r="AM71" s="671"/>
      <c r="AN71" s="1040">
        <f t="shared" ref="AN71" si="181">+AN70/AJ70-1</f>
        <v>5.9374691784199518E-2</v>
      </c>
      <c r="AO71" s="671"/>
      <c r="AP71" s="671"/>
      <c r="AQ71" s="671"/>
      <c r="AR71" s="1682">
        <f t="shared" ref="AR71" si="182">+AR70/AN70-1</f>
        <v>0.19914346895074941</v>
      </c>
      <c r="AS71" s="671"/>
      <c r="AT71" s="671"/>
      <c r="AU71" s="671"/>
      <c r="AV71" s="671">
        <f>+AV70/AR70-1</f>
        <v>-0.1214444875776397</v>
      </c>
      <c r="AW71" s="671"/>
      <c r="AX71" s="671"/>
      <c r="AY71" s="671"/>
      <c r="AZ71" s="671">
        <f>+AZ70/AV70-1</f>
        <v>-2.5000000000000022E-2</v>
      </c>
      <c r="BA71" s="671"/>
      <c r="BB71" s="671"/>
      <c r="BC71" s="671"/>
      <c r="BD71" s="671">
        <f>+BD70/AZ70-1</f>
        <v>-1.0000000000000009E-2</v>
      </c>
    </row>
    <row r="72" spans="3:56" outlineLevel="1">
      <c r="C72" s="673" t="s">
        <v>149</v>
      </c>
      <c r="D72" s="1583"/>
      <c r="E72" s="673"/>
      <c r="F72" s="673"/>
      <c r="G72" s="673"/>
      <c r="H72" s="1583"/>
      <c r="I72" s="673"/>
      <c r="J72" s="673"/>
      <c r="K72" s="673"/>
      <c r="L72" s="1583">
        <f>-L70/L65</f>
        <v>0.45251312071053695</v>
      </c>
      <c r="M72" s="673"/>
      <c r="N72" s="673"/>
      <c r="O72" s="673"/>
      <c r="P72" s="1583">
        <f>-P70/P65</f>
        <v>0.48541333195642072</v>
      </c>
      <c r="Q72" s="565"/>
      <c r="R72" s="565"/>
      <c r="S72" s="565"/>
      <c r="T72" s="1583">
        <f>-T70/T65</f>
        <v>0.47669346786483791</v>
      </c>
      <c r="U72" s="565"/>
      <c r="V72" s="565"/>
      <c r="W72" s="565"/>
      <c r="X72" s="777">
        <f>-X70/X65</f>
        <v>0.52856016223524105</v>
      </c>
      <c r="Y72" s="777"/>
      <c r="Z72" s="777"/>
      <c r="AA72" s="777"/>
      <c r="AB72" s="777">
        <f>-AB70/AB65</f>
        <v>0.51877113543875741</v>
      </c>
      <c r="AC72" s="1584"/>
      <c r="AD72" s="1584"/>
      <c r="AE72" s="1584"/>
      <c r="AF72" s="777">
        <f>-AF70/AF65</f>
        <v>0.51647166657680488</v>
      </c>
      <c r="AG72" s="1583"/>
      <c r="AH72" s="1583"/>
      <c r="AI72" s="1583"/>
      <c r="AJ72" s="777">
        <f>-AJ70/AJ65</f>
        <v>0.48500358765845492</v>
      </c>
      <c r="AK72" s="1583"/>
      <c r="AL72" s="1583"/>
      <c r="AM72" s="1583"/>
      <c r="AN72" s="777">
        <f>-AN70/AN65</f>
        <v>0.51617088759671292</v>
      </c>
      <c r="AO72" s="1583"/>
      <c r="AP72" s="1583"/>
      <c r="AQ72" s="1583"/>
      <c r="AR72" s="1684">
        <f>-AR70/AR65</f>
        <v>0.58815471026074251</v>
      </c>
      <c r="AS72" s="1583"/>
      <c r="AT72" s="1583"/>
      <c r="AU72" s="1583"/>
      <c r="AV72" s="1583">
        <f>-AV70/AV65</f>
        <v>0.48148951746654922</v>
      </c>
      <c r="AW72" s="1583"/>
      <c r="AX72" s="1583"/>
      <c r="AY72" s="1583"/>
      <c r="AZ72" s="1583">
        <f>-AZ70/AZ65</f>
        <v>0.44518456132821183</v>
      </c>
      <c r="BA72" s="1583"/>
      <c r="BB72" s="1583"/>
      <c r="BC72" s="1583"/>
      <c r="BD72" s="1583">
        <f>-BD70/BD65</f>
        <v>0.41709512160063977</v>
      </c>
    </row>
    <row r="73" spans="3:56" outlineLevel="1">
      <c r="C73" s="444" t="s">
        <v>448</v>
      </c>
      <c r="D73" s="639">
        <f>D$28</f>
        <v>11159</v>
      </c>
      <c r="H73" s="639">
        <f>H$28</f>
        <v>10155.002775478406</v>
      </c>
      <c r="L73" s="639">
        <f>L65+L70</f>
        <v>10849</v>
      </c>
      <c r="M73" s="639">
        <f t="shared" ref="M73:AA73" si="183">M65+M70</f>
        <v>0</v>
      </c>
      <c r="N73" s="639">
        <f t="shared" si="183"/>
        <v>-4473</v>
      </c>
      <c r="O73" s="639">
        <f t="shared" si="183"/>
        <v>-4928</v>
      </c>
      <c r="P73" s="639">
        <f t="shared" si="183"/>
        <v>9966</v>
      </c>
      <c r="Q73" s="639">
        <f t="shared" si="183"/>
        <v>-3.8405390230207725E-2</v>
      </c>
      <c r="R73" s="639">
        <f t="shared" si="183"/>
        <v>-4365</v>
      </c>
      <c r="S73" s="639">
        <f t="shared" si="183"/>
        <v>-4706</v>
      </c>
      <c r="T73" s="639">
        <f t="shared" si="183"/>
        <v>9958</v>
      </c>
      <c r="U73" s="639">
        <f t="shared" si="183"/>
        <v>0</v>
      </c>
      <c r="V73" s="639">
        <f t="shared" si="183"/>
        <v>-244</v>
      </c>
      <c r="W73" s="639">
        <f t="shared" si="183"/>
        <v>-490</v>
      </c>
      <c r="X73" s="639">
        <f>X65+X70</f>
        <v>8369</v>
      </c>
      <c r="Y73" s="639">
        <f t="shared" si="183"/>
        <v>0</v>
      </c>
      <c r="Z73" s="639">
        <f t="shared" si="183"/>
        <v>-266</v>
      </c>
      <c r="AA73" s="639">
        <f t="shared" si="183"/>
        <v>-115</v>
      </c>
      <c r="AB73" s="639">
        <f>AB65+AB70</f>
        <v>8396</v>
      </c>
      <c r="AC73" s="1039">
        <f t="shared" ref="AC73:AF73" si="184">AC65+AC70</f>
        <v>0.29679446531051856</v>
      </c>
      <c r="AD73" s="1039">
        <f t="shared" si="184"/>
        <v>4157</v>
      </c>
      <c r="AE73" s="1039">
        <f t="shared" si="184"/>
        <v>4811</v>
      </c>
      <c r="AF73" s="639">
        <f t="shared" si="184"/>
        <v>8968</v>
      </c>
      <c r="AG73" s="639">
        <f t="shared" ref="AG73:AJ73" si="185">AG65+AG70</f>
        <v>2.4765868886577193E-3</v>
      </c>
      <c r="AH73" s="639">
        <f t="shared" si="185"/>
        <v>-4787.88</v>
      </c>
      <c r="AI73" s="639">
        <f t="shared" si="185"/>
        <v>-4986.5200000000004</v>
      </c>
      <c r="AJ73" s="639">
        <f t="shared" si="185"/>
        <v>10766</v>
      </c>
      <c r="AK73" s="639">
        <f t="shared" ref="AK73:AN73" si="186">AK65+AK70</f>
        <v>2.5261186264308737E-3</v>
      </c>
      <c r="AL73" s="639">
        <f t="shared" si="186"/>
        <v>-4868.5776000000005</v>
      </c>
      <c r="AM73" s="639">
        <f t="shared" si="186"/>
        <v>-4812.8904000000002</v>
      </c>
      <c r="AN73" s="639">
        <f t="shared" si="186"/>
        <v>10068</v>
      </c>
      <c r="AO73" s="639"/>
      <c r="AP73" s="639"/>
      <c r="AQ73" s="639"/>
      <c r="AR73" s="1681">
        <f t="shared" ref="AR73" si="187">AR65+AR70</f>
        <v>9019</v>
      </c>
      <c r="AS73" s="639"/>
      <c r="AT73" s="639"/>
      <c r="AU73" s="639"/>
      <c r="AV73" s="639">
        <f t="shared" ref="AV73" si="188">AV65+AV70</f>
        <v>12185.848523913579</v>
      </c>
      <c r="AW73" s="639"/>
      <c r="AX73" s="639"/>
      <c r="AY73" s="639"/>
      <c r="AZ73" s="639">
        <f t="shared" ref="AZ73" si="189">AZ65+AZ70</f>
        <v>13749.855350803678</v>
      </c>
      <c r="BA73" s="639"/>
      <c r="BB73" s="639"/>
      <c r="BC73" s="639"/>
      <c r="BD73" s="639">
        <f t="shared" ref="BD73" si="190">BD65+BD70</f>
        <v>15264.671445363871</v>
      </c>
    </row>
    <row r="74" spans="3:56" outlineLevel="1">
      <c r="C74" s="444" t="s">
        <v>490</v>
      </c>
      <c r="D74" s="639">
        <f>D$29</f>
        <v>-1205</v>
      </c>
      <c r="H74" s="639">
        <f>H$29</f>
        <v>-1956</v>
      </c>
      <c r="L74" s="639">
        <f>L$29</f>
        <v>-1199</v>
      </c>
      <c r="P74" s="639">
        <f>P$29</f>
        <v>-688</v>
      </c>
      <c r="T74" s="639">
        <f>T$29</f>
        <v>-795</v>
      </c>
      <c r="X74" s="639">
        <f>X$29</f>
        <v>-2738</v>
      </c>
      <c r="Y74" s="639"/>
      <c r="Z74" s="639"/>
      <c r="AA74" s="639"/>
      <c r="AB74" s="639">
        <f>AB$29</f>
        <v>567</v>
      </c>
      <c r="AC74" s="1039">
        <f t="shared" ref="AC74:AF74" si="191">AC$29</f>
        <v>-1.2070854638422206</v>
      </c>
      <c r="AD74" s="1039">
        <f t="shared" si="191"/>
        <v>284</v>
      </c>
      <c r="AE74" s="1039">
        <f t="shared" si="191"/>
        <v>-52</v>
      </c>
      <c r="AF74" s="639">
        <f t="shared" si="191"/>
        <v>232</v>
      </c>
      <c r="AG74" s="639"/>
      <c r="AH74" s="639"/>
      <c r="AI74" s="639"/>
      <c r="AJ74" s="639">
        <f t="shared" ref="AJ74" si="192">AJ$29</f>
        <v>-245</v>
      </c>
      <c r="AK74" s="639"/>
      <c r="AL74" s="639"/>
      <c r="AM74" s="639"/>
      <c r="AN74" s="639">
        <f t="shared" ref="AN74" si="193">AN$29</f>
        <v>-406</v>
      </c>
      <c r="AO74" s="639"/>
      <c r="AP74" s="639"/>
      <c r="AQ74" s="639"/>
      <c r="AR74" s="1681">
        <f t="shared" ref="AR74" si="194">AR$29</f>
        <v>-441</v>
      </c>
      <c r="AS74" s="639"/>
      <c r="AT74" s="639"/>
      <c r="AU74" s="639"/>
      <c r="AV74" s="639">
        <f>-AV75*AV53*1000</f>
        <v>-351.93576200000001</v>
      </c>
      <c r="AW74" s="639"/>
      <c r="AX74" s="639"/>
      <c r="AY74" s="639"/>
      <c r="AZ74" s="639">
        <f>-AZ75*AZ53*1000</f>
        <v>-464.11528613749999</v>
      </c>
      <c r="BA74" s="639"/>
      <c r="BB74" s="639"/>
      <c r="BC74" s="639"/>
      <c r="BD74" s="639">
        <f>-BD75*BD53*1000</f>
        <v>-688.74708462804995</v>
      </c>
    </row>
    <row r="75" spans="3:56" outlineLevel="1">
      <c r="C75" s="631" t="s">
        <v>834</v>
      </c>
      <c r="D75" s="640">
        <f>-D74/(D53*1000)</f>
        <v>2.0956740418160884E-3</v>
      </c>
      <c r="E75" s="631"/>
      <c r="F75" s="631"/>
      <c r="G75" s="631"/>
      <c r="H75" s="640">
        <f>-H74/(H53*1000)</f>
        <v>3.3690505512600352E-3</v>
      </c>
      <c r="I75" s="631"/>
      <c r="J75" s="631"/>
      <c r="K75" s="631"/>
      <c r="L75" s="640">
        <f>-L74/(L53*1000)</f>
        <v>2.0513189005341298E-3</v>
      </c>
      <c r="M75" s="660"/>
      <c r="N75" s="660"/>
      <c r="O75" s="660"/>
      <c r="P75" s="640">
        <f>-P74/(P53*1000)</f>
        <v>1.1300734219214534E-3</v>
      </c>
      <c r="T75" s="640">
        <f>-T74/(T53*1000)</f>
        <v>1.2839873054839987E-3</v>
      </c>
      <c r="X75" s="1043">
        <f>-X74/(X53*1000)</f>
        <v>4.3981533538730412E-3</v>
      </c>
      <c r="Y75" s="1058"/>
      <c r="Z75" s="1058"/>
      <c r="AA75" s="1058"/>
      <c r="AB75" s="1043">
        <f>-AB74/(AB53*1000)</f>
        <v>-8.9404255453344223E-4</v>
      </c>
      <c r="AC75" s="1044">
        <f t="shared" ref="AC75:AF75" si="195">-AC74/(AC53*1000)</f>
        <v>64.424875012649935</v>
      </c>
      <c r="AD75" s="1044">
        <f t="shared" si="195"/>
        <v>-4.3328680077198281E-4</v>
      </c>
      <c r="AE75" s="1044">
        <f t="shared" si="195"/>
        <v>7.6865427852187778E-5</v>
      </c>
      <c r="AF75" s="1043">
        <f t="shared" si="195"/>
        <v>-3.4293806272514549E-4</v>
      </c>
      <c r="AG75" s="663"/>
      <c r="AH75" s="663"/>
      <c r="AI75" s="663"/>
      <c r="AJ75" s="1043">
        <f t="shared" ref="AJ75" si="196">-AJ74/(AJ53*1000)</f>
        <v>3.445342108408744E-4</v>
      </c>
      <c r="AK75" s="663"/>
      <c r="AL75" s="663"/>
      <c r="AM75" s="663"/>
      <c r="AN75" s="1043">
        <f t="shared" ref="AN75" si="197">-AN74/(AN53*1000)</f>
        <v>5.0274155121772426E-4</v>
      </c>
      <c r="AO75" s="663"/>
      <c r="AP75" s="663"/>
      <c r="AQ75" s="663"/>
      <c r="AR75" s="1685">
        <f t="shared" ref="AR75" si="198">-AR74/(AR53*1000)</f>
        <v>5.287953657861005E-4</v>
      </c>
      <c r="AS75" s="663"/>
      <c r="AT75" s="663"/>
      <c r="AU75" s="663"/>
      <c r="AV75" s="663">
        <v>4.0000000000000002E-4</v>
      </c>
      <c r="AW75" s="663"/>
      <c r="AX75" s="663"/>
      <c r="AY75" s="663"/>
      <c r="AZ75" s="663">
        <v>5.0000000000000001E-4</v>
      </c>
      <c r="BA75" s="663"/>
      <c r="BB75" s="663"/>
      <c r="BC75" s="663"/>
      <c r="BD75" s="663">
        <v>6.9999999999999999E-4</v>
      </c>
    </row>
    <row r="76" spans="3:56" outlineLevel="1">
      <c r="C76" s="585" t="s">
        <v>839</v>
      </c>
      <c r="D76" s="735">
        <f>-D74/(D51*1000)</f>
        <v>4.3893838834937306E-3</v>
      </c>
      <c r="E76" s="585"/>
      <c r="F76" s="585"/>
      <c r="G76" s="585"/>
      <c r="H76" s="735">
        <f>-H74/(H51*1000)</f>
        <v>7.598034455299398E-3</v>
      </c>
      <c r="I76" s="585"/>
      <c r="J76" s="585"/>
      <c r="K76" s="585"/>
      <c r="L76" s="735">
        <f>-L74/(L51*1000)</f>
        <v>4.8504609758366962E-3</v>
      </c>
      <c r="M76" s="736"/>
      <c r="N76" s="736"/>
      <c r="O76" s="736"/>
      <c r="P76" s="735">
        <f>-P74/(P51*1000)</f>
        <v>2.6193957115009754E-3</v>
      </c>
      <c r="T76" s="735">
        <f>-T74/(T51*1000)</f>
        <v>2.8871610309525453E-3</v>
      </c>
      <c r="X76" s="1045">
        <f>-X74/(X51*1000)</f>
        <v>1.0363988735124006E-2</v>
      </c>
      <c r="Y76" s="1045"/>
      <c r="Z76" s="1045"/>
      <c r="AA76" s="1045"/>
      <c r="AB76" s="1045">
        <f>-AB74/(AB51*1000)</f>
        <v>-2.1672157965951398E-3</v>
      </c>
      <c r="AC76" s="1046">
        <f t="shared" ref="AC76:AF76" si="199">-AC74/(AC51*1000)</f>
        <v>-57.614336015112038</v>
      </c>
      <c r="AD76" s="1046">
        <f t="shared" si="199"/>
        <v>-1.0095875266172062E-3</v>
      </c>
      <c r="AE76" s="1046">
        <f t="shared" si="199"/>
        <v>1.7225273451216042E-4</v>
      </c>
      <c r="AF76" s="1045">
        <f t="shared" si="199"/>
        <v>-7.685122001311772E-4</v>
      </c>
      <c r="AG76" s="735"/>
      <c r="AH76" s="735"/>
      <c r="AI76" s="735"/>
      <c r="AJ76" s="1045">
        <f t="shared" ref="AJ76" si="200">-AJ74/(AJ51*1000)</f>
        <v>7.9905027167709222E-4</v>
      </c>
      <c r="AK76" s="735"/>
      <c r="AL76" s="735"/>
      <c r="AM76" s="735"/>
      <c r="AN76" s="1045">
        <f t="shared" ref="AN76" si="201">-AN74/(AN51*1000)</f>
        <v>1.2568959005380504E-3</v>
      </c>
      <c r="AO76" s="735"/>
      <c r="AP76" s="735"/>
      <c r="AQ76" s="735"/>
      <c r="AR76" s="1686">
        <f t="shared" ref="AR76" si="202">-AR74/(AR51*1000)</f>
        <v>1.3364689339160055E-3</v>
      </c>
      <c r="AS76" s="735"/>
      <c r="AT76" s="735"/>
      <c r="AU76" s="735"/>
      <c r="AV76" s="735">
        <f>-AV74/(AV51*1000)</f>
        <v>1.0036881062539603E-3</v>
      </c>
      <c r="AW76" s="735"/>
      <c r="AX76" s="735"/>
      <c r="AY76" s="735"/>
      <c r="AZ76" s="735">
        <f>-AZ74/(AZ51*1000)</f>
        <v>1.2636486358022594E-3</v>
      </c>
      <c r="BA76" s="735"/>
      <c r="BB76" s="735"/>
      <c r="BC76" s="735"/>
      <c r="BD76" s="735">
        <f>-BD74/(BD51*1000)</f>
        <v>1.7691080901231634E-3</v>
      </c>
    </row>
    <row r="77" spans="3:56" outlineLevel="1">
      <c r="C77" s="444" t="s">
        <v>708</v>
      </c>
      <c r="D77" s="639">
        <f>D$32</f>
        <v>9954</v>
      </c>
      <c r="H77" s="639">
        <f>H$32</f>
        <v>8199</v>
      </c>
      <c r="L77" s="639">
        <f>L$32</f>
        <v>9650</v>
      </c>
      <c r="P77" s="639">
        <f>P$32</f>
        <v>9278</v>
      </c>
      <c r="T77" s="639">
        <f>T$32</f>
        <v>9163</v>
      </c>
      <c r="X77" s="639">
        <f>X$32</f>
        <v>5631</v>
      </c>
      <c r="Y77" s="639"/>
      <c r="Z77" s="639"/>
      <c r="AA77" s="639"/>
      <c r="AB77" s="639">
        <f>AB$32</f>
        <v>8963</v>
      </c>
      <c r="AC77" s="1039">
        <f t="shared" ref="AC77:AF77" si="203">AC$32</f>
        <v>0.59172438288048301</v>
      </c>
      <c r="AD77" s="1039">
        <f t="shared" si="203"/>
        <v>4441</v>
      </c>
      <c r="AE77" s="1039">
        <f t="shared" si="203"/>
        <v>4759</v>
      </c>
      <c r="AF77" s="639">
        <f t="shared" si="203"/>
        <v>9200</v>
      </c>
      <c r="AG77" s="639"/>
      <c r="AH77" s="639"/>
      <c r="AI77" s="639"/>
      <c r="AJ77" s="639">
        <f t="shared" ref="AJ77" si="204">AJ$32</f>
        <v>10521</v>
      </c>
      <c r="AK77" s="639"/>
      <c r="AL77" s="639"/>
      <c r="AM77" s="639"/>
      <c r="AN77" s="639">
        <f t="shared" ref="AN77" si="205">AN$32</f>
        <v>9662</v>
      </c>
      <c r="AO77" s="639"/>
      <c r="AP77" s="639"/>
      <c r="AQ77" s="639"/>
      <c r="AR77" s="1681">
        <f t="shared" ref="AR77" si="206">AR$32</f>
        <v>8578</v>
      </c>
      <c r="AS77" s="639"/>
      <c r="AT77" s="639"/>
      <c r="AU77" s="639"/>
      <c r="AV77" s="639">
        <f>+AV73+AV74</f>
        <v>11833.91276191358</v>
      </c>
      <c r="AW77" s="639"/>
      <c r="AX77" s="639"/>
      <c r="AY77" s="639"/>
      <c r="AZ77" s="639">
        <f>+AZ73+AZ74</f>
        <v>13285.740064666179</v>
      </c>
      <c r="BA77" s="639"/>
      <c r="BB77" s="639"/>
      <c r="BC77" s="639"/>
      <c r="BD77" s="639">
        <f>+BD73+BD74</f>
        <v>14575.92436073582</v>
      </c>
    </row>
    <row r="78" spans="3:56" outlineLevel="1">
      <c r="C78" s="641" t="s">
        <v>545</v>
      </c>
      <c r="D78" s="639">
        <f>D$33</f>
        <v>-2724</v>
      </c>
      <c r="E78" s="641"/>
      <c r="F78" s="641"/>
      <c r="G78" s="641"/>
      <c r="H78" s="639">
        <f>H$33</f>
        <v>-2299</v>
      </c>
      <c r="L78" s="639">
        <f>L$33</f>
        <v>-2826</v>
      </c>
      <c r="P78" s="639">
        <f>P$33</f>
        <v>-2775</v>
      </c>
      <c r="T78" s="639">
        <f>T$33</f>
        <v>-2678</v>
      </c>
      <c r="X78" s="639">
        <f>X$33</f>
        <v>-1872</v>
      </c>
      <c r="Y78" s="639"/>
      <c r="Z78" s="639"/>
      <c r="AA78" s="639"/>
      <c r="AB78" s="639">
        <f>AB$33</f>
        <v>-2764</v>
      </c>
      <c r="AC78" s="1039">
        <f t="shared" ref="AC78:AF78" si="207">AC$33</f>
        <v>0</v>
      </c>
      <c r="AD78" s="1039">
        <f t="shared" si="207"/>
        <v>-1328</v>
      </c>
      <c r="AE78" s="1039">
        <f t="shared" si="207"/>
        <v>-1357</v>
      </c>
      <c r="AF78" s="639">
        <f t="shared" si="207"/>
        <v>-2685</v>
      </c>
      <c r="AG78" s="639"/>
      <c r="AH78" s="639"/>
      <c r="AI78" s="639"/>
      <c r="AJ78" s="639">
        <f t="shared" ref="AJ78" si="208">AJ$33</f>
        <v>-3080</v>
      </c>
      <c r="AK78" s="639"/>
      <c r="AL78" s="639"/>
      <c r="AM78" s="639"/>
      <c r="AN78" s="639">
        <f t="shared" ref="AN78" si="209">AN$33</f>
        <v>-2902</v>
      </c>
      <c r="AO78" s="639"/>
      <c r="AP78" s="639"/>
      <c r="AQ78" s="639"/>
      <c r="AR78" s="1681">
        <f t="shared" ref="AR78" si="210">AR$33</f>
        <v>-2750</v>
      </c>
      <c r="AS78" s="639"/>
      <c r="AT78" s="639"/>
      <c r="AU78" s="639"/>
      <c r="AV78" s="639">
        <f ca="1">+AV77*-AV79</f>
        <v>-3491.0042647645064</v>
      </c>
      <c r="AW78" s="639"/>
      <c r="AX78" s="639"/>
      <c r="AY78" s="639"/>
      <c r="AZ78" s="639">
        <f ca="1">+AZ77*-AZ79</f>
        <v>-3919.293319076522</v>
      </c>
      <c r="BA78" s="639"/>
      <c r="BB78" s="639"/>
      <c r="BC78" s="639"/>
      <c r="BD78" s="639">
        <f ca="1">+BD77*-BD79</f>
        <v>-4299.8976864170654</v>
      </c>
    </row>
    <row r="79" spans="3:56" outlineLevel="1">
      <c r="C79" s="643" t="s">
        <v>454</v>
      </c>
      <c r="D79" s="644">
        <f>D$34</f>
        <v>0.27365883062085594</v>
      </c>
      <c r="E79" s="643"/>
      <c r="F79" s="643"/>
      <c r="G79" s="643"/>
      <c r="H79" s="644">
        <f>H$34</f>
        <v>0.28040004878643737</v>
      </c>
      <c r="I79" s="585"/>
      <c r="J79" s="585"/>
      <c r="K79" s="585"/>
      <c r="L79" s="644">
        <f>L$34</f>
        <v>0.29284974093264249</v>
      </c>
      <c r="M79" s="585"/>
      <c r="N79" s="585"/>
      <c r="O79" s="585"/>
      <c r="P79" s="644">
        <f>P$34</f>
        <v>0.29909463246389306</v>
      </c>
      <c r="T79" s="644">
        <f>T$34</f>
        <v>0.29226235948925022</v>
      </c>
      <c r="X79" s="1047">
        <f>X$34</f>
        <v>0.33244539158231218</v>
      </c>
      <c r="Y79" s="1047"/>
      <c r="Z79" s="1047"/>
      <c r="AA79" s="1047"/>
      <c r="AB79" s="1047">
        <f>AB$34</f>
        <v>0.30837889099631821</v>
      </c>
      <c r="AC79" s="1048">
        <f t="shared" ref="AC79:AF79" si="211">AC$34</f>
        <v>0</v>
      </c>
      <c r="AD79" s="1048">
        <f t="shared" si="211"/>
        <v>0.29903174960594459</v>
      </c>
      <c r="AE79" s="1048">
        <f t="shared" si="211"/>
        <v>0.28514393780205927</v>
      </c>
      <c r="AF79" s="1047">
        <f t="shared" si="211"/>
        <v>0.29184782608695653</v>
      </c>
      <c r="AG79" s="644"/>
      <c r="AH79" s="644"/>
      <c r="AI79" s="644"/>
      <c r="AJ79" s="1047">
        <f t="shared" ref="AJ79" si="212">AJ$34</f>
        <v>0.29274783765801732</v>
      </c>
      <c r="AK79" s="644"/>
      <c r="AL79" s="644"/>
      <c r="AM79" s="644"/>
      <c r="AN79" s="1047">
        <f t="shared" ref="AN79" si="213">AN$34</f>
        <v>0.30035189401780171</v>
      </c>
      <c r="AO79" s="644"/>
      <c r="AP79" s="644"/>
      <c r="AQ79" s="644"/>
      <c r="AR79" s="1687">
        <f t="shared" ref="AR79" si="214">AR$34</f>
        <v>0.32058754954534857</v>
      </c>
      <c r="AS79" s="644"/>
      <c r="AT79" s="644"/>
      <c r="AU79" s="644"/>
      <c r="AV79" s="644">
        <f ca="1">AV$34</f>
        <v>0.29500000000000004</v>
      </c>
      <c r="AW79" s="644"/>
      <c r="AX79" s="644"/>
      <c r="AY79" s="644"/>
      <c r="AZ79" s="644">
        <f ca="1">AZ$34</f>
        <v>0.29499999999999993</v>
      </c>
      <c r="BA79" s="644"/>
      <c r="BB79" s="644"/>
      <c r="BC79" s="644"/>
      <c r="BD79" s="644">
        <f ca="1">BD$34</f>
        <v>0.29499999999999987</v>
      </c>
    </row>
    <row r="80" spans="3:56" outlineLevel="1">
      <c r="C80" s="444" t="s">
        <v>712</v>
      </c>
      <c r="D80" s="639">
        <f>D$35</f>
        <v>-14</v>
      </c>
      <c r="H80" s="639">
        <f>H$35</f>
        <v>-11</v>
      </c>
      <c r="L80" s="639">
        <f>L$35</f>
        <v>-15</v>
      </c>
      <c r="P80" s="639">
        <f>P$35</f>
        <v>-16</v>
      </c>
      <c r="T80" s="639">
        <f>T$35</f>
        <v>-15</v>
      </c>
      <c r="X80" s="639">
        <f>X$35</f>
        <v>-1</v>
      </c>
      <c r="Y80" s="639"/>
      <c r="Z80" s="639"/>
      <c r="AA80" s="639"/>
      <c r="AB80" s="639">
        <f>AB$35</f>
        <v>-1</v>
      </c>
      <c r="AC80" s="1039">
        <f t="shared" ref="AC80:AF80" si="215">AC$35</f>
        <v>0</v>
      </c>
      <c r="AD80" s="1039">
        <f t="shared" si="215"/>
        <v>0</v>
      </c>
      <c r="AE80" s="1039">
        <f t="shared" si="215"/>
        <v>0</v>
      </c>
      <c r="AF80" s="639">
        <f t="shared" si="215"/>
        <v>0</v>
      </c>
      <c r="AG80" s="639"/>
      <c r="AH80" s="639"/>
      <c r="AI80" s="639"/>
      <c r="AJ80" s="639">
        <f t="shared" ref="AJ80" si="216">AJ$35</f>
        <v>-28</v>
      </c>
      <c r="AK80" s="639"/>
      <c r="AL80" s="639"/>
      <c r="AM80" s="639"/>
      <c r="AN80" s="639">
        <f t="shared" ref="AN80" si="217">AN$35</f>
        <v>-35</v>
      </c>
      <c r="AO80" s="639"/>
      <c r="AP80" s="639"/>
      <c r="AQ80" s="639"/>
      <c r="AR80" s="1681">
        <f t="shared" ref="AR80" si="218">AR$35</f>
        <v>-41</v>
      </c>
      <c r="AS80" s="639"/>
      <c r="AT80" s="639"/>
      <c r="AU80" s="639"/>
      <c r="AV80" s="639">
        <f>AV$35</f>
        <v>-40</v>
      </c>
      <c r="AW80" s="639"/>
      <c r="AX80" s="639"/>
      <c r="AY80" s="639"/>
      <c r="AZ80" s="639">
        <f>AZ$35</f>
        <v>-40</v>
      </c>
      <c r="BA80" s="639"/>
      <c r="BB80" s="639"/>
      <c r="BC80" s="639"/>
      <c r="BD80" s="639">
        <f>BD$35</f>
        <v>-40</v>
      </c>
    </row>
    <row r="81" spans="3:56" s="565" customFormat="1" outlineLevel="1">
      <c r="C81" s="584" t="s">
        <v>1055</v>
      </c>
      <c r="D81" s="648"/>
      <c r="E81" s="584"/>
      <c r="F81" s="584"/>
      <c r="G81" s="584"/>
      <c r="H81" s="648"/>
      <c r="I81" s="584"/>
      <c r="J81" s="584"/>
      <c r="K81" s="584"/>
      <c r="L81" s="648">
        <f>(L64+L67+L74)*(1-L79)+L80</f>
        <v>6852.8433160621762</v>
      </c>
      <c r="M81" s="648">
        <f t="shared" ref="M81:AJ81" si="219">(M64+M67+M74)*(1-M79)+M80</f>
        <v>0</v>
      </c>
      <c r="N81" s="648">
        <f t="shared" si="219"/>
        <v>-4690</v>
      </c>
      <c r="O81" s="648">
        <f t="shared" si="219"/>
        <v>-4260</v>
      </c>
      <c r="P81" s="648">
        <f t="shared" si="219"/>
        <v>6803.1083207587853</v>
      </c>
      <c r="Q81" s="648">
        <f t="shared" si="219"/>
        <v>-3.8405390230207725E-2</v>
      </c>
      <c r="R81" s="648">
        <f t="shared" si="219"/>
        <v>-4478</v>
      </c>
      <c r="S81" s="648">
        <f t="shared" si="219"/>
        <v>-4227</v>
      </c>
      <c r="T81" s="648">
        <f t="shared" si="219"/>
        <v>6729.0319764269352</v>
      </c>
      <c r="U81" s="648">
        <f t="shared" si="219"/>
        <v>0</v>
      </c>
      <c r="V81" s="648">
        <f t="shared" si="219"/>
        <v>797</v>
      </c>
      <c r="W81" s="648">
        <f t="shared" si="219"/>
        <v>162</v>
      </c>
      <c r="X81" s="648">
        <f t="shared" si="219"/>
        <v>4888.1699520511456</v>
      </c>
      <c r="Y81" s="648">
        <f t="shared" si="219"/>
        <v>0</v>
      </c>
      <c r="Z81" s="648">
        <f t="shared" si="219"/>
        <v>659</v>
      </c>
      <c r="AA81" s="648">
        <f t="shared" si="219"/>
        <v>68</v>
      </c>
      <c r="AB81" s="648">
        <f t="shared" ref="AB81:AF81" si="220">(AB64+AB67+AB74)*(1-AB79)+AB80</f>
        <v>6964.3161887760789</v>
      </c>
      <c r="AC81" s="1051">
        <f t="shared" si="220"/>
        <v>-0.91029099853170203</v>
      </c>
      <c r="AD81" s="1051">
        <f t="shared" si="220"/>
        <v>3097.5786984913307</v>
      </c>
      <c r="AE81" s="1051">
        <f t="shared" si="220"/>
        <v>3504.9392729565034</v>
      </c>
      <c r="AF81" s="648">
        <f t="shared" si="220"/>
        <v>6601.3945652173907</v>
      </c>
      <c r="AG81" s="648">
        <f t="shared" si="219"/>
        <v>2.4765868886577193E-3</v>
      </c>
      <c r="AH81" s="648">
        <f t="shared" si="219"/>
        <v>-4574.88</v>
      </c>
      <c r="AI81" s="648">
        <f t="shared" si="219"/>
        <v>-4753.5200000000004</v>
      </c>
      <c r="AJ81" s="648">
        <f t="shared" si="219"/>
        <v>7728.434464404525</v>
      </c>
      <c r="AK81" s="648">
        <f t="shared" ref="AK81:AN81" si="221">(AK64+AK67+AK74)*(1-AK79)+AK80</f>
        <v>2.5261186264308737E-3</v>
      </c>
      <c r="AL81" s="648">
        <f t="shared" si="221"/>
        <v>-4706.5776000000005</v>
      </c>
      <c r="AM81" s="648">
        <f t="shared" si="221"/>
        <v>-4812.8904000000002</v>
      </c>
      <c r="AN81" s="648">
        <f t="shared" si="221"/>
        <v>6838.3429931691162</v>
      </c>
      <c r="AO81" s="648"/>
      <c r="AP81" s="648"/>
      <c r="AQ81" s="648"/>
      <c r="AR81" s="1689">
        <f t="shared" ref="AR81" si="222">(AR64+AR67+AR74)*(1-AR79)+AR80</f>
        <v>6681.1067847983222</v>
      </c>
      <c r="AS81" s="648"/>
      <c r="AT81" s="648"/>
      <c r="AU81" s="648"/>
      <c r="AV81" s="648">
        <f ca="1">(AV64+AV67+AV74)*(1-AV79)+AV80</f>
        <v>8302.9084971490738</v>
      </c>
      <c r="AW81" s="648"/>
      <c r="AX81" s="648"/>
      <c r="AY81" s="648"/>
      <c r="AZ81" s="648">
        <f ca="1">(AZ64+AZ67+AZ74)*(1-AZ79)+AZ80</f>
        <v>9326.4467455896574</v>
      </c>
      <c r="BA81" s="648"/>
      <c r="BB81" s="648"/>
      <c r="BC81" s="648"/>
      <c r="BD81" s="648">
        <f ca="1">(BD64+BD67+BD74)*(1-BD79)+BD80</f>
        <v>10236.026674318755</v>
      </c>
    </row>
    <row r="82" spans="3:56" outlineLevel="1">
      <c r="C82" s="584" t="s">
        <v>136</v>
      </c>
      <c r="D82" s="648">
        <f>D$36</f>
        <v>7216</v>
      </c>
      <c r="E82" s="584"/>
      <c r="F82" s="584"/>
      <c r="G82" s="584"/>
      <c r="H82" s="648">
        <f>H$36</f>
        <v>5889</v>
      </c>
      <c r="I82" s="584"/>
      <c r="J82" s="584"/>
      <c r="K82" s="584"/>
      <c r="L82" s="648">
        <f>L$36</f>
        <v>6809</v>
      </c>
      <c r="M82" s="584"/>
      <c r="N82" s="584"/>
      <c r="O82" s="584"/>
      <c r="P82" s="648">
        <f>P$36</f>
        <v>6487</v>
      </c>
      <c r="T82" s="648">
        <f>T$36</f>
        <v>6470</v>
      </c>
      <c r="X82" s="648">
        <f>X$36</f>
        <v>3758</v>
      </c>
      <c r="Y82" s="648"/>
      <c r="Z82" s="648"/>
      <c r="AA82" s="648"/>
      <c r="AB82" s="648">
        <f>AB$36</f>
        <v>6198</v>
      </c>
      <c r="AC82" s="1051">
        <f t="shared" ref="AC82:AF82" si="223">AC$36</f>
        <v>0.64928153273017553</v>
      </c>
      <c r="AD82" s="1051">
        <f t="shared" si="223"/>
        <v>3113</v>
      </c>
      <c r="AE82" s="1051">
        <f t="shared" si="223"/>
        <v>3402</v>
      </c>
      <c r="AF82" s="648">
        <f t="shared" si="223"/>
        <v>6515</v>
      </c>
      <c r="AG82" s="648"/>
      <c r="AH82" s="648"/>
      <c r="AI82" s="648"/>
      <c r="AJ82" s="648">
        <f t="shared" ref="AJ82" si="224">AJ$36</f>
        <v>7413</v>
      </c>
      <c r="AK82" s="648"/>
      <c r="AL82" s="648"/>
      <c r="AM82" s="648"/>
      <c r="AN82" s="648">
        <f t="shared" ref="AN82" si="225">AN$36</f>
        <v>6725</v>
      </c>
      <c r="AO82" s="648"/>
      <c r="AP82" s="648"/>
      <c r="AQ82" s="648"/>
      <c r="AR82" s="1689">
        <f t="shared" ref="AR82" si="226">AR$36</f>
        <v>5787</v>
      </c>
      <c r="AS82" s="648"/>
      <c r="AT82" s="648"/>
      <c r="AU82" s="648"/>
      <c r="AV82" s="648">
        <f ca="1">+AV77+AV78+AV80</f>
        <v>8302.9084971490738</v>
      </c>
      <c r="AW82" s="648"/>
      <c r="AX82" s="648"/>
      <c r="AY82" s="648"/>
      <c r="AZ82" s="648">
        <f ca="1">+AZ77+AZ78+AZ80</f>
        <v>9326.4467455896574</v>
      </c>
      <c r="BA82" s="648"/>
      <c r="BB82" s="648"/>
      <c r="BC82" s="648"/>
      <c r="BD82" s="648">
        <f ca="1">+BD77+BD78+BD80</f>
        <v>10236.026674318755</v>
      </c>
    </row>
    <row r="83" spans="3:56" outlineLevel="1">
      <c r="C83" s="645" t="s">
        <v>554</v>
      </c>
      <c r="D83" s="664">
        <f>D$38</f>
        <v>1.391035548686248E-2</v>
      </c>
      <c r="E83" s="645"/>
      <c r="F83" s="645"/>
      <c r="G83" s="645"/>
      <c r="H83" s="664">
        <f>H$38</f>
        <v>-0.18389689578713964</v>
      </c>
      <c r="I83" s="645"/>
      <c r="J83" s="645"/>
      <c r="K83" s="645"/>
      <c r="L83" s="664">
        <f>L$38</f>
        <v>0.15622346748174554</v>
      </c>
      <c r="M83" s="645"/>
      <c r="N83" s="645"/>
      <c r="O83" s="645"/>
      <c r="P83" s="664">
        <f>P$38</f>
        <v>-4.7290351006021414E-2</v>
      </c>
      <c r="T83" s="664">
        <f>T$38</f>
        <v>-2.6206258671188642E-3</v>
      </c>
      <c r="X83" s="684">
        <f>X$38</f>
        <v>-0.41916537867078829</v>
      </c>
      <c r="Y83" s="684"/>
      <c r="Z83" s="684"/>
      <c r="AA83" s="684"/>
      <c r="AB83" s="684">
        <f>AB$38</f>
        <v>0.64928153273017553</v>
      </c>
      <c r="AC83" s="1059">
        <f t="shared" ref="AC83:AF83" si="227">AC$38</f>
        <v>3113</v>
      </c>
      <c r="AD83" s="1059">
        <f t="shared" si="227"/>
        <v>3402</v>
      </c>
      <c r="AE83" s="1059">
        <f t="shared" si="227"/>
        <v>6515</v>
      </c>
      <c r="AF83" s="684">
        <f t="shared" si="227"/>
        <v>5.1145530816392393E-2</v>
      </c>
      <c r="AG83" s="664"/>
      <c r="AH83" s="664"/>
      <c r="AI83" s="664"/>
      <c r="AJ83" s="684">
        <f t="shared" ref="AJ83" si="228">AJ$38</f>
        <v>0.1378357636224099</v>
      </c>
      <c r="AK83" s="664"/>
      <c r="AL83" s="664"/>
      <c r="AM83" s="664"/>
      <c r="AN83" s="684">
        <f t="shared" ref="AN83" si="229">AN$38</f>
        <v>-9.2809928503979511E-2</v>
      </c>
      <c r="AO83" s="664"/>
      <c r="AP83" s="664"/>
      <c r="AQ83" s="664"/>
      <c r="AR83" s="1696">
        <f t="shared" ref="AR83" si="230">AR$38</f>
        <v>-0.13947955390334577</v>
      </c>
      <c r="AS83" s="664"/>
      <c r="AT83" s="664"/>
      <c r="AU83" s="664"/>
      <c r="AV83" s="664">
        <f ca="1">+AV82/AR82-1</f>
        <v>0.43475177071869253</v>
      </c>
      <c r="AW83" s="664"/>
      <c r="AX83" s="664"/>
      <c r="AY83" s="664"/>
      <c r="AZ83" s="664">
        <f ca="1">+AZ82/AV82-1</f>
        <v>0.12327466318483826</v>
      </c>
      <c r="BA83" s="664"/>
      <c r="BB83" s="664"/>
      <c r="BC83" s="664"/>
      <c r="BD83" s="664">
        <f ca="1">+BD82/AZ82-1</f>
        <v>9.7526952497662078E-2</v>
      </c>
    </row>
    <row r="84" spans="3:56" outlineLevel="1">
      <c r="C84" s="444" t="s">
        <v>350</v>
      </c>
      <c r="D84" s="639">
        <f>D$39</f>
        <v>-1</v>
      </c>
      <c r="H84" s="639">
        <f>H$39</f>
        <v>0</v>
      </c>
      <c r="L84" s="639">
        <f>L$39</f>
        <v>0</v>
      </c>
      <c r="P84" s="639">
        <f>P$39</f>
        <v>0</v>
      </c>
      <c r="T84" s="639">
        <f>T$39</f>
        <v>0</v>
      </c>
      <c r="X84" s="639">
        <f>X$39</f>
        <v>0</v>
      </c>
      <c r="Y84" s="639"/>
      <c r="Z84" s="639"/>
      <c r="AA84" s="639"/>
      <c r="AB84" s="639">
        <f>AB$39</f>
        <v>0</v>
      </c>
      <c r="AC84" s="1039">
        <f t="shared" ref="AC84:AF84" si="231">AC$39</f>
        <v>0</v>
      </c>
      <c r="AD84" s="1039">
        <f t="shared" si="231"/>
        <v>0</v>
      </c>
      <c r="AE84" s="1039">
        <f t="shared" si="231"/>
        <v>0</v>
      </c>
      <c r="AF84" s="639">
        <f t="shared" si="231"/>
        <v>0</v>
      </c>
      <c r="AG84" s="639"/>
      <c r="AH84" s="639"/>
      <c r="AI84" s="639"/>
      <c r="AJ84" s="639">
        <f t="shared" ref="AJ84" si="232">AJ$39</f>
        <v>0</v>
      </c>
      <c r="AK84" s="639"/>
      <c r="AL84" s="639"/>
      <c r="AM84" s="639"/>
      <c r="AN84" s="639">
        <f t="shared" ref="AN84" si="233">AN$39</f>
        <v>0</v>
      </c>
      <c r="AO84" s="639"/>
      <c r="AP84" s="639"/>
      <c r="AQ84" s="639"/>
      <c r="AR84" s="1681">
        <f t="shared" ref="AR84" si="234">AR$39</f>
        <v>0</v>
      </c>
      <c r="AS84" s="639"/>
      <c r="AT84" s="639"/>
      <c r="AU84" s="639"/>
      <c r="AV84" s="639">
        <f>AV$39</f>
        <v>0</v>
      </c>
      <c r="AW84" s="639"/>
      <c r="AX84" s="639"/>
      <c r="AY84" s="639"/>
      <c r="AZ84" s="639">
        <f>AZ$39</f>
        <v>0</v>
      </c>
      <c r="BA84" s="639"/>
      <c r="BB84" s="639"/>
      <c r="BC84" s="639"/>
      <c r="BD84" s="639">
        <f>BD$39</f>
        <v>0</v>
      </c>
    </row>
    <row r="85" spans="3:56" ht="14.4" outlineLevel="1" thickBot="1">
      <c r="C85" s="584" t="s">
        <v>1</v>
      </c>
      <c r="D85" s="648">
        <f>D$40</f>
        <v>7215</v>
      </c>
      <c r="E85" s="584"/>
      <c r="F85" s="584"/>
      <c r="G85" s="584"/>
      <c r="H85" s="648">
        <f>H$40</f>
        <v>5889</v>
      </c>
      <c r="I85" s="584"/>
      <c r="J85" s="584"/>
      <c r="K85" s="584"/>
      <c r="L85" s="648">
        <f>L$40</f>
        <v>6809</v>
      </c>
      <c r="M85" s="584"/>
      <c r="N85" s="584"/>
      <c r="O85" s="584"/>
      <c r="P85" s="648">
        <f>P$40</f>
        <v>6487</v>
      </c>
      <c r="T85" s="648">
        <f>T$40</f>
        <v>6470</v>
      </c>
      <c r="X85" s="648">
        <f>X$40</f>
        <v>3758</v>
      </c>
      <c r="Y85" s="648"/>
      <c r="Z85" s="648"/>
      <c r="AA85" s="648"/>
      <c r="AB85" s="648">
        <f>AB$40</f>
        <v>6198</v>
      </c>
      <c r="AC85" s="1051">
        <f t="shared" ref="AC85:AF85" si="235">AC$40</f>
        <v>0.64928153273017553</v>
      </c>
      <c r="AD85" s="1051">
        <f t="shared" si="235"/>
        <v>3113</v>
      </c>
      <c r="AE85" s="1051">
        <f t="shared" si="235"/>
        <v>3402</v>
      </c>
      <c r="AF85" s="648">
        <f t="shared" si="235"/>
        <v>6515</v>
      </c>
      <c r="AG85" s="648">
        <f t="shared" ref="AG85:AI85" si="236">AG81</f>
        <v>2.4765868886577193E-3</v>
      </c>
      <c r="AH85" s="648">
        <f t="shared" si="236"/>
        <v>-4574.88</v>
      </c>
      <c r="AI85" s="648">
        <f t="shared" si="236"/>
        <v>-4753.5200000000004</v>
      </c>
      <c r="AJ85" s="648">
        <f t="shared" ref="AJ85" si="237">AJ$40</f>
        <v>7413</v>
      </c>
      <c r="AK85" s="648">
        <f t="shared" ref="AK85:AM85" si="238">AK81</f>
        <v>2.5261186264308737E-3</v>
      </c>
      <c r="AL85" s="648">
        <f t="shared" si="238"/>
        <v>-4706.5776000000005</v>
      </c>
      <c r="AM85" s="648">
        <f t="shared" si="238"/>
        <v>-4812.8904000000002</v>
      </c>
      <c r="AN85" s="648">
        <f t="shared" ref="AN85" si="239">AN$40</f>
        <v>6725</v>
      </c>
      <c r="AO85" s="648"/>
      <c r="AP85" s="648"/>
      <c r="AQ85" s="648"/>
      <c r="AR85" s="1689">
        <f t="shared" ref="AR85" si="240">AR$40</f>
        <v>5787</v>
      </c>
      <c r="AS85" s="648">
        <f t="shared" ref="AS85:AZ85" si="241">AS82</f>
        <v>0</v>
      </c>
      <c r="AT85" s="648">
        <f t="shared" si="241"/>
        <v>0</v>
      </c>
      <c r="AU85" s="648">
        <f t="shared" si="241"/>
        <v>0</v>
      </c>
      <c r="AV85" s="648">
        <f t="shared" ca="1" si="241"/>
        <v>8302.9084971490738</v>
      </c>
      <c r="AW85" s="648">
        <f t="shared" si="241"/>
        <v>0</v>
      </c>
      <c r="AX85" s="648">
        <f t="shared" si="241"/>
        <v>0</v>
      </c>
      <c r="AY85" s="648">
        <f t="shared" si="241"/>
        <v>0</v>
      </c>
      <c r="AZ85" s="648">
        <f t="shared" ca="1" si="241"/>
        <v>9326.4467455896574</v>
      </c>
      <c r="BA85" s="648">
        <f t="shared" ref="BA85:BD85" si="242">BA82</f>
        <v>0</v>
      </c>
      <c r="BB85" s="648">
        <f t="shared" si="242"/>
        <v>0</v>
      </c>
      <c r="BC85" s="648">
        <f t="shared" si="242"/>
        <v>0</v>
      </c>
      <c r="BD85" s="648">
        <f t="shared" ca="1" si="242"/>
        <v>10236.026674318755</v>
      </c>
    </row>
    <row r="86" spans="3:56" ht="14.4" outlineLevel="1" thickBot="1">
      <c r="C86" s="662" t="s">
        <v>835</v>
      </c>
      <c r="D86" s="665">
        <f>D$41</f>
        <v>2771.4</v>
      </c>
      <c r="E86" s="666"/>
      <c r="F86" s="666"/>
      <c r="G86" s="666"/>
      <c r="H86" s="665">
        <f>H$41</f>
        <v>2906.2</v>
      </c>
      <c r="I86" s="666"/>
      <c r="J86" s="666"/>
      <c r="K86" s="666"/>
      <c r="L86" s="665">
        <f>L$41</f>
        <v>2926.4</v>
      </c>
      <c r="M86" s="668"/>
      <c r="N86" s="668"/>
      <c r="O86" s="668"/>
      <c r="P86" s="665">
        <f>P$41</f>
        <v>2903.3</v>
      </c>
      <c r="T86" s="665">
        <f>T$41</f>
        <v>2843.1</v>
      </c>
      <c r="X86" s="665">
        <f>X$41</f>
        <v>2830.9</v>
      </c>
      <c r="Y86" s="667"/>
      <c r="Z86" s="667"/>
      <c r="AA86" s="667"/>
      <c r="AB86" s="665">
        <f>AB$41</f>
        <v>2838.6</v>
      </c>
      <c r="AC86" s="1060">
        <f t="shared" ref="AC86:AF86" si="243">AC$41</f>
        <v>0</v>
      </c>
      <c r="AD86" s="1060">
        <f t="shared" si="243"/>
        <v>2808.7</v>
      </c>
      <c r="AE86" s="1060">
        <f t="shared" si="243"/>
        <v>2862.5</v>
      </c>
      <c r="AF86" s="665">
        <f t="shared" si="243"/>
        <v>2847.5</v>
      </c>
      <c r="AG86" s="665">
        <f t="shared" ref="AG86:AI86" si="244">AC86</f>
        <v>0</v>
      </c>
      <c r="AH86" s="665">
        <f t="shared" si="244"/>
        <v>2808.7</v>
      </c>
      <c r="AI86" s="665">
        <f t="shared" si="244"/>
        <v>2862.5</v>
      </c>
      <c r="AJ86" s="665">
        <f t="shared" ref="AJ86" si="245">AJ$41</f>
        <v>2997.2</v>
      </c>
      <c r="AK86" s="665">
        <f t="shared" ref="AK86" si="246">AG86</f>
        <v>0</v>
      </c>
      <c r="AL86" s="665">
        <f t="shared" ref="AL86" si="247">AH86</f>
        <v>2808.7</v>
      </c>
      <c r="AM86" s="665">
        <f t="shared" ref="AM86" si="248">AI86</f>
        <v>2862.5</v>
      </c>
      <c r="AN86" s="665">
        <f t="shared" ref="AN86" si="249">AN$41</f>
        <v>2998.4</v>
      </c>
      <c r="AO86" s="1668"/>
      <c r="AP86" s="1214"/>
      <c r="AQ86" s="1667"/>
      <c r="AR86" s="1697">
        <f t="shared" ref="AR86" si="250">AR$41</f>
        <v>2972.6</v>
      </c>
      <c r="AS86" s="1668"/>
      <c r="AT86" s="1214"/>
      <c r="AU86" s="1214"/>
      <c r="AV86" s="1214">
        <f t="shared" ref="AV86" ca="1" si="251">AV41</f>
        <v>2994.9587242710249</v>
      </c>
      <c r="AW86" s="1214"/>
      <c r="AX86" s="1214"/>
      <c r="AY86" s="1214"/>
      <c r="AZ86" s="1214">
        <f t="shared" ref="AZ86" ca="1" si="252">AZ41</f>
        <v>2998.284514162041</v>
      </c>
      <c r="BA86" s="1214"/>
      <c r="BB86" s="1214"/>
      <c r="BC86" s="1214"/>
      <c r="BD86" s="1214">
        <f t="shared" ref="BD86" ca="1" si="253">BD41</f>
        <v>2979.5513073404563</v>
      </c>
    </row>
    <row r="87" spans="3:56" outlineLevel="1">
      <c r="C87" s="584" t="s">
        <v>512</v>
      </c>
      <c r="D87" s="650">
        <f>D$43</f>
        <v>260.33773544057158</v>
      </c>
      <c r="E87" s="584"/>
      <c r="F87" s="584"/>
      <c r="G87" s="584"/>
      <c r="H87" s="650">
        <f>H$43</f>
        <v>202.6357442708692</v>
      </c>
      <c r="I87" s="584"/>
      <c r="J87" s="584"/>
      <c r="K87" s="584"/>
      <c r="L87" s="650">
        <f>L$43</f>
        <v>232.67495899398577</v>
      </c>
      <c r="M87" s="584"/>
      <c r="N87" s="584"/>
      <c r="O87" s="584"/>
      <c r="P87" s="650">
        <f>P$43</f>
        <v>223.43540109530534</v>
      </c>
      <c r="T87" s="650">
        <f>T$43</f>
        <v>227.56849917343746</v>
      </c>
      <c r="X87" s="650">
        <f>X$43</f>
        <v>132.74930234201136</v>
      </c>
      <c r="Y87" s="650"/>
      <c r="Z87" s="650"/>
      <c r="AA87" s="650"/>
      <c r="AB87" s="650">
        <f>AB$43</f>
        <v>218.34707250052844</v>
      </c>
      <c r="AC87" s="1052" t="e">
        <f t="shared" ref="AC87:AF87" si="254">AC$43</f>
        <v>#DIV/0!</v>
      </c>
      <c r="AD87" s="1052">
        <f t="shared" si="254"/>
        <v>110.83419375511802</v>
      </c>
      <c r="AE87" s="1052">
        <f t="shared" si="254"/>
        <v>118.8471615720524</v>
      </c>
      <c r="AF87" s="650">
        <f t="shared" si="254"/>
        <v>228.79719051799822</v>
      </c>
      <c r="AG87" s="650"/>
      <c r="AH87" s="650"/>
      <c r="AI87" s="650"/>
      <c r="AJ87" s="650">
        <f t="shared" ref="AJ87" si="255">AJ$43</f>
        <v>247.33084211931134</v>
      </c>
      <c r="AK87" s="650"/>
      <c r="AL87" s="650"/>
      <c r="AM87" s="650"/>
      <c r="AN87" s="650">
        <f t="shared" ref="AN87" si="256">AN$43</f>
        <v>224.28628601921025</v>
      </c>
      <c r="AO87" s="650"/>
      <c r="AP87" s="650"/>
      <c r="AQ87" s="650"/>
      <c r="AR87" s="1690">
        <f t="shared" ref="AR87" si="257">AR$43</f>
        <v>194.67805961111486</v>
      </c>
      <c r="AS87" s="650"/>
      <c r="AT87" s="650"/>
      <c r="AU87" s="650"/>
      <c r="AV87" s="650">
        <f ca="1">+AV85/AV86*100</f>
        <v>277.22947998790892</v>
      </c>
      <c r="AW87" s="650"/>
      <c r="AX87" s="650"/>
      <c r="AY87" s="650"/>
      <c r="AZ87" s="650">
        <f ca="1">+AZ85/AZ86*100</f>
        <v>311.05943086912845</v>
      </c>
      <c r="BA87" s="650"/>
      <c r="BB87" s="650"/>
      <c r="BC87" s="650"/>
      <c r="BD87" s="650">
        <f ca="1">+BD85/BD86*100</f>
        <v>343.54255451487489</v>
      </c>
    </row>
    <row r="88" spans="3:56" outlineLevel="1">
      <c r="C88" s="651" t="s">
        <v>554</v>
      </c>
      <c r="D88" s="652">
        <f>D$44</f>
        <v>0</v>
      </c>
      <c r="E88" s="651"/>
      <c r="F88" s="651"/>
      <c r="G88" s="651"/>
      <c r="H88" s="652">
        <f>H$44</f>
        <v>-0.22164282512503553</v>
      </c>
      <c r="I88" s="651"/>
      <c r="J88" s="651"/>
      <c r="K88" s="651"/>
      <c r="L88" s="652">
        <f>L$44</f>
        <v>0.14824242796454645</v>
      </c>
      <c r="M88" s="651"/>
      <c r="N88" s="651"/>
      <c r="O88" s="651"/>
      <c r="P88" s="652">
        <f>P$44</f>
        <v>-3.9710151615065969E-2</v>
      </c>
      <c r="T88" s="652">
        <f>T$44</f>
        <v>1.8497955372654529E-2</v>
      </c>
      <c r="X88" s="1053">
        <f>X$44</f>
        <v>-0.41666222335614767</v>
      </c>
      <c r="Y88" s="684"/>
      <c r="Z88" s="684"/>
      <c r="AA88" s="684"/>
      <c r="AB88" s="1053">
        <f>AB$44</f>
        <v>0.64480768371938812</v>
      </c>
      <c r="AC88" s="1054" t="e">
        <f t="shared" ref="AC88:AF88" si="258">AC$44</f>
        <v>#DIV/0!</v>
      </c>
      <c r="AD88" s="1054" t="e">
        <f t="shared" si="258"/>
        <v>#DIV/0!</v>
      </c>
      <c r="AE88" s="1054" t="e">
        <f t="shared" si="258"/>
        <v>#DIV/0!</v>
      </c>
      <c r="AF88" s="1215">
        <f t="shared" si="258"/>
        <v>4.7860124240706181E-2</v>
      </c>
      <c r="AG88" s="684"/>
      <c r="AH88" s="684"/>
      <c r="AI88" s="684"/>
      <c r="AJ88" s="1053">
        <f t="shared" ref="AJ88" si="259">AJ$44</f>
        <v>8.1004716707197444E-2</v>
      </c>
      <c r="AK88" s="684"/>
      <c r="AL88" s="684"/>
      <c r="AM88" s="684"/>
      <c r="AN88" s="1670">
        <f t="shared" ref="AN88" si="260">AN$44</f>
        <v>-9.3172998169732901E-2</v>
      </c>
      <c r="AO88" s="684"/>
      <c r="AP88" s="684"/>
      <c r="AQ88" s="684"/>
      <c r="AR88" s="1698">
        <f t="shared" ref="AR88" si="261">AR$44</f>
        <v>-0.13201086403276319</v>
      </c>
      <c r="AS88" s="684"/>
      <c r="AT88" s="684"/>
      <c r="AU88" s="684"/>
      <c r="AV88" s="652">
        <f ca="1">+AV87/AR87-1</f>
        <v>0.4240406984829066</v>
      </c>
      <c r="AW88" s="684"/>
      <c r="AX88" s="684"/>
      <c r="AY88" s="684"/>
      <c r="AZ88" s="652">
        <f ca="1">+AZ87/AV87-1</f>
        <v>0.12202869219642509</v>
      </c>
      <c r="BA88" s="684"/>
      <c r="BB88" s="684"/>
      <c r="BC88" s="684"/>
      <c r="BD88" s="652">
        <f ca="1">+BD87/AZ87-1</f>
        <v>0.10442738725196543</v>
      </c>
    </row>
    <row r="89" spans="3:56" outlineLevel="1">
      <c r="C89" s="584" t="s">
        <v>129</v>
      </c>
      <c r="D89" s="584"/>
      <c r="E89" s="584"/>
      <c r="F89" s="584"/>
      <c r="G89" s="584"/>
      <c r="H89" s="1570" t="e">
        <f t="shared" ref="H89:K90" si="262">H193/(H198*100)</f>
        <v>#DIV/0!</v>
      </c>
      <c r="I89" s="1570" t="e">
        <f t="shared" si="262"/>
        <v>#DIV/0!</v>
      </c>
      <c r="J89" s="1570" t="e">
        <f t="shared" si="262"/>
        <v>#DIV/0!</v>
      </c>
      <c r="K89" s="1570" t="e">
        <f t="shared" si="262"/>
        <v>#DIV/0!</v>
      </c>
      <c r="L89" s="1570">
        <f>L87/(L156*100)</f>
        <v>0.11592174066012487</v>
      </c>
      <c r="M89" s="1570" t="e">
        <f t="shared" ref="M89:AJ89" si="263">M87/(M156*100)</f>
        <v>#DIV/0!</v>
      </c>
      <c r="N89" s="1570" t="e">
        <f t="shared" si="263"/>
        <v>#DIV/0!</v>
      </c>
      <c r="O89" s="1570" t="e">
        <f t="shared" si="263"/>
        <v>#DIV/0!</v>
      </c>
      <c r="P89" s="1570">
        <f t="shared" si="263"/>
        <v>0.10837871424304416</v>
      </c>
      <c r="Q89" s="1570" t="e">
        <f t="shared" si="263"/>
        <v>#DIV/0!</v>
      </c>
      <c r="R89" s="1570" t="e">
        <f t="shared" si="263"/>
        <v>#DIV/0!</v>
      </c>
      <c r="S89" s="1570" t="e">
        <f t="shared" si="263"/>
        <v>#DIV/0!</v>
      </c>
      <c r="T89" s="1570">
        <f t="shared" si="263"/>
        <v>0.10612543584666169</v>
      </c>
      <c r="U89" s="1570" t="e">
        <f t="shared" si="263"/>
        <v>#DIV/0!</v>
      </c>
      <c r="V89" s="1570" t="e">
        <f t="shared" si="263"/>
        <v>#DIV/0!</v>
      </c>
      <c r="W89" s="1570" t="e">
        <f t="shared" si="263"/>
        <v>#DIV/0!</v>
      </c>
      <c r="X89" s="1019">
        <f t="shared" si="263"/>
        <v>6.1523188565563963E-2</v>
      </c>
      <c r="Y89" s="1019" t="e">
        <f t="shared" si="263"/>
        <v>#DIV/0!</v>
      </c>
      <c r="Z89" s="1019" t="e">
        <f t="shared" si="263"/>
        <v>#DIV/0!</v>
      </c>
      <c r="AA89" s="1019" t="e">
        <f t="shared" si="263"/>
        <v>#DIV/0!</v>
      </c>
      <c r="AB89" s="1019">
        <f t="shared" si="263"/>
        <v>9.6837643514191579E-2</v>
      </c>
      <c r="AC89" s="1570" t="e">
        <f t="shared" ref="AC89:AF89" si="264">AC87/(AC156*100)</f>
        <v>#DIV/0!</v>
      </c>
      <c r="AD89" s="1570">
        <f t="shared" si="264"/>
        <v>5.0153413670801818E-2</v>
      </c>
      <c r="AE89" s="1570">
        <f t="shared" si="264"/>
        <v>5.3915965090690514E-2</v>
      </c>
      <c r="AF89" s="1019">
        <f t="shared" si="264"/>
        <v>0.10379567482844536</v>
      </c>
      <c r="AG89" s="1570" t="e">
        <f t="shared" si="263"/>
        <v>#DIV/0!</v>
      </c>
      <c r="AH89" s="1570" t="e">
        <f t="shared" si="263"/>
        <v>#DIV/0!</v>
      </c>
      <c r="AI89" s="1570" t="e">
        <f t="shared" si="263"/>
        <v>#DIV/0!</v>
      </c>
      <c r="AJ89" s="1019">
        <f t="shared" si="263"/>
        <v>0.10697508683220985</v>
      </c>
      <c r="AK89" s="1570" t="e">
        <f t="shared" ref="AK89:AN89" si="265">AK87/(AK156*100)</f>
        <v>#DIV/0!</v>
      </c>
      <c r="AL89" s="1570" t="e">
        <f t="shared" si="265"/>
        <v>#DIV/0!</v>
      </c>
      <c r="AM89" s="1570" t="e">
        <f t="shared" si="265"/>
        <v>#DIV/0!</v>
      </c>
      <c r="AN89" s="1019">
        <f t="shared" si="265"/>
        <v>9.5658589326859972E-2</v>
      </c>
      <c r="AO89" s="1570"/>
      <c r="AP89" s="1570"/>
      <c r="AQ89" s="1570"/>
      <c r="AR89" s="1699">
        <f t="shared" ref="AR89" si="266">AR87/(AR156*100)</f>
        <v>8.1659250851001605E-2</v>
      </c>
      <c r="AS89" s="1570"/>
      <c r="AT89" s="1570"/>
      <c r="AU89" s="1570"/>
      <c r="AV89" s="1570">
        <f ca="1">AV87/(AV156*100)</f>
        <v>0.11198707252572926</v>
      </c>
      <c r="AW89" s="1570"/>
      <c r="AX89" s="1570"/>
      <c r="AY89" s="1570"/>
      <c r="AZ89" s="1570">
        <f ca="1">AZ87/(AZ156*100)</f>
        <v>0.12165655330788996</v>
      </c>
      <c r="BA89" s="1570"/>
      <c r="BB89" s="1570"/>
      <c r="BC89" s="1570"/>
      <c r="BD89" s="1570">
        <f ca="1">BD87/(BD156*100)</f>
        <v>0.13016309397869782</v>
      </c>
    </row>
    <row r="90" spans="3:56" outlineLevel="1">
      <c r="C90" s="584" t="s">
        <v>1269</v>
      </c>
      <c r="D90" s="584"/>
      <c r="E90" s="584"/>
      <c r="F90" s="584"/>
      <c r="G90" s="584"/>
      <c r="H90" s="1570" t="e">
        <f t="shared" si="262"/>
        <v>#DIV/0!</v>
      </c>
      <c r="I90" s="1570" t="e">
        <f t="shared" si="262"/>
        <v>#DIV/0!</v>
      </c>
      <c r="J90" s="1570" t="e">
        <f t="shared" si="262"/>
        <v>#DIV/0!</v>
      </c>
      <c r="K90" s="1570" t="e">
        <f t="shared" si="262"/>
        <v>#DIV/0!</v>
      </c>
      <c r="L90" s="1570">
        <f>L87/(L157*100)</f>
        <v>0.13146300001116201</v>
      </c>
      <c r="M90" s="1570" t="e">
        <f t="shared" ref="M90:BD90" si="267">M87/(M157*100)</f>
        <v>#DIV/0!</v>
      </c>
      <c r="N90" s="1570" t="e">
        <f t="shared" si="267"/>
        <v>#DIV/0!</v>
      </c>
      <c r="O90" s="1570" t="e">
        <f t="shared" si="267"/>
        <v>#DIV/0!</v>
      </c>
      <c r="P90" s="1570">
        <f t="shared" si="267"/>
        <v>0.11821626807395402</v>
      </c>
      <c r="Q90" s="1570" t="e">
        <f t="shared" si="267"/>
        <v>#DIV/0!</v>
      </c>
      <c r="R90" s="1570" t="e">
        <f t="shared" si="267"/>
        <v>#DIV/0!</v>
      </c>
      <c r="S90" s="1570" t="e">
        <f t="shared" si="267"/>
        <v>#DIV/0!</v>
      </c>
      <c r="T90" s="1570">
        <f t="shared" si="267"/>
        <v>0.11535035168748681</v>
      </c>
      <c r="U90" s="1570" t="e">
        <f t="shared" si="267"/>
        <v>#DIV/0!</v>
      </c>
      <c r="V90" s="1570" t="e">
        <f t="shared" si="267"/>
        <v>#DIV/0!</v>
      </c>
      <c r="W90" s="1570" t="e">
        <f t="shared" si="267"/>
        <v>#DIV/0!</v>
      </c>
      <c r="X90" s="1570">
        <f t="shared" si="267"/>
        <v>6.6257321600086433E-2</v>
      </c>
      <c r="Y90" s="1570" t="e">
        <f t="shared" si="267"/>
        <v>#DIV/0!</v>
      </c>
      <c r="Z90" s="1570" t="e">
        <f t="shared" si="267"/>
        <v>#DIV/0!</v>
      </c>
      <c r="AA90" s="1570" t="e">
        <f t="shared" si="267"/>
        <v>#DIV/0!</v>
      </c>
      <c r="AB90" s="1570">
        <f t="shared" si="267"/>
        <v>0.10354492827347556</v>
      </c>
      <c r="AC90" s="1570" t="e">
        <f t="shared" si="267"/>
        <v>#DIV/0!</v>
      </c>
      <c r="AD90" s="1570">
        <f t="shared" si="267"/>
        <v>5.3690647097401137E-2</v>
      </c>
      <c r="AE90" s="1570">
        <f t="shared" si="267"/>
        <v>5.728582155782911E-2</v>
      </c>
      <c r="AF90" s="1570">
        <f t="shared" si="267"/>
        <v>0.11028311366948812</v>
      </c>
      <c r="AG90" s="1570" t="e">
        <f t="shared" si="267"/>
        <v>#DIV/0!</v>
      </c>
      <c r="AH90" s="1570" t="e">
        <f t="shared" si="267"/>
        <v>#DIV/0!</v>
      </c>
      <c r="AI90" s="1570" t="e">
        <f t="shared" si="267"/>
        <v>#DIV/0!</v>
      </c>
      <c r="AJ90" s="1570">
        <f t="shared" si="267"/>
        <v>0.11360902332632035</v>
      </c>
      <c r="AK90" s="1570" t="e">
        <f t="shared" si="267"/>
        <v>#DIV/0!</v>
      </c>
      <c r="AL90" s="1570" t="e">
        <f t="shared" si="267"/>
        <v>#DIV/0!</v>
      </c>
      <c r="AM90" s="1570" t="e">
        <f t="shared" si="267"/>
        <v>#DIV/0!</v>
      </c>
      <c r="AN90" s="1570">
        <f t="shared" si="267"/>
        <v>0.10385139829370056</v>
      </c>
      <c r="AO90" s="1570" t="e">
        <f t="shared" si="267"/>
        <v>#DIV/0!</v>
      </c>
      <c r="AP90" s="1570" t="e">
        <f t="shared" si="267"/>
        <v>#DIV/0!</v>
      </c>
      <c r="AQ90" s="1570" t="e">
        <f t="shared" si="267"/>
        <v>#DIV/0!</v>
      </c>
      <c r="AR90" s="1570">
        <f t="shared" si="267"/>
        <v>8.8861576037361223E-2</v>
      </c>
      <c r="AS90" s="1570" t="e">
        <f t="shared" si="267"/>
        <v>#DIV/0!</v>
      </c>
      <c r="AT90" s="1570" t="e">
        <f t="shared" si="267"/>
        <v>#DIV/0!</v>
      </c>
      <c r="AU90" s="1570" t="e">
        <f t="shared" si="267"/>
        <v>#DIV/0!</v>
      </c>
      <c r="AV90" s="1570">
        <f t="shared" ca="1" si="267"/>
        <v>0.12126673406782344</v>
      </c>
      <c r="AW90" s="1570" t="e">
        <f t="shared" si="267"/>
        <v>#DIV/0!</v>
      </c>
      <c r="AX90" s="1570" t="e">
        <f t="shared" si="267"/>
        <v>#DIV/0!</v>
      </c>
      <c r="AY90" s="1570" t="e">
        <f t="shared" si="267"/>
        <v>#DIV/0!</v>
      </c>
      <c r="AZ90" s="1570">
        <f t="shared" ca="1" si="267"/>
        <v>0.13134239649864263</v>
      </c>
      <c r="BA90" s="1570" t="e">
        <f t="shared" si="267"/>
        <v>#DIV/0!</v>
      </c>
      <c r="BB90" s="1570" t="e">
        <f t="shared" si="267"/>
        <v>#DIV/0!</v>
      </c>
      <c r="BC90" s="1570" t="e">
        <f t="shared" si="267"/>
        <v>#DIV/0!</v>
      </c>
      <c r="BD90" s="1570">
        <f t="shared" ca="1" si="267"/>
        <v>0.1401968960679261</v>
      </c>
    </row>
    <row r="91" spans="3:56" outlineLevel="1">
      <c r="C91" s="585"/>
      <c r="D91" s="625" t="str">
        <f>D$2</f>
        <v>FY15</v>
      </c>
      <c r="E91" s="624"/>
      <c r="F91" s="624"/>
      <c r="G91" s="624"/>
      <c r="H91" s="625" t="str">
        <f>H$2</f>
        <v>FY16</v>
      </c>
      <c r="I91" s="624"/>
      <c r="J91" s="624"/>
      <c r="K91" s="624"/>
      <c r="L91" s="625" t="str">
        <f>L$2</f>
        <v>FY17</v>
      </c>
      <c r="M91" s="624"/>
      <c r="N91" s="624"/>
      <c r="O91" s="624"/>
      <c r="P91" s="625" t="str">
        <f>P$2</f>
        <v>FY18</v>
      </c>
      <c r="T91" s="625" t="str">
        <f>T$2</f>
        <v>FY19</v>
      </c>
      <c r="X91" s="1028" t="str">
        <f>X$2</f>
        <v>FY20</v>
      </c>
      <c r="Y91" s="686"/>
      <c r="Z91" s="686"/>
      <c r="AA91" s="686"/>
      <c r="AB91" s="1028" t="str">
        <f>AB$2</f>
        <v>FY21</v>
      </c>
      <c r="AC91" s="1025">
        <f t="shared" ref="AC91:AF91" si="268">AC$2</f>
        <v>0</v>
      </c>
      <c r="AD91" s="1025">
        <f t="shared" si="268"/>
        <v>0</v>
      </c>
      <c r="AE91" s="1025">
        <f t="shared" si="268"/>
        <v>0</v>
      </c>
      <c r="AF91" s="1028" t="str">
        <f t="shared" si="268"/>
        <v>FY22</v>
      </c>
      <c r="AG91" s="686"/>
      <c r="AH91" s="686"/>
      <c r="AI91" s="686"/>
      <c r="AJ91" s="1028" t="str">
        <f t="shared" ref="AJ91" si="269">AJ$2</f>
        <v>FY23</v>
      </c>
      <c r="AK91" s="686"/>
      <c r="AL91" s="686"/>
      <c r="AM91" s="686"/>
      <c r="AN91" s="625" t="str">
        <f t="shared" ref="AN91" si="270">AN$2</f>
        <v>FY24</v>
      </c>
      <c r="AO91" s="686"/>
      <c r="AP91" s="686"/>
      <c r="AQ91" s="686"/>
      <c r="AR91" s="1672" t="str">
        <f t="shared" ref="AR91" si="271">AR$2</f>
        <v>FY25</v>
      </c>
      <c r="AS91" s="686"/>
      <c r="AT91" s="686"/>
      <c r="AU91" s="686"/>
      <c r="AV91" s="625" t="str">
        <f>AV$2</f>
        <v>FY26E</v>
      </c>
      <c r="AW91" s="686"/>
      <c r="AX91" s="686"/>
      <c r="AY91" s="686"/>
      <c r="AZ91" s="625" t="str">
        <f>AZ$2</f>
        <v>FY27E</v>
      </c>
      <c r="BA91" s="686"/>
      <c r="BB91" s="686"/>
      <c r="BC91" s="686"/>
      <c r="BD91" s="625" t="str">
        <f>BD$2</f>
        <v>FY28E</v>
      </c>
    </row>
    <row r="92" spans="3:56">
      <c r="C92" s="669" t="s">
        <v>836</v>
      </c>
      <c r="D92" s="669"/>
      <c r="E92" s="669"/>
      <c r="F92" s="669"/>
      <c r="G92" s="669"/>
      <c r="H92" s="670"/>
      <c r="I92" s="669"/>
      <c r="J92" s="669"/>
      <c r="K92" s="669"/>
      <c r="L92" s="670"/>
      <c r="M92" s="669"/>
      <c r="N92" s="669"/>
      <c r="O92" s="669"/>
      <c r="P92" s="670"/>
      <c r="T92" s="670"/>
      <c r="X92" s="670"/>
      <c r="Y92" s="670"/>
      <c r="Z92" s="670"/>
      <c r="AA92" s="670"/>
      <c r="AB92" s="670"/>
      <c r="AC92" s="1061"/>
      <c r="AD92" s="1061"/>
      <c r="AE92" s="1061"/>
      <c r="AF92" s="670"/>
      <c r="AG92" s="670"/>
      <c r="AH92" s="670"/>
      <c r="AI92" s="670"/>
      <c r="AJ92" s="670"/>
      <c r="AK92" s="670"/>
      <c r="AL92" s="670"/>
      <c r="AM92" s="670"/>
      <c r="AN92" s="670"/>
      <c r="AO92" s="670"/>
      <c r="AP92" s="670"/>
      <c r="AQ92" s="670"/>
      <c r="AR92" s="1700"/>
      <c r="AS92" s="670"/>
      <c r="AT92" s="670"/>
      <c r="AU92" s="670"/>
      <c r="AV92" s="670"/>
      <c r="AW92" s="670"/>
      <c r="AX92" s="670"/>
      <c r="AY92" s="670"/>
      <c r="AZ92" s="670"/>
      <c r="BA92" s="670"/>
      <c r="BB92" s="670"/>
      <c r="BC92" s="670"/>
      <c r="BD92" s="670"/>
    </row>
    <row r="93" spans="3:56">
      <c r="C93" s="585" t="str">
        <f>C65</f>
        <v>Total Income</v>
      </c>
      <c r="D93" s="671">
        <f t="shared" ref="D93:P93" si="272">D65/D$20-1</f>
        <v>0</v>
      </c>
      <c r="E93" s="671" t="e">
        <f t="shared" si="272"/>
        <v>#DIV/0!</v>
      </c>
      <c r="F93" s="671" t="e">
        <f t="shared" si="272"/>
        <v>#DIV/0!</v>
      </c>
      <c r="G93" s="671" t="e">
        <f t="shared" si="272"/>
        <v>#DIV/0!</v>
      </c>
      <c r="H93" s="671">
        <f t="shared" si="272"/>
        <v>0</v>
      </c>
      <c r="I93" s="671" t="e">
        <f t="shared" si="272"/>
        <v>#DIV/0!</v>
      </c>
      <c r="J93" s="671" t="e">
        <f t="shared" si="272"/>
        <v>#DIV/0!</v>
      </c>
      <c r="K93" s="671" t="e">
        <f t="shared" si="272"/>
        <v>#DIV/0!</v>
      </c>
      <c r="L93" s="671">
        <f t="shared" si="272"/>
        <v>0</v>
      </c>
      <c r="M93" s="671" t="e">
        <f t="shared" si="272"/>
        <v>#DIV/0!</v>
      </c>
      <c r="N93" s="671" t="e">
        <f t="shared" si="272"/>
        <v>#DIV/0!</v>
      </c>
      <c r="O93" s="671" t="e">
        <f t="shared" si="272"/>
        <v>#DIV/0!</v>
      </c>
      <c r="P93" s="671">
        <f t="shared" si="272"/>
        <v>0</v>
      </c>
      <c r="T93" s="671">
        <f>T65/T$20-1</f>
        <v>0</v>
      </c>
      <c r="X93" s="1040">
        <f>X65/X$20-1</f>
        <v>0</v>
      </c>
      <c r="Y93" s="1040"/>
      <c r="Z93" s="1040"/>
      <c r="AA93" s="1040"/>
      <c r="AB93" s="1040">
        <f>AB65/AB$20-1</f>
        <v>0</v>
      </c>
      <c r="AC93" s="1041">
        <f t="shared" ref="AC93:AF93" si="273">AC65/AC$20-1</f>
        <v>0</v>
      </c>
      <c r="AD93" s="1041">
        <f t="shared" si="273"/>
        <v>0</v>
      </c>
      <c r="AE93" s="1041">
        <f t="shared" si="273"/>
        <v>0</v>
      </c>
      <c r="AF93" s="1040">
        <f t="shared" si="273"/>
        <v>0</v>
      </c>
      <c r="AG93" s="671"/>
      <c r="AH93" s="671"/>
      <c r="AI93" s="671"/>
      <c r="AJ93" s="1040">
        <f t="shared" ref="AJ93" si="274">AJ65/AJ$20-1</f>
        <v>0</v>
      </c>
      <c r="AK93" s="671"/>
      <c r="AL93" s="671"/>
      <c r="AM93" s="671"/>
      <c r="AN93" s="1040">
        <f t="shared" ref="AN93" si="275">AN65/AN$20-1</f>
        <v>0</v>
      </c>
      <c r="AO93" s="671"/>
      <c r="AP93" s="671"/>
      <c r="AQ93" s="671"/>
      <c r="AR93" s="1682">
        <f t="shared" ref="AR93" si="276">AR65/AR$20-1</f>
        <v>0</v>
      </c>
      <c r="AS93" s="671"/>
      <c r="AT93" s="671"/>
      <c r="AU93" s="671"/>
      <c r="AV93" s="671">
        <f ca="1">AV65/AV$20-1</f>
        <v>3.6982091414244467E-2</v>
      </c>
      <c r="AW93" s="671"/>
      <c r="AX93" s="671"/>
      <c r="AY93" s="671"/>
      <c r="AZ93" s="671">
        <f ca="1">AZ65/AZ$20-1</f>
        <v>5.7969462203798727E-2</v>
      </c>
      <c r="BA93" s="671"/>
      <c r="BB93" s="671"/>
      <c r="BC93" s="671"/>
      <c r="BD93" s="671">
        <f ca="1">BD65/BD$20-1</f>
        <v>7.657720829325787E-2</v>
      </c>
    </row>
    <row r="94" spans="3:56">
      <c r="C94" s="585" t="s">
        <v>833</v>
      </c>
      <c r="D94" s="672">
        <f t="shared" ref="D94:P94" si="277">(D58-D$13)*10000</f>
        <v>0</v>
      </c>
      <c r="E94" s="672">
        <f t="shared" si="277"/>
        <v>0</v>
      </c>
      <c r="F94" s="672">
        <f t="shared" si="277"/>
        <v>0</v>
      </c>
      <c r="G94" s="672">
        <f t="shared" si="277"/>
        <v>0</v>
      </c>
      <c r="H94" s="672">
        <f t="shared" si="277"/>
        <v>0</v>
      </c>
      <c r="I94" s="672">
        <f t="shared" si="277"/>
        <v>0</v>
      </c>
      <c r="J94" s="672">
        <f t="shared" si="277"/>
        <v>0</v>
      </c>
      <c r="K94" s="672">
        <f t="shared" si="277"/>
        <v>0</v>
      </c>
      <c r="L94" s="672">
        <f t="shared" si="277"/>
        <v>0</v>
      </c>
      <c r="M94" s="672">
        <f t="shared" si="277"/>
        <v>0</v>
      </c>
      <c r="N94" s="672">
        <f t="shared" si="277"/>
        <v>0</v>
      </c>
      <c r="O94" s="672">
        <f t="shared" si="277"/>
        <v>0</v>
      </c>
      <c r="P94" s="672">
        <f t="shared" si="277"/>
        <v>0</v>
      </c>
      <c r="T94" s="672">
        <f>(T58-T$13)*10000</f>
        <v>0</v>
      </c>
      <c r="X94" s="672">
        <f>(X58-X$13)*10000</f>
        <v>0</v>
      </c>
      <c r="Y94" s="672"/>
      <c r="Z94" s="672"/>
      <c r="AA94" s="672"/>
      <c r="AB94" s="672">
        <f>(AB58-AB$13)*10000</f>
        <v>0</v>
      </c>
      <c r="AC94" s="1062">
        <f t="shared" ref="AC94:AF94" si="278">(AC58-AC$13)*10000</f>
        <v>0</v>
      </c>
      <c r="AD94" s="1062">
        <f t="shared" si="278"/>
        <v>0</v>
      </c>
      <c r="AE94" s="1062">
        <f t="shared" si="278"/>
        <v>0</v>
      </c>
      <c r="AF94" s="672">
        <f t="shared" si="278"/>
        <v>0</v>
      </c>
      <c r="AG94" s="672"/>
      <c r="AH94" s="672"/>
      <c r="AI94" s="672"/>
      <c r="AJ94" s="672">
        <f t="shared" ref="AJ94" si="279">(AJ58-AJ$13)*10000</f>
        <v>0</v>
      </c>
      <c r="AK94" s="672"/>
      <c r="AL94" s="672"/>
      <c r="AM94" s="672"/>
      <c r="AN94" s="672">
        <f t="shared" ref="AN94" si="280">(AN58-AN$13)*10000</f>
        <v>0</v>
      </c>
      <c r="AO94" s="672"/>
      <c r="AP94" s="672"/>
      <c r="AQ94" s="672"/>
      <c r="AR94" s="1701">
        <f t="shared" ref="AR94" si="281">(AR58-AR$13)*10000</f>
        <v>0</v>
      </c>
      <c r="AS94" s="672"/>
      <c r="AT94" s="672"/>
      <c r="AU94" s="672"/>
      <c r="AV94" s="672">
        <f ca="1">(AV58-AV$13)*10000</f>
        <v>4.3412188844522275</v>
      </c>
      <c r="AW94" s="672"/>
      <c r="AX94" s="672"/>
      <c r="AY94" s="672"/>
      <c r="AZ94" s="672">
        <f ca="1">(AZ58-AZ$13)*10000</f>
        <v>7.3771580172123441</v>
      </c>
      <c r="BA94" s="672"/>
      <c r="BB94" s="672"/>
      <c r="BC94" s="672"/>
      <c r="BD94" s="672">
        <f ca="1">(BD58-BD$13)*10000</f>
        <v>8.8848215003234188</v>
      </c>
    </row>
    <row r="95" spans="3:56">
      <c r="C95" s="585" t="str">
        <f>C70</f>
        <v>Expenses</v>
      </c>
      <c r="D95" s="671">
        <f t="shared" ref="D95:P95" si="282">+D70/D$25-1</f>
        <v>0</v>
      </c>
      <c r="E95" s="671" t="e">
        <f t="shared" si="282"/>
        <v>#DIV/0!</v>
      </c>
      <c r="F95" s="671" t="e">
        <f t="shared" si="282"/>
        <v>#DIV/0!</v>
      </c>
      <c r="G95" s="671" t="e">
        <f t="shared" si="282"/>
        <v>#DIV/0!</v>
      </c>
      <c r="H95" s="671">
        <f t="shared" si="282"/>
        <v>0</v>
      </c>
      <c r="I95" s="671" t="e">
        <f t="shared" si="282"/>
        <v>#DIV/0!</v>
      </c>
      <c r="J95" s="671" t="e">
        <f t="shared" si="282"/>
        <v>#DIV/0!</v>
      </c>
      <c r="K95" s="671" t="e">
        <f t="shared" si="282"/>
        <v>#DIV/0!</v>
      </c>
      <c r="L95" s="671">
        <f t="shared" si="282"/>
        <v>0</v>
      </c>
      <c r="M95" s="671" t="e">
        <f t="shared" si="282"/>
        <v>#DIV/0!</v>
      </c>
      <c r="N95" s="671">
        <f t="shared" si="282"/>
        <v>0</v>
      </c>
      <c r="O95" s="671">
        <f t="shared" si="282"/>
        <v>0</v>
      </c>
      <c r="P95" s="671">
        <f t="shared" si="282"/>
        <v>0</v>
      </c>
      <c r="T95" s="671">
        <f>+T70/T$25-1</f>
        <v>0</v>
      </c>
      <c r="X95" s="1040">
        <f>+X70/X$25-1</f>
        <v>0</v>
      </c>
      <c r="Y95" s="1040"/>
      <c r="Z95" s="1040"/>
      <c r="AA95" s="1040"/>
      <c r="AB95" s="1040">
        <f>+AB70/AB$25-1</f>
        <v>0</v>
      </c>
      <c r="AC95" s="1041">
        <f t="shared" ref="AC95:AF95" si="283">+AC70/AC$25-1</f>
        <v>0</v>
      </c>
      <c r="AD95" s="1041">
        <f t="shared" si="283"/>
        <v>0</v>
      </c>
      <c r="AE95" s="1041">
        <f t="shared" si="283"/>
        <v>0</v>
      </c>
      <c r="AF95" s="1040">
        <f t="shared" si="283"/>
        <v>0</v>
      </c>
      <c r="AG95" s="671"/>
      <c r="AH95" s="671"/>
      <c r="AI95" s="671"/>
      <c r="AJ95" s="1040">
        <f t="shared" ref="AJ95" si="284">+AJ70/AJ$25-1</f>
        <v>0</v>
      </c>
      <c r="AK95" s="671"/>
      <c r="AL95" s="671"/>
      <c r="AM95" s="671"/>
      <c r="AN95" s="1040">
        <f t="shared" ref="AN95" si="285">+AN70/AN$25-1</f>
        <v>0</v>
      </c>
      <c r="AO95" s="671"/>
      <c r="AP95" s="671"/>
      <c r="AQ95" s="671"/>
      <c r="AR95" s="1682">
        <f t="shared" ref="AR95" si="286">+AR70/AR$25-1</f>
        <v>0</v>
      </c>
      <c r="AS95" s="671"/>
      <c r="AT95" s="671"/>
      <c r="AU95" s="671"/>
      <c r="AV95" s="671">
        <f>+AV70/AV$25-1</f>
        <v>-5.2423710355563591E-3</v>
      </c>
      <c r="AW95" s="671"/>
      <c r="AX95" s="671"/>
      <c r="AY95" s="671"/>
      <c r="AZ95" s="671">
        <f>+AZ70/AZ$25-1</f>
        <v>-1.9957461404920274E-2</v>
      </c>
      <c r="BA95" s="671"/>
      <c r="BB95" s="671"/>
      <c r="BC95" s="671"/>
      <c r="BD95" s="671">
        <f>+BD70/BD$25-1</f>
        <v>-3.4621497457960393E-2</v>
      </c>
    </row>
    <row r="96" spans="3:56">
      <c r="C96" s="673" t="str">
        <f>C73</f>
        <v>Pre Provision Profit</v>
      </c>
      <c r="D96" s="1571">
        <f t="shared" ref="D96:P96" si="287">+D73/D$28-1</f>
        <v>0</v>
      </c>
      <c r="E96" s="1571" t="e">
        <f t="shared" si="287"/>
        <v>#DIV/0!</v>
      </c>
      <c r="F96" s="1571" t="e">
        <f t="shared" si="287"/>
        <v>#DIV/0!</v>
      </c>
      <c r="G96" s="1571" t="e">
        <f t="shared" si="287"/>
        <v>#DIV/0!</v>
      </c>
      <c r="H96" s="1571">
        <f t="shared" si="287"/>
        <v>0</v>
      </c>
      <c r="I96" s="1571" t="e">
        <f t="shared" si="287"/>
        <v>#DIV/0!</v>
      </c>
      <c r="J96" s="1571" t="e">
        <f t="shared" si="287"/>
        <v>#DIV/0!</v>
      </c>
      <c r="K96" s="1571" t="e">
        <f t="shared" si="287"/>
        <v>#DIV/0!</v>
      </c>
      <c r="L96" s="1571">
        <f t="shared" si="287"/>
        <v>0</v>
      </c>
      <c r="M96" s="1571" t="e">
        <f t="shared" si="287"/>
        <v>#DIV/0!</v>
      </c>
      <c r="N96" s="1571">
        <f t="shared" si="287"/>
        <v>0</v>
      </c>
      <c r="O96" s="1571">
        <f t="shared" si="287"/>
        <v>0</v>
      </c>
      <c r="P96" s="1571">
        <f t="shared" si="287"/>
        <v>0</v>
      </c>
      <c r="Q96" s="565"/>
      <c r="R96" s="565"/>
      <c r="S96" s="565"/>
      <c r="T96" s="1571">
        <f>+T73/T$28-1</f>
        <v>0</v>
      </c>
      <c r="U96" s="565"/>
      <c r="V96" s="565"/>
      <c r="W96" s="565"/>
      <c r="X96" s="674">
        <f>+X73/X$28-1</f>
        <v>0</v>
      </c>
      <c r="Y96" s="674"/>
      <c r="Z96" s="674"/>
      <c r="AA96" s="674"/>
      <c r="AB96" s="674">
        <f>+AB73/AB$28-1</f>
        <v>0</v>
      </c>
      <c r="AC96" s="1572">
        <f t="shared" ref="AC96:AF96" si="288">+AC73/AC$28-1</f>
        <v>0</v>
      </c>
      <c r="AD96" s="1572">
        <f t="shared" si="288"/>
        <v>0</v>
      </c>
      <c r="AE96" s="1572">
        <f t="shared" si="288"/>
        <v>0</v>
      </c>
      <c r="AF96" s="674">
        <f t="shared" si="288"/>
        <v>0</v>
      </c>
      <c r="AG96" s="1571"/>
      <c r="AH96" s="1571"/>
      <c r="AI96" s="1571"/>
      <c r="AJ96" s="674">
        <f t="shared" ref="AJ96" si="289">+AJ73/AJ$28-1</f>
        <v>0</v>
      </c>
      <c r="AK96" s="1571"/>
      <c r="AL96" s="1571"/>
      <c r="AM96" s="1571"/>
      <c r="AN96" s="674">
        <f t="shared" ref="AN96" si="290">+AN73/AN$28-1</f>
        <v>0</v>
      </c>
      <c r="AO96" s="1571"/>
      <c r="AP96" s="1571"/>
      <c r="AQ96" s="1571"/>
      <c r="AR96" s="1702">
        <f t="shared" ref="AR96" si="291">+AR73/AR$28-1</f>
        <v>0</v>
      </c>
      <c r="AS96" s="1571"/>
      <c r="AT96" s="1571"/>
      <c r="AU96" s="1571"/>
      <c r="AV96" s="1571">
        <f ca="1">+AV73/AV$28-1</f>
        <v>7.9533329590393942E-2</v>
      </c>
      <c r="AW96" s="1571"/>
      <c r="AX96" s="1571"/>
      <c r="AY96" s="1571"/>
      <c r="AZ96" s="1571">
        <f ca="1">+AZ73/AZ$28-1</f>
        <v>0.13007017805019516</v>
      </c>
      <c r="BA96" s="1571"/>
      <c r="BB96" s="1571"/>
      <c r="BC96" s="1571"/>
      <c r="BD96" s="1571">
        <f ca="1">+BD73/BD$28-1</f>
        <v>0.17328053023916268</v>
      </c>
    </row>
    <row r="97" spans="3:56">
      <c r="C97" s="585" t="str">
        <f>C74</f>
        <v>Impairment Charge</v>
      </c>
      <c r="D97" s="671">
        <f t="shared" ref="D97:P97" si="292">+D74/D$29-1</f>
        <v>0</v>
      </c>
      <c r="E97" s="671" t="e">
        <f t="shared" si="292"/>
        <v>#DIV/0!</v>
      </c>
      <c r="F97" s="671" t="e">
        <f t="shared" si="292"/>
        <v>#DIV/0!</v>
      </c>
      <c r="G97" s="671" t="e">
        <f t="shared" si="292"/>
        <v>#DIV/0!</v>
      </c>
      <c r="H97" s="671">
        <f t="shared" si="292"/>
        <v>0</v>
      </c>
      <c r="I97" s="671" t="e">
        <f t="shared" si="292"/>
        <v>#DIV/0!</v>
      </c>
      <c r="J97" s="671" t="e">
        <f t="shared" si="292"/>
        <v>#DIV/0!</v>
      </c>
      <c r="K97" s="671" t="e">
        <f t="shared" si="292"/>
        <v>#DIV/0!</v>
      </c>
      <c r="L97" s="671">
        <f t="shared" si="292"/>
        <v>0</v>
      </c>
      <c r="M97" s="671" t="e">
        <f t="shared" si="292"/>
        <v>#DIV/0!</v>
      </c>
      <c r="N97" s="671" t="e">
        <f t="shared" si="292"/>
        <v>#DIV/0!</v>
      </c>
      <c r="O97" s="671" t="e">
        <f t="shared" si="292"/>
        <v>#DIV/0!</v>
      </c>
      <c r="P97" s="671">
        <f t="shared" si="292"/>
        <v>0</v>
      </c>
      <c r="T97" s="671">
        <f>+T74/T$29-1</f>
        <v>0</v>
      </c>
      <c r="X97" s="1040">
        <f>+X74/X$29-1</f>
        <v>0</v>
      </c>
      <c r="Y97" s="1040"/>
      <c r="Z97" s="1040"/>
      <c r="AA97" s="1040"/>
      <c r="AB97" s="1040">
        <f>+AB74/AB$29-1</f>
        <v>0</v>
      </c>
      <c r="AC97" s="1041">
        <f t="shared" ref="AC97:AF97" si="293">+AC74/AC$29-1</f>
        <v>0</v>
      </c>
      <c r="AD97" s="1041">
        <f t="shared" si="293"/>
        <v>0</v>
      </c>
      <c r="AE97" s="1041">
        <f t="shared" si="293"/>
        <v>0</v>
      </c>
      <c r="AF97" s="1040">
        <f t="shared" si="293"/>
        <v>0</v>
      </c>
      <c r="AG97" s="671"/>
      <c r="AH97" s="671"/>
      <c r="AI97" s="671"/>
      <c r="AJ97" s="1040">
        <f t="shared" ref="AJ97" si="294">+AJ74/AJ$29-1</f>
        <v>0</v>
      </c>
      <c r="AK97" s="671"/>
      <c r="AL97" s="671"/>
      <c r="AM97" s="671"/>
      <c r="AN97" s="1040">
        <f t="shared" ref="AN97" si="295">+AN74/AN$29-1</f>
        <v>0</v>
      </c>
      <c r="AO97" s="671"/>
      <c r="AP97" s="671"/>
      <c r="AQ97" s="671"/>
      <c r="AR97" s="1682">
        <f t="shared" ref="AR97" si="296">+AR74/AR$29-1</f>
        <v>0</v>
      </c>
      <c r="AS97" s="671"/>
      <c r="AT97" s="671"/>
      <c r="AU97" s="671"/>
      <c r="AV97" s="671">
        <f>+AV74/AV$29-1</f>
        <v>-0.36420829115745668</v>
      </c>
      <c r="AW97" s="671"/>
      <c r="AX97" s="671"/>
      <c r="AY97" s="671"/>
      <c r="AZ97" s="671">
        <f>+AZ74/AZ$29-1</f>
        <v>-0.41916524142652312</v>
      </c>
      <c r="BA97" s="671"/>
      <c r="BB97" s="671"/>
      <c r="BC97" s="671"/>
      <c r="BD97" s="671">
        <f>+BD74/BD$29-1</f>
        <v>-0.25658212609083797</v>
      </c>
    </row>
    <row r="98" spans="3:56">
      <c r="C98" s="585" t="s">
        <v>834</v>
      </c>
      <c r="D98" s="672">
        <f t="shared" ref="D98:P98" si="297">(D75-D$30)*10000</f>
        <v>0</v>
      </c>
      <c r="E98" s="672">
        <f t="shared" si="297"/>
        <v>0</v>
      </c>
      <c r="F98" s="672">
        <f t="shared" si="297"/>
        <v>0</v>
      </c>
      <c r="G98" s="672">
        <f t="shared" si="297"/>
        <v>0</v>
      </c>
      <c r="H98" s="672">
        <f t="shared" si="297"/>
        <v>0</v>
      </c>
      <c r="I98" s="672">
        <f t="shared" si="297"/>
        <v>0</v>
      </c>
      <c r="J98" s="672">
        <f t="shared" si="297"/>
        <v>0</v>
      </c>
      <c r="K98" s="672">
        <f t="shared" si="297"/>
        <v>0</v>
      </c>
      <c r="L98" s="672">
        <f t="shared" si="297"/>
        <v>0</v>
      </c>
      <c r="M98" s="672">
        <f t="shared" si="297"/>
        <v>0</v>
      </c>
      <c r="N98" s="672">
        <f t="shared" si="297"/>
        <v>0</v>
      </c>
      <c r="O98" s="672">
        <f t="shared" si="297"/>
        <v>0</v>
      </c>
      <c r="P98" s="672">
        <f t="shared" si="297"/>
        <v>0</v>
      </c>
      <c r="T98" s="672">
        <f>(T75-T$30)*10000</f>
        <v>0</v>
      </c>
      <c r="X98" s="672">
        <f>(X75-X$30)*10000</f>
        <v>0</v>
      </c>
      <c r="Y98" s="672"/>
      <c r="Z98" s="672"/>
      <c r="AA98" s="672"/>
      <c r="AB98" s="672">
        <f>(AB75-AB$30)*10000</f>
        <v>0</v>
      </c>
      <c r="AC98" s="1062">
        <f t="shared" ref="AC98:AF98" si="298">(AC75-AC$30)*10000</f>
        <v>0</v>
      </c>
      <c r="AD98" s="1062">
        <f t="shared" si="298"/>
        <v>0</v>
      </c>
      <c r="AE98" s="1062">
        <f t="shared" si="298"/>
        <v>0</v>
      </c>
      <c r="AF98" s="672">
        <f t="shared" si="298"/>
        <v>0</v>
      </c>
      <c r="AG98" s="672"/>
      <c r="AH98" s="672"/>
      <c r="AI98" s="672"/>
      <c r="AJ98" s="672">
        <f t="shared" ref="AJ98" si="299">(AJ75-AJ$30)*10000</f>
        <v>0</v>
      </c>
      <c r="AK98" s="672"/>
      <c r="AL98" s="672"/>
      <c r="AM98" s="672"/>
      <c r="AN98" s="672">
        <f t="shared" ref="AN98" si="300">(AN75-AN$30)*10000</f>
        <v>0</v>
      </c>
      <c r="AO98" s="672"/>
      <c r="AP98" s="672"/>
      <c r="AQ98" s="672"/>
      <c r="AR98" s="1701">
        <f t="shared" ref="AR98" si="301">(AR75-AR$30)*10000</f>
        <v>0</v>
      </c>
      <c r="AS98" s="672"/>
      <c r="AT98" s="672"/>
      <c r="AU98" s="672"/>
      <c r="AV98" s="672">
        <f>(AV75-AV$30)*10000</f>
        <v>-2.4511199577507119</v>
      </c>
      <c r="AW98" s="672"/>
      <c r="AX98" s="672"/>
      <c r="AY98" s="672"/>
      <c r="AZ98" s="672">
        <f>(AZ75-AZ$30)*10000</f>
        <v>-3.8937223465101534</v>
      </c>
      <c r="BA98" s="672"/>
      <c r="BB98" s="672"/>
      <c r="BC98" s="672"/>
      <c r="BD98" s="672">
        <f>(BD75-BD$30)*10000</f>
        <v>-2.8939492960943567</v>
      </c>
    </row>
    <row r="99" spans="3:56">
      <c r="C99" s="673" t="str">
        <f>C82</f>
        <v>Reported Cash Profit</v>
      </c>
      <c r="D99" s="674">
        <f t="shared" ref="D99:P99" si="302">D82/D$36-1</f>
        <v>0</v>
      </c>
      <c r="E99" s="674" t="e">
        <f t="shared" si="302"/>
        <v>#DIV/0!</v>
      </c>
      <c r="F99" s="674" t="e">
        <f t="shared" si="302"/>
        <v>#DIV/0!</v>
      </c>
      <c r="G99" s="674" t="e">
        <f t="shared" si="302"/>
        <v>#DIV/0!</v>
      </c>
      <c r="H99" s="674">
        <f t="shared" si="302"/>
        <v>0</v>
      </c>
      <c r="I99" s="674" t="e">
        <f t="shared" si="302"/>
        <v>#DIV/0!</v>
      </c>
      <c r="J99" s="674" t="e">
        <f t="shared" si="302"/>
        <v>#DIV/0!</v>
      </c>
      <c r="K99" s="674" t="e">
        <f t="shared" si="302"/>
        <v>#DIV/0!</v>
      </c>
      <c r="L99" s="1236">
        <f t="shared" si="302"/>
        <v>0</v>
      </c>
      <c r="M99" s="1236" t="e">
        <f t="shared" si="302"/>
        <v>#DIV/0!</v>
      </c>
      <c r="N99" s="1236" t="e">
        <f t="shared" si="302"/>
        <v>#DIV/0!</v>
      </c>
      <c r="O99" s="1236" t="e">
        <f t="shared" si="302"/>
        <v>#DIV/0!</v>
      </c>
      <c r="P99" s="1236">
        <f t="shared" si="302"/>
        <v>0</v>
      </c>
      <c r="Q99" s="1076"/>
      <c r="R99" s="1076"/>
      <c r="S99" s="1076"/>
      <c r="T99" s="1236">
        <f>T82/T$36-1</f>
        <v>0</v>
      </c>
      <c r="U99" s="1076"/>
      <c r="V99" s="1076"/>
      <c r="W99" s="1076"/>
      <c r="X99" s="1236">
        <f>X82/X$36-1</f>
        <v>0</v>
      </c>
      <c r="Y99" s="1236"/>
      <c r="Z99" s="1236"/>
      <c r="AA99" s="1236"/>
      <c r="AB99" s="1236">
        <f>AB82/AB$36-1</f>
        <v>0</v>
      </c>
      <c r="AC99" s="1237">
        <f t="shared" ref="AC99:AF99" si="303">AC82/AC$36-1</f>
        <v>0</v>
      </c>
      <c r="AD99" s="1237">
        <f t="shared" si="303"/>
        <v>0</v>
      </c>
      <c r="AE99" s="1237">
        <f t="shared" si="303"/>
        <v>0</v>
      </c>
      <c r="AF99" s="1236">
        <f t="shared" si="303"/>
        <v>0</v>
      </c>
      <c r="AG99" s="1236"/>
      <c r="AH99" s="1236"/>
      <c r="AI99" s="1236"/>
      <c r="AJ99" s="1236">
        <f t="shared" ref="AJ99" si="304">AJ82/AJ$36-1</f>
        <v>0</v>
      </c>
      <c r="AK99" s="1236"/>
      <c r="AL99" s="1236"/>
      <c r="AM99" s="1236"/>
      <c r="AN99" s="1236">
        <f t="shared" ref="AN99" si="305">AN82/AN$36-1</f>
        <v>0</v>
      </c>
      <c r="AO99" s="1236"/>
      <c r="AP99" s="1236"/>
      <c r="AQ99" s="1236"/>
      <c r="AR99" s="1703">
        <f t="shared" ref="AR99" si="306">AR82/AR$36-1</f>
        <v>0</v>
      </c>
      <c r="AS99" s="1236"/>
      <c r="AT99" s="1236"/>
      <c r="AU99" s="1236"/>
      <c r="AV99" s="1236">
        <f ca="1">AV82/AV$36-1</f>
        <v>0.10295961106965512</v>
      </c>
      <c r="AW99" s="1236"/>
      <c r="AX99" s="1236"/>
      <c r="AY99" s="1236"/>
      <c r="AZ99" s="1236">
        <f ca="1">AZ82/AZ$36-1</f>
        <v>0.1695209018418371</v>
      </c>
      <c r="BA99" s="1236"/>
      <c r="BB99" s="1236"/>
      <c r="BC99" s="1236"/>
      <c r="BD99" s="1236">
        <f ca="1">BD82/BD$36-1</f>
        <v>0.20721089057299413</v>
      </c>
    </row>
    <row r="100" spans="3:56">
      <c r="C100" s="675" t="str">
        <f>C87</f>
        <v>Cash EPS</v>
      </c>
      <c r="D100" s="676">
        <f t="shared" ref="D100:P100" si="307">+D87/D$43-1</f>
        <v>0</v>
      </c>
      <c r="E100" s="676" t="e">
        <f t="shared" si="307"/>
        <v>#DIV/0!</v>
      </c>
      <c r="F100" s="676" t="e">
        <f t="shared" si="307"/>
        <v>#DIV/0!</v>
      </c>
      <c r="G100" s="676" t="e">
        <f t="shared" si="307"/>
        <v>#DIV/0!</v>
      </c>
      <c r="H100" s="676">
        <f t="shared" si="307"/>
        <v>0</v>
      </c>
      <c r="I100" s="676" t="e">
        <f t="shared" si="307"/>
        <v>#DIV/0!</v>
      </c>
      <c r="J100" s="676" t="e">
        <f t="shared" si="307"/>
        <v>#DIV/0!</v>
      </c>
      <c r="K100" s="676" t="e">
        <f t="shared" si="307"/>
        <v>#DIV/0!</v>
      </c>
      <c r="L100" s="1238">
        <f t="shared" si="307"/>
        <v>0</v>
      </c>
      <c r="M100" s="1238" t="e">
        <f t="shared" si="307"/>
        <v>#DIV/0!</v>
      </c>
      <c r="N100" s="1238" t="e">
        <f t="shared" si="307"/>
        <v>#DIV/0!</v>
      </c>
      <c r="O100" s="1238" t="e">
        <f t="shared" si="307"/>
        <v>#DIV/0!</v>
      </c>
      <c r="P100" s="1238">
        <f t="shared" si="307"/>
        <v>0</v>
      </c>
      <c r="Q100" s="1076"/>
      <c r="R100" s="1076"/>
      <c r="S100" s="1076"/>
      <c r="T100" s="1238">
        <f>+T87/T$43-1</f>
        <v>0</v>
      </c>
      <c r="U100" s="1076"/>
      <c r="V100" s="1076"/>
      <c r="W100" s="1076"/>
      <c r="X100" s="1239">
        <f>+X87/X$43-1</f>
        <v>0</v>
      </c>
      <c r="Y100" s="1236"/>
      <c r="Z100" s="1236"/>
      <c r="AA100" s="1236"/>
      <c r="AB100" s="1239">
        <f>+AB87/AB$43-1</f>
        <v>0</v>
      </c>
      <c r="AC100" s="1240" t="e">
        <f t="shared" ref="AC100:AF100" si="308">+AC87/AC$43-1</f>
        <v>#DIV/0!</v>
      </c>
      <c r="AD100" s="1240">
        <f t="shared" si="308"/>
        <v>0</v>
      </c>
      <c r="AE100" s="1240">
        <f t="shared" si="308"/>
        <v>0</v>
      </c>
      <c r="AF100" s="1249">
        <f t="shared" si="308"/>
        <v>0</v>
      </c>
      <c r="AG100" s="1236"/>
      <c r="AH100" s="1236"/>
      <c r="AI100" s="1236"/>
      <c r="AJ100" s="1239">
        <f t="shared" ref="AJ100" si="309">+AJ87/AJ$43-1</f>
        <v>0</v>
      </c>
      <c r="AK100" s="1236"/>
      <c r="AL100" s="1236"/>
      <c r="AM100" s="1236"/>
      <c r="AN100" s="1671">
        <f t="shared" ref="AN100" si="310">+AN87/AN$43-1</f>
        <v>0</v>
      </c>
      <c r="AO100" s="1236"/>
      <c r="AP100" s="1236"/>
      <c r="AQ100" s="1236"/>
      <c r="AR100" s="1704">
        <f t="shared" ref="AR100" si="311">+AR87/AR$43-1</f>
        <v>0</v>
      </c>
      <c r="AS100" s="1236"/>
      <c r="AT100" s="1236"/>
      <c r="AU100" s="1236"/>
      <c r="AV100" s="1238">
        <f ca="1">+AV87/AV$43-1</f>
        <v>0.10295961106965512</v>
      </c>
      <c r="AW100" s="1236"/>
      <c r="AX100" s="1236"/>
      <c r="AY100" s="1236"/>
      <c r="AZ100" s="1238">
        <f ca="1">+AZ87/AZ$43-1</f>
        <v>0.16952090184183688</v>
      </c>
      <c r="BA100" s="1236"/>
      <c r="BB100" s="1236"/>
      <c r="BC100" s="1236"/>
      <c r="BD100" s="1238">
        <f ca="1">+BD87/BD$43-1</f>
        <v>0.20721089057299436</v>
      </c>
    </row>
    <row r="101" spans="3:56">
      <c r="C101" s="677" t="s">
        <v>432</v>
      </c>
      <c r="D101" s="678"/>
      <c r="E101" s="677"/>
      <c r="F101" s="677"/>
      <c r="G101" s="677"/>
      <c r="H101" s="678"/>
      <c r="I101" s="679"/>
      <c r="J101" s="679"/>
      <c r="K101" s="679"/>
      <c r="L101" s="678" t="str">
        <f>L$2</f>
        <v>FY17</v>
      </c>
      <c r="M101" s="679">
        <f t="shared" ref="M101:BD101" si="312">M$2</f>
        <v>0</v>
      </c>
      <c r="N101" s="679">
        <f t="shared" si="312"/>
        <v>0</v>
      </c>
      <c r="O101" s="679">
        <f t="shared" si="312"/>
        <v>0</v>
      </c>
      <c r="P101" s="678" t="str">
        <f t="shared" si="312"/>
        <v>FY18</v>
      </c>
      <c r="Q101">
        <f t="shared" si="312"/>
        <v>0</v>
      </c>
      <c r="R101">
        <f t="shared" si="312"/>
        <v>0</v>
      </c>
      <c r="S101">
        <f t="shared" si="312"/>
        <v>0</v>
      </c>
      <c r="T101" s="678" t="str">
        <f t="shared" si="312"/>
        <v>FY19</v>
      </c>
      <c r="U101">
        <f t="shared" si="312"/>
        <v>0</v>
      </c>
      <c r="V101">
        <f t="shared" si="312"/>
        <v>0</v>
      </c>
      <c r="W101">
        <f t="shared" si="312"/>
        <v>0</v>
      </c>
      <c r="X101" s="678" t="str">
        <f t="shared" si="312"/>
        <v>FY20</v>
      </c>
      <c r="Y101" s="678">
        <f t="shared" si="312"/>
        <v>0</v>
      </c>
      <c r="Z101" s="678">
        <f t="shared" si="312"/>
        <v>0</v>
      </c>
      <c r="AA101" s="678">
        <f t="shared" si="312"/>
        <v>0</v>
      </c>
      <c r="AB101" s="678" t="str">
        <f t="shared" si="312"/>
        <v>FY21</v>
      </c>
      <c r="AC101" s="1063">
        <f t="shared" si="312"/>
        <v>0</v>
      </c>
      <c r="AD101" s="1063">
        <f t="shared" si="312"/>
        <v>0</v>
      </c>
      <c r="AE101" s="1063">
        <f t="shared" si="312"/>
        <v>0</v>
      </c>
      <c r="AF101" s="678" t="str">
        <f t="shared" si="312"/>
        <v>FY22</v>
      </c>
      <c r="AG101" s="678">
        <f t="shared" si="312"/>
        <v>0</v>
      </c>
      <c r="AH101" s="678">
        <f t="shared" si="312"/>
        <v>0</v>
      </c>
      <c r="AI101" s="678">
        <f t="shared" si="312"/>
        <v>0</v>
      </c>
      <c r="AJ101" s="678" t="str">
        <f t="shared" si="312"/>
        <v>FY23</v>
      </c>
      <c r="AK101" s="678">
        <f t="shared" si="312"/>
        <v>0</v>
      </c>
      <c r="AL101" s="678">
        <f t="shared" si="312"/>
        <v>0</v>
      </c>
      <c r="AM101" s="678">
        <f t="shared" si="312"/>
        <v>0</v>
      </c>
      <c r="AN101" s="678" t="str">
        <f t="shared" si="312"/>
        <v>FY24</v>
      </c>
      <c r="AO101" s="678">
        <f t="shared" si="312"/>
        <v>0</v>
      </c>
      <c r="AP101" s="678">
        <f t="shared" si="312"/>
        <v>0</v>
      </c>
      <c r="AQ101" s="678">
        <f t="shared" si="312"/>
        <v>0</v>
      </c>
      <c r="AR101" s="1705" t="str">
        <f t="shared" si="312"/>
        <v>FY25</v>
      </c>
      <c r="AS101" s="678">
        <f t="shared" si="312"/>
        <v>0</v>
      </c>
      <c r="AT101" s="678">
        <f t="shared" si="312"/>
        <v>0</v>
      </c>
      <c r="AU101" s="678">
        <f t="shared" si="312"/>
        <v>0</v>
      </c>
      <c r="AV101" s="678" t="str">
        <f t="shared" si="312"/>
        <v>FY26E</v>
      </c>
      <c r="AW101" s="678">
        <f t="shared" si="312"/>
        <v>0</v>
      </c>
      <c r="AX101" s="678">
        <f t="shared" si="312"/>
        <v>0</v>
      </c>
      <c r="AY101" s="678">
        <f t="shared" si="312"/>
        <v>0</v>
      </c>
      <c r="AZ101" s="678" t="str">
        <f t="shared" si="312"/>
        <v>FY27E</v>
      </c>
      <c r="BA101" s="678">
        <f t="shared" si="312"/>
        <v>0</v>
      </c>
      <c r="BB101" s="678">
        <f t="shared" si="312"/>
        <v>0</v>
      </c>
      <c r="BC101" s="678">
        <f t="shared" si="312"/>
        <v>0</v>
      </c>
      <c r="BD101" s="678" t="str">
        <f t="shared" si="312"/>
        <v>FY28E</v>
      </c>
    </row>
    <row r="102" spans="3:56" outlineLevel="1">
      <c r="C102" s="444" t="s">
        <v>500</v>
      </c>
      <c r="D102" s="657">
        <f>D4</f>
        <v>300.46800000000002</v>
      </c>
      <c r="E102" s="630"/>
      <c r="F102" s="630"/>
      <c r="G102" s="630"/>
      <c r="H102" s="657">
        <f>H4</f>
        <v>323.14400000000001</v>
      </c>
      <c r="I102" s="630"/>
      <c r="J102" s="630"/>
      <c r="K102" s="630"/>
      <c r="L102" s="657">
        <f>L4</f>
        <v>337.30900000000003</v>
      </c>
      <c r="P102" s="657">
        <f>P4</f>
        <v>346.154</v>
      </c>
      <c r="T102" s="657">
        <f>T4</f>
        <v>343.80799999999999</v>
      </c>
      <c r="X102" s="657">
        <f>X4</f>
        <v>358.35</v>
      </c>
      <c r="Y102" s="657"/>
      <c r="Z102" s="657"/>
      <c r="AA102" s="657"/>
      <c r="AB102" s="657">
        <f>AB4</f>
        <v>372.572</v>
      </c>
      <c r="AC102" s="1032">
        <f t="shared" ref="AC102:AF102" si="313">AC4</f>
        <v>3.9687456397376809E-5</v>
      </c>
      <c r="AD102" s="1032">
        <f t="shared" si="313"/>
        <v>374.15199999999999</v>
      </c>
      <c r="AE102" s="1032">
        <f t="shared" si="313"/>
        <v>374.625</v>
      </c>
      <c r="AF102" s="657">
        <f t="shared" si="313"/>
        <v>374.625</v>
      </c>
      <c r="AG102" s="657"/>
      <c r="AH102" s="657"/>
      <c r="AI102" s="657"/>
      <c r="AJ102" s="657">
        <f t="shared" ref="AJ102" si="314">AJ4</f>
        <v>404.49099999999999</v>
      </c>
      <c r="AK102" s="657"/>
      <c r="AL102" s="657"/>
      <c r="AM102" s="657"/>
      <c r="AN102" s="657">
        <f t="shared" ref="AN102" si="315">AN4</f>
        <v>484.55399999999997</v>
      </c>
      <c r="AO102" s="657"/>
      <c r="AP102" s="657"/>
      <c r="AQ102" s="657"/>
      <c r="AR102" s="1676">
        <f t="shared" ref="AR102" si="316">AR4</f>
        <v>503.99700000000001</v>
      </c>
      <c r="AS102" s="657"/>
      <c r="AT102" s="657"/>
      <c r="AU102" s="657"/>
      <c r="AV102" s="657">
        <f>+AR102*(1+AV103)</f>
        <v>519.11691000000008</v>
      </c>
      <c r="AW102" s="657"/>
      <c r="AX102" s="657"/>
      <c r="AY102" s="657"/>
      <c r="AZ102" s="657">
        <f>+AV102*(1+AZ103)</f>
        <v>542.47717095000007</v>
      </c>
      <c r="BA102" s="657"/>
      <c r="BB102" s="657"/>
      <c r="BC102" s="657"/>
      <c r="BD102" s="657">
        <f>+AZ102*(1+BD103)</f>
        <v>564.17625778800004</v>
      </c>
    </row>
    <row r="103" spans="3:56" outlineLevel="1">
      <c r="C103" s="631" t="s">
        <v>258</v>
      </c>
      <c r="D103" s="632"/>
      <c r="E103" s="633"/>
      <c r="F103" s="633"/>
      <c r="G103" s="633"/>
      <c r="H103" s="658">
        <f>+H102/D102-1</f>
        <v>7.5468935127867232E-2</v>
      </c>
      <c r="I103" s="633"/>
      <c r="J103" s="633"/>
      <c r="K103" s="633"/>
      <c r="L103" s="658">
        <f>+L102/H102-1</f>
        <v>4.3834946649171869E-2</v>
      </c>
      <c r="M103" s="660"/>
      <c r="N103" s="660"/>
      <c r="O103" s="660"/>
      <c r="P103" s="658">
        <f>+P102/L102-1</f>
        <v>2.622224725696598E-2</v>
      </c>
      <c r="T103" s="658">
        <f>+T102/P102-1</f>
        <v>-6.7773303211865477E-3</v>
      </c>
      <c r="X103" s="1033">
        <f>+X102/T102-1</f>
        <v>4.2296863365599568E-2</v>
      </c>
      <c r="Y103" s="1056"/>
      <c r="Z103" s="1056"/>
      <c r="AA103" s="1056"/>
      <c r="AB103" s="1033">
        <f>+AB102/X102-1</f>
        <v>3.9687456397376808E-2</v>
      </c>
      <c r="AC103" s="1034" t="e">
        <f t="shared" ref="AC103:AF103" si="317">+AC102/Y102-1</f>
        <v>#DIV/0!</v>
      </c>
      <c r="AD103" s="1034" t="e">
        <f t="shared" si="317"/>
        <v>#DIV/0!</v>
      </c>
      <c r="AE103" s="1034" t="e">
        <f t="shared" si="317"/>
        <v>#DIV/0!</v>
      </c>
      <c r="AF103" s="1033">
        <f t="shared" si="317"/>
        <v>5.5103443092878734E-3</v>
      </c>
      <c r="AG103" s="659"/>
      <c r="AH103" s="659"/>
      <c r="AI103" s="659"/>
      <c r="AJ103" s="1033">
        <f t="shared" ref="AJ103" si="318">+AJ102/AF102-1</f>
        <v>7.9722389055722376E-2</v>
      </c>
      <c r="AK103" s="659"/>
      <c r="AL103" s="659"/>
      <c r="AM103" s="659"/>
      <c r="AN103" s="1033">
        <f t="shared" ref="AN103" si="319">+AN102/AJ102-1</f>
        <v>0.19793518273583333</v>
      </c>
      <c r="AO103" s="659"/>
      <c r="AP103" s="659"/>
      <c r="AQ103" s="659"/>
      <c r="AR103" s="1677">
        <f t="shared" ref="AR103" si="320">+AR102/AN102-1</f>
        <v>4.0125558761252789E-2</v>
      </c>
      <c r="AS103" s="659"/>
      <c r="AT103" s="659"/>
      <c r="AU103" s="659"/>
      <c r="AV103" s="659">
        <v>0.03</v>
      </c>
      <c r="AW103" s="659"/>
      <c r="AX103" s="659"/>
      <c r="AY103" s="659"/>
      <c r="AZ103" s="659">
        <v>4.4999999999999998E-2</v>
      </c>
      <c r="BA103" s="659"/>
      <c r="BB103" s="659"/>
      <c r="BC103" s="659"/>
      <c r="BD103" s="659">
        <v>0.04</v>
      </c>
    </row>
    <row r="104" spans="3:56" outlineLevel="1">
      <c r="C104" s="444" t="s">
        <v>410</v>
      </c>
      <c r="D104" s="657">
        <f>+D106-D102</f>
        <v>274.52600000000001</v>
      </c>
      <c r="H104" s="657">
        <f>+H106-H102</f>
        <v>257.43499999999995</v>
      </c>
      <c r="L104" s="657">
        <f>+L106-L102</f>
        <v>247.19299999999993</v>
      </c>
      <c r="P104" s="657">
        <f>+P106-P102</f>
        <v>262.65599999999995</v>
      </c>
      <c r="T104" s="657">
        <f>+T106-T102</f>
        <v>275.35699999999997</v>
      </c>
      <c r="X104" s="657">
        <f>+X106-X102</f>
        <v>264.18399999999997</v>
      </c>
      <c r="Y104" s="657"/>
      <c r="Z104" s="657"/>
      <c r="AA104" s="657"/>
      <c r="AB104" s="657">
        <f>+AB106-AB102</f>
        <v>261.62599999999998</v>
      </c>
      <c r="AC104" s="1032">
        <f t="shared" ref="AC104:AF104" si="321">+AC106-AC102</f>
        <v>-2.0951130349321502E-5</v>
      </c>
      <c r="AD104" s="1032">
        <f t="shared" si="321"/>
        <v>281.30300000000005</v>
      </c>
      <c r="AE104" s="1032">
        <f t="shared" si="321"/>
        <v>301.88199999999995</v>
      </c>
      <c r="AF104" s="657">
        <f t="shared" si="321"/>
        <v>301.88199999999995</v>
      </c>
      <c r="AG104" s="657"/>
      <c r="AH104" s="657"/>
      <c r="AI104" s="657"/>
      <c r="AJ104" s="657">
        <f t="shared" ref="AJ104" si="322">+AJ106-AJ102</f>
        <v>306.61400000000003</v>
      </c>
      <c r="AK104" s="657"/>
      <c r="AL104" s="657"/>
      <c r="AM104" s="657"/>
      <c r="AN104" s="657">
        <f t="shared" ref="AN104" si="323">+AN106-AN102</f>
        <v>323.01800000000003</v>
      </c>
      <c r="AO104" s="657"/>
      <c r="AP104" s="657"/>
      <c r="AQ104" s="657"/>
      <c r="AR104" s="1676">
        <f t="shared" ref="AR104" si="324">+AR106-AR102</f>
        <v>329.97399999999999</v>
      </c>
      <c r="AS104" s="657"/>
      <c r="AT104" s="657"/>
      <c r="AU104" s="657"/>
      <c r="AV104" s="657">
        <f>+AV106-AV102</f>
        <v>335.70336499999985</v>
      </c>
      <c r="AW104" s="657"/>
      <c r="AX104" s="657"/>
      <c r="AY104" s="657"/>
      <c r="AZ104" s="657">
        <f>+AZ106-AZ102</f>
        <v>346.53591504999986</v>
      </c>
      <c r="BA104" s="657"/>
      <c r="BB104" s="657"/>
      <c r="BC104" s="657"/>
      <c r="BD104" s="657">
        <f>+BD106-BD102</f>
        <v>351.50722079199988</v>
      </c>
    </row>
    <row r="105" spans="3:56" outlineLevel="1">
      <c r="C105" s="585" t="s">
        <v>260</v>
      </c>
      <c r="D105" s="737"/>
      <c r="E105" s="738"/>
      <c r="F105" s="738"/>
      <c r="G105" s="738"/>
      <c r="H105" s="739">
        <f>+H104/D104-1</f>
        <v>-6.225639830107188E-2</v>
      </c>
      <c r="I105" s="738"/>
      <c r="J105" s="738"/>
      <c r="K105" s="738"/>
      <c r="L105" s="739">
        <f>+L104/H104-1</f>
        <v>-3.9784800046613777E-2</v>
      </c>
      <c r="M105" s="738"/>
      <c r="N105" s="738"/>
      <c r="O105" s="738"/>
      <c r="P105" s="739">
        <f>+P104/L104-1</f>
        <v>6.2554360358100913E-2</v>
      </c>
      <c r="T105" s="739">
        <f>+T104/P104-1</f>
        <v>4.8356024610136439E-2</v>
      </c>
      <c r="X105" s="776">
        <f>+X104/T104-1</f>
        <v>-4.0576415344443784E-2</v>
      </c>
      <c r="Y105" s="776"/>
      <c r="Z105" s="776"/>
      <c r="AA105" s="776"/>
      <c r="AB105" s="776">
        <f>+AB104/X104-1</f>
        <v>-9.6826454289434816E-3</v>
      </c>
      <c r="AC105" s="1042" t="e">
        <f t="shared" ref="AC105:AF105" si="325">+AC104/Y104-1</f>
        <v>#DIV/0!</v>
      </c>
      <c r="AD105" s="1042" t="e">
        <f t="shared" si="325"/>
        <v>#DIV/0!</v>
      </c>
      <c r="AE105" s="1042" t="e">
        <f t="shared" si="325"/>
        <v>#DIV/0!</v>
      </c>
      <c r="AF105" s="776">
        <f t="shared" si="325"/>
        <v>0.1538684993081727</v>
      </c>
      <c r="AG105" s="739"/>
      <c r="AH105" s="739"/>
      <c r="AI105" s="739"/>
      <c r="AJ105" s="776">
        <f t="shared" ref="AJ105" si="326">+AJ104/AF104-1</f>
        <v>1.5674998840606857E-2</v>
      </c>
      <c r="AK105" s="739"/>
      <c r="AL105" s="739"/>
      <c r="AM105" s="739"/>
      <c r="AN105" s="776">
        <f t="shared" ref="AN105" si="327">+AN104/AJ104-1</f>
        <v>5.3500492475881734E-2</v>
      </c>
      <c r="AO105" s="739"/>
      <c r="AP105" s="739"/>
      <c r="AQ105" s="739"/>
      <c r="AR105" s="1683">
        <f t="shared" ref="AR105" si="328">+AR104/AN104-1</f>
        <v>2.1534403655523615E-2</v>
      </c>
      <c r="AS105" s="739"/>
      <c r="AT105" s="739"/>
      <c r="AU105" s="739"/>
      <c r="AV105" s="739">
        <f>+AV104/AR104-1</f>
        <v>1.7363080121463703E-2</v>
      </c>
      <c r="AW105" s="739"/>
      <c r="AX105" s="739"/>
      <c r="AY105" s="739"/>
      <c r="AZ105" s="739">
        <f>+AZ104/AV104-1</f>
        <v>3.2268220040034601E-2</v>
      </c>
      <c r="BA105" s="739"/>
      <c r="BB105" s="739"/>
      <c r="BC105" s="739"/>
      <c r="BD105" s="739">
        <f>+BD104/AZ104-1</f>
        <v>1.4345715771719503E-2</v>
      </c>
    </row>
    <row r="106" spans="3:56" outlineLevel="1">
      <c r="C106" s="444" t="s">
        <v>715</v>
      </c>
      <c r="D106" s="657">
        <f>D$8</f>
        <v>574.99400000000003</v>
      </c>
      <c r="H106" s="657">
        <f>H$8</f>
        <v>580.57899999999995</v>
      </c>
      <c r="L106" s="657">
        <f>L$8</f>
        <v>584.50199999999995</v>
      </c>
      <c r="P106" s="657">
        <f>P$8</f>
        <v>608.80999999999995</v>
      </c>
      <c r="T106" s="657">
        <f>T$8</f>
        <v>619.16499999999996</v>
      </c>
      <c r="X106" s="657">
        <f>X$8</f>
        <v>622.53399999999999</v>
      </c>
      <c r="Y106" s="657"/>
      <c r="Z106" s="657"/>
      <c r="AA106" s="657"/>
      <c r="AB106" s="657">
        <f>AB$8</f>
        <v>634.19799999999998</v>
      </c>
      <c r="AC106" s="1032">
        <f t="shared" ref="AC106:AF106" si="329">AC$8</f>
        <v>1.8736326048055306E-5</v>
      </c>
      <c r="AD106" s="1032">
        <f t="shared" si="329"/>
        <v>655.45500000000004</v>
      </c>
      <c r="AE106" s="1032">
        <f t="shared" si="329"/>
        <v>676.50699999999995</v>
      </c>
      <c r="AF106" s="657">
        <f t="shared" si="329"/>
        <v>676.50699999999995</v>
      </c>
      <c r="AG106" s="657"/>
      <c r="AH106" s="657"/>
      <c r="AI106" s="657"/>
      <c r="AJ106" s="657">
        <f t="shared" ref="AJ106" si="330">AJ$8</f>
        <v>711.10500000000002</v>
      </c>
      <c r="AK106" s="657"/>
      <c r="AL106" s="657"/>
      <c r="AM106" s="657"/>
      <c r="AN106" s="657">
        <f t="shared" ref="AN106" si="331">AN$8</f>
        <v>807.572</v>
      </c>
      <c r="AO106" s="657"/>
      <c r="AP106" s="657"/>
      <c r="AQ106" s="657"/>
      <c r="AR106" s="1676">
        <f t="shared" ref="AR106" si="332">AR$8</f>
        <v>833.971</v>
      </c>
      <c r="AS106" s="657"/>
      <c r="AT106" s="657"/>
      <c r="AU106" s="657"/>
      <c r="AV106" s="657">
        <f>+AR106*(1+AV107)</f>
        <v>854.82027499999992</v>
      </c>
      <c r="AW106" s="657"/>
      <c r="AX106" s="657"/>
      <c r="AY106" s="657"/>
      <c r="AZ106" s="657">
        <f>+AV106*(1+AZ107)</f>
        <v>889.01308599999993</v>
      </c>
      <c r="BA106" s="657"/>
      <c r="BB106" s="657"/>
      <c r="BC106" s="657"/>
      <c r="BD106" s="657">
        <f>+AZ106*(1+BD107)</f>
        <v>915.68347857999993</v>
      </c>
    </row>
    <row r="107" spans="3:56" outlineLevel="1">
      <c r="C107" s="631" t="s">
        <v>754</v>
      </c>
      <c r="D107" s="658">
        <f>D$9</f>
        <v>9.1946666869232807E-2</v>
      </c>
      <c r="E107" s="631"/>
      <c r="F107" s="631"/>
      <c r="G107" s="631"/>
      <c r="H107" s="658">
        <f>H$9</f>
        <v>9.7131448328156011E-3</v>
      </c>
      <c r="I107" s="631"/>
      <c r="J107" s="631"/>
      <c r="K107" s="631"/>
      <c r="L107" s="658">
        <f>L$9</f>
        <v>6.757047705824748E-3</v>
      </c>
      <c r="M107" s="660"/>
      <c r="N107" s="660"/>
      <c r="O107" s="660"/>
      <c r="P107" s="658">
        <f>P$9</f>
        <v>4.1587539478051383E-2</v>
      </c>
      <c r="T107" s="658">
        <f>T$9</f>
        <v>1.7008590529064893E-2</v>
      </c>
      <c r="X107" s="1033">
        <f>X$9</f>
        <v>5.441199034183164E-3</v>
      </c>
      <c r="Y107" s="1056"/>
      <c r="Z107" s="1056"/>
      <c r="AA107" s="1056"/>
      <c r="AB107" s="1033">
        <f>AB$9</f>
        <v>1.8736326048055307E-2</v>
      </c>
      <c r="AC107" s="1034">
        <f t="shared" ref="AC107:AF107" si="333">AC$9</f>
        <v>655455</v>
      </c>
      <c r="AD107" s="1034">
        <f t="shared" si="333"/>
        <v>676507</v>
      </c>
      <c r="AE107" s="1034">
        <f t="shared" si="333"/>
        <v>676507</v>
      </c>
      <c r="AF107" s="1033">
        <f t="shared" si="333"/>
        <v>6.6712603950185967E-2</v>
      </c>
      <c r="AG107" s="659"/>
      <c r="AH107" s="659"/>
      <c r="AI107" s="659"/>
      <c r="AJ107" s="1033">
        <f t="shared" ref="AJ107" si="334">AJ$9</f>
        <v>5.1142116785192204E-2</v>
      </c>
      <c r="AK107" s="659"/>
      <c r="AL107" s="659"/>
      <c r="AM107" s="659"/>
      <c r="AN107" s="1033">
        <f t="shared" ref="AN107" si="335">AN$9</f>
        <v>0.13565788455994543</v>
      </c>
      <c r="AO107" s="659"/>
      <c r="AP107" s="659"/>
      <c r="AQ107" s="659"/>
      <c r="AR107" s="1677">
        <f t="shared" ref="AR107" si="336">AR$9</f>
        <v>3.2689345346297305E-2</v>
      </c>
      <c r="AS107" s="659"/>
      <c r="AT107" s="659"/>
      <c r="AU107" s="659"/>
      <c r="AV107" s="659">
        <v>2.5000000000000001E-2</v>
      </c>
      <c r="AW107" s="659"/>
      <c r="AX107" s="659"/>
      <c r="AY107" s="659"/>
      <c r="AZ107" s="659">
        <v>0.04</v>
      </c>
      <c r="BA107" s="659"/>
      <c r="BB107" s="659"/>
      <c r="BC107" s="659"/>
      <c r="BD107" s="659">
        <v>0.03</v>
      </c>
    </row>
    <row r="108" spans="3:56" outlineLevel="1">
      <c r="C108" s="444" t="s">
        <v>831</v>
      </c>
      <c r="D108" s="657">
        <f>D$10</f>
        <v>555.60249999999996</v>
      </c>
      <c r="H108" s="657">
        <f>H$10</f>
        <v>551.00850000000003</v>
      </c>
      <c r="L108" s="657">
        <f>L$10</f>
        <v>557.06849999999997</v>
      </c>
      <c r="P108" s="657">
        <f>P$10</f>
        <v>567.10299999999995</v>
      </c>
      <c r="T108" s="657">
        <f>T$10</f>
        <v>587.92399999999998</v>
      </c>
      <c r="X108" s="657">
        <f>X$10</f>
        <v>606.01700000000005</v>
      </c>
      <c r="Y108" s="657"/>
      <c r="Z108" s="657"/>
      <c r="AA108" s="657"/>
      <c r="AB108" s="657">
        <f>AB$10</f>
        <v>586.88499999999999</v>
      </c>
      <c r="AC108" s="1032">
        <f t="shared" ref="AC108:AF108" si="337">AC$10</f>
        <v>-3.1570071466642037E-5</v>
      </c>
      <c r="AD108" s="1032">
        <f t="shared" si="337"/>
        <v>607.08699999999999</v>
      </c>
      <c r="AE108" s="1032">
        <f t="shared" si="337"/>
        <v>619.49</v>
      </c>
      <c r="AF108" s="657">
        <f t="shared" si="337"/>
        <v>613.30499999999995</v>
      </c>
      <c r="AG108" s="657"/>
      <c r="AH108" s="657"/>
      <c r="AI108" s="657"/>
      <c r="AJ108" s="657">
        <f t="shared" ref="AJ108" si="338">AJ$10</f>
        <v>649.71299999999997</v>
      </c>
      <c r="AK108" s="657"/>
      <c r="AL108" s="657"/>
      <c r="AM108" s="657"/>
      <c r="AN108" s="657">
        <f t="shared" ref="AN108" si="339">AN$10</f>
        <v>681.68</v>
      </c>
      <c r="AO108" s="657"/>
      <c r="AP108" s="657"/>
      <c r="AQ108" s="657"/>
      <c r="AR108" s="1676">
        <f t="shared" ref="AR108" si="340">AR$10</f>
        <v>769.89499999999998</v>
      </c>
      <c r="AS108" s="657"/>
      <c r="AT108" s="657"/>
      <c r="AU108" s="657"/>
      <c r="AV108" s="657">
        <f>+AV$10/AV$8*AV106</f>
        <v>787.01460511023367</v>
      </c>
      <c r="AW108" s="657"/>
      <c r="AX108" s="657"/>
      <c r="AY108" s="657"/>
      <c r="AZ108" s="657">
        <f>+AZ$10/AZ$8*AZ106</f>
        <v>813.96530182341382</v>
      </c>
      <c r="BA108" s="657"/>
      <c r="BB108" s="657"/>
      <c r="BC108" s="657"/>
      <c r="BD108" s="657">
        <f>+BD$10/BD$8*BD106</f>
        <v>840.39499048842129</v>
      </c>
    </row>
    <row r="109" spans="3:56" outlineLevel="1">
      <c r="C109" s="444" t="s">
        <v>832</v>
      </c>
      <c r="D109" s="657">
        <f>D$11</f>
        <v>161.36850000000001</v>
      </c>
      <c r="H109" s="657">
        <f>H$11</f>
        <v>179.82650000000001</v>
      </c>
      <c r="L109" s="657">
        <f>L$11</f>
        <v>190.92099999999999</v>
      </c>
      <c r="P109" s="657">
        <f>P$11</f>
        <v>207.78100000000001</v>
      </c>
      <c r="T109" s="657">
        <f>T$11</f>
        <v>225.29499999999999</v>
      </c>
      <c r="X109" s="657">
        <f>X$11</f>
        <v>256.86500000000001</v>
      </c>
      <c r="Y109" s="657"/>
      <c r="Z109" s="657"/>
      <c r="AA109" s="657"/>
      <c r="AB109" s="657">
        <f>AB$11</f>
        <v>276.80599999999998</v>
      </c>
      <c r="AC109" s="1032">
        <f t="shared" ref="AC109:AF109" si="341">AC$11</f>
        <v>7.7632219259143873E-5</v>
      </c>
      <c r="AD109" s="1032">
        <f t="shared" si="341"/>
        <v>292.59100000000001</v>
      </c>
      <c r="AE109" s="1032">
        <f t="shared" si="341"/>
        <v>300.85000000000002</v>
      </c>
      <c r="AF109" s="657">
        <f t="shared" si="341"/>
        <v>296.73200000000003</v>
      </c>
      <c r="AG109" s="657"/>
      <c r="AH109" s="657"/>
      <c r="AI109" s="657"/>
      <c r="AJ109" s="657">
        <f t="shared" ref="AJ109" si="342">AJ$11</f>
        <v>325.36599999999999</v>
      </c>
      <c r="AK109" s="657"/>
      <c r="AL109" s="657"/>
      <c r="AM109" s="657"/>
      <c r="AN109" s="657">
        <f t="shared" ref="AN109" si="343">AN$11</f>
        <v>341.93599999999998</v>
      </c>
      <c r="AO109" s="657"/>
      <c r="AP109" s="657"/>
      <c r="AQ109" s="657"/>
      <c r="AR109" s="1676">
        <f t="shared" ref="AR109" si="344">AR$11</f>
        <v>389.79300000000001</v>
      </c>
      <c r="AS109" s="657"/>
      <c r="AT109" s="657"/>
      <c r="AU109" s="657"/>
      <c r="AV109" s="657">
        <f>AV$11</f>
        <v>406.5454258691945</v>
      </c>
      <c r="AW109" s="657"/>
      <c r="AX109" s="657"/>
      <c r="AY109" s="657"/>
      <c r="AZ109" s="657">
        <f>AZ$11</f>
        <v>423.32617784913452</v>
      </c>
      <c r="BA109" s="657"/>
      <c r="BB109" s="657"/>
      <c r="BC109" s="657"/>
      <c r="BD109" s="657">
        <f>BD$11</f>
        <v>442.26528411453006</v>
      </c>
    </row>
    <row r="110" spans="3:56" outlineLevel="1">
      <c r="C110" s="584" t="s">
        <v>598</v>
      </c>
      <c r="D110" s="650">
        <f>D108+D109</f>
        <v>716.971</v>
      </c>
      <c r="E110" s="584"/>
      <c r="F110" s="584"/>
      <c r="G110" s="584"/>
      <c r="H110" s="650">
        <f>H108+H109</f>
        <v>730.83500000000004</v>
      </c>
      <c r="I110" s="584"/>
      <c r="J110" s="584"/>
      <c r="K110" s="584"/>
      <c r="L110" s="650">
        <f>L108+L109</f>
        <v>747.98949999999991</v>
      </c>
      <c r="M110" s="584"/>
      <c r="N110" s="584"/>
      <c r="O110" s="584"/>
      <c r="P110" s="650">
        <f>P108+P109</f>
        <v>774.88400000000001</v>
      </c>
      <c r="T110" s="650">
        <f>T108+T109</f>
        <v>813.21899999999994</v>
      </c>
      <c r="X110" s="650">
        <f>X108+X109</f>
        <v>862.88200000000006</v>
      </c>
      <c r="Y110" s="650"/>
      <c r="Z110" s="650"/>
      <c r="AA110" s="650"/>
      <c r="AB110" s="650">
        <f>AB108+AB109</f>
        <v>863.69100000000003</v>
      </c>
      <c r="AC110" s="1052">
        <f t="shared" ref="AC110:AF110" si="345">AC108+AC109</f>
        <v>4.6062147792501836E-5</v>
      </c>
      <c r="AD110" s="1052">
        <f t="shared" si="345"/>
        <v>899.678</v>
      </c>
      <c r="AE110" s="1052">
        <f t="shared" si="345"/>
        <v>920.34</v>
      </c>
      <c r="AF110" s="650">
        <f t="shared" si="345"/>
        <v>910.03700000000003</v>
      </c>
      <c r="AG110" s="650"/>
      <c r="AH110" s="650"/>
      <c r="AI110" s="650"/>
      <c r="AJ110" s="650">
        <f t="shared" ref="AJ110" si="346">AJ108+AJ109</f>
        <v>975.07899999999995</v>
      </c>
      <c r="AK110" s="650"/>
      <c r="AL110" s="650"/>
      <c r="AM110" s="650"/>
      <c r="AN110" s="650">
        <f t="shared" ref="AN110" si="347">AN108+AN109</f>
        <v>1023.616</v>
      </c>
      <c r="AO110" s="650"/>
      <c r="AP110" s="650"/>
      <c r="AQ110" s="650"/>
      <c r="AR110" s="1690">
        <f t="shared" ref="AR110" si="348">AR108+AR109</f>
        <v>1159.6880000000001</v>
      </c>
      <c r="AS110" s="650"/>
      <c r="AT110" s="650"/>
      <c r="AU110" s="650"/>
      <c r="AV110" s="650">
        <f>+AV108+AV109</f>
        <v>1193.5600309794281</v>
      </c>
      <c r="AW110" s="650"/>
      <c r="AX110" s="650"/>
      <c r="AY110" s="650"/>
      <c r="AZ110" s="650">
        <f>+AZ108+AZ109</f>
        <v>1237.2914796725483</v>
      </c>
      <c r="BA110" s="650"/>
      <c r="BB110" s="650"/>
      <c r="BC110" s="650"/>
      <c r="BD110" s="650">
        <f>+BD108+BD109</f>
        <v>1282.6602746029514</v>
      </c>
    </row>
    <row r="111" spans="3:56" outlineLevel="1">
      <c r="C111" s="444" t="s">
        <v>833</v>
      </c>
      <c r="D111" s="661">
        <f>D$13</f>
        <v>2.0385761767212341E-2</v>
      </c>
      <c r="H111" s="661">
        <f>H$13</f>
        <v>2.0654456888353732E-2</v>
      </c>
      <c r="L111" s="661">
        <f>L$13</f>
        <v>1.9886642793782532E-2</v>
      </c>
      <c r="P111" s="661">
        <f>P$13</f>
        <v>1.8730545475193705E-2</v>
      </c>
      <c r="T111" s="661">
        <f>T$13</f>
        <v>1.763239668527174E-2</v>
      </c>
      <c r="X111" s="661">
        <f>X$13</f>
        <v>1.6281484606238166E-2</v>
      </c>
      <c r="Y111" s="661"/>
      <c r="Z111" s="661"/>
      <c r="AA111" s="661"/>
      <c r="AB111" s="661">
        <f>AB$13</f>
        <v>1.639591011137085E-2</v>
      </c>
      <c r="AC111" s="1057">
        <f t="shared" ref="AC111:AF111" si="349">AC$13</f>
        <v>0</v>
      </c>
      <c r="AD111" s="1057">
        <f t="shared" si="349"/>
        <v>1.5826785793373838E-2</v>
      </c>
      <c r="AE111" s="1057">
        <f t="shared" si="349"/>
        <v>1.684759885008047E-2</v>
      </c>
      <c r="AF111" s="661">
        <f t="shared" si="349"/>
        <v>1.6344390392918091E-2</v>
      </c>
      <c r="AG111" s="661"/>
      <c r="AH111" s="661"/>
      <c r="AI111" s="661"/>
      <c r="AJ111" s="661">
        <f t="shared" ref="AJ111" si="350">AJ$13</f>
        <v>1.6997597117771997E-2</v>
      </c>
      <c r="AK111" s="661"/>
      <c r="AL111" s="661"/>
      <c r="AM111" s="661"/>
      <c r="AN111" s="661">
        <f t="shared" ref="AN111" si="351">AN$13</f>
        <v>1.5698269663623858E-2</v>
      </c>
      <c r="AO111" s="661"/>
      <c r="AP111" s="661"/>
      <c r="AQ111" s="661"/>
      <c r="AR111" s="1695">
        <f t="shared" ref="AR111" si="352">AR$13</f>
        <v>1.5487786370127137E-2</v>
      </c>
      <c r="AS111" s="661"/>
      <c r="AT111" s="661"/>
      <c r="AU111" s="661"/>
      <c r="AV111" s="661">
        <f>+AR111+AV112</f>
        <v>1.5087786370127138E-2</v>
      </c>
      <c r="AW111" s="661"/>
      <c r="AX111" s="661"/>
      <c r="AY111" s="661"/>
      <c r="AZ111" s="661">
        <f>+AV111+AZ112</f>
        <v>1.4887786370127137E-2</v>
      </c>
      <c r="BA111" s="661"/>
      <c r="BB111" s="661"/>
      <c r="BC111" s="661"/>
      <c r="BD111" s="661">
        <f>+AZ111+BD112</f>
        <v>1.4687786370127137E-2</v>
      </c>
    </row>
    <row r="112" spans="3:56" outlineLevel="1">
      <c r="C112" s="631" t="s">
        <v>127</v>
      </c>
      <c r="D112" s="640">
        <f>D$14</f>
        <v>-9.3891207207903032E-4</v>
      </c>
      <c r="E112" s="631"/>
      <c r="F112" s="631"/>
      <c r="G112" s="631"/>
      <c r="H112" s="640">
        <f>H$14</f>
        <v>2.6869512114139141E-4</v>
      </c>
      <c r="I112" s="631"/>
      <c r="J112" s="662"/>
      <c r="K112" s="662"/>
      <c r="L112" s="640">
        <f>L$14</f>
        <v>-7.6781409457120017E-4</v>
      </c>
      <c r="M112" s="631"/>
      <c r="N112" s="662"/>
      <c r="O112" s="662"/>
      <c r="P112" s="640">
        <f>P$14</f>
        <v>-1.1560973185888272E-3</v>
      </c>
      <c r="T112" s="640">
        <f>T$14</f>
        <v>-1.0981487899219648E-3</v>
      </c>
      <c r="X112" s="1043">
        <f>X$14</f>
        <v>-1.3509120790335741E-3</v>
      </c>
      <c r="Y112" s="1058"/>
      <c r="Z112" s="1058"/>
      <c r="AA112" s="1058"/>
      <c r="AB112" s="1043">
        <f>AB$14</f>
        <v>1.1442550513268354E-4</v>
      </c>
      <c r="AC112" s="1044">
        <f t="shared" ref="AC112:AF112" si="353">AC$14</f>
        <v>0</v>
      </c>
      <c r="AD112" s="1044">
        <f t="shared" si="353"/>
        <v>-5.1139787890194105E-4</v>
      </c>
      <c r="AE112" s="1044">
        <f t="shared" si="353"/>
        <v>3.9510283108035171E-4</v>
      </c>
      <c r="AF112" s="1043">
        <f t="shared" si="353"/>
        <v>-5.1519718452758961E-5</v>
      </c>
      <c r="AG112" s="663"/>
      <c r="AH112" s="663"/>
      <c r="AI112" s="663"/>
      <c r="AJ112" s="1043">
        <f t="shared" ref="AJ112" si="354">AJ$14</f>
        <v>6.5320672485390599E-4</v>
      </c>
      <c r="AK112" s="663"/>
      <c r="AL112" s="663"/>
      <c r="AM112" s="663"/>
      <c r="AN112" s="1043">
        <f t="shared" ref="AN112" si="355">AN$14</f>
        <v>-1.2993274541481387E-3</v>
      </c>
      <c r="AO112" s="663"/>
      <c r="AP112" s="663"/>
      <c r="AQ112" s="663"/>
      <c r="AR112" s="1685">
        <f t="shared" ref="AR112" si="356">AR$14</f>
        <v>-2.1048329349672087E-4</v>
      </c>
      <c r="AS112" s="663"/>
      <c r="AT112" s="663"/>
      <c r="AU112" s="663"/>
      <c r="AV112" s="663">
        <v>-4.0000000000000002E-4</v>
      </c>
      <c r="AW112" s="663"/>
      <c r="AX112" s="663"/>
      <c r="AY112" s="663"/>
      <c r="AZ112" s="663">
        <v>-2.0000000000000001E-4</v>
      </c>
      <c r="BA112" s="663"/>
      <c r="BB112" s="663"/>
      <c r="BC112" s="663"/>
      <c r="BD112" s="663">
        <v>-2.0000000000000001E-4</v>
      </c>
    </row>
    <row r="113" spans="3:56" outlineLevel="1">
      <c r="C113" s="444" t="s">
        <v>282</v>
      </c>
      <c r="D113" s="639">
        <f>D$15</f>
        <v>14616</v>
      </c>
      <c r="H113" s="639">
        <f>H$15</f>
        <v>15095</v>
      </c>
      <c r="L113" s="639">
        <f>L$15</f>
        <v>14875</v>
      </c>
      <c r="P113" s="639">
        <f>P$15</f>
        <v>14514</v>
      </c>
      <c r="T113" s="639">
        <f>T$15</f>
        <v>14339</v>
      </c>
      <c r="X113" s="639">
        <f>X$15</f>
        <v>14049</v>
      </c>
      <c r="Y113" s="639"/>
      <c r="Z113" s="639"/>
      <c r="AA113" s="639"/>
      <c r="AB113" s="639">
        <f>AB$15</f>
        <v>14161</v>
      </c>
      <c r="AC113" s="1039">
        <f t="shared" ref="AC113:AF113" si="357">AC$15</f>
        <v>7.9720976581962866E-3</v>
      </c>
      <c r="AD113" s="1039">
        <f t="shared" si="357"/>
        <v>7100</v>
      </c>
      <c r="AE113" s="1039">
        <f t="shared" si="357"/>
        <v>7774</v>
      </c>
      <c r="AF113" s="639">
        <f t="shared" si="357"/>
        <v>14874</v>
      </c>
      <c r="AG113" s="639"/>
      <c r="AH113" s="639"/>
      <c r="AI113" s="639"/>
      <c r="AJ113" s="639">
        <f t="shared" ref="AJ113" si="358">AJ$15</f>
        <v>16574</v>
      </c>
      <c r="AK113" s="639"/>
      <c r="AL113" s="639"/>
      <c r="AM113" s="639"/>
      <c r="AN113" s="639">
        <f t="shared" ref="AN113" si="359">AN$15</f>
        <v>16069</v>
      </c>
      <c r="AO113" s="639"/>
      <c r="AP113" s="639"/>
      <c r="AQ113" s="639"/>
      <c r="AR113" s="1681">
        <f t="shared" ref="AR113" si="360">AR$15</f>
        <v>17961</v>
      </c>
      <c r="AS113" s="639"/>
      <c r="AT113" s="639"/>
      <c r="AU113" s="639"/>
      <c r="AV113" s="639">
        <f>+AV110*AV111*1000</f>
        <v>18008.178767339938</v>
      </c>
      <c r="AW113" s="639"/>
      <c r="AX113" s="639"/>
      <c r="AY113" s="639"/>
      <c r="AZ113" s="639">
        <f>+AZ110*AZ111*1000</f>
        <v>18420.531226943403</v>
      </c>
      <c r="BA113" s="639"/>
      <c r="BB113" s="639"/>
      <c r="BC113" s="639"/>
      <c r="BD113" s="639">
        <f>+BD110*BD111*1000</f>
        <v>18839.440098816758</v>
      </c>
    </row>
    <row r="114" spans="3:56" outlineLevel="1">
      <c r="C114" s="444" t="s">
        <v>1053</v>
      </c>
      <c r="D114" s="639"/>
      <c r="H114" s="639"/>
      <c r="L114" s="639">
        <f t="shared" ref="L114:AJ114" si="361">L16</f>
        <v>4941</v>
      </c>
      <c r="M114" s="639">
        <f t="shared" si="361"/>
        <v>0</v>
      </c>
      <c r="N114" s="639">
        <f t="shared" si="361"/>
        <v>-406</v>
      </c>
      <c r="O114" s="639">
        <f t="shared" si="361"/>
        <v>19</v>
      </c>
      <c r="P114" s="639">
        <f t="shared" si="361"/>
        <v>4466</v>
      </c>
      <c r="Q114" s="639">
        <f t="shared" si="361"/>
        <v>0</v>
      </c>
      <c r="R114" s="639">
        <f t="shared" si="361"/>
        <v>-238</v>
      </c>
      <c r="S114" s="639">
        <f t="shared" si="361"/>
        <v>95</v>
      </c>
      <c r="T114" s="639">
        <f t="shared" si="361"/>
        <v>4547</v>
      </c>
      <c r="U114" s="639">
        <f t="shared" si="361"/>
        <v>0</v>
      </c>
      <c r="V114" s="639">
        <f t="shared" si="361"/>
        <v>797</v>
      </c>
      <c r="W114" s="639">
        <f t="shared" si="361"/>
        <v>162</v>
      </c>
      <c r="X114" s="639">
        <f t="shared" si="361"/>
        <v>4662</v>
      </c>
      <c r="Y114" s="639">
        <f t="shared" si="361"/>
        <v>0</v>
      </c>
      <c r="Z114" s="639">
        <f t="shared" si="361"/>
        <v>659</v>
      </c>
      <c r="AA114" s="639">
        <f t="shared" si="361"/>
        <v>68</v>
      </c>
      <c r="AB114" s="639">
        <f t="shared" si="361"/>
        <v>4013</v>
      </c>
      <c r="AC114" s="1039">
        <f t="shared" ref="AC114:AF114" si="362">AC16</f>
        <v>0.28639434129089314</v>
      </c>
      <c r="AD114" s="1039">
        <f t="shared" si="362"/>
        <v>1579</v>
      </c>
      <c r="AE114" s="1039">
        <f t="shared" si="362"/>
        <v>1807</v>
      </c>
      <c r="AF114" s="639">
        <f t="shared" si="362"/>
        <v>3386</v>
      </c>
      <c r="AG114" s="639">
        <f t="shared" si="361"/>
        <v>0</v>
      </c>
      <c r="AH114" s="639">
        <f t="shared" si="361"/>
        <v>60</v>
      </c>
      <c r="AI114" s="639">
        <f t="shared" si="361"/>
        <v>-35</v>
      </c>
      <c r="AJ114" s="639">
        <f t="shared" si="361"/>
        <v>4356</v>
      </c>
      <c r="AK114" s="639">
        <f t="shared" ref="AK114:AN114" si="363">AK16</f>
        <v>0</v>
      </c>
      <c r="AL114" s="639">
        <f t="shared" si="363"/>
        <v>21</v>
      </c>
      <c r="AM114" s="639">
        <f t="shared" si="363"/>
        <v>0</v>
      </c>
      <c r="AN114" s="639">
        <f t="shared" si="363"/>
        <v>4761</v>
      </c>
      <c r="AO114" s="639"/>
      <c r="AP114" s="639"/>
      <c r="AQ114" s="639"/>
      <c r="AR114" s="1681">
        <f t="shared" ref="AR114" si="364">AR16</f>
        <v>4223</v>
      </c>
      <c r="AS114" s="639"/>
      <c r="AT114" s="639"/>
      <c r="AU114" s="639"/>
      <c r="AV114" s="639">
        <f t="shared" ref="AV114" si="365">AV16</f>
        <v>4172.6483440000002</v>
      </c>
      <c r="AW114" s="639"/>
      <c r="AX114" s="639"/>
      <c r="AY114" s="639"/>
      <c r="AZ114" s="639">
        <f>AZ16</f>
        <v>4299.8124964675999</v>
      </c>
      <c r="BA114" s="639"/>
      <c r="BB114" s="639"/>
      <c r="BC114" s="639"/>
      <c r="BD114" s="639">
        <f>BD16</f>
        <v>4409.9696226462283</v>
      </c>
    </row>
    <row r="115" spans="3:56" outlineLevel="1">
      <c r="C115" s="444" t="s">
        <v>973</v>
      </c>
      <c r="D115" s="639"/>
      <c r="H115" s="639"/>
      <c r="L115" s="639">
        <f t="shared" ref="L115:AJ115" si="366">L17</f>
        <v>0</v>
      </c>
      <c r="M115" s="639">
        <f t="shared" si="366"/>
        <v>0</v>
      </c>
      <c r="N115" s="639">
        <f t="shared" si="366"/>
        <v>406</v>
      </c>
      <c r="O115" s="639">
        <f t="shared" si="366"/>
        <v>-19</v>
      </c>
      <c r="P115" s="639">
        <f t="shared" si="366"/>
        <v>387</v>
      </c>
      <c r="Q115" s="639">
        <f t="shared" si="366"/>
        <v>0</v>
      </c>
      <c r="R115" s="639">
        <f t="shared" si="366"/>
        <v>238</v>
      </c>
      <c r="S115" s="639">
        <f t="shared" si="366"/>
        <v>-95</v>
      </c>
      <c r="T115" s="639">
        <f t="shared" si="366"/>
        <v>143</v>
      </c>
      <c r="U115" s="639">
        <f t="shared" si="366"/>
        <v>0</v>
      </c>
      <c r="V115" s="639">
        <f t="shared" si="366"/>
        <v>-797</v>
      </c>
      <c r="W115" s="639">
        <f t="shared" si="366"/>
        <v>-162</v>
      </c>
      <c r="X115" s="639">
        <f t="shared" si="366"/>
        <v>-959</v>
      </c>
      <c r="Y115" s="639">
        <f t="shared" si="366"/>
        <v>0</v>
      </c>
      <c r="Z115" s="639">
        <f t="shared" si="366"/>
        <v>-659</v>
      </c>
      <c r="AA115" s="639">
        <f t="shared" si="366"/>
        <v>-68</v>
      </c>
      <c r="AB115" s="639">
        <f t="shared" si="366"/>
        <v>-727</v>
      </c>
      <c r="AC115" s="1039">
        <f t="shared" ref="AC115:AF115" si="367">AC17</f>
        <v>0</v>
      </c>
      <c r="AD115" s="1039">
        <f t="shared" si="367"/>
        <v>269</v>
      </c>
      <c r="AE115" s="1039">
        <f t="shared" si="367"/>
        <v>18</v>
      </c>
      <c r="AF115" s="639">
        <f t="shared" si="367"/>
        <v>287</v>
      </c>
      <c r="AG115" s="639">
        <f t="shared" si="366"/>
        <v>0</v>
      </c>
      <c r="AH115" s="639">
        <f t="shared" si="366"/>
        <v>-60</v>
      </c>
      <c r="AI115" s="639">
        <f t="shared" si="366"/>
        <v>35</v>
      </c>
      <c r="AJ115" s="639">
        <f t="shared" si="366"/>
        <v>-25</v>
      </c>
      <c r="AK115" s="639">
        <f t="shared" ref="AK115:AN115" si="368">AK17</f>
        <v>0</v>
      </c>
      <c r="AL115" s="639">
        <f t="shared" si="368"/>
        <v>-21</v>
      </c>
      <c r="AM115" s="639">
        <f t="shared" si="368"/>
        <v>0</v>
      </c>
      <c r="AN115" s="639">
        <f t="shared" si="368"/>
        <v>-21</v>
      </c>
      <c r="AO115" s="639"/>
      <c r="AP115" s="639"/>
      <c r="AQ115" s="639"/>
      <c r="AR115" s="1681">
        <f t="shared" ref="AR115" si="369">AR17</f>
        <v>-285</v>
      </c>
      <c r="AS115" s="639"/>
      <c r="AT115" s="639"/>
      <c r="AU115" s="639"/>
      <c r="AV115" s="639">
        <f t="shared" ref="AV115" si="370">AV17</f>
        <v>0</v>
      </c>
      <c r="AW115" s="639"/>
      <c r="AX115" s="639"/>
      <c r="AY115" s="639"/>
      <c r="AZ115" s="639">
        <f>AZ17</f>
        <v>0</v>
      </c>
      <c r="BA115" s="639"/>
      <c r="BB115" s="639"/>
      <c r="BC115" s="639"/>
      <c r="BD115" s="639">
        <f>BD17</f>
        <v>0</v>
      </c>
    </row>
    <row r="116" spans="3:56" outlineLevel="1">
      <c r="C116" s="444" t="s">
        <v>488</v>
      </c>
      <c r="D116" s="639">
        <f>D$18</f>
        <v>5921</v>
      </c>
      <c r="H116" s="639">
        <f>H$18</f>
        <v>5499</v>
      </c>
      <c r="L116" s="639">
        <f>L$18</f>
        <v>4941</v>
      </c>
      <c r="P116" s="639">
        <f>P$18</f>
        <v>4853</v>
      </c>
      <c r="T116" s="639">
        <f>T$18</f>
        <v>4690</v>
      </c>
      <c r="X116" s="639">
        <f>X$18</f>
        <v>3703</v>
      </c>
      <c r="Y116" s="639"/>
      <c r="Z116" s="639"/>
      <c r="AA116" s="639"/>
      <c r="AB116" s="639">
        <f>AB$18</f>
        <v>3286</v>
      </c>
      <c r="AC116" s="1039">
        <f t="shared" ref="AC116:AF116" si="371">AC$18</f>
        <v>0.28639434129089314</v>
      </c>
      <c r="AD116" s="1039">
        <f t="shared" si="371"/>
        <v>1848</v>
      </c>
      <c r="AE116" s="1039">
        <f t="shared" si="371"/>
        <v>1825</v>
      </c>
      <c r="AF116" s="639">
        <f t="shared" si="371"/>
        <v>3673</v>
      </c>
      <c r="AG116" s="639"/>
      <c r="AH116" s="639"/>
      <c r="AI116" s="639"/>
      <c r="AJ116" s="639">
        <f t="shared" ref="AJ116" si="372">AJ$18</f>
        <v>4331</v>
      </c>
      <c r="AK116" s="639"/>
      <c r="AL116" s="639"/>
      <c r="AM116" s="639"/>
      <c r="AN116" s="639">
        <f t="shared" ref="AN116" si="373">AN$18</f>
        <v>4740</v>
      </c>
      <c r="AO116" s="639"/>
      <c r="AP116" s="639"/>
      <c r="AQ116" s="639"/>
      <c r="AR116" s="1681">
        <f t="shared" ref="AR116" si="374">AR$18</f>
        <v>3938</v>
      </c>
      <c r="AS116" s="639"/>
      <c r="AT116" s="639"/>
      <c r="AU116" s="639"/>
      <c r="AV116" s="639">
        <f>AV$18</f>
        <v>4172.6483440000002</v>
      </c>
      <c r="AW116" s="639"/>
      <c r="AX116" s="639"/>
      <c r="AY116" s="639"/>
      <c r="AZ116" s="639">
        <f>AZ$18</f>
        <v>4299.8124964675999</v>
      </c>
      <c r="BA116" s="639"/>
      <c r="BB116" s="639"/>
      <c r="BC116" s="639"/>
      <c r="BD116" s="639">
        <f>BD$18</f>
        <v>4409.9696226462283</v>
      </c>
    </row>
    <row r="117" spans="3:56" outlineLevel="1">
      <c r="C117" s="444" t="s">
        <v>1054</v>
      </c>
      <c r="D117" s="639"/>
      <c r="H117" s="639"/>
      <c r="L117" s="639">
        <f>L114+L113</f>
        <v>19816</v>
      </c>
      <c r="M117" s="639">
        <f t="shared" ref="M117:AJ117" si="375">M114+M113</f>
        <v>0</v>
      </c>
      <c r="N117" s="639">
        <f t="shared" si="375"/>
        <v>-406</v>
      </c>
      <c r="O117" s="639">
        <f t="shared" si="375"/>
        <v>19</v>
      </c>
      <c r="P117" s="639">
        <f t="shared" si="375"/>
        <v>18980</v>
      </c>
      <c r="Q117" s="639">
        <f t="shared" si="375"/>
        <v>0</v>
      </c>
      <c r="R117" s="639">
        <f t="shared" si="375"/>
        <v>-238</v>
      </c>
      <c r="S117" s="639">
        <f t="shared" si="375"/>
        <v>95</v>
      </c>
      <c r="T117" s="639">
        <f t="shared" si="375"/>
        <v>18886</v>
      </c>
      <c r="U117" s="639">
        <f t="shared" si="375"/>
        <v>0</v>
      </c>
      <c r="V117" s="639">
        <f t="shared" si="375"/>
        <v>797</v>
      </c>
      <c r="W117" s="639">
        <f t="shared" si="375"/>
        <v>162</v>
      </c>
      <c r="X117" s="639">
        <f t="shared" si="375"/>
        <v>18711</v>
      </c>
      <c r="Y117" s="639">
        <f t="shared" si="375"/>
        <v>0</v>
      </c>
      <c r="Z117" s="639">
        <f t="shared" si="375"/>
        <v>659</v>
      </c>
      <c r="AA117" s="639">
        <f t="shared" si="375"/>
        <v>68</v>
      </c>
      <c r="AB117" s="639">
        <f t="shared" ref="AB117:AF117" si="376">AB114+AB113</f>
        <v>18174</v>
      </c>
      <c r="AC117" s="1039">
        <f t="shared" si="376"/>
        <v>0.29436643894908943</v>
      </c>
      <c r="AD117" s="1039">
        <f t="shared" si="376"/>
        <v>8679</v>
      </c>
      <c r="AE117" s="1039">
        <f t="shared" si="376"/>
        <v>9581</v>
      </c>
      <c r="AF117" s="639">
        <f t="shared" si="376"/>
        <v>18260</v>
      </c>
      <c r="AG117" s="639">
        <f t="shared" si="375"/>
        <v>0</v>
      </c>
      <c r="AH117" s="639">
        <f t="shared" si="375"/>
        <v>60</v>
      </c>
      <c r="AI117" s="639">
        <f t="shared" si="375"/>
        <v>-35</v>
      </c>
      <c r="AJ117" s="639">
        <f t="shared" si="375"/>
        <v>20930</v>
      </c>
      <c r="AK117" s="639">
        <f t="shared" ref="AK117:AN117" si="377">AK114+AK113</f>
        <v>0</v>
      </c>
      <c r="AL117" s="639">
        <f t="shared" si="377"/>
        <v>21</v>
      </c>
      <c r="AM117" s="639">
        <f t="shared" si="377"/>
        <v>0</v>
      </c>
      <c r="AN117" s="639">
        <f t="shared" si="377"/>
        <v>20830</v>
      </c>
      <c r="AO117" s="639"/>
      <c r="AP117" s="639"/>
      <c r="AQ117" s="639"/>
      <c r="AR117" s="1681">
        <f t="shared" ref="AR117" si="378">AR114+AR113</f>
        <v>22184</v>
      </c>
      <c r="AS117" s="639"/>
      <c r="AT117" s="639"/>
      <c r="AU117" s="639"/>
      <c r="AV117" s="639">
        <f t="shared" ref="AV117" si="379">AV114+AV113</f>
        <v>22180.827111339939</v>
      </c>
      <c r="AW117" s="639"/>
      <c r="AX117" s="639"/>
      <c r="AY117" s="639"/>
      <c r="AZ117" s="639">
        <f t="shared" ref="AZ117" si="380">AZ114+AZ113</f>
        <v>22720.343723411002</v>
      </c>
      <c r="BA117" s="639"/>
      <c r="BB117" s="639"/>
      <c r="BC117" s="639"/>
      <c r="BD117" s="639">
        <f t="shared" ref="BD117" si="381">BD114+BD113</f>
        <v>23249.409721462987</v>
      </c>
    </row>
    <row r="118" spans="3:56" outlineLevel="1">
      <c r="C118" s="444" t="s">
        <v>256</v>
      </c>
      <c r="D118" s="639">
        <f>D$20</f>
        <v>20537</v>
      </c>
      <c r="H118" s="639">
        <f>H$20</f>
        <v>20594</v>
      </c>
      <c r="L118" s="639">
        <f>L$20</f>
        <v>19816</v>
      </c>
      <c r="P118" s="639">
        <f>P$20</f>
        <v>19367</v>
      </c>
      <c r="T118" s="639">
        <f>T$20</f>
        <v>19029</v>
      </c>
      <c r="X118" s="639">
        <f>X$20</f>
        <v>17752</v>
      </c>
      <c r="Y118" s="639"/>
      <c r="Z118" s="639"/>
      <c r="AA118" s="639"/>
      <c r="AB118" s="639">
        <f>AB$20</f>
        <v>17447</v>
      </c>
      <c r="AC118" s="1039">
        <f t="shared" ref="AC118:AF118" si="382">AC$20</f>
        <v>0.29436643894908943</v>
      </c>
      <c r="AD118" s="1039">
        <f t="shared" si="382"/>
        <v>8948</v>
      </c>
      <c r="AE118" s="1039">
        <f t="shared" si="382"/>
        <v>9599</v>
      </c>
      <c r="AF118" s="639">
        <f t="shared" si="382"/>
        <v>18547</v>
      </c>
      <c r="AG118" s="639"/>
      <c r="AH118" s="639"/>
      <c r="AI118" s="639"/>
      <c r="AJ118" s="639">
        <f t="shared" ref="AJ118" si="383">AJ$20</f>
        <v>20905</v>
      </c>
      <c r="AK118" s="639"/>
      <c r="AL118" s="639"/>
      <c r="AM118" s="639"/>
      <c r="AN118" s="639">
        <f t="shared" ref="AN118" si="384">AN$20</f>
        <v>20809</v>
      </c>
      <c r="AO118" s="639"/>
      <c r="AP118" s="639"/>
      <c r="AQ118" s="639"/>
      <c r="AR118" s="1681">
        <f t="shared" ref="AR118" si="385">AR$20</f>
        <v>21899</v>
      </c>
      <c r="AS118" s="639"/>
      <c r="AT118" s="639"/>
      <c r="AU118" s="639"/>
      <c r="AV118" s="639">
        <f>+AV113+AV116</f>
        <v>22180.827111339939</v>
      </c>
      <c r="AW118" s="639"/>
      <c r="AX118" s="639"/>
      <c r="AY118" s="639"/>
      <c r="AZ118" s="639">
        <f>+AZ113+AZ116</f>
        <v>22720.343723411002</v>
      </c>
      <c r="BA118" s="639"/>
      <c r="BB118" s="639"/>
      <c r="BC118" s="639"/>
      <c r="BD118" s="639">
        <f>+BD113+BD116</f>
        <v>23249.409721462987</v>
      </c>
    </row>
    <row r="119" spans="3:56" outlineLevel="1">
      <c r="C119" s="585" t="s">
        <v>554</v>
      </c>
      <c r="D119" s="734"/>
      <c r="E119" s="585"/>
      <c r="F119" s="585"/>
      <c r="G119" s="585"/>
      <c r="H119" s="671">
        <f>+H118/D118-1</f>
        <v>2.7754784048303893E-3</v>
      </c>
      <c r="I119" s="585"/>
      <c r="J119" s="585"/>
      <c r="K119" s="585"/>
      <c r="L119" s="671">
        <f>+L118/H118-1</f>
        <v>-3.7777993590366155E-2</v>
      </c>
      <c r="M119" s="585"/>
      <c r="N119" s="585"/>
      <c r="O119" s="585"/>
      <c r="P119" s="671">
        <f>+P118/L118-1</f>
        <v>-2.2658457811869148E-2</v>
      </c>
      <c r="T119" s="671">
        <f>+T118/P118-1</f>
        <v>-1.7452367429132032E-2</v>
      </c>
      <c r="X119" s="1040">
        <f>+X118/T118-1</f>
        <v>-6.7108098165957197E-2</v>
      </c>
      <c r="Y119" s="1040"/>
      <c r="Z119" s="1040"/>
      <c r="AA119" s="1040"/>
      <c r="AB119" s="1040">
        <f>+AB118/X118-1</f>
        <v>-1.7181162685894535E-2</v>
      </c>
      <c r="AC119" s="1041" t="e">
        <f t="shared" ref="AC119:AF119" si="386">+AC118/Y118-1</f>
        <v>#DIV/0!</v>
      </c>
      <c r="AD119" s="1041" t="e">
        <f t="shared" si="386"/>
        <v>#DIV/0!</v>
      </c>
      <c r="AE119" s="1041" t="e">
        <f t="shared" si="386"/>
        <v>#DIV/0!</v>
      </c>
      <c r="AF119" s="1040">
        <f t="shared" si="386"/>
        <v>6.3048088496589605E-2</v>
      </c>
      <c r="AG119" s="671"/>
      <c r="AH119" s="671"/>
      <c r="AI119" s="671"/>
      <c r="AJ119" s="1040">
        <f t="shared" ref="AJ119" si="387">+AJ118/AF118-1</f>
        <v>0.12713646411818624</v>
      </c>
      <c r="AK119" s="671"/>
      <c r="AL119" s="671"/>
      <c r="AM119" s="671"/>
      <c r="AN119" s="1040">
        <f t="shared" ref="AN119" si="388">+AN118/AJ118-1</f>
        <v>-4.5922028222913358E-3</v>
      </c>
      <c r="AO119" s="671"/>
      <c r="AP119" s="671"/>
      <c r="AQ119" s="671"/>
      <c r="AR119" s="1682">
        <f t="shared" ref="AR119" si="389">+AR118/AN118-1</f>
        <v>5.2381181219664619E-2</v>
      </c>
      <c r="AS119" s="671"/>
      <c r="AT119" s="671"/>
      <c r="AU119" s="671"/>
      <c r="AV119" s="671">
        <f>+AV118/AR118-1</f>
        <v>1.2869405513491028E-2</v>
      </c>
      <c r="AW119" s="671"/>
      <c r="AX119" s="671"/>
      <c r="AY119" s="671"/>
      <c r="AZ119" s="671">
        <f>+AZ118/AV118-1</f>
        <v>2.4323556978415706E-2</v>
      </c>
      <c r="BA119" s="671"/>
      <c r="BB119" s="671"/>
      <c r="BC119" s="671"/>
      <c r="BD119" s="671">
        <f>+BD118/AZ118-1</f>
        <v>2.3286003261774546E-2</v>
      </c>
    </row>
    <row r="120" spans="3:56" outlineLevel="1">
      <c r="C120" s="444" t="s">
        <v>789</v>
      </c>
      <c r="D120" s="639"/>
      <c r="H120" s="639"/>
      <c r="L120" s="639">
        <f t="shared" ref="L120:T120" si="390">L22</f>
        <v>-8905</v>
      </c>
      <c r="M120" s="444">
        <f t="shared" si="390"/>
        <v>0</v>
      </c>
      <c r="N120" s="444">
        <f t="shared" si="390"/>
        <v>-4284</v>
      </c>
      <c r="O120" s="444">
        <f t="shared" si="390"/>
        <v>-4279</v>
      </c>
      <c r="P120" s="639">
        <f t="shared" si="390"/>
        <v>-8563</v>
      </c>
      <c r="Q120">
        <f t="shared" si="390"/>
        <v>-3.8405390230207725E-2</v>
      </c>
      <c r="R120">
        <f t="shared" si="390"/>
        <v>-4240</v>
      </c>
      <c r="S120">
        <f t="shared" si="390"/>
        <v>-4322</v>
      </c>
      <c r="T120" s="639">
        <f t="shared" si="390"/>
        <v>-8562</v>
      </c>
      <c r="X120" s="639">
        <f>X22</f>
        <v>-8649</v>
      </c>
      <c r="Y120" s="639"/>
      <c r="Z120" s="639"/>
      <c r="AA120" s="639"/>
      <c r="AB120" s="639">
        <f>AB22</f>
        <v>-8670</v>
      </c>
      <c r="AC120" s="1039">
        <f t="shared" ref="AC120:AF120" si="391">AC22</f>
        <v>2.4280263614291364E-3</v>
      </c>
      <c r="AD120" s="1039">
        <f t="shared" si="391"/>
        <v>-4544</v>
      </c>
      <c r="AE120" s="1039">
        <f t="shared" si="391"/>
        <v>-4626</v>
      </c>
      <c r="AF120" s="639">
        <f t="shared" si="391"/>
        <v>-9170</v>
      </c>
      <c r="AG120" s="639"/>
      <c r="AH120" s="639"/>
      <c r="AI120" s="639"/>
      <c r="AJ120" s="639">
        <f t="shared" ref="AJ120" si="392">AJ22</f>
        <v>-9718</v>
      </c>
      <c r="AK120" s="639"/>
      <c r="AL120" s="639"/>
      <c r="AM120" s="639"/>
      <c r="AN120" s="639">
        <f t="shared" ref="AN120" si="393">AN22</f>
        <v>-10600</v>
      </c>
      <c r="AO120" s="639"/>
      <c r="AP120" s="639"/>
      <c r="AQ120" s="639"/>
      <c r="AR120" s="1681">
        <f t="shared" ref="AR120" si="394">AR22</f>
        <v>-11849</v>
      </c>
      <c r="AS120" s="639"/>
      <c r="AT120" s="639"/>
      <c r="AU120" s="639"/>
      <c r="AV120" s="639">
        <f>+AR120*(1+AV121)</f>
        <v>-11552.775</v>
      </c>
      <c r="AW120" s="639"/>
      <c r="AX120" s="639"/>
      <c r="AY120" s="639"/>
      <c r="AZ120" s="639">
        <f>+AV120*(1+AZ121)</f>
        <v>-11783.8305</v>
      </c>
      <c r="BA120" s="639"/>
      <c r="BB120" s="639"/>
      <c r="BC120" s="639"/>
      <c r="BD120" s="639">
        <f>+AZ120*(1+BD121)</f>
        <v>-12019.50711</v>
      </c>
    </row>
    <row r="121" spans="3:56" outlineLevel="1">
      <c r="C121" s="631" t="s">
        <v>554</v>
      </c>
      <c r="D121" s="947"/>
      <c r="E121" s="631"/>
      <c r="F121" s="631"/>
      <c r="G121" s="631"/>
      <c r="H121" s="658"/>
      <c r="I121" s="631"/>
      <c r="J121" s="631"/>
      <c r="K121" s="631"/>
      <c r="L121" s="658"/>
      <c r="M121" s="631"/>
      <c r="N121" s="631"/>
      <c r="O121" s="631"/>
      <c r="P121" s="658">
        <f>P120/L120-1</f>
        <v>-3.8405390230207725E-2</v>
      </c>
      <c r="Q121" s="658" t="e">
        <f>Q120/M120-1</f>
        <v>#DIV/0!</v>
      </c>
      <c r="R121" s="658">
        <f>R120/N120-1</f>
        <v>-1.0270774976657293E-2</v>
      </c>
      <c r="S121" s="658">
        <f>S120/O120-1</f>
        <v>1.0049076887123087E-2</v>
      </c>
      <c r="T121" s="658">
        <f>T120/P120-1</f>
        <v>-1.1678150181015923E-4</v>
      </c>
      <c r="U121" s="948"/>
      <c r="V121" s="948"/>
      <c r="W121" s="948"/>
      <c r="X121" s="1033">
        <f>X120/T120-1</f>
        <v>1.0161177295024526E-2</v>
      </c>
      <c r="Y121" s="1056"/>
      <c r="Z121" s="1056"/>
      <c r="AA121" s="1056"/>
      <c r="AB121" s="1033">
        <f>AB120/X120-1</f>
        <v>2.4280263614291364E-3</v>
      </c>
      <c r="AC121" s="1034" t="e">
        <f t="shared" ref="AC121:AF121" si="395">AC120/Y120-1</f>
        <v>#DIV/0!</v>
      </c>
      <c r="AD121" s="1034" t="e">
        <f t="shared" si="395"/>
        <v>#DIV/0!</v>
      </c>
      <c r="AE121" s="1034" t="e">
        <f t="shared" si="395"/>
        <v>#DIV/0!</v>
      </c>
      <c r="AF121" s="1033">
        <f t="shared" si="395"/>
        <v>5.7670126874279193E-2</v>
      </c>
      <c r="AG121" s="659"/>
      <c r="AH121" s="659"/>
      <c r="AI121" s="659"/>
      <c r="AJ121" s="1033">
        <f t="shared" ref="AJ121" si="396">AJ120/AF120-1</f>
        <v>5.9760087241003346E-2</v>
      </c>
      <c r="AK121" s="659"/>
      <c r="AL121" s="659"/>
      <c r="AM121" s="659"/>
      <c r="AN121" s="1033">
        <f t="shared" ref="AN121" si="397">AN120/AJ120-1</f>
        <v>9.0759415517596143E-2</v>
      </c>
      <c r="AO121" s="659"/>
      <c r="AP121" s="659"/>
      <c r="AQ121" s="659"/>
      <c r="AR121" s="1677">
        <f t="shared" ref="AR121" si="398">AR120/AN120-1</f>
        <v>0.11783018867924522</v>
      </c>
      <c r="AS121" s="659"/>
      <c r="AT121" s="659"/>
      <c r="AU121" s="659"/>
      <c r="AV121" s="659">
        <v>-2.5000000000000001E-2</v>
      </c>
      <c r="AW121" s="659"/>
      <c r="AX121" s="659"/>
      <c r="AY121" s="659"/>
      <c r="AZ121" s="659">
        <v>0.02</v>
      </c>
      <c r="BA121" s="659"/>
      <c r="BB121" s="659"/>
      <c r="BC121" s="659"/>
      <c r="BD121" s="659">
        <v>0.02</v>
      </c>
    </row>
    <row r="122" spans="3:56" outlineLevel="1">
      <c r="C122" s="444" t="s">
        <v>967</v>
      </c>
      <c r="D122" s="639"/>
      <c r="H122" s="639"/>
      <c r="L122" s="639">
        <f t="shared" ref="L122:AJ122" si="399">L24</f>
        <v>-62</v>
      </c>
      <c r="M122" s="444">
        <f t="shared" si="399"/>
        <v>0</v>
      </c>
      <c r="N122" s="444">
        <f t="shared" si="399"/>
        <v>-189</v>
      </c>
      <c r="O122" s="444">
        <f t="shared" si="399"/>
        <v>-649</v>
      </c>
      <c r="P122" s="639">
        <f t="shared" si="399"/>
        <v>-838</v>
      </c>
      <c r="Q122">
        <f t="shared" si="399"/>
        <v>0</v>
      </c>
      <c r="R122">
        <f t="shared" si="399"/>
        <v>-125</v>
      </c>
      <c r="S122">
        <f t="shared" si="399"/>
        <v>-384</v>
      </c>
      <c r="T122" s="639">
        <f t="shared" si="399"/>
        <v>-509</v>
      </c>
      <c r="U122">
        <f t="shared" si="399"/>
        <v>0</v>
      </c>
      <c r="V122">
        <f t="shared" si="399"/>
        <v>-244</v>
      </c>
      <c r="W122">
        <f t="shared" si="399"/>
        <v>-490</v>
      </c>
      <c r="X122" s="639">
        <f t="shared" si="399"/>
        <v>-734</v>
      </c>
      <c r="Y122" s="639">
        <f t="shared" si="399"/>
        <v>0</v>
      </c>
      <c r="Z122" s="639">
        <f t="shared" si="399"/>
        <v>-266</v>
      </c>
      <c r="AA122" s="639">
        <f t="shared" si="399"/>
        <v>-115</v>
      </c>
      <c r="AB122" s="639">
        <f t="shared" si="399"/>
        <v>-381</v>
      </c>
      <c r="AC122" s="1039">
        <f t="shared" ref="AC122:AF122" si="400">AC24</f>
        <v>0</v>
      </c>
      <c r="AD122" s="1039">
        <f t="shared" si="400"/>
        <v>-247</v>
      </c>
      <c r="AE122" s="1039">
        <f t="shared" si="400"/>
        <v>-162</v>
      </c>
      <c r="AF122" s="639">
        <f t="shared" si="400"/>
        <v>-409</v>
      </c>
      <c r="AG122" s="639">
        <f t="shared" si="399"/>
        <v>0</v>
      </c>
      <c r="AH122" s="639">
        <f t="shared" si="399"/>
        <v>-153</v>
      </c>
      <c r="AI122" s="639">
        <f t="shared" si="399"/>
        <v>-268</v>
      </c>
      <c r="AJ122" s="639">
        <f t="shared" si="399"/>
        <v>-421</v>
      </c>
      <c r="AK122" s="639">
        <f t="shared" ref="AK122:AN122" si="401">AK24</f>
        <v>0</v>
      </c>
      <c r="AL122" s="639">
        <f t="shared" si="401"/>
        <v>-141</v>
      </c>
      <c r="AM122" s="639">
        <f t="shared" si="401"/>
        <v>0</v>
      </c>
      <c r="AN122" s="639">
        <f t="shared" si="401"/>
        <v>-141</v>
      </c>
      <c r="AO122" s="639"/>
      <c r="AP122" s="639"/>
      <c r="AQ122" s="639"/>
      <c r="AR122" s="1681">
        <f t="shared" ref="AR122" si="402">AR24</f>
        <v>-1031</v>
      </c>
      <c r="AS122" s="639"/>
      <c r="AT122" s="639"/>
      <c r="AU122" s="639"/>
      <c r="AV122" s="639">
        <f t="shared" ref="AV122" si="403">AV24</f>
        <v>0</v>
      </c>
      <c r="AW122" s="639"/>
      <c r="AX122" s="639"/>
      <c r="AY122" s="639"/>
      <c r="AZ122" s="639">
        <f t="shared" ref="AZ122" si="404">AZ24</f>
        <v>0</v>
      </c>
      <c r="BA122" s="639"/>
      <c r="BB122" s="639"/>
      <c r="BC122" s="639"/>
      <c r="BD122" s="639">
        <f t="shared" ref="BD122" si="405">BD24</f>
        <v>0</v>
      </c>
    </row>
    <row r="123" spans="3:56" outlineLevel="1">
      <c r="C123" s="444" t="s">
        <v>238</v>
      </c>
      <c r="D123" s="639">
        <f>D$25</f>
        <v>-9378</v>
      </c>
      <c r="H123" s="639">
        <f>H$25</f>
        <v>-10439</v>
      </c>
      <c r="L123" s="639">
        <f>L120+L122</f>
        <v>-8967</v>
      </c>
      <c r="M123" s="639">
        <f t="shared" ref="M123:AA123" si="406">M120+M122</f>
        <v>0</v>
      </c>
      <c r="N123" s="639">
        <f t="shared" si="406"/>
        <v>-4473</v>
      </c>
      <c r="O123" s="639">
        <f t="shared" si="406"/>
        <v>-4928</v>
      </c>
      <c r="P123" s="639">
        <f t="shared" si="406"/>
        <v>-9401</v>
      </c>
      <c r="Q123" s="639">
        <f t="shared" si="406"/>
        <v>-3.8405390230207725E-2</v>
      </c>
      <c r="R123" s="639">
        <f t="shared" si="406"/>
        <v>-4365</v>
      </c>
      <c r="S123" s="639">
        <f t="shared" si="406"/>
        <v>-4706</v>
      </c>
      <c r="T123" s="639">
        <f t="shared" si="406"/>
        <v>-9071</v>
      </c>
      <c r="U123" s="639">
        <f t="shared" si="406"/>
        <v>0</v>
      </c>
      <c r="V123" s="639">
        <f t="shared" si="406"/>
        <v>-244</v>
      </c>
      <c r="W123" s="639">
        <f t="shared" si="406"/>
        <v>-490</v>
      </c>
      <c r="X123" s="639">
        <f>X120+X122</f>
        <v>-9383</v>
      </c>
      <c r="Y123" s="639">
        <f t="shared" si="406"/>
        <v>0</v>
      </c>
      <c r="Z123" s="639">
        <f t="shared" si="406"/>
        <v>-266</v>
      </c>
      <c r="AA123" s="639">
        <f t="shared" si="406"/>
        <v>-115</v>
      </c>
      <c r="AB123" s="639">
        <f>AB120+AB122</f>
        <v>-9051</v>
      </c>
      <c r="AC123" s="1039">
        <f t="shared" ref="AC123:AF123" si="407">AC120+AC122</f>
        <v>2.4280263614291364E-3</v>
      </c>
      <c r="AD123" s="1039">
        <f t="shared" si="407"/>
        <v>-4791</v>
      </c>
      <c r="AE123" s="1039">
        <f t="shared" si="407"/>
        <v>-4788</v>
      </c>
      <c r="AF123" s="639">
        <f t="shared" si="407"/>
        <v>-9579</v>
      </c>
      <c r="AG123" s="639">
        <f t="shared" ref="AG123:AJ123" si="408">AG120+AG122</f>
        <v>0</v>
      </c>
      <c r="AH123" s="639">
        <f t="shared" si="408"/>
        <v>-153</v>
      </c>
      <c r="AI123" s="639">
        <f t="shared" si="408"/>
        <v>-268</v>
      </c>
      <c r="AJ123" s="639">
        <f t="shared" si="408"/>
        <v>-10139</v>
      </c>
      <c r="AK123" s="639">
        <f t="shared" ref="AK123:AN123" si="409">AK120+AK122</f>
        <v>0</v>
      </c>
      <c r="AL123" s="639">
        <f t="shared" si="409"/>
        <v>-141</v>
      </c>
      <c r="AM123" s="639">
        <f t="shared" si="409"/>
        <v>0</v>
      </c>
      <c r="AN123" s="639">
        <f t="shared" si="409"/>
        <v>-10741</v>
      </c>
      <c r="AO123" s="639"/>
      <c r="AP123" s="639"/>
      <c r="AQ123" s="639"/>
      <c r="AR123" s="1681">
        <f t="shared" ref="AR123" si="410">AR120+AR122</f>
        <v>-12880</v>
      </c>
      <c r="AS123" s="639"/>
      <c r="AT123" s="639"/>
      <c r="AU123" s="639"/>
      <c r="AV123" s="639">
        <f t="shared" ref="AV123" si="411">AV120+AV122</f>
        <v>-11552.775</v>
      </c>
      <c r="AW123" s="639"/>
      <c r="AX123" s="639"/>
      <c r="AY123" s="639"/>
      <c r="AZ123" s="639">
        <f t="shared" ref="AZ123" si="412">AZ120+AZ122</f>
        <v>-11783.8305</v>
      </c>
      <c r="BA123" s="639"/>
      <c r="BB123" s="639"/>
      <c r="BC123" s="639"/>
      <c r="BD123" s="639">
        <f t="shared" ref="BD123" si="413">BD120+BD122</f>
        <v>-12019.50711</v>
      </c>
    </row>
    <row r="124" spans="3:56" outlineLevel="1">
      <c r="C124" s="585" t="s">
        <v>554</v>
      </c>
      <c r="D124" s="734"/>
      <c r="E124" s="585"/>
      <c r="F124" s="585"/>
      <c r="G124" s="585"/>
      <c r="H124" s="671">
        <f>+H123/D123-1</f>
        <v>0.11313712945190879</v>
      </c>
      <c r="I124" s="585"/>
      <c r="J124" s="585"/>
      <c r="K124" s="585"/>
      <c r="L124" s="671">
        <f>+L123/H123-1</f>
        <v>-0.14100967525625063</v>
      </c>
      <c r="M124" s="585"/>
      <c r="N124" s="585"/>
      <c r="O124" s="585"/>
      <c r="P124" s="671">
        <f>+P123/L123-1</f>
        <v>4.8399687743950093E-2</v>
      </c>
      <c r="T124" s="671">
        <f>+T123/P123-1</f>
        <v>-3.5102648654398494E-2</v>
      </c>
      <c r="X124" s="1040">
        <f>+X123/T123-1</f>
        <v>3.4395325763421969E-2</v>
      </c>
      <c r="Y124" s="1040"/>
      <c r="Z124" s="1040"/>
      <c r="AA124" s="1040"/>
      <c r="AB124" s="1040">
        <f>+AB123/X123-1</f>
        <v>-3.5383139720771561E-2</v>
      </c>
      <c r="AC124" s="1041" t="e">
        <f t="shared" ref="AC124:AF124" si="414">+AC123/Y123-1</f>
        <v>#DIV/0!</v>
      </c>
      <c r="AD124" s="1041">
        <f t="shared" si="414"/>
        <v>17.011278195488721</v>
      </c>
      <c r="AE124" s="1041">
        <f t="shared" si="414"/>
        <v>40.634782608695652</v>
      </c>
      <c r="AF124" s="1040">
        <f t="shared" si="414"/>
        <v>5.8336095459065263E-2</v>
      </c>
      <c r="AG124" s="671"/>
      <c r="AH124" s="671"/>
      <c r="AI124" s="671"/>
      <c r="AJ124" s="1040">
        <f t="shared" ref="AJ124" si="415">+AJ123/AF123-1</f>
        <v>5.8461217246059016E-2</v>
      </c>
      <c r="AK124" s="671"/>
      <c r="AL124" s="671"/>
      <c r="AM124" s="671"/>
      <c r="AN124" s="1040">
        <f t="shared" ref="AN124" si="416">+AN123/AJ123-1</f>
        <v>5.9374691784199518E-2</v>
      </c>
      <c r="AO124" s="671"/>
      <c r="AP124" s="671"/>
      <c r="AQ124" s="671"/>
      <c r="AR124" s="1682">
        <f t="shared" ref="AR124" si="417">+AR123/AN123-1</f>
        <v>0.19914346895074941</v>
      </c>
      <c r="AS124" s="671"/>
      <c r="AT124" s="671"/>
      <c r="AU124" s="671"/>
      <c r="AV124" s="671">
        <f>+AV123/AR123-1</f>
        <v>-0.10304541925465838</v>
      </c>
      <c r="AW124" s="671"/>
      <c r="AX124" s="671"/>
      <c r="AY124" s="671"/>
      <c r="AZ124" s="671">
        <f>+AZ123/AV123-1</f>
        <v>2.0000000000000018E-2</v>
      </c>
      <c r="BA124" s="671"/>
      <c r="BB124" s="671"/>
      <c r="BC124" s="671"/>
      <c r="BD124" s="671">
        <f>+BD123/AZ123-1</f>
        <v>2.0000000000000018E-2</v>
      </c>
    </row>
    <row r="125" spans="3:56" outlineLevel="1">
      <c r="C125" s="673" t="s">
        <v>149</v>
      </c>
      <c r="D125" s="1583"/>
      <c r="E125" s="673"/>
      <c r="F125" s="673"/>
      <c r="G125" s="673"/>
      <c r="H125" s="1583"/>
      <c r="I125" s="673"/>
      <c r="J125" s="673"/>
      <c r="K125" s="673"/>
      <c r="L125" s="1583">
        <f>-L123/L118</f>
        <v>0.45251312071053695</v>
      </c>
      <c r="M125" s="673"/>
      <c r="N125" s="673"/>
      <c r="O125" s="673"/>
      <c r="P125" s="1583">
        <f>-P123/P118</f>
        <v>0.48541333195642072</v>
      </c>
      <c r="Q125" s="565"/>
      <c r="R125" s="565"/>
      <c r="S125" s="565"/>
      <c r="T125" s="1583">
        <f>-T123/T118</f>
        <v>0.47669346786483791</v>
      </c>
      <c r="U125" s="565"/>
      <c r="V125" s="565"/>
      <c r="W125" s="565"/>
      <c r="X125" s="777">
        <f>-X123/X118</f>
        <v>0.52856016223524105</v>
      </c>
      <c r="Y125" s="777"/>
      <c r="Z125" s="777"/>
      <c r="AA125" s="777"/>
      <c r="AB125" s="777">
        <f>-AB123/AB118</f>
        <v>0.51877113543875741</v>
      </c>
      <c r="AC125" s="1584"/>
      <c r="AD125" s="1584"/>
      <c r="AE125" s="1584"/>
      <c r="AF125" s="777">
        <f>-AF123/AF118</f>
        <v>0.51647166657680488</v>
      </c>
      <c r="AG125" s="1583"/>
      <c r="AH125" s="1583"/>
      <c r="AI125" s="1583"/>
      <c r="AJ125" s="777">
        <f>-AJ123/AJ118</f>
        <v>0.48500358765845492</v>
      </c>
      <c r="AK125" s="1583"/>
      <c r="AL125" s="1583"/>
      <c r="AM125" s="1583"/>
      <c r="AN125" s="777">
        <f>-AN123/AN118</f>
        <v>0.51617088759671292</v>
      </c>
      <c r="AO125" s="1583"/>
      <c r="AP125" s="1583"/>
      <c r="AQ125" s="1583"/>
      <c r="AR125" s="1684">
        <f>-AR123/AR118</f>
        <v>0.58815471026074251</v>
      </c>
      <c r="AS125" s="1583"/>
      <c r="AT125" s="1583"/>
      <c r="AU125" s="1583"/>
      <c r="AV125" s="1583">
        <f>-AV123/AV118</f>
        <v>0.52084509482036623</v>
      </c>
      <c r="AW125" s="1583"/>
      <c r="AX125" s="1583"/>
      <c r="AY125" s="1583"/>
      <c r="AZ125" s="1583">
        <f>-AZ123/AZ118</f>
        <v>0.51864666500876755</v>
      </c>
      <c r="BA125" s="1583"/>
      <c r="BB125" s="1583"/>
      <c r="BC125" s="1583"/>
      <c r="BD125" s="1583">
        <f>-BD123/BD118</f>
        <v>0.51698117302754742</v>
      </c>
    </row>
    <row r="126" spans="3:56" outlineLevel="1">
      <c r="C126" s="444" t="s">
        <v>448</v>
      </c>
      <c r="D126" s="639">
        <f>D$28</f>
        <v>11159</v>
      </c>
      <c r="H126" s="639">
        <f>H$28</f>
        <v>10155.002775478406</v>
      </c>
      <c r="L126" s="639">
        <f>L118+L123</f>
        <v>10849</v>
      </c>
      <c r="M126" s="639">
        <f t="shared" ref="M126:AA126" si="418">M118+M123</f>
        <v>0</v>
      </c>
      <c r="N126" s="639">
        <f t="shared" si="418"/>
        <v>-4473</v>
      </c>
      <c r="O126" s="639">
        <f t="shared" si="418"/>
        <v>-4928</v>
      </c>
      <c r="P126" s="639">
        <f t="shared" si="418"/>
        <v>9966</v>
      </c>
      <c r="Q126" s="639">
        <f t="shared" si="418"/>
        <v>-3.8405390230207725E-2</v>
      </c>
      <c r="R126" s="639">
        <f t="shared" si="418"/>
        <v>-4365</v>
      </c>
      <c r="S126" s="639">
        <f t="shared" si="418"/>
        <v>-4706</v>
      </c>
      <c r="T126" s="639">
        <f t="shared" si="418"/>
        <v>9958</v>
      </c>
      <c r="U126" s="639">
        <f t="shared" si="418"/>
        <v>0</v>
      </c>
      <c r="V126" s="639">
        <f t="shared" si="418"/>
        <v>-244</v>
      </c>
      <c r="W126" s="639">
        <f t="shared" si="418"/>
        <v>-490</v>
      </c>
      <c r="X126" s="639">
        <f>X118+X123</f>
        <v>8369</v>
      </c>
      <c r="Y126" s="639">
        <f t="shared" si="418"/>
        <v>0</v>
      </c>
      <c r="Z126" s="639">
        <f t="shared" si="418"/>
        <v>-266</v>
      </c>
      <c r="AA126" s="639">
        <f t="shared" si="418"/>
        <v>-115</v>
      </c>
      <c r="AB126" s="639">
        <f>AB118+AB123</f>
        <v>8396</v>
      </c>
      <c r="AC126" s="1039">
        <f t="shared" ref="AC126:AF126" si="419">AC118+AC123</f>
        <v>0.29679446531051856</v>
      </c>
      <c r="AD126" s="1039">
        <f t="shared" si="419"/>
        <v>4157</v>
      </c>
      <c r="AE126" s="1039">
        <f t="shared" si="419"/>
        <v>4811</v>
      </c>
      <c r="AF126" s="639">
        <f t="shared" si="419"/>
        <v>8968</v>
      </c>
      <c r="AG126" s="639">
        <f t="shared" ref="AG126:AJ126" si="420">AG118+AG123</f>
        <v>0</v>
      </c>
      <c r="AH126" s="639">
        <f t="shared" si="420"/>
        <v>-153</v>
      </c>
      <c r="AI126" s="639">
        <f t="shared" si="420"/>
        <v>-268</v>
      </c>
      <c r="AJ126" s="639">
        <f t="shared" si="420"/>
        <v>10766</v>
      </c>
      <c r="AK126" s="639">
        <f t="shared" ref="AK126:AN126" si="421">AK118+AK123</f>
        <v>0</v>
      </c>
      <c r="AL126" s="639">
        <f t="shared" si="421"/>
        <v>-141</v>
      </c>
      <c r="AM126" s="639">
        <f t="shared" si="421"/>
        <v>0</v>
      </c>
      <c r="AN126" s="639">
        <f t="shared" si="421"/>
        <v>10068</v>
      </c>
      <c r="AO126" s="639"/>
      <c r="AP126" s="639"/>
      <c r="AQ126" s="639"/>
      <c r="AR126" s="1681">
        <f t="shared" ref="AR126" si="422">AR118+AR123</f>
        <v>9019</v>
      </c>
      <c r="AS126" s="639"/>
      <c r="AT126" s="639"/>
      <c r="AU126" s="639"/>
      <c r="AV126" s="639">
        <f t="shared" ref="AV126" si="423">AV118+AV123</f>
        <v>10628.052111339939</v>
      </c>
      <c r="AW126" s="639"/>
      <c r="AX126" s="639"/>
      <c r="AY126" s="639"/>
      <c r="AZ126" s="639">
        <f t="shared" ref="AZ126" si="424">AZ118+AZ123</f>
        <v>10936.513223411002</v>
      </c>
      <c r="BA126" s="639"/>
      <c r="BB126" s="639"/>
      <c r="BC126" s="639"/>
      <c r="BD126" s="639">
        <f t="shared" ref="BD126" si="425">BD118+BD123</f>
        <v>11229.902611462987</v>
      </c>
    </row>
    <row r="127" spans="3:56" outlineLevel="1">
      <c r="C127" s="444" t="s">
        <v>490</v>
      </c>
      <c r="D127" s="639">
        <f>D$29</f>
        <v>-1205</v>
      </c>
      <c r="H127" s="639">
        <f>H$29</f>
        <v>-1956</v>
      </c>
      <c r="L127" s="639">
        <f>L$29</f>
        <v>-1199</v>
      </c>
      <c r="P127" s="639">
        <f>P$29</f>
        <v>-688</v>
      </c>
      <c r="T127" s="639">
        <f>T$29</f>
        <v>-795</v>
      </c>
      <c r="X127" s="639">
        <f>X$29</f>
        <v>-2738</v>
      </c>
      <c r="Y127" s="639"/>
      <c r="Z127" s="639"/>
      <c r="AA127" s="639"/>
      <c r="AB127" s="639">
        <f>AB$29</f>
        <v>567</v>
      </c>
      <c r="AC127" s="1039">
        <f t="shared" ref="AC127:AF127" si="426">AC$29</f>
        <v>-1.2070854638422206</v>
      </c>
      <c r="AD127" s="1039">
        <f t="shared" si="426"/>
        <v>284</v>
      </c>
      <c r="AE127" s="1039">
        <f t="shared" si="426"/>
        <v>-52</v>
      </c>
      <c r="AF127" s="639">
        <f t="shared" si="426"/>
        <v>232</v>
      </c>
      <c r="AG127" s="639"/>
      <c r="AH127" s="639"/>
      <c r="AI127" s="639"/>
      <c r="AJ127" s="639">
        <f t="shared" ref="AJ127" si="427">AJ$29</f>
        <v>-245</v>
      </c>
      <c r="AK127" s="639"/>
      <c r="AL127" s="639"/>
      <c r="AM127" s="639"/>
      <c r="AN127" s="639">
        <f t="shared" ref="AN127" si="428">AN$29</f>
        <v>-406</v>
      </c>
      <c r="AO127" s="639"/>
      <c r="AP127" s="639"/>
      <c r="AQ127" s="639"/>
      <c r="AR127" s="1681">
        <f t="shared" ref="AR127" si="429">AR$29</f>
        <v>-441</v>
      </c>
      <c r="AS127" s="639"/>
      <c r="AT127" s="639"/>
      <c r="AU127" s="639"/>
      <c r="AV127" s="639">
        <f>-AV128*AV106*1000</f>
        <v>-683.85622000000001</v>
      </c>
      <c r="AW127" s="639"/>
      <c r="AX127" s="639"/>
      <c r="AY127" s="639"/>
      <c r="AZ127" s="639">
        <f>-AZ128*AZ106*1000</f>
        <v>-1333.5196289999999</v>
      </c>
      <c r="BA127" s="639"/>
      <c r="BB127" s="639"/>
      <c r="BC127" s="639"/>
      <c r="BD127" s="639">
        <f>-BD128*BD106*1000</f>
        <v>-1373.52521787</v>
      </c>
    </row>
    <row r="128" spans="3:56" outlineLevel="1">
      <c r="C128" s="631" t="s">
        <v>834</v>
      </c>
      <c r="D128" s="640">
        <f>-D127/(D106*1000)</f>
        <v>2.0956740418160884E-3</v>
      </c>
      <c r="E128" s="631"/>
      <c r="F128" s="631"/>
      <c r="G128" s="631"/>
      <c r="H128" s="640">
        <f>-H127/(H106*1000)</f>
        <v>3.3690505512600352E-3</v>
      </c>
      <c r="I128" s="631"/>
      <c r="J128" s="631"/>
      <c r="K128" s="631"/>
      <c r="L128" s="640">
        <f>-L127/(L106*1000)</f>
        <v>2.0513189005341298E-3</v>
      </c>
      <c r="M128" s="660"/>
      <c r="N128" s="660"/>
      <c r="O128" s="660"/>
      <c r="P128" s="640">
        <f>-P127/(P106*1000)</f>
        <v>1.1300734219214534E-3</v>
      </c>
      <c r="T128" s="640">
        <f>-T127/(T106*1000)</f>
        <v>1.2839873054839987E-3</v>
      </c>
      <c r="X128" s="1043">
        <f>-X127/(X106*1000)</f>
        <v>4.3981533538730412E-3</v>
      </c>
      <c r="Y128" s="1058"/>
      <c r="Z128" s="1058"/>
      <c r="AA128" s="1058"/>
      <c r="AB128" s="1043">
        <f>-AB127/(AB106*1000)</f>
        <v>-8.9404255453344223E-4</v>
      </c>
      <c r="AC128" s="1044">
        <f t="shared" ref="AC128:AF128" si="430">-AC127/(AC106*1000)</f>
        <v>64.424875012649935</v>
      </c>
      <c r="AD128" s="1044">
        <f t="shared" si="430"/>
        <v>-4.3328680077198281E-4</v>
      </c>
      <c r="AE128" s="1044">
        <f t="shared" si="430"/>
        <v>7.6865427852187778E-5</v>
      </c>
      <c r="AF128" s="1043">
        <f t="shared" si="430"/>
        <v>-3.4293806272514549E-4</v>
      </c>
      <c r="AG128" s="663"/>
      <c r="AH128" s="663"/>
      <c r="AI128" s="663"/>
      <c r="AJ128" s="1043">
        <f t="shared" ref="AJ128" si="431">-AJ127/(AJ106*1000)</f>
        <v>3.445342108408744E-4</v>
      </c>
      <c r="AK128" s="663"/>
      <c r="AL128" s="663"/>
      <c r="AM128" s="663"/>
      <c r="AN128" s="1043">
        <f t="shared" ref="AN128" si="432">-AN127/(AN106*1000)</f>
        <v>5.0274155121772426E-4</v>
      </c>
      <c r="AO128" s="663"/>
      <c r="AP128" s="663"/>
      <c r="AQ128" s="663"/>
      <c r="AR128" s="1685">
        <f t="shared" ref="AR128" si="433">-AR127/(AR106*1000)</f>
        <v>5.287953657861005E-4</v>
      </c>
      <c r="AS128" s="663"/>
      <c r="AT128" s="663"/>
      <c r="AU128" s="663"/>
      <c r="AV128" s="663">
        <v>8.0000000000000004E-4</v>
      </c>
      <c r="AW128" s="663"/>
      <c r="AX128" s="663"/>
      <c r="AY128" s="663"/>
      <c r="AZ128" s="663">
        <v>1.5E-3</v>
      </c>
      <c r="BA128" s="663"/>
      <c r="BB128" s="663"/>
      <c r="BC128" s="663"/>
      <c r="BD128" s="663">
        <v>1.5E-3</v>
      </c>
    </row>
    <row r="129" spans="3:56" outlineLevel="1">
      <c r="C129" s="585" t="s">
        <v>839</v>
      </c>
      <c r="D129" s="735">
        <f>-D127/(D104*1000)</f>
        <v>4.3893838834937306E-3</v>
      </c>
      <c r="E129" s="585"/>
      <c r="F129" s="585"/>
      <c r="G129" s="585"/>
      <c r="H129" s="735">
        <f>-H127/(H104*1000)</f>
        <v>7.598034455299398E-3</v>
      </c>
      <c r="I129" s="585"/>
      <c r="J129" s="585"/>
      <c r="K129" s="585"/>
      <c r="L129" s="735">
        <f>-L127/(L104*1000)</f>
        <v>4.8504609758366962E-3</v>
      </c>
      <c r="M129" s="736"/>
      <c r="N129" s="736"/>
      <c r="O129" s="736"/>
      <c r="P129" s="735">
        <f>-P127/(P104*1000)</f>
        <v>2.6193957115009754E-3</v>
      </c>
      <c r="T129" s="735">
        <f>-T127/(T104*1000)</f>
        <v>2.8871610309525453E-3</v>
      </c>
      <c r="X129" s="1045">
        <f>-X127/(X104*1000)</f>
        <v>1.0363988735124006E-2</v>
      </c>
      <c r="Y129" s="1045"/>
      <c r="Z129" s="1045"/>
      <c r="AA129" s="1045"/>
      <c r="AB129" s="1045">
        <f>-AB127/(AB104*1000)</f>
        <v>-2.1672157965951398E-3</v>
      </c>
      <c r="AC129" s="1046">
        <f t="shared" ref="AC129:AF129" si="434">-AC127/(AC104*1000)</f>
        <v>-57.614336015112038</v>
      </c>
      <c r="AD129" s="1046">
        <f t="shared" si="434"/>
        <v>-1.0095875266172062E-3</v>
      </c>
      <c r="AE129" s="1046">
        <f t="shared" si="434"/>
        <v>1.7225273451216042E-4</v>
      </c>
      <c r="AF129" s="1045">
        <f t="shared" si="434"/>
        <v>-7.685122001311772E-4</v>
      </c>
      <c r="AG129" s="735"/>
      <c r="AH129" s="735"/>
      <c r="AI129" s="735"/>
      <c r="AJ129" s="1045">
        <f t="shared" ref="AJ129" si="435">-AJ127/(AJ104*1000)</f>
        <v>7.9905027167709222E-4</v>
      </c>
      <c r="AK129" s="735"/>
      <c r="AL129" s="735"/>
      <c r="AM129" s="735"/>
      <c r="AN129" s="1045">
        <f t="shared" ref="AN129" si="436">-AN127/(AN104*1000)</f>
        <v>1.2568959005380504E-3</v>
      </c>
      <c r="AO129" s="735"/>
      <c r="AP129" s="735"/>
      <c r="AQ129" s="735"/>
      <c r="AR129" s="1686">
        <f t="shared" ref="AR129" si="437">-AR127/(AR104*1000)</f>
        <v>1.3364689339160055E-3</v>
      </c>
      <c r="AS129" s="735"/>
      <c r="AT129" s="735"/>
      <c r="AU129" s="735"/>
      <c r="AV129" s="735">
        <f>-AV127/(AV104*1000)</f>
        <v>2.0370847935944885E-3</v>
      </c>
      <c r="AW129" s="735"/>
      <c r="AX129" s="735"/>
      <c r="AY129" s="735"/>
      <c r="AZ129" s="735">
        <f>-AZ127/(AZ104*1000)</f>
        <v>3.8481426342420913E-3</v>
      </c>
      <c r="BA129" s="735"/>
      <c r="BB129" s="735"/>
      <c r="BC129" s="735"/>
      <c r="BD129" s="735">
        <f>-BD127/(BD104*1000)</f>
        <v>3.9075305900551239E-3</v>
      </c>
    </row>
    <row r="130" spans="3:56" outlineLevel="1">
      <c r="C130" s="444" t="s">
        <v>708</v>
      </c>
      <c r="D130" s="639">
        <f>D$32</f>
        <v>9954</v>
      </c>
      <c r="H130" s="639">
        <f>H$32</f>
        <v>8199</v>
      </c>
      <c r="L130" s="639">
        <f>L$32</f>
        <v>9650</v>
      </c>
      <c r="P130" s="639">
        <f>P$32</f>
        <v>9278</v>
      </c>
      <c r="T130" s="639">
        <f>T$32</f>
        <v>9163</v>
      </c>
      <c r="X130" s="639">
        <f>X$32</f>
        <v>5631</v>
      </c>
      <c r="Y130" s="639"/>
      <c r="Z130" s="639"/>
      <c r="AA130" s="639"/>
      <c r="AB130" s="639">
        <f>AB$32</f>
        <v>8963</v>
      </c>
      <c r="AC130" s="1039">
        <f t="shared" ref="AC130:AF130" si="438">AC$32</f>
        <v>0.59172438288048301</v>
      </c>
      <c r="AD130" s="1039">
        <f t="shared" si="438"/>
        <v>4441</v>
      </c>
      <c r="AE130" s="1039">
        <f t="shared" si="438"/>
        <v>4759</v>
      </c>
      <c r="AF130" s="639">
        <f t="shared" si="438"/>
        <v>9200</v>
      </c>
      <c r="AG130" s="639"/>
      <c r="AH130" s="639"/>
      <c r="AI130" s="639"/>
      <c r="AJ130" s="639">
        <f t="shared" ref="AJ130" si="439">AJ$32</f>
        <v>10521</v>
      </c>
      <c r="AK130" s="639"/>
      <c r="AL130" s="639"/>
      <c r="AM130" s="639"/>
      <c r="AN130" s="639">
        <f t="shared" ref="AN130" si="440">AN$32</f>
        <v>9662</v>
      </c>
      <c r="AO130" s="639"/>
      <c r="AP130" s="639"/>
      <c r="AQ130" s="639"/>
      <c r="AR130" s="1681">
        <f t="shared" ref="AR130" si="441">AR$32</f>
        <v>8578</v>
      </c>
      <c r="AS130" s="639"/>
      <c r="AT130" s="639"/>
      <c r="AU130" s="639"/>
      <c r="AV130" s="639">
        <f>+AV126+AV127</f>
        <v>9944.1958913399394</v>
      </c>
      <c r="AW130" s="639"/>
      <c r="AX130" s="639"/>
      <c r="AY130" s="639"/>
      <c r="AZ130" s="639">
        <f>+AZ126+AZ127</f>
        <v>9602.9935944110021</v>
      </c>
      <c r="BA130" s="639"/>
      <c r="BB130" s="639"/>
      <c r="BC130" s="639"/>
      <c r="BD130" s="639">
        <f>+BD126+BD127</f>
        <v>9856.3773935929876</v>
      </c>
    </row>
    <row r="131" spans="3:56" outlineLevel="1">
      <c r="C131" s="641" t="s">
        <v>545</v>
      </c>
      <c r="D131" s="639">
        <f>D$33</f>
        <v>-2724</v>
      </c>
      <c r="E131" s="641"/>
      <c r="F131" s="641"/>
      <c r="G131" s="641"/>
      <c r="H131" s="639">
        <f>H$33</f>
        <v>-2299</v>
      </c>
      <c r="L131" s="639">
        <f>L$33</f>
        <v>-2826</v>
      </c>
      <c r="P131" s="639">
        <f>P$33</f>
        <v>-2775</v>
      </c>
      <c r="T131" s="639">
        <f>T$33</f>
        <v>-2678</v>
      </c>
      <c r="X131" s="639">
        <f>X$33</f>
        <v>-1872</v>
      </c>
      <c r="Y131" s="639"/>
      <c r="Z131" s="639"/>
      <c r="AA131" s="639"/>
      <c r="AB131" s="639">
        <f>AB$33</f>
        <v>-2764</v>
      </c>
      <c r="AC131" s="1039">
        <f t="shared" ref="AC131:AF131" si="442">AC$33</f>
        <v>0</v>
      </c>
      <c r="AD131" s="1039">
        <f t="shared" si="442"/>
        <v>-1328</v>
      </c>
      <c r="AE131" s="1039">
        <f t="shared" si="442"/>
        <v>-1357</v>
      </c>
      <c r="AF131" s="639">
        <f t="shared" si="442"/>
        <v>-2685</v>
      </c>
      <c r="AG131" s="639"/>
      <c r="AH131" s="639"/>
      <c r="AI131" s="639"/>
      <c r="AJ131" s="639">
        <f t="shared" ref="AJ131" si="443">AJ$33</f>
        <v>-3080</v>
      </c>
      <c r="AK131" s="639"/>
      <c r="AL131" s="639"/>
      <c r="AM131" s="639"/>
      <c r="AN131" s="639">
        <f t="shared" ref="AN131" si="444">AN$33</f>
        <v>-2902</v>
      </c>
      <c r="AO131" s="639"/>
      <c r="AP131" s="639"/>
      <c r="AQ131" s="639"/>
      <c r="AR131" s="1681">
        <f t="shared" ref="AR131" si="445">AR$33</f>
        <v>-2750</v>
      </c>
      <c r="AS131" s="639"/>
      <c r="AT131" s="639"/>
      <c r="AU131" s="639"/>
      <c r="AV131" s="639">
        <f ca="1">+AV130*-AV132</f>
        <v>-2933.5377879452826</v>
      </c>
      <c r="AW131" s="639"/>
      <c r="AX131" s="639"/>
      <c r="AY131" s="639"/>
      <c r="AZ131" s="639">
        <f ca="1">+AZ130*-AZ132</f>
        <v>-2832.8831103512448</v>
      </c>
      <c r="BA131" s="639"/>
      <c r="BB131" s="639"/>
      <c r="BC131" s="639"/>
      <c r="BD131" s="639">
        <f ca="1">+BD130*-BD132</f>
        <v>-2907.6313311099302</v>
      </c>
    </row>
    <row r="132" spans="3:56" outlineLevel="1">
      <c r="C132" s="643" t="s">
        <v>454</v>
      </c>
      <c r="D132" s="644">
        <f>D$34</f>
        <v>0.27365883062085594</v>
      </c>
      <c r="E132" s="643"/>
      <c r="F132" s="643"/>
      <c r="G132" s="643"/>
      <c r="H132" s="644">
        <f>H$34</f>
        <v>0.28040004878643737</v>
      </c>
      <c r="I132" s="585"/>
      <c r="J132" s="585"/>
      <c r="K132" s="585"/>
      <c r="L132" s="644">
        <f>L$34</f>
        <v>0.29284974093264249</v>
      </c>
      <c r="M132" s="585"/>
      <c r="N132" s="585"/>
      <c r="O132" s="585"/>
      <c r="P132" s="644">
        <f>P$34</f>
        <v>0.29909463246389306</v>
      </c>
      <c r="T132" s="644">
        <f>T$34</f>
        <v>0.29226235948925022</v>
      </c>
      <c r="X132" s="1047">
        <f>X$34</f>
        <v>0.33244539158231218</v>
      </c>
      <c r="Y132" s="1047"/>
      <c r="Z132" s="1047"/>
      <c r="AA132" s="1047"/>
      <c r="AB132" s="1047">
        <f>AB$34</f>
        <v>0.30837889099631821</v>
      </c>
      <c r="AC132" s="1048">
        <f t="shared" ref="AC132:AF132" si="446">AC$34</f>
        <v>0</v>
      </c>
      <c r="AD132" s="1048">
        <f t="shared" si="446"/>
        <v>0.29903174960594459</v>
      </c>
      <c r="AE132" s="1048">
        <f t="shared" si="446"/>
        <v>0.28514393780205927</v>
      </c>
      <c r="AF132" s="1047">
        <f t="shared" si="446"/>
        <v>0.29184782608695653</v>
      </c>
      <c r="AG132" s="644"/>
      <c r="AH132" s="644"/>
      <c r="AI132" s="644"/>
      <c r="AJ132" s="1047">
        <f t="shared" ref="AJ132" si="447">AJ$34</f>
        <v>0.29274783765801732</v>
      </c>
      <c r="AK132" s="644"/>
      <c r="AL132" s="644"/>
      <c r="AM132" s="644"/>
      <c r="AN132" s="1047">
        <f t="shared" ref="AN132" si="448">AN$34</f>
        <v>0.30035189401780171</v>
      </c>
      <c r="AO132" s="644"/>
      <c r="AP132" s="644"/>
      <c r="AQ132" s="644"/>
      <c r="AR132" s="1687">
        <f t="shared" ref="AR132" si="449">AR$34</f>
        <v>0.32058754954534857</v>
      </c>
      <c r="AS132" s="644"/>
      <c r="AT132" s="644"/>
      <c r="AU132" s="644"/>
      <c r="AV132" s="644">
        <f ca="1">AV$34</f>
        <v>0.29500000000000004</v>
      </c>
      <c r="AW132" s="644"/>
      <c r="AX132" s="644"/>
      <c r="AY132" s="644"/>
      <c r="AZ132" s="644">
        <f ca="1">AZ$34</f>
        <v>0.29499999999999993</v>
      </c>
      <c r="BA132" s="644"/>
      <c r="BB132" s="644"/>
      <c r="BC132" s="644"/>
      <c r="BD132" s="644">
        <f ca="1">BD$34</f>
        <v>0.29499999999999987</v>
      </c>
    </row>
    <row r="133" spans="3:56" outlineLevel="1">
      <c r="C133" s="444" t="s">
        <v>712</v>
      </c>
      <c r="D133" s="639">
        <f>D$35</f>
        <v>-14</v>
      </c>
      <c r="H133" s="639">
        <f>H$35</f>
        <v>-11</v>
      </c>
      <c r="L133" s="639">
        <f>L$35</f>
        <v>-15</v>
      </c>
      <c r="P133" s="639">
        <f>P$35</f>
        <v>-16</v>
      </c>
      <c r="T133" s="639">
        <f>T$35</f>
        <v>-15</v>
      </c>
      <c r="X133" s="639">
        <f>X$35</f>
        <v>-1</v>
      </c>
      <c r="Y133" s="639"/>
      <c r="Z133" s="639"/>
      <c r="AA133" s="639"/>
      <c r="AB133" s="639">
        <f>AB$35</f>
        <v>-1</v>
      </c>
      <c r="AC133" s="1039">
        <f t="shared" ref="AC133:AF133" si="450">AC$35</f>
        <v>0</v>
      </c>
      <c r="AD133" s="1039">
        <f t="shared" si="450"/>
        <v>0</v>
      </c>
      <c r="AE133" s="1039">
        <f t="shared" si="450"/>
        <v>0</v>
      </c>
      <c r="AF133" s="639">
        <f t="shared" si="450"/>
        <v>0</v>
      </c>
      <c r="AG133" s="639"/>
      <c r="AH133" s="639"/>
      <c r="AI133" s="639"/>
      <c r="AJ133" s="639">
        <f t="shared" ref="AJ133" si="451">AJ$35</f>
        <v>-28</v>
      </c>
      <c r="AK133" s="639"/>
      <c r="AL133" s="639"/>
      <c r="AM133" s="639"/>
      <c r="AN133" s="639">
        <f t="shared" ref="AN133" si="452">AN$35</f>
        <v>-35</v>
      </c>
      <c r="AO133" s="639"/>
      <c r="AP133" s="639"/>
      <c r="AQ133" s="639"/>
      <c r="AR133" s="1681">
        <f t="shared" ref="AR133" si="453">AR$35</f>
        <v>-41</v>
      </c>
      <c r="AS133" s="639"/>
      <c r="AT133" s="639"/>
      <c r="AU133" s="639"/>
      <c r="AV133" s="639">
        <f>AV$35</f>
        <v>-40</v>
      </c>
      <c r="AW133" s="639"/>
      <c r="AX133" s="639"/>
      <c r="AY133" s="639"/>
      <c r="AZ133" s="639">
        <f>AZ$35</f>
        <v>-40</v>
      </c>
      <c r="BA133" s="639"/>
      <c r="BB133" s="639"/>
      <c r="BC133" s="639"/>
      <c r="BD133" s="639">
        <f>BD$35</f>
        <v>-40</v>
      </c>
    </row>
    <row r="134" spans="3:56" s="565" customFormat="1" outlineLevel="1">
      <c r="C134" s="584" t="s">
        <v>1055</v>
      </c>
      <c r="D134" s="648"/>
      <c r="E134" s="584"/>
      <c r="F134" s="584"/>
      <c r="G134" s="584"/>
      <c r="H134" s="648"/>
      <c r="I134" s="584"/>
      <c r="J134" s="584"/>
      <c r="K134" s="584"/>
      <c r="L134" s="648">
        <f>(L117+L120+L127)*(1-L132)+L133</f>
        <v>6852.8433160621762</v>
      </c>
      <c r="M134" s="648">
        <f t="shared" ref="M134" si="454">(M117+M120+M127)*(1-M132)+M133</f>
        <v>0</v>
      </c>
      <c r="N134" s="648">
        <f t="shared" ref="N134" si="455">(N117+N120+N127)*(1-N132)+N133</f>
        <v>-4690</v>
      </c>
      <c r="O134" s="648">
        <f t="shared" ref="O134" si="456">(O117+O120+O127)*(1-O132)+O133</f>
        <v>-4260</v>
      </c>
      <c r="P134" s="648">
        <f t="shared" ref="P134" si="457">(P117+P120+P127)*(1-P132)+P133</f>
        <v>6803.1083207587853</v>
      </c>
      <c r="Q134" s="648">
        <f t="shared" ref="Q134" si="458">(Q117+Q120+Q127)*(1-Q132)+Q133</f>
        <v>-3.8405390230207725E-2</v>
      </c>
      <c r="R134" s="648">
        <f t="shared" ref="R134" si="459">(R117+R120+R127)*(1-R132)+R133</f>
        <v>-4478</v>
      </c>
      <c r="S134" s="648">
        <f t="shared" ref="S134" si="460">(S117+S120+S127)*(1-S132)+S133</f>
        <v>-4227</v>
      </c>
      <c r="T134" s="648">
        <f t="shared" ref="T134" si="461">(T117+T120+T127)*(1-T132)+T133</f>
        <v>6729.0319764269352</v>
      </c>
      <c r="U134" s="648">
        <f t="shared" ref="U134" si="462">(U117+U120+U127)*(1-U132)+U133</f>
        <v>0</v>
      </c>
      <c r="V134" s="648">
        <f t="shared" ref="V134" si="463">(V117+V120+V127)*(1-V132)+V133</f>
        <v>797</v>
      </c>
      <c r="W134" s="648">
        <f t="shared" ref="W134" si="464">(W117+W120+W127)*(1-W132)+W133</f>
        <v>162</v>
      </c>
      <c r="X134" s="648">
        <f t="shared" ref="X134" si="465">(X117+X120+X127)*(1-X132)+X133</f>
        <v>4888.1699520511456</v>
      </c>
      <c r="Y134" s="648">
        <f t="shared" ref="Y134" si="466">(Y117+Y120+Y127)*(1-Y132)+Y133</f>
        <v>0</v>
      </c>
      <c r="Z134" s="648">
        <f t="shared" ref="Z134" si="467">(Z117+Z120+Z127)*(1-Z132)+Z133</f>
        <v>659</v>
      </c>
      <c r="AA134" s="648">
        <f t="shared" ref="AA134:AB134" si="468">(AA117+AA120+AA127)*(1-AA132)+AA133</f>
        <v>68</v>
      </c>
      <c r="AB134" s="648">
        <f t="shared" si="468"/>
        <v>6964.3161887760789</v>
      </c>
      <c r="AC134" s="1051">
        <f t="shared" ref="AC134:AF134" si="469">(AC117+AC120+AC127)*(1-AC132)+AC133</f>
        <v>-0.91029099853170203</v>
      </c>
      <c r="AD134" s="1051">
        <f t="shared" si="469"/>
        <v>3097.5786984913307</v>
      </c>
      <c r="AE134" s="1051">
        <f t="shared" si="469"/>
        <v>3504.9392729565034</v>
      </c>
      <c r="AF134" s="648">
        <f t="shared" si="469"/>
        <v>6601.3945652173907</v>
      </c>
      <c r="AG134" s="648">
        <f t="shared" ref="AG134" si="470">(AG117+AG120+AG127)*(1-AG132)+AG133</f>
        <v>0</v>
      </c>
      <c r="AH134" s="648">
        <f t="shared" ref="AH134" si="471">(AH117+AH120+AH127)*(1-AH132)+AH133</f>
        <v>60</v>
      </c>
      <c r="AI134" s="648">
        <f t="shared" ref="AI134:AL134" si="472">(AI117+AI120+AI127)*(1-AI132)+AI133</f>
        <v>-35</v>
      </c>
      <c r="AJ134" s="648">
        <f t="shared" si="472"/>
        <v>7728.434464404525</v>
      </c>
      <c r="AK134" s="648">
        <f t="shared" si="472"/>
        <v>0</v>
      </c>
      <c r="AL134" s="648">
        <f t="shared" si="472"/>
        <v>21</v>
      </c>
      <c r="AM134" s="648">
        <f t="shared" ref="AM134:AN134" si="473">(AM117+AM120+AM127)*(1-AM132)+AM133</f>
        <v>0</v>
      </c>
      <c r="AN134" s="648">
        <f t="shared" si="473"/>
        <v>6838.3429931691162</v>
      </c>
      <c r="AO134" s="648"/>
      <c r="AP134" s="648"/>
      <c r="AQ134" s="648"/>
      <c r="AR134" s="1689">
        <f t="shared" ref="AR134" si="474">(AR117+AR120+AR127)*(1-AR132)+AR133</f>
        <v>6681.1067847983222</v>
      </c>
      <c r="AS134" s="648"/>
      <c r="AT134" s="648"/>
      <c r="AU134" s="648"/>
      <c r="AV134" s="648">
        <f ca="1">(AV117+AV120+AV127)*(1-AV132)+AV133</f>
        <v>6970.6581033946568</v>
      </c>
      <c r="AW134" s="648"/>
      <c r="AX134" s="648"/>
      <c r="AY134" s="648"/>
      <c r="AZ134" s="648">
        <f ca="1">(AZ117+AZ120+AZ127)*(1-AZ132)+AZ133</f>
        <v>6730.1104840597573</v>
      </c>
      <c r="BA134" s="648"/>
      <c r="BB134" s="648"/>
      <c r="BC134" s="648"/>
      <c r="BD134" s="648">
        <f ca="1">(BD117+BD120+BD127)*(1-BD132)+BD133</f>
        <v>6908.7460624830574</v>
      </c>
    </row>
    <row r="135" spans="3:56" outlineLevel="1">
      <c r="C135" s="584" t="s">
        <v>136</v>
      </c>
      <c r="D135" s="648">
        <f>D$36</f>
        <v>7216</v>
      </c>
      <c r="E135" s="584"/>
      <c r="F135" s="584"/>
      <c r="G135" s="584"/>
      <c r="H135" s="648">
        <f>H$36</f>
        <v>5889</v>
      </c>
      <c r="I135" s="584"/>
      <c r="J135" s="584"/>
      <c r="K135" s="584"/>
      <c r="L135" s="648">
        <f>L$36</f>
        <v>6809</v>
      </c>
      <c r="M135" s="584"/>
      <c r="N135" s="584"/>
      <c r="O135" s="584"/>
      <c r="P135" s="648">
        <f>P$36</f>
        <v>6487</v>
      </c>
      <c r="T135" s="648">
        <f>T$36</f>
        <v>6470</v>
      </c>
      <c r="X135" s="648">
        <f>X$36</f>
        <v>3758</v>
      </c>
      <c r="Y135" s="648"/>
      <c r="Z135" s="648"/>
      <c r="AA135" s="648"/>
      <c r="AB135" s="648">
        <f>AB$36</f>
        <v>6198</v>
      </c>
      <c r="AC135" s="1051">
        <f t="shared" ref="AC135:AF135" si="475">AC$36</f>
        <v>0.64928153273017553</v>
      </c>
      <c r="AD135" s="1051">
        <f t="shared" si="475"/>
        <v>3113</v>
      </c>
      <c r="AE135" s="1051">
        <f t="shared" si="475"/>
        <v>3402</v>
      </c>
      <c r="AF135" s="648">
        <f t="shared" si="475"/>
        <v>6515</v>
      </c>
      <c r="AG135" s="648"/>
      <c r="AH135" s="648"/>
      <c r="AI135" s="648"/>
      <c r="AJ135" s="648">
        <f t="shared" ref="AJ135" si="476">AJ$36</f>
        <v>7413</v>
      </c>
      <c r="AK135" s="648"/>
      <c r="AL135" s="648"/>
      <c r="AM135" s="648"/>
      <c r="AN135" s="648">
        <f t="shared" ref="AN135" si="477">AN$36</f>
        <v>6725</v>
      </c>
      <c r="AO135" s="648"/>
      <c r="AP135" s="648"/>
      <c r="AQ135" s="648"/>
      <c r="AR135" s="1689">
        <f t="shared" ref="AR135" si="478">AR$36</f>
        <v>5787</v>
      </c>
      <c r="AS135" s="648"/>
      <c r="AT135" s="648"/>
      <c r="AU135" s="648"/>
      <c r="AV135" s="648">
        <f ca="1">+AV130+AV131+AV133</f>
        <v>6970.6581033946568</v>
      </c>
      <c r="AW135" s="648"/>
      <c r="AX135" s="648"/>
      <c r="AY135" s="648"/>
      <c r="AZ135" s="648">
        <f ca="1">+AZ130+AZ131+AZ133</f>
        <v>6730.1104840597573</v>
      </c>
      <c r="BA135" s="648"/>
      <c r="BB135" s="648"/>
      <c r="BC135" s="648"/>
      <c r="BD135" s="648">
        <f ca="1">+BD130+BD131+BD133</f>
        <v>6908.7460624830574</v>
      </c>
    </row>
    <row r="136" spans="3:56" outlineLevel="1">
      <c r="C136" s="645" t="s">
        <v>554</v>
      </c>
      <c r="D136" s="664">
        <f>D$38</f>
        <v>1.391035548686248E-2</v>
      </c>
      <c r="E136" s="645"/>
      <c r="F136" s="645"/>
      <c r="G136" s="645"/>
      <c r="H136" s="664">
        <f>H$38</f>
        <v>-0.18389689578713964</v>
      </c>
      <c r="I136" s="645"/>
      <c r="J136" s="645"/>
      <c r="K136" s="645"/>
      <c r="L136" s="664">
        <f>L$38</f>
        <v>0.15622346748174554</v>
      </c>
      <c r="M136" s="645"/>
      <c r="N136" s="645"/>
      <c r="O136" s="645"/>
      <c r="P136" s="664">
        <f>P$38</f>
        <v>-4.7290351006021414E-2</v>
      </c>
      <c r="T136" s="664">
        <f>T$38</f>
        <v>-2.6206258671188642E-3</v>
      </c>
      <c r="X136" s="684">
        <f>X$38</f>
        <v>-0.41916537867078829</v>
      </c>
      <c r="Y136" s="684"/>
      <c r="Z136" s="684"/>
      <c r="AA136" s="684"/>
      <c r="AB136" s="684">
        <f>AB$38</f>
        <v>0.64928153273017553</v>
      </c>
      <c r="AC136" s="1059">
        <f t="shared" ref="AC136:AF136" si="479">AC$38</f>
        <v>3113</v>
      </c>
      <c r="AD136" s="1059">
        <f t="shared" si="479"/>
        <v>3402</v>
      </c>
      <c r="AE136" s="1059">
        <f t="shared" si="479"/>
        <v>6515</v>
      </c>
      <c r="AF136" s="684">
        <f t="shared" si="479"/>
        <v>5.1145530816392393E-2</v>
      </c>
      <c r="AG136" s="664"/>
      <c r="AH136" s="664"/>
      <c r="AI136" s="664"/>
      <c r="AJ136" s="684">
        <f t="shared" ref="AJ136" si="480">AJ$38</f>
        <v>0.1378357636224099</v>
      </c>
      <c r="AK136" s="664"/>
      <c r="AL136" s="664"/>
      <c r="AM136" s="664"/>
      <c r="AN136" s="684">
        <f t="shared" ref="AN136" si="481">AN$38</f>
        <v>-9.2809928503979511E-2</v>
      </c>
      <c r="AO136" s="664"/>
      <c r="AP136" s="664"/>
      <c r="AQ136" s="664"/>
      <c r="AR136" s="1696">
        <f t="shared" ref="AR136" si="482">AR$38</f>
        <v>-0.13947955390334577</v>
      </c>
      <c r="AS136" s="664"/>
      <c r="AT136" s="664"/>
      <c r="AU136" s="664"/>
      <c r="AV136" s="664">
        <f ca="1">+AV135/AR135-1</f>
        <v>0.20453742930614416</v>
      </c>
      <c r="AW136" s="664"/>
      <c r="AX136" s="664"/>
      <c r="AY136" s="664"/>
      <c r="AZ136" s="664">
        <f ca="1">+AZ135/AV135-1</f>
        <v>-3.4508595281377286E-2</v>
      </c>
      <c r="BA136" s="664"/>
      <c r="BB136" s="664"/>
      <c r="BC136" s="664"/>
      <c r="BD136" s="664">
        <f ca="1">+BD135/AZ135-1</f>
        <v>2.654274084302144E-2</v>
      </c>
    </row>
    <row r="137" spans="3:56" outlineLevel="1">
      <c r="C137" s="444" t="s">
        <v>350</v>
      </c>
      <c r="D137" s="639">
        <f>D$39</f>
        <v>-1</v>
      </c>
      <c r="H137" s="639">
        <f>H$39</f>
        <v>0</v>
      </c>
      <c r="L137" s="639">
        <f>L$39</f>
        <v>0</v>
      </c>
      <c r="P137" s="639">
        <f>P$39</f>
        <v>0</v>
      </c>
      <c r="T137" s="639">
        <f>T$39</f>
        <v>0</v>
      </c>
      <c r="X137" s="639">
        <f>X$39</f>
        <v>0</v>
      </c>
      <c r="Y137" s="639"/>
      <c r="Z137" s="639"/>
      <c r="AA137" s="639"/>
      <c r="AB137" s="639">
        <f>AB$39</f>
        <v>0</v>
      </c>
      <c r="AC137" s="1039">
        <f t="shared" ref="AC137:AF137" si="483">AC$39</f>
        <v>0</v>
      </c>
      <c r="AD137" s="1039">
        <f t="shared" si="483"/>
        <v>0</v>
      </c>
      <c r="AE137" s="1039">
        <f t="shared" si="483"/>
        <v>0</v>
      </c>
      <c r="AF137" s="639">
        <f t="shared" si="483"/>
        <v>0</v>
      </c>
      <c r="AG137" s="639"/>
      <c r="AH137" s="639"/>
      <c r="AI137" s="639"/>
      <c r="AJ137" s="639">
        <f t="shared" ref="AJ137" si="484">AJ$39</f>
        <v>0</v>
      </c>
      <c r="AK137" s="639"/>
      <c r="AL137" s="639"/>
      <c r="AM137" s="639"/>
      <c r="AN137" s="639">
        <f t="shared" ref="AN137" si="485">AN$39</f>
        <v>0</v>
      </c>
      <c r="AO137" s="639"/>
      <c r="AP137" s="639"/>
      <c r="AQ137" s="639"/>
      <c r="AR137" s="1681">
        <f t="shared" ref="AR137" si="486">AR$39</f>
        <v>0</v>
      </c>
      <c r="AS137" s="639"/>
      <c r="AT137" s="639"/>
      <c r="AU137" s="639"/>
      <c r="AV137" s="639">
        <f>AV$39</f>
        <v>0</v>
      </c>
      <c r="AW137" s="639"/>
      <c r="AX137" s="639"/>
      <c r="AY137" s="639"/>
      <c r="AZ137" s="639">
        <f>AZ$39</f>
        <v>0</v>
      </c>
      <c r="BA137" s="639"/>
      <c r="BB137" s="639"/>
      <c r="BC137" s="639"/>
      <c r="BD137" s="639">
        <f>BD$39</f>
        <v>0</v>
      </c>
    </row>
    <row r="138" spans="3:56" outlineLevel="1">
      <c r="C138" s="584" t="s">
        <v>1</v>
      </c>
      <c r="D138" s="648">
        <f>D$40</f>
        <v>7215</v>
      </c>
      <c r="E138" s="584"/>
      <c r="F138" s="584"/>
      <c r="G138" s="584"/>
      <c r="H138" s="648">
        <f>H$40</f>
        <v>5889</v>
      </c>
      <c r="I138" s="584"/>
      <c r="J138" s="584"/>
      <c r="K138" s="584"/>
      <c r="L138" s="648">
        <f>L$40</f>
        <v>6809</v>
      </c>
      <c r="M138" s="584"/>
      <c r="N138" s="584"/>
      <c r="O138" s="584"/>
      <c r="P138" s="648">
        <f>P$40</f>
        <v>6487</v>
      </c>
      <c r="T138" s="648">
        <f>T$40</f>
        <v>6470</v>
      </c>
      <c r="X138" s="648">
        <f>X$40</f>
        <v>3758</v>
      </c>
      <c r="Y138" s="648"/>
      <c r="Z138" s="648"/>
      <c r="AA138" s="648"/>
      <c r="AB138" s="648">
        <f>AB$40</f>
        <v>6198</v>
      </c>
      <c r="AC138" s="1051">
        <f t="shared" ref="AC138:AF138" si="487">AC$40</f>
        <v>0.64928153273017553</v>
      </c>
      <c r="AD138" s="1051">
        <f t="shared" si="487"/>
        <v>3113</v>
      </c>
      <c r="AE138" s="1051">
        <f t="shared" si="487"/>
        <v>3402</v>
      </c>
      <c r="AF138" s="648">
        <f t="shared" si="487"/>
        <v>6515</v>
      </c>
      <c r="AG138" s="648">
        <f t="shared" ref="AG138:AI138" si="488">AG134</f>
        <v>0</v>
      </c>
      <c r="AH138" s="648">
        <f t="shared" si="488"/>
        <v>60</v>
      </c>
      <c r="AI138" s="648">
        <f t="shared" si="488"/>
        <v>-35</v>
      </c>
      <c r="AJ138" s="648">
        <f t="shared" ref="AJ138" si="489">AJ$40</f>
        <v>7413</v>
      </c>
      <c r="AK138" s="648">
        <f t="shared" ref="AK138:AM138" si="490">AK134</f>
        <v>0</v>
      </c>
      <c r="AL138" s="648">
        <f t="shared" si="490"/>
        <v>21</v>
      </c>
      <c r="AM138" s="648">
        <f t="shared" si="490"/>
        <v>0</v>
      </c>
      <c r="AN138" s="648">
        <f t="shared" ref="AN138" si="491">AN$40</f>
        <v>6725</v>
      </c>
      <c r="AO138" s="648"/>
      <c r="AP138" s="648"/>
      <c r="AQ138" s="648"/>
      <c r="AR138" s="1689">
        <f t="shared" ref="AR138" si="492">AR$40</f>
        <v>5787</v>
      </c>
      <c r="AS138" s="648">
        <f t="shared" ref="AS138:AZ138" si="493">AS135</f>
        <v>0</v>
      </c>
      <c r="AT138" s="648">
        <f t="shared" si="493"/>
        <v>0</v>
      </c>
      <c r="AU138" s="648">
        <f t="shared" si="493"/>
        <v>0</v>
      </c>
      <c r="AV138" s="648">
        <f t="shared" ca="1" si="493"/>
        <v>6970.6581033946568</v>
      </c>
      <c r="AW138" s="648">
        <f t="shared" si="493"/>
        <v>0</v>
      </c>
      <c r="AX138" s="648">
        <f t="shared" si="493"/>
        <v>0</v>
      </c>
      <c r="AY138" s="648">
        <f t="shared" si="493"/>
        <v>0</v>
      </c>
      <c r="AZ138" s="648">
        <f t="shared" ca="1" si="493"/>
        <v>6730.1104840597573</v>
      </c>
      <c r="BA138" s="648">
        <f t="shared" ref="BA138:BD138" si="494">BA135</f>
        <v>0</v>
      </c>
      <c r="BB138" s="648">
        <f t="shared" si="494"/>
        <v>0</v>
      </c>
      <c r="BC138" s="648">
        <f t="shared" si="494"/>
        <v>0</v>
      </c>
      <c r="BD138" s="648">
        <f t="shared" ca="1" si="494"/>
        <v>6908.7460624830574</v>
      </c>
    </row>
    <row r="139" spans="3:56" outlineLevel="1">
      <c r="C139" s="662" t="s">
        <v>835</v>
      </c>
      <c r="D139" s="665">
        <f>D$41</f>
        <v>2771.4</v>
      </c>
      <c r="E139" s="666"/>
      <c r="F139" s="666"/>
      <c r="G139" s="666"/>
      <c r="H139" s="665">
        <f>H$41</f>
        <v>2906.2</v>
      </c>
      <c r="I139" s="666"/>
      <c r="J139" s="666"/>
      <c r="K139" s="666"/>
      <c r="L139" s="665">
        <f>L$41</f>
        <v>2926.4</v>
      </c>
      <c r="M139" s="668"/>
      <c r="N139" s="668"/>
      <c r="O139" s="668"/>
      <c r="P139" s="665">
        <f>P$41</f>
        <v>2903.3</v>
      </c>
      <c r="T139" s="665">
        <f>T$41</f>
        <v>2843.1</v>
      </c>
      <c r="U139" s="667">
        <f t="shared" ref="U139:W140" si="495">U41</f>
        <v>0</v>
      </c>
      <c r="V139" s="667">
        <f t="shared" si="495"/>
        <v>0</v>
      </c>
      <c r="W139" s="667">
        <f t="shared" si="495"/>
        <v>0</v>
      </c>
      <c r="X139" s="665">
        <f>X$41</f>
        <v>2830.9</v>
      </c>
      <c r="Y139" s="667">
        <f t="shared" ref="Y139:AA140" si="496">Y41</f>
        <v>0</v>
      </c>
      <c r="Z139" s="667">
        <f t="shared" si="496"/>
        <v>0</v>
      </c>
      <c r="AA139" s="667">
        <f t="shared" si="496"/>
        <v>0</v>
      </c>
      <c r="AB139" s="665">
        <f>AB$41</f>
        <v>2838.6</v>
      </c>
      <c r="AC139" s="1060">
        <f t="shared" ref="AC139:AF139" si="497">AC$41</f>
        <v>0</v>
      </c>
      <c r="AD139" s="1060">
        <f t="shared" si="497"/>
        <v>2808.7</v>
      </c>
      <c r="AE139" s="1060">
        <f t="shared" si="497"/>
        <v>2862.5</v>
      </c>
      <c r="AF139" s="665">
        <f t="shared" si="497"/>
        <v>2847.5</v>
      </c>
      <c r="AG139" s="667">
        <f t="shared" ref="AG139:AI139" si="498">AG41</f>
        <v>0</v>
      </c>
      <c r="AH139" s="667">
        <f t="shared" si="498"/>
        <v>0</v>
      </c>
      <c r="AI139" s="667">
        <f t="shared" si="498"/>
        <v>0</v>
      </c>
      <c r="AJ139" s="665">
        <f t="shared" ref="AJ139" si="499">AJ$41</f>
        <v>2997.2</v>
      </c>
      <c r="AK139" s="667">
        <f t="shared" ref="AK139:AM139" si="500">AK41</f>
        <v>0</v>
      </c>
      <c r="AL139" s="667">
        <f t="shared" si="500"/>
        <v>0</v>
      </c>
      <c r="AM139" s="667">
        <f t="shared" si="500"/>
        <v>0</v>
      </c>
      <c r="AN139" s="665">
        <f t="shared" ref="AN139" si="501">AN$41</f>
        <v>2998.4</v>
      </c>
      <c r="AO139" s="667"/>
      <c r="AP139" s="667"/>
      <c r="AQ139" s="667"/>
      <c r="AR139" s="1697">
        <f t="shared" ref="AR139" si="502">AR$41</f>
        <v>2972.6</v>
      </c>
      <c r="AS139" s="667"/>
      <c r="AT139" s="667"/>
      <c r="AU139" s="667"/>
      <c r="AV139" s="667">
        <f t="shared" ref="AV139" ca="1" si="503">AV41</f>
        <v>2994.9587242710249</v>
      </c>
      <c r="AW139" s="667"/>
      <c r="AX139" s="667"/>
      <c r="AY139" s="667"/>
      <c r="AZ139" s="667">
        <f t="shared" ref="AZ139" ca="1" si="504">AZ41</f>
        <v>2998.284514162041</v>
      </c>
      <c r="BA139" s="667"/>
      <c r="BB139" s="667"/>
      <c r="BC139" s="667"/>
      <c r="BD139" s="667">
        <f t="shared" ref="BD139" ca="1" si="505">BD41</f>
        <v>2979.5513073404563</v>
      </c>
    </row>
    <row r="140" spans="3:56" outlineLevel="1">
      <c r="C140" s="584" t="s">
        <v>1111</v>
      </c>
      <c r="D140" s="650">
        <f>D$43</f>
        <v>260.33773544057158</v>
      </c>
      <c r="E140" s="584"/>
      <c r="F140" s="584"/>
      <c r="G140" s="584"/>
      <c r="H140" s="650">
        <f>H$43</f>
        <v>202.6357442708692</v>
      </c>
      <c r="I140" s="584"/>
      <c r="J140" s="584"/>
      <c r="K140" s="584"/>
      <c r="L140" s="650">
        <f t="shared" ref="L140:T140" si="506">L42</f>
        <v>0</v>
      </c>
      <c r="M140" s="650" t="e">
        <f t="shared" si="506"/>
        <v>#DIV/0!</v>
      </c>
      <c r="N140" s="650" t="e">
        <f t="shared" si="506"/>
        <v>#DIV/0!</v>
      </c>
      <c r="O140" s="650" t="e">
        <f t="shared" si="506"/>
        <v>#DIV/0!</v>
      </c>
      <c r="P140" s="650">
        <f t="shared" si="506"/>
        <v>236.55839906313503</v>
      </c>
      <c r="Q140" s="650" t="e">
        <f t="shared" si="506"/>
        <v>#DIV/0!</v>
      </c>
      <c r="R140" s="650" t="e">
        <f t="shared" si="506"/>
        <v>#DIV/0!</v>
      </c>
      <c r="S140" s="650" t="e">
        <f t="shared" si="506"/>
        <v>#DIV/0!</v>
      </c>
      <c r="T140" s="650">
        <f t="shared" si="506"/>
        <v>238.19070732650979</v>
      </c>
      <c r="U140" s="650" t="e">
        <f t="shared" si="495"/>
        <v>#DIV/0!</v>
      </c>
      <c r="V140" s="650" t="e">
        <f t="shared" si="495"/>
        <v>#DIV/0!</v>
      </c>
      <c r="W140" s="650" t="e">
        <f t="shared" si="495"/>
        <v>#DIV/0!</v>
      </c>
      <c r="X140" s="650">
        <f>X42</f>
        <v>185.77130947755128</v>
      </c>
      <c r="Y140" s="650" t="e">
        <f t="shared" si="496"/>
        <v>#DIV/0!</v>
      </c>
      <c r="Z140" s="650" t="e">
        <f t="shared" si="496"/>
        <v>#DIV/0!</v>
      </c>
      <c r="AA140" s="650" t="e">
        <f t="shared" si="496"/>
        <v>#DIV/0!</v>
      </c>
      <c r="AB140" s="650">
        <f>AB42</f>
        <v>251.67336010709508</v>
      </c>
      <c r="AC140" s="650" t="e">
        <f t="shared" ref="AC140:AF140" si="507">AC42</f>
        <v>#DIV/0!</v>
      </c>
      <c r="AD140" s="650">
        <f t="shared" si="507"/>
        <v>112.29394381742443</v>
      </c>
      <c r="AE140" s="650">
        <f t="shared" si="507"/>
        <v>122.7947598253275</v>
      </c>
      <c r="AF140" s="650">
        <f t="shared" si="507"/>
        <v>234.20544337137841</v>
      </c>
      <c r="AG140" s="650"/>
      <c r="AH140" s="650"/>
      <c r="AI140" s="650"/>
      <c r="AJ140" s="650">
        <f t="shared" ref="AJ140" si="508">AJ42</f>
        <v>257.57373548645404</v>
      </c>
      <c r="AK140" s="650"/>
      <c r="AL140" s="650"/>
      <c r="AM140" s="650"/>
      <c r="AN140" s="650">
        <f t="shared" ref="AN140" si="509">AN42</f>
        <v>229.68916755602987</v>
      </c>
      <c r="AO140" s="650"/>
      <c r="AP140" s="650"/>
      <c r="AQ140" s="650"/>
      <c r="AR140" s="1690">
        <f t="shared" ref="AR140" si="510">AR42</f>
        <v>231.98546726771178</v>
      </c>
      <c r="AS140" s="650"/>
      <c r="AT140" s="650"/>
      <c r="AU140" s="650"/>
      <c r="AV140" s="650">
        <f ca="1">+AV138/AV139*100</f>
        <v>232.74638301038087</v>
      </c>
      <c r="AW140" s="650"/>
      <c r="AX140" s="650"/>
      <c r="AY140" s="650"/>
      <c r="AZ140" s="650">
        <f ca="1">+AZ138/AZ139*100</f>
        <v>224.46537185750316</v>
      </c>
      <c r="BA140" s="650"/>
      <c r="BB140" s="650"/>
      <c r="BC140" s="650"/>
      <c r="BD140" s="650">
        <f ca="1">+BD138/BD139*100</f>
        <v>231.87202869984458</v>
      </c>
    </row>
    <row r="141" spans="3:56" outlineLevel="1">
      <c r="C141" s="584" t="s">
        <v>909</v>
      </c>
      <c r="D141" s="650"/>
      <c r="E141" s="584"/>
      <c r="F141" s="584"/>
      <c r="G141" s="584"/>
      <c r="H141" s="650"/>
      <c r="I141" s="584"/>
      <c r="J141" s="584"/>
      <c r="K141" s="584"/>
      <c r="L141" s="650">
        <f>L$43</f>
        <v>232.67495899398577</v>
      </c>
      <c r="M141" s="584"/>
      <c r="N141" s="584"/>
      <c r="O141" s="584"/>
      <c r="P141" s="650">
        <f>P$43</f>
        <v>223.43540109530534</v>
      </c>
      <c r="T141" s="650">
        <f>T$43</f>
        <v>227.56849917343746</v>
      </c>
      <c r="X141" s="650">
        <f>X$43</f>
        <v>132.74930234201136</v>
      </c>
      <c r="Y141" s="650"/>
      <c r="Z141" s="650"/>
      <c r="AA141" s="650"/>
      <c r="AB141" s="650">
        <f>AB$43</f>
        <v>218.34707250052844</v>
      </c>
      <c r="AC141" s="1052" t="e">
        <f t="shared" ref="AC141:AF141" si="511">AC$43</f>
        <v>#DIV/0!</v>
      </c>
      <c r="AD141" s="1052">
        <f t="shared" si="511"/>
        <v>110.83419375511802</v>
      </c>
      <c r="AE141" s="1052">
        <f t="shared" si="511"/>
        <v>118.8471615720524</v>
      </c>
      <c r="AF141" s="650">
        <f t="shared" si="511"/>
        <v>228.79719051799822</v>
      </c>
      <c r="AG141" s="650" t="e">
        <f t="shared" ref="AG141:AI141" si="512">+AG135/AG139*100</f>
        <v>#DIV/0!</v>
      </c>
      <c r="AH141" s="650" t="e">
        <f t="shared" si="512"/>
        <v>#DIV/0!</v>
      </c>
      <c r="AI141" s="650" t="e">
        <f t="shared" si="512"/>
        <v>#DIV/0!</v>
      </c>
      <c r="AJ141" s="650">
        <f t="shared" ref="AJ141" si="513">AJ$43</f>
        <v>247.33084211931134</v>
      </c>
      <c r="AK141" s="650" t="e">
        <f t="shared" ref="AK141:AM141" si="514">+AK135/AK139*100</f>
        <v>#DIV/0!</v>
      </c>
      <c r="AL141" s="650" t="e">
        <f t="shared" si="514"/>
        <v>#DIV/0!</v>
      </c>
      <c r="AM141" s="650" t="e">
        <f t="shared" si="514"/>
        <v>#DIV/0!</v>
      </c>
      <c r="AN141" s="650">
        <f t="shared" ref="AN141" si="515">AN$43</f>
        <v>224.28628601921025</v>
      </c>
      <c r="AO141" s="650"/>
      <c r="AP141" s="650"/>
      <c r="AQ141" s="650"/>
      <c r="AR141" s="1690">
        <f t="shared" ref="AR141" si="516">AR$43</f>
        <v>194.67805961111486</v>
      </c>
      <c r="AS141" s="650"/>
      <c r="AT141" s="650"/>
      <c r="AU141" s="650"/>
      <c r="AV141" s="650">
        <f ca="1">+AV135/AV139*100</f>
        <v>232.74638301038087</v>
      </c>
      <c r="AW141" s="650"/>
      <c r="AX141" s="650"/>
      <c r="AY141" s="650"/>
      <c r="AZ141" s="650">
        <f ca="1">+AZ135/AZ139*100</f>
        <v>224.46537185750316</v>
      </c>
      <c r="BA141" s="650"/>
      <c r="BB141" s="650"/>
      <c r="BC141" s="650"/>
      <c r="BD141" s="650">
        <f ca="1">+BD135/BD139*100</f>
        <v>231.87202869984458</v>
      </c>
    </row>
    <row r="142" spans="3:56" outlineLevel="1">
      <c r="C142" s="651" t="s">
        <v>554</v>
      </c>
      <c r="D142" s="652">
        <f>D$44</f>
        <v>0</v>
      </c>
      <c r="E142" s="651"/>
      <c r="F142" s="651"/>
      <c r="G142" s="651"/>
      <c r="H142" s="652">
        <f>H$44</f>
        <v>-0.22164282512503553</v>
      </c>
      <c r="I142" s="651"/>
      <c r="J142" s="651"/>
      <c r="K142" s="651"/>
      <c r="L142" s="652">
        <f>L$44</f>
        <v>0.14824242796454645</v>
      </c>
      <c r="M142" s="651"/>
      <c r="N142" s="651"/>
      <c r="O142" s="651"/>
      <c r="P142" s="652">
        <f>P$44</f>
        <v>-3.9710151615065969E-2</v>
      </c>
      <c r="T142" s="652">
        <f>T$44</f>
        <v>1.8497955372654529E-2</v>
      </c>
      <c r="X142" s="1053">
        <f>X$44</f>
        <v>-0.41666222335614767</v>
      </c>
      <c r="Y142" s="684"/>
      <c r="Z142" s="684"/>
      <c r="AA142" s="684"/>
      <c r="AB142" s="1053">
        <f>AB$44</f>
        <v>0.64480768371938812</v>
      </c>
      <c r="AC142" s="1054" t="e">
        <f t="shared" ref="AC142:AF142" si="517">AC$44</f>
        <v>#DIV/0!</v>
      </c>
      <c r="AD142" s="1054" t="e">
        <f t="shared" si="517"/>
        <v>#DIV/0!</v>
      </c>
      <c r="AE142" s="1054" t="e">
        <f t="shared" si="517"/>
        <v>#DIV/0!</v>
      </c>
      <c r="AF142" s="1215">
        <f t="shared" si="517"/>
        <v>4.7860124240706181E-2</v>
      </c>
      <c r="AG142" s="684"/>
      <c r="AH142" s="684"/>
      <c r="AI142" s="684"/>
      <c r="AJ142" s="1053">
        <f t="shared" ref="AJ142" si="518">AJ$44</f>
        <v>8.1004716707197444E-2</v>
      </c>
      <c r="AK142" s="684"/>
      <c r="AL142" s="684"/>
      <c r="AM142" s="684"/>
      <c r="AN142" s="1670">
        <f t="shared" ref="AN142" si="519">AN$44</f>
        <v>-9.3172998169732901E-2</v>
      </c>
      <c r="AO142" s="684"/>
      <c r="AP142" s="684"/>
      <c r="AQ142" s="684"/>
      <c r="AR142" s="1698">
        <f t="shared" ref="AR142" si="520">AR$44</f>
        <v>-0.13201086403276319</v>
      </c>
      <c r="AS142" s="684"/>
      <c r="AT142" s="684"/>
      <c r="AU142" s="684"/>
      <c r="AV142" s="652">
        <f ca="1">+AV140/AR140-1</f>
        <v>3.2800146993301471E-3</v>
      </c>
      <c r="AW142" s="684"/>
      <c r="AX142" s="684"/>
      <c r="AY142" s="684"/>
      <c r="AZ142" s="652">
        <f ca="1">+AZ140/AV140-1</f>
        <v>-3.5579548200791455E-2</v>
      </c>
      <c r="BA142" s="684"/>
      <c r="BB142" s="684"/>
      <c r="BC142" s="684"/>
      <c r="BD142" s="652">
        <f ca="1">+BD140/AZ140-1</f>
        <v>3.2996879567879889E-2</v>
      </c>
    </row>
    <row r="143" spans="3:56" outlineLevel="1">
      <c r="C143" s="444" t="s">
        <v>129</v>
      </c>
      <c r="H143" s="682" t="e">
        <f t="shared" ref="H143:K144" si="521">H202/(H207*100)</f>
        <v>#DIV/0!</v>
      </c>
      <c r="I143" s="682" t="e">
        <f t="shared" si="521"/>
        <v>#DIV/0!</v>
      </c>
      <c r="J143" s="682" t="e">
        <f t="shared" si="521"/>
        <v>#DIV/0!</v>
      </c>
      <c r="K143" s="682" t="e">
        <f t="shared" si="521"/>
        <v>#DIV/0!</v>
      </c>
      <c r="L143" s="682">
        <f>L141/(L156*100)</f>
        <v>0.11592174066012487</v>
      </c>
      <c r="M143" s="682" t="e">
        <f t="shared" ref="M143:AJ143" si="522">M141/(M156*100)</f>
        <v>#DIV/0!</v>
      </c>
      <c r="N143" s="682" t="e">
        <f t="shared" si="522"/>
        <v>#DIV/0!</v>
      </c>
      <c r="O143" s="682" t="e">
        <f t="shared" si="522"/>
        <v>#DIV/0!</v>
      </c>
      <c r="P143" s="682">
        <f t="shared" si="522"/>
        <v>0.10837871424304416</v>
      </c>
      <c r="Q143" s="682" t="e">
        <f t="shared" si="522"/>
        <v>#DIV/0!</v>
      </c>
      <c r="R143" s="682" t="e">
        <f t="shared" si="522"/>
        <v>#DIV/0!</v>
      </c>
      <c r="S143" s="682" t="e">
        <f t="shared" si="522"/>
        <v>#DIV/0!</v>
      </c>
      <c r="T143" s="682">
        <f t="shared" si="522"/>
        <v>0.10612543584666169</v>
      </c>
      <c r="U143" s="682" t="e">
        <f t="shared" si="522"/>
        <v>#DIV/0!</v>
      </c>
      <c r="V143" s="682" t="e">
        <f t="shared" si="522"/>
        <v>#DIV/0!</v>
      </c>
      <c r="W143" s="682" t="e">
        <f t="shared" si="522"/>
        <v>#DIV/0!</v>
      </c>
      <c r="X143" s="962">
        <f t="shared" si="522"/>
        <v>6.1523188565563963E-2</v>
      </c>
      <c r="Y143" s="962" t="e">
        <f t="shared" si="522"/>
        <v>#DIV/0!</v>
      </c>
      <c r="Z143" s="962" t="e">
        <f t="shared" si="522"/>
        <v>#DIV/0!</v>
      </c>
      <c r="AA143" s="962" t="e">
        <f t="shared" si="522"/>
        <v>#DIV/0!</v>
      </c>
      <c r="AB143" s="962">
        <f t="shared" si="522"/>
        <v>9.6837643514191579E-2</v>
      </c>
      <c r="AC143" s="682" t="e">
        <f t="shared" ref="AC143:AF143" si="523">AC141/(AC156*100)</f>
        <v>#DIV/0!</v>
      </c>
      <c r="AD143" s="682">
        <f t="shared" si="523"/>
        <v>5.0153413670801818E-2</v>
      </c>
      <c r="AE143" s="682">
        <f t="shared" si="523"/>
        <v>5.3915965090690514E-2</v>
      </c>
      <c r="AF143" s="962">
        <f t="shared" si="523"/>
        <v>0.10379567482844536</v>
      </c>
      <c r="AG143" s="682" t="e">
        <f t="shared" si="522"/>
        <v>#DIV/0!</v>
      </c>
      <c r="AH143" s="682" t="e">
        <f t="shared" si="522"/>
        <v>#DIV/0!</v>
      </c>
      <c r="AI143" s="682" t="e">
        <f t="shared" si="522"/>
        <v>#DIV/0!</v>
      </c>
      <c r="AJ143" s="962">
        <f t="shared" si="522"/>
        <v>0.10697508683220985</v>
      </c>
      <c r="AK143" s="682" t="e">
        <f t="shared" ref="AK143:AN143" si="524">AK141/(AK156*100)</f>
        <v>#DIV/0!</v>
      </c>
      <c r="AL143" s="682" t="e">
        <f t="shared" si="524"/>
        <v>#DIV/0!</v>
      </c>
      <c r="AM143" s="682" t="e">
        <f t="shared" si="524"/>
        <v>#DIV/0!</v>
      </c>
      <c r="AN143" s="962">
        <f t="shared" si="524"/>
        <v>9.5658589326859972E-2</v>
      </c>
      <c r="AO143" s="682"/>
      <c r="AP143" s="682"/>
      <c r="AQ143" s="682"/>
      <c r="AR143" s="1706">
        <f t="shared" ref="AR143" si="525">AR141/(AR156*100)</f>
        <v>8.1659250851001605E-2</v>
      </c>
      <c r="AS143" s="682"/>
      <c r="AT143" s="682"/>
      <c r="AU143" s="682"/>
      <c r="AV143" s="682">
        <f ca="1">AV141/(AV156*100)</f>
        <v>9.401808954596555E-2</v>
      </c>
      <c r="AW143" s="682"/>
      <c r="AX143" s="682"/>
      <c r="AY143" s="682"/>
      <c r="AZ143" s="682">
        <f ca="1">AZ141/(AZ156*100)</f>
        <v>8.7789280012689264E-2</v>
      </c>
      <c r="BA143" s="682"/>
      <c r="BB143" s="682"/>
      <c r="BC143" s="682"/>
      <c r="BD143" s="682">
        <f ca="1">BD141/(BD156*100)</f>
        <v>8.7852815513084812E-2</v>
      </c>
    </row>
    <row r="144" spans="3:56" outlineLevel="1">
      <c r="C144" s="444" t="s">
        <v>1269</v>
      </c>
      <c r="H144" s="682" t="e">
        <f t="shared" si="521"/>
        <v>#DIV/0!</v>
      </c>
      <c r="I144" s="682" t="e">
        <f t="shared" si="521"/>
        <v>#DIV/0!</v>
      </c>
      <c r="J144" s="682" t="e">
        <f t="shared" si="521"/>
        <v>#DIV/0!</v>
      </c>
      <c r="K144" s="682" t="e">
        <f t="shared" si="521"/>
        <v>#DIV/0!</v>
      </c>
      <c r="L144" s="682">
        <f>L141/(L157*100)</f>
        <v>0.13146300001116201</v>
      </c>
      <c r="M144" s="682" t="e">
        <f t="shared" ref="M144:BD144" si="526">M141/(M157*100)</f>
        <v>#DIV/0!</v>
      </c>
      <c r="N144" s="682" t="e">
        <f t="shared" si="526"/>
        <v>#DIV/0!</v>
      </c>
      <c r="O144" s="682" t="e">
        <f t="shared" si="526"/>
        <v>#DIV/0!</v>
      </c>
      <c r="P144" s="682">
        <f t="shared" si="526"/>
        <v>0.11821626807395402</v>
      </c>
      <c r="Q144" s="682" t="e">
        <f t="shared" si="526"/>
        <v>#DIV/0!</v>
      </c>
      <c r="R144" s="682" t="e">
        <f t="shared" si="526"/>
        <v>#DIV/0!</v>
      </c>
      <c r="S144" s="682" t="e">
        <f t="shared" si="526"/>
        <v>#DIV/0!</v>
      </c>
      <c r="T144" s="682">
        <f t="shared" si="526"/>
        <v>0.11535035168748681</v>
      </c>
      <c r="U144" s="682" t="e">
        <f t="shared" si="526"/>
        <v>#DIV/0!</v>
      </c>
      <c r="V144" s="682" t="e">
        <f t="shared" si="526"/>
        <v>#DIV/0!</v>
      </c>
      <c r="W144" s="682" t="e">
        <f t="shared" si="526"/>
        <v>#DIV/0!</v>
      </c>
      <c r="X144" s="962">
        <f t="shared" si="526"/>
        <v>6.6257321600086433E-2</v>
      </c>
      <c r="Y144" s="962" t="e">
        <f t="shared" si="526"/>
        <v>#DIV/0!</v>
      </c>
      <c r="Z144" s="962" t="e">
        <f t="shared" si="526"/>
        <v>#DIV/0!</v>
      </c>
      <c r="AA144" s="962" t="e">
        <f t="shared" si="526"/>
        <v>#DIV/0!</v>
      </c>
      <c r="AB144" s="962">
        <f t="shared" si="526"/>
        <v>0.10354492827347556</v>
      </c>
      <c r="AC144" s="682" t="e">
        <f t="shared" si="526"/>
        <v>#DIV/0!</v>
      </c>
      <c r="AD144" s="682">
        <f t="shared" si="526"/>
        <v>5.3690647097401137E-2</v>
      </c>
      <c r="AE144" s="682">
        <f t="shared" si="526"/>
        <v>5.728582155782911E-2</v>
      </c>
      <c r="AF144" s="962">
        <f t="shared" si="526"/>
        <v>0.11028311366948812</v>
      </c>
      <c r="AG144" s="682" t="e">
        <f t="shared" si="526"/>
        <v>#DIV/0!</v>
      </c>
      <c r="AH144" s="682" t="e">
        <f t="shared" si="526"/>
        <v>#DIV/0!</v>
      </c>
      <c r="AI144" s="682" t="e">
        <f t="shared" si="526"/>
        <v>#DIV/0!</v>
      </c>
      <c r="AJ144" s="962">
        <f t="shared" si="526"/>
        <v>0.11360902332632035</v>
      </c>
      <c r="AK144" s="682" t="e">
        <f t="shared" si="526"/>
        <v>#DIV/0!</v>
      </c>
      <c r="AL144" s="682" t="e">
        <f t="shared" si="526"/>
        <v>#DIV/0!</v>
      </c>
      <c r="AM144" s="682" t="e">
        <f t="shared" si="526"/>
        <v>#DIV/0!</v>
      </c>
      <c r="AN144" s="962">
        <f t="shared" si="526"/>
        <v>0.10385139829370056</v>
      </c>
      <c r="AO144" s="682" t="e">
        <f t="shared" si="526"/>
        <v>#DIV/0!</v>
      </c>
      <c r="AP144" s="682" t="e">
        <f t="shared" si="526"/>
        <v>#DIV/0!</v>
      </c>
      <c r="AQ144" s="682" t="e">
        <f t="shared" si="526"/>
        <v>#DIV/0!</v>
      </c>
      <c r="AR144" s="1706">
        <f t="shared" si="526"/>
        <v>8.8861576037361223E-2</v>
      </c>
      <c r="AS144" s="682" t="e">
        <f t="shared" si="526"/>
        <v>#DIV/0!</v>
      </c>
      <c r="AT144" s="682" t="e">
        <f t="shared" si="526"/>
        <v>#DIV/0!</v>
      </c>
      <c r="AU144" s="682" t="e">
        <f t="shared" si="526"/>
        <v>#DIV/0!</v>
      </c>
      <c r="AV144" s="682">
        <f t="shared" ca="1" si="526"/>
        <v>0.10180877493619588</v>
      </c>
      <c r="AW144" s="682" t="e">
        <f t="shared" si="526"/>
        <v>#DIV/0!</v>
      </c>
      <c r="AX144" s="682" t="e">
        <f t="shared" si="526"/>
        <v>#DIV/0!</v>
      </c>
      <c r="AY144" s="682" t="e">
        <f t="shared" si="526"/>
        <v>#DIV/0!</v>
      </c>
      <c r="AZ144" s="682">
        <f t="shared" ca="1" si="526"/>
        <v>9.4778736617464207E-2</v>
      </c>
      <c r="BA144" s="682" t="e">
        <f t="shared" si="526"/>
        <v>#DIV/0!</v>
      </c>
      <c r="BB144" s="682" t="e">
        <f t="shared" si="526"/>
        <v>#DIV/0!</v>
      </c>
      <c r="BC144" s="682" t="e">
        <f t="shared" si="526"/>
        <v>#DIV/0!</v>
      </c>
      <c r="BD144" s="682">
        <f t="shared" ca="1" si="526"/>
        <v>9.462507128002319E-2</v>
      </c>
    </row>
    <row r="145" spans="3:56" outlineLevel="1">
      <c r="C145" s="585"/>
      <c r="D145" s="625" t="str">
        <f>D$2</f>
        <v>FY15</v>
      </c>
      <c r="E145" s="624"/>
      <c r="F145" s="624"/>
      <c r="G145" s="624"/>
      <c r="H145" s="625" t="str">
        <f>H$2</f>
        <v>FY16</v>
      </c>
      <c r="I145" s="624"/>
      <c r="J145" s="624"/>
      <c r="K145" s="624"/>
      <c r="L145" s="625" t="str">
        <f>L$2</f>
        <v>FY17</v>
      </c>
      <c r="M145" s="624"/>
      <c r="N145" s="624"/>
      <c r="O145" s="624"/>
      <c r="P145" s="625" t="str">
        <f>P$2</f>
        <v>FY18</v>
      </c>
      <c r="T145" s="625" t="str">
        <f>T$2</f>
        <v>FY19</v>
      </c>
      <c r="X145" s="1028" t="str">
        <f>X$2</f>
        <v>FY20</v>
      </c>
      <c r="Y145" s="686"/>
      <c r="Z145" s="686"/>
      <c r="AA145" s="686"/>
      <c r="AB145" s="1028" t="str">
        <f>AB$2</f>
        <v>FY21</v>
      </c>
      <c r="AC145" s="1025">
        <f t="shared" ref="AC145:AF145" si="527">AC$2</f>
        <v>0</v>
      </c>
      <c r="AD145" s="1025">
        <f t="shared" si="527"/>
        <v>0</v>
      </c>
      <c r="AE145" s="1025">
        <f t="shared" si="527"/>
        <v>0</v>
      </c>
      <c r="AF145" s="1028" t="str">
        <f t="shared" si="527"/>
        <v>FY22</v>
      </c>
      <c r="AG145" s="686"/>
      <c r="AH145" s="686"/>
      <c r="AI145" s="686"/>
      <c r="AJ145" s="1028" t="str">
        <f t="shared" ref="AJ145" si="528">AJ$2</f>
        <v>FY23</v>
      </c>
      <c r="AK145" s="686"/>
      <c r="AL145" s="686"/>
      <c r="AM145" s="686"/>
      <c r="AN145" s="625" t="str">
        <f t="shared" ref="AN145" si="529">AN$2</f>
        <v>FY24</v>
      </c>
      <c r="AO145" s="686"/>
      <c r="AP145" s="686"/>
      <c r="AQ145" s="686"/>
      <c r="AR145" s="1672" t="str">
        <f t="shared" ref="AR145" si="530">AR$2</f>
        <v>FY25</v>
      </c>
      <c r="AS145" s="686"/>
      <c r="AT145" s="686"/>
      <c r="AU145" s="686"/>
      <c r="AV145" s="625" t="str">
        <f>AV$2</f>
        <v>FY26E</v>
      </c>
      <c r="AW145" s="686"/>
      <c r="AX145" s="686"/>
      <c r="AY145" s="686"/>
      <c r="AZ145" s="625" t="str">
        <f>AZ$2</f>
        <v>FY27E</v>
      </c>
      <c r="BA145" s="686"/>
      <c r="BB145" s="686"/>
      <c r="BC145" s="686"/>
      <c r="BD145" s="625" t="str">
        <f>BD$2</f>
        <v>FY28E</v>
      </c>
    </row>
    <row r="146" spans="3:56">
      <c r="C146" s="669" t="s">
        <v>836</v>
      </c>
      <c r="D146" s="669"/>
      <c r="E146" s="669"/>
      <c r="F146" s="669"/>
      <c r="G146" s="669"/>
      <c r="H146" s="670"/>
      <c r="I146" s="669"/>
      <c r="J146" s="669"/>
      <c r="K146" s="669"/>
      <c r="L146" s="670"/>
      <c r="M146" s="669"/>
      <c r="N146" s="669"/>
      <c r="O146" s="669"/>
      <c r="P146" s="670"/>
      <c r="T146" s="670"/>
      <c r="X146" s="670"/>
      <c r="Y146" s="670"/>
      <c r="Z146" s="670"/>
      <c r="AA146" s="670"/>
      <c r="AB146" s="670"/>
      <c r="AC146" s="1061"/>
      <c r="AD146" s="1061"/>
      <c r="AE146" s="1061"/>
      <c r="AF146" s="670"/>
      <c r="AG146" s="670"/>
      <c r="AH146" s="670"/>
      <c r="AI146" s="670"/>
      <c r="AJ146" s="670"/>
      <c r="AK146" s="670"/>
      <c r="AL146" s="670"/>
      <c r="AM146" s="670"/>
      <c r="AN146" s="670"/>
      <c r="AO146" s="670"/>
      <c r="AP146" s="670"/>
      <c r="AQ146" s="670"/>
      <c r="AR146" s="1700"/>
      <c r="AS146" s="670"/>
      <c r="AT146" s="670"/>
      <c r="AU146" s="670"/>
      <c r="AV146" s="670"/>
      <c r="AW146" s="670"/>
      <c r="AX146" s="670"/>
      <c r="AY146" s="670"/>
      <c r="AZ146" s="670"/>
      <c r="BA146" s="670"/>
      <c r="BB146" s="670"/>
      <c r="BC146" s="670"/>
      <c r="BD146" s="670"/>
    </row>
    <row r="147" spans="3:56">
      <c r="C147" s="585" t="str">
        <f>C118</f>
        <v>Total Income</v>
      </c>
      <c r="D147" s="671">
        <f t="shared" ref="D147:P147" si="531">D118/D$20-1</f>
        <v>0</v>
      </c>
      <c r="E147" s="671" t="e">
        <f t="shared" si="531"/>
        <v>#DIV/0!</v>
      </c>
      <c r="F147" s="671" t="e">
        <f t="shared" si="531"/>
        <v>#DIV/0!</v>
      </c>
      <c r="G147" s="671" t="e">
        <f t="shared" si="531"/>
        <v>#DIV/0!</v>
      </c>
      <c r="H147" s="671">
        <f t="shared" si="531"/>
        <v>0</v>
      </c>
      <c r="I147" s="671" t="e">
        <f t="shared" si="531"/>
        <v>#DIV/0!</v>
      </c>
      <c r="J147" s="671" t="e">
        <f t="shared" si="531"/>
        <v>#DIV/0!</v>
      </c>
      <c r="K147" s="671" t="e">
        <f t="shared" si="531"/>
        <v>#DIV/0!</v>
      </c>
      <c r="L147" s="671">
        <f t="shared" si="531"/>
        <v>0</v>
      </c>
      <c r="M147" s="671" t="e">
        <f t="shared" si="531"/>
        <v>#DIV/0!</v>
      </c>
      <c r="N147" s="671" t="e">
        <f t="shared" si="531"/>
        <v>#DIV/0!</v>
      </c>
      <c r="O147" s="671" t="e">
        <f t="shared" si="531"/>
        <v>#DIV/0!</v>
      </c>
      <c r="P147" s="671">
        <f t="shared" si="531"/>
        <v>0</v>
      </c>
      <c r="T147" s="671">
        <f>T118/T$20-1</f>
        <v>0</v>
      </c>
      <c r="X147" s="1040">
        <f>X118/X$20-1</f>
        <v>0</v>
      </c>
      <c r="Y147" s="1040"/>
      <c r="Z147" s="1040"/>
      <c r="AA147" s="1040"/>
      <c r="AB147" s="1040">
        <f>AB118/AB$20-1</f>
        <v>0</v>
      </c>
      <c r="AC147" s="1041">
        <f t="shared" ref="AC147:AF147" si="532">AC118/AC$20-1</f>
        <v>0</v>
      </c>
      <c r="AD147" s="1041">
        <f t="shared" si="532"/>
        <v>0</v>
      </c>
      <c r="AE147" s="1041">
        <f t="shared" si="532"/>
        <v>0</v>
      </c>
      <c r="AF147" s="1040">
        <f t="shared" si="532"/>
        <v>0</v>
      </c>
      <c r="AG147" s="671"/>
      <c r="AH147" s="671"/>
      <c r="AI147" s="671"/>
      <c r="AJ147" s="1040">
        <f t="shared" ref="AJ147" si="533">AJ118/AJ$20-1</f>
        <v>0</v>
      </c>
      <c r="AK147" s="671"/>
      <c r="AL147" s="671"/>
      <c r="AM147" s="671"/>
      <c r="AN147" s="1040">
        <f t="shared" ref="AN147" si="534">AN118/AN$20-1</f>
        <v>0</v>
      </c>
      <c r="AO147" s="671"/>
      <c r="AP147" s="671"/>
      <c r="AQ147" s="671"/>
      <c r="AR147" s="1682">
        <f t="shared" ref="AR147" si="535">AR118/AR$20-1</f>
        <v>0</v>
      </c>
      <c r="AS147" s="671"/>
      <c r="AT147" s="671"/>
      <c r="AU147" s="671"/>
      <c r="AV147" s="671">
        <f ca="1">AV118/AV$20-1</f>
        <v>-2.1297363147782411E-2</v>
      </c>
      <c r="AW147" s="671"/>
      <c r="AX147" s="671"/>
      <c r="AY147" s="671"/>
      <c r="AZ147" s="671">
        <f ca="1">AZ118/AZ$20-1</f>
        <v>-3.0074365475169729E-2</v>
      </c>
      <c r="BA147" s="671"/>
      <c r="BB147" s="671"/>
      <c r="BC147" s="671"/>
      <c r="BD147" s="671">
        <f ca="1">BD118/BD$20-1</f>
        <v>-4.4199306347750489E-2</v>
      </c>
    </row>
    <row r="148" spans="3:56">
      <c r="C148" s="585" t="s">
        <v>833</v>
      </c>
      <c r="D148" s="672">
        <f t="shared" ref="D148:P148" si="536">(D111-D$13)*10000</f>
        <v>0</v>
      </c>
      <c r="E148" s="672">
        <f t="shared" si="536"/>
        <v>0</v>
      </c>
      <c r="F148" s="672">
        <f t="shared" si="536"/>
        <v>0</v>
      </c>
      <c r="G148" s="672">
        <f t="shared" si="536"/>
        <v>0</v>
      </c>
      <c r="H148" s="672">
        <f t="shared" si="536"/>
        <v>0</v>
      </c>
      <c r="I148" s="672">
        <f t="shared" si="536"/>
        <v>0</v>
      </c>
      <c r="J148" s="672">
        <f t="shared" si="536"/>
        <v>0</v>
      </c>
      <c r="K148" s="672">
        <f t="shared" si="536"/>
        <v>0</v>
      </c>
      <c r="L148" s="672">
        <f t="shared" si="536"/>
        <v>0</v>
      </c>
      <c r="M148" s="672">
        <f t="shared" si="536"/>
        <v>0</v>
      </c>
      <c r="N148" s="672">
        <f t="shared" si="536"/>
        <v>0</v>
      </c>
      <c r="O148" s="672">
        <f t="shared" si="536"/>
        <v>0</v>
      </c>
      <c r="P148" s="672">
        <f t="shared" si="536"/>
        <v>0</v>
      </c>
      <c r="T148" s="672">
        <f>(T111-T$13)*10000</f>
        <v>0</v>
      </c>
      <c r="X148" s="672">
        <f>(X111-X$13)*10000</f>
        <v>0</v>
      </c>
      <c r="Y148" s="672"/>
      <c r="Z148" s="672"/>
      <c r="AA148" s="672"/>
      <c r="AB148" s="672">
        <f>(AB111-AB$13)*10000</f>
        <v>0</v>
      </c>
      <c r="AC148" s="1062">
        <f t="shared" ref="AC148:AF148" si="537">(AC111-AC$13)*10000</f>
        <v>0</v>
      </c>
      <c r="AD148" s="1062">
        <f t="shared" si="537"/>
        <v>0</v>
      </c>
      <c r="AE148" s="1062">
        <f t="shared" si="537"/>
        <v>0</v>
      </c>
      <c r="AF148" s="672">
        <f t="shared" si="537"/>
        <v>0</v>
      </c>
      <c r="AG148" s="672"/>
      <c r="AH148" s="672"/>
      <c r="AI148" s="672"/>
      <c r="AJ148" s="672">
        <f t="shared" ref="AJ148" si="538">(AJ111-AJ$13)*10000</f>
        <v>0</v>
      </c>
      <c r="AK148" s="672"/>
      <c r="AL148" s="672"/>
      <c r="AM148" s="672"/>
      <c r="AN148" s="672">
        <f t="shared" ref="AN148" si="539">(AN111-AN$13)*10000</f>
        <v>0</v>
      </c>
      <c r="AO148" s="672"/>
      <c r="AP148" s="672"/>
      <c r="AQ148" s="672"/>
      <c r="AR148" s="1701">
        <f t="shared" ref="AR148" si="540">(AR111-AR$13)*10000</f>
        <v>0</v>
      </c>
      <c r="AS148" s="672"/>
      <c r="AT148" s="672"/>
      <c r="AU148" s="672"/>
      <c r="AV148" s="672">
        <f ca="1">(AV111-AV$13)*10000</f>
        <v>-3.6587811155477761</v>
      </c>
      <c r="AW148" s="672"/>
      <c r="AX148" s="672"/>
      <c r="AY148" s="672"/>
      <c r="AZ148" s="672">
        <f ca="1">(AZ111-AZ$13)*10000</f>
        <v>-4.6228419827876523</v>
      </c>
      <c r="BA148" s="672"/>
      <c r="BB148" s="672"/>
      <c r="BC148" s="672"/>
      <c r="BD148" s="672">
        <f ca="1">(BD111-BD$13)*10000</f>
        <v>-6.1151784996765768</v>
      </c>
    </row>
    <row r="149" spans="3:56">
      <c r="C149" s="585" t="str">
        <f>C123</f>
        <v>Expenses</v>
      </c>
      <c r="D149" s="671">
        <f t="shared" ref="D149:P149" si="541">+D123/D$25-1</f>
        <v>0</v>
      </c>
      <c r="E149" s="671" t="e">
        <f t="shared" si="541"/>
        <v>#DIV/0!</v>
      </c>
      <c r="F149" s="671" t="e">
        <f t="shared" si="541"/>
        <v>#DIV/0!</v>
      </c>
      <c r="G149" s="671" t="e">
        <f t="shared" si="541"/>
        <v>#DIV/0!</v>
      </c>
      <c r="H149" s="671">
        <f t="shared" si="541"/>
        <v>0</v>
      </c>
      <c r="I149" s="671" t="e">
        <f t="shared" si="541"/>
        <v>#DIV/0!</v>
      </c>
      <c r="J149" s="671" t="e">
        <f t="shared" si="541"/>
        <v>#DIV/0!</v>
      </c>
      <c r="K149" s="671" t="e">
        <f t="shared" si="541"/>
        <v>#DIV/0!</v>
      </c>
      <c r="L149" s="671">
        <f t="shared" si="541"/>
        <v>0</v>
      </c>
      <c r="M149" s="671" t="e">
        <f t="shared" si="541"/>
        <v>#DIV/0!</v>
      </c>
      <c r="N149" s="671">
        <f t="shared" si="541"/>
        <v>0</v>
      </c>
      <c r="O149" s="671">
        <f t="shared" si="541"/>
        <v>0</v>
      </c>
      <c r="P149" s="671">
        <f t="shared" si="541"/>
        <v>0</v>
      </c>
      <c r="T149" s="671">
        <f>+T123/T$25-1</f>
        <v>0</v>
      </c>
      <c r="X149" s="1040">
        <f>+X123/X$25-1</f>
        <v>0</v>
      </c>
      <c r="Y149" s="1040"/>
      <c r="Z149" s="1040"/>
      <c r="AA149" s="1040"/>
      <c r="AB149" s="1040">
        <f>+AB123/AB$25-1</f>
        <v>0</v>
      </c>
      <c r="AC149" s="1041">
        <f t="shared" ref="AC149:AF149" si="542">+AC123/AC$25-1</f>
        <v>0</v>
      </c>
      <c r="AD149" s="1041">
        <f t="shared" si="542"/>
        <v>0</v>
      </c>
      <c r="AE149" s="1041">
        <f t="shared" si="542"/>
        <v>0</v>
      </c>
      <c r="AF149" s="1040">
        <f t="shared" si="542"/>
        <v>0</v>
      </c>
      <c r="AG149" s="671"/>
      <c r="AH149" s="671"/>
      <c r="AI149" s="671"/>
      <c r="AJ149" s="1040">
        <f t="shared" ref="AJ149" si="543">+AJ123/AJ$25-1</f>
        <v>0</v>
      </c>
      <c r="AK149" s="671"/>
      <c r="AL149" s="671"/>
      <c r="AM149" s="671"/>
      <c r="AN149" s="1040">
        <f t="shared" ref="AN149" si="544">+AN123/AN$25-1</f>
        <v>0</v>
      </c>
      <c r="AO149" s="671"/>
      <c r="AP149" s="671"/>
      <c r="AQ149" s="671"/>
      <c r="AR149" s="1682">
        <f t="shared" ref="AR149" si="545">+AR123/AR$25-1</f>
        <v>0</v>
      </c>
      <c r="AS149" s="671"/>
      <c r="AT149" s="671"/>
      <c r="AU149" s="671"/>
      <c r="AV149" s="671">
        <f>+AV123/AV$25-1</f>
        <v>1.5590249466316708E-2</v>
      </c>
      <c r="AW149" s="671"/>
      <c r="AX149" s="671"/>
      <c r="AY149" s="671"/>
      <c r="AZ149" s="671">
        <f>+AZ123/AZ$25-1</f>
        <v>4.674700457275538E-2</v>
      </c>
      <c r="BA149" s="671"/>
      <c r="BB149" s="671"/>
      <c r="BC149" s="671"/>
      <c r="BD149" s="671">
        <f>+BD123/BD$25-1</f>
        <v>6.2329889517941828E-2</v>
      </c>
    </row>
    <row r="150" spans="3:56">
      <c r="C150" s="585" t="str">
        <f>C126</f>
        <v>Pre Provision Profit</v>
      </c>
      <c r="D150" s="671">
        <f t="shared" ref="D150:P150" si="546">+D126/D$28-1</f>
        <v>0</v>
      </c>
      <c r="E150" s="671" t="e">
        <f t="shared" si="546"/>
        <v>#DIV/0!</v>
      </c>
      <c r="F150" s="671" t="e">
        <f t="shared" si="546"/>
        <v>#DIV/0!</v>
      </c>
      <c r="G150" s="671" t="e">
        <f t="shared" si="546"/>
        <v>#DIV/0!</v>
      </c>
      <c r="H150" s="671">
        <f t="shared" si="546"/>
        <v>0</v>
      </c>
      <c r="I150" s="671" t="e">
        <f t="shared" si="546"/>
        <v>#DIV/0!</v>
      </c>
      <c r="J150" s="671" t="e">
        <f t="shared" si="546"/>
        <v>#DIV/0!</v>
      </c>
      <c r="K150" s="671" t="e">
        <f t="shared" si="546"/>
        <v>#DIV/0!</v>
      </c>
      <c r="L150" s="671">
        <f t="shared" si="546"/>
        <v>0</v>
      </c>
      <c r="M150" s="671" t="e">
        <f t="shared" si="546"/>
        <v>#DIV/0!</v>
      </c>
      <c r="N150" s="671">
        <f t="shared" si="546"/>
        <v>0</v>
      </c>
      <c r="O150" s="671">
        <f t="shared" si="546"/>
        <v>0</v>
      </c>
      <c r="P150" s="671">
        <f t="shared" si="546"/>
        <v>0</v>
      </c>
      <c r="T150" s="671">
        <f>+T126/T$28-1</f>
        <v>0</v>
      </c>
      <c r="X150" s="1040">
        <f>+X126/X$28-1</f>
        <v>0</v>
      </c>
      <c r="Y150" s="1040"/>
      <c r="Z150" s="1040"/>
      <c r="AA150" s="1040"/>
      <c r="AB150" s="1040">
        <f>+AB126/AB$28-1</f>
        <v>0</v>
      </c>
      <c r="AC150" s="1041">
        <f t="shared" ref="AC150:AF150" si="547">+AC126/AC$28-1</f>
        <v>0</v>
      </c>
      <c r="AD150" s="1041">
        <f t="shared" si="547"/>
        <v>0</v>
      </c>
      <c r="AE150" s="1041">
        <f t="shared" si="547"/>
        <v>0</v>
      </c>
      <c r="AF150" s="1040">
        <f t="shared" si="547"/>
        <v>0</v>
      </c>
      <c r="AG150" s="671"/>
      <c r="AH150" s="671"/>
      <c r="AI150" s="671"/>
      <c r="AJ150" s="1040">
        <f t="shared" ref="AJ150" si="548">+AJ126/AJ$28-1</f>
        <v>0</v>
      </c>
      <c r="AK150" s="671"/>
      <c r="AL150" s="671"/>
      <c r="AM150" s="671"/>
      <c r="AN150" s="1040">
        <f t="shared" ref="AN150" si="549">+AN126/AN$28-1</f>
        <v>0</v>
      </c>
      <c r="AO150" s="671"/>
      <c r="AP150" s="671"/>
      <c r="AQ150" s="671"/>
      <c r="AR150" s="1682">
        <f t="shared" ref="AR150" si="550">+AR126/AR$28-1</f>
        <v>0</v>
      </c>
      <c r="AS150" s="671"/>
      <c r="AT150" s="671"/>
      <c r="AU150" s="671"/>
      <c r="AV150" s="671">
        <f ca="1">+AV126/AV$28-1</f>
        <v>-5.8470449530069413E-2</v>
      </c>
      <c r="AW150" s="671"/>
      <c r="AX150" s="671"/>
      <c r="AY150" s="671"/>
      <c r="AZ150" s="671">
        <f ca="1">+AZ126/AZ$28-1</f>
        <v>-0.10115218449145358</v>
      </c>
      <c r="BA150" s="671"/>
      <c r="BB150" s="671"/>
      <c r="BC150" s="671"/>
      <c r="BD150" s="671">
        <f ca="1">+BD126/BD$28-1</f>
        <v>-0.13684181558240061</v>
      </c>
    </row>
    <row r="151" spans="3:56">
      <c r="C151" s="585" t="str">
        <f>C127</f>
        <v>Impairment Charge</v>
      </c>
      <c r="D151" s="671">
        <f t="shared" ref="D151:P151" si="551">+D127/D$29-1</f>
        <v>0</v>
      </c>
      <c r="E151" s="671" t="e">
        <f t="shared" si="551"/>
        <v>#DIV/0!</v>
      </c>
      <c r="F151" s="671" t="e">
        <f t="shared" si="551"/>
        <v>#DIV/0!</v>
      </c>
      <c r="G151" s="671" t="e">
        <f t="shared" si="551"/>
        <v>#DIV/0!</v>
      </c>
      <c r="H151" s="671">
        <f t="shared" si="551"/>
        <v>0</v>
      </c>
      <c r="I151" s="671" t="e">
        <f t="shared" si="551"/>
        <v>#DIV/0!</v>
      </c>
      <c r="J151" s="671" t="e">
        <f t="shared" si="551"/>
        <v>#DIV/0!</v>
      </c>
      <c r="K151" s="671" t="e">
        <f t="shared" si="551"/>
        <v>#DIV/0!</v>
      </c>
      <c r="L151" s="671">
        <f t="shared" si="551"/>
        <v>0</v>
      </c>
      <c r="M151" s="671" t="e">
        <f t="shared" si="551"/>
        <v>#DIV/0!</v>
      </c>
      <c r="N151" s="671" t="e">
        <f t="shared" si="551"/>
        <v>#DIV/0!</v>
      </c>
      <c r="O151" s="671" t="e">
        <f t="shared" si="551"/>
        <v>#DIV/0!</v>
      </c>
      <c r="P151" s="671">
        <f t="shared" si="551"/>
        <v>0</v>
      </c>
      <c r="T151" s="671">
        <f>+T127/T$29-1</f>
        <v>0</v>
      </c>
      <c r="X151" s="1040">
        <f>+X127/X$29-1</f>
        <v>0</v>
      </c>
      <c r="Y151" s="1040"/>
      <c r="Z151" s="1040"/>
      <c r="AA151" s="1040"/>
      <c r="AB151" s="1040">
        <f>+AB127/AB$29-1</f>
        <v>0</v>
      </c>
      <c r="AC151" s="1041">
        <f t="shared" ref="AC151:AF151" si="552">+AC127/AC$29-1</f>
        <v>0</v>
      </c>
      <c r="AD151" s="1041">
        <f t="shared" si="552"/>
        <v>0</v>
      </c>
      <c r="AE151" s="1041">
        <f t="shared" si="552"/>
        <v>0</v>
      </c>
      <c r="AF151" s="1040">
        <f t="shared" si="552"/>
        <v>0</v>
      </c>
      <c r="AG151" s="671"/>
      <c r="AH151" s="671"/>
      <c r="AI151" s="671"/>
      <c r="AJ151" s="1040">
        <f t="shared" ref="AJ151" si="553">+AJ127/AJ$29-1</f>
        <v>0</v>
      </c>
      <c r="AK151" s="671"/>
      <c r="AL151" s="671"/>
      <c r="AM151" s="671"/>
      <c r="AN151" s="1040">
        <f t="shared" ref="AN151" si="554">+AN127/AN$29-1</f>
        <v>0</v>
      </c>
      <c r="AO151" s="671"/>
      <c r="AP151" s="671"/>
      <c r="AQ151" s="671"/>
      <c r="AR151" s="1682">
        <f t="shared" ref="AR151" si="555">+AR127/AR$29-1</f>
        <v>0</v>
      </c>
      <c r="AS151" s="671"/>
      <c r="AT151" s="671"/>
      <c r="AU151" s="671"/>
      <c r="AV151" s="671">
        <f>+AV127/AV$29-1</f>
        <v>0.23542464751394676</v>
      </c>
      <c r="AW151" s="671"/>
      <c r="AX151" s="671"/>
      <c r="AY151" s="671"/>
      <c r="AZ151" s="671">
        <f>+AZ127/AZ$29-1</f>
        <v>0.66888394952312735</v>
      </c>
      <c r="BA151" s="671"/>
      <c r="BB151" s="671"/>
      <c r="BC151" s="671"/>
      <c r="BD151" s="671">
        <f>+BD127/BD$29-1</f>
        <v>0.48255175233296144</v>
      </c>
    </row>
    <row r="152" spans="3:56">
      <c r="C152" s="585" t="s">
        <v>834</v>
      </c>
      <c r="D152" s="672">
        <f t="shared" ref="D152:P152" si="556">(D128-D$30)*10000</f>
        <v>0</v>
      </c>
      <c r="E152" s="672">
        <f t="shared" si="556"/>
        <v>0</v>
      </c>
      <c r="F152" s="672">
        <f t="shared" si="556"/>
        <v>0</v>
      </c>
      <c r="G152" s="672">
        <f t="shared" si="556"/>
        <v>0</v>
      </c>
      <c r="H152" s="672">
        <f t="shared" si="556"/>
        <v>0</v>
      </c>
      <c r="I152" s="672">
        <f t="shared" si="556"/>
        <v>0</v>
      </c>
      <c r="J152" s="672">
        <f t="shared" si="556"/>
        <v>0</v>
      </c>
      <c r="K152" s="672">
        <f t="shared" si="556"/>
        <v>0</v>
      </c>
      <c r="L152" s="672">
        <f t="shared" si="556"/>
        <v>0</v>
      </c>
      <c r="M152" s="672">
        <f t="shared" si="556"/>
        <v>0</v>
      </c>
      <c r="N152" s="672">
        <f t="shared" si="556"/>
        <v>0</v>
      </c>
      <c r="O152" s="672">
        <f t="shared" si="556"/>
        <v>0</v>
      </c>
      <c r="P152" s="672">
        <f t="shared" si="556"/>
        <v>0</v>
      </c>
      <c r="T152" s="672">
        <f>(T128-T$30)*10000</f>
        <v>0</v>
      </c>
      <c r="X152" s="672">
        <f>(X128-X$30)*10000</f>
        <v>0</v>
      </c>
      <c r="Y152" s="672"/>
      <c r="Z152" s="672"/>
      <c r="AA152" s="672"/>
      <c r="AB152" s="672">
        <f>(AB128-AB$30)*10000</f>
        <v>0</v>
      </c>
      <c r="AC152" s="1062">
        <f t="shared" ref="AC152:AF152" si="557">(AC128-AC$30)*10000</f>
        <v>0</v>
      </c>
      <c r="AD152" s="1062">
        <f t="shared" si="557"/>
        <v>0</v>
      </c>
      <c r="AE152" s="1062">
        <f t="shared" si="557"/>
        <v>0</v>
      </c>
      <c r="AF152" s="672">
        <f t="shared" si="557"/>
        <v>0</v>
      </c>
      <c r="AG152" s="672"/>
      <c r="AH152" s="672"/>
      <c r="AI152" s="672"/>
      <c r="AJ152" s="672">
        <f t="shared" ref="AJ152" si="558">(AJ128-AJ$30)*10000</f>
        <v>0</v>
      </c>
      <c r="AK152" s="672"/>
      <c r="AL152" s="672"/>
      <c r="AM152" s="672"/>
      <c r="AN152" s="672">
        <f t="shared" ref="AN152" si="559">(AN128-AN$30)*10000</f>
        <v>0</v>
      </c>
      <c r="AO152" s="672"/>
      <c r="AP152" s="672"/>
      <c r="AQ152" s="672"/>
      <c r="AR152" s="1701">
        <f t="shared" ref="AR152" si="560">(AR128-AR$30)*10000</f>
        <v>0</v>
      </c>
      <c r="AS152" s="672"/>
      <c r="AT152" s="672"/>
      <c r="AU152" s="672"/>
      <c r="AV152" s="672">
        <f>(AV128-AV$30)*10000</f>
        <v>1.5488800422492883</v>
      </c>
      <c r="AW152" s="672"/>
      <c r="AX152" s="672"/>
      <c r="AY152" s="672"/>
      <c r="AZ152" s="672">
        <f>(AZ128-AZ$30)*10000</f>
        <v>6.1062776534898466</v>
      </c>
      <c r="BA152" s="672"/>
      <c r="BB152" s="672"/>
      <c r="BC152" s="672"/>
      <c r="BD152" s="672">
        <f>(BD128-BD$30)*10000</f>
        <v>5.1060507039056438</v>
      </c>
    </row>
    <row r="153" spans="3:56">
      <c r="C153" s="673" t="str">
        <f>C135</f>
        <v>Reported Cash Profit</v>
      </c>
      <c r="D153" s="674">
        <f t="shared" ref="D153:P153" si="561">D135/D$36-1</f>
        <v>0</v>
      </c>
      <c r="E153" s="674" t="e">
        <f t="shared" si="561"/>
        <v>#DIV/0!</v>
      </c>
      <c r="F153" s="674" t="e">
        <f t="shared" si="561"/>
        <v>#DIV/0!</v>
      </c>
      <c r="G153" s="674" t="e">
        <f t="shared" si="561"/>
        <v>#DIV/0!</v>
      </c>
      <c r="H153" s="674">
        <f t="shared" si="561"/>
        <v>0</v>
      </c>
      <c r="I153" s="674" t="e">
        <f t="shared" si="561"/>
        <v>#DIV/0!</v>
      </c>
      <c r="J153" s="674" t="e">
        <f t="shared" si="561"/>
        <v>#DIV/0!</v>
      </c>
      <c r="K153" s="674" t="e">
        <f t="shared" si="561"/>
        <v>#DIV/0!</v>
      </c>
      <c r="L153" s="1236">
        <f t="shared" si="561"/>
        <v>0</v>
      </c>
      <c r="M153" s="1236" t="e">
        <f t="shared" si="561"/>
        <v>#DIV/0!</v>
      </c>
      <c r="N153" s="1236" t="e">
        <f t="shared" si="561"/>
        <v>#DIV/0!</v>
      </c>
      <c r="O153" s="1236" t="e">
        <f t="shared" si="561"/>
        <v>#DIV/0!</v>
      </c>
      <c r="P153" s="1236">
        <f t="shared" si="561"/>
        <v>0</v>
      </c>
      <c r="Q153" s="1076"/>
      <c r="R153" s="1076"/>
      <c r="S153" s="1076"/>
      <c r="T153" s="1236">
        <f>T135/T$36-1</f>
        <v>0</v>
      </c>
      <c r="U153" s="1076"/>
      <c r="V153" s="1076"/>
      <c r="W153" s="1076"/>
      <c r="X153" s="1236">
        <f>X135/X$36-1</f>
        <v>0</v>
      </c>
      <c r="Y153" s="1236"/>
      <c r="Z153" s="1236"/>
      <c r="AA153" s="1236"/>
      <c r="AB153" s="1236">
        <f>AB135/AB$36-1</f>
        <v>0</v>
      </c>
      <c r="AC153" s="1237">
        <f t="shared" ref="AC153:AF153" si="562">AC135/AC$36-1</f>
        <v>0</v>
      </c>
      <c r="AD153" s="1237">
        <f t="shared" si="562"/>
        <v>0</v>
      </c>
      <c r="AE153" s="1237">
        <f t="shared" si="562"/>
        <v>0</v>
      </c>
      <c r="AF153" s="1236">
        <f t="shared" si="562"/>
        <v>0</v>
      </c>
      <c r="AG153" s="1236"/>
      <c r="AH153" s="1236"/>
      <c r="AI153" s="1236"/>
      <c r="AJ153" s="1236">
        <f t="shared" ref="AJ153" si="563">AJ135/AJ$36-1</f>
        <v>0</v>
      </c>
      <c r="AK153" s="1236"/>
      <c r="AL153" s="1236"/>
      <c r="AM153" s="1236"/>
      <c r="AN153" s="1236">
        <f t="shared" ref="AN153" si="564">AN135/AN$36-1</f>
        <v>0</v>
      </c>
      <c r="AO153" s="1236"/>
      <c r="AP153" s="1236"/>
      <c r="AQ153" s="1236"/>
      <c r="AR153" s="1703">
        <f t="shared" ref="AR153" si="565">AR135/AR$36-1</f>
        <v>0</v>
      </c>
      <c r="AS153" s="1236"/>
      <c r="AT153" s="1236"/>
      <c r="AU153" s="1236"/>
      <c r="AV153" s="1236">
        <f ca="1">AV135/AV$36-1</f>
        <v>-7.4016731214173848E-2</v>
      </c>
      <c r="AW153" s="1236"/>
      <c r="AX153" s="1236"/>
      <c r="AY153" s="1236"/>
      <c r="AZ153" s="1236">
        <f ca="1">AZ135/AZ$36-1</f>
        <v>-0.15605534481448091</v>
      </c>
      <c r="BA153" s="1236"/>
      <c r="BB153" s="1236"/>
      <c r="BC153" s="1236"/>
      <c r="BD153" s="1236">
        <f ca="1">BD135/BD$36-1</f>
        <v>-0.18520010232506379</v>
      </c>
    </row>
    <row r="154" spans="3:56">
      <c r="C154" s="675" t="str">
        <f>C140</f>
        <v>Underlying Cash EPS</v>
      </c>
      <c r="D154" s="676">
        <f t="shared" ref="D154:P154" si="566">+D140/D$43-1</f>
        <v>0</v>
      </c>
      <c r="E154" s="676" t="e">
        <f t="shared" si="566"/>
        <v>#DIV/0!</v>
      </c>
      <c r="F154" s="676" t="e">
        <f t="shared" si="566"/>
        <v>#DIV/0!</v>
      </c>
      <c r="G154" s="676" t="e">
        <f t="shared" si="566"/>
        <v>#DIV/0!</v>
      </c>
      <c r="H154" s="676">
        <f t="shared" si="566"/>
        <v>0</v>
      </c>
      <c r="I154" s="676" t="e">
        <f t="shared" si="566"/>
        <v>#DIV/0!</v>
      </c>
      <c r="J154" s="676" t="e">
        <f t="shared" si="566"/>
        <v>#DIV/0!</v>
      </c>
      <c r="K154" s="676" t="e">
        <f t="shared" si="566"/>
        <v>#DIV/0!</v>
      </c>
      <c r="L154" s="1238">
        <f t="shared" si="566"/>
        <v>-1</v>
      </c>
      <c r="M154" s="1238" t="e">
        <f t="shared" si="566"/>
        <v>#DIV/0!</v>
      </c>
      <c r="N154" s="1238" t="e">
        <f t="shared" si="566"/>
        <v>#DIV/0!</v>
      </c>
      <c r="O154" s="1238" t="e">
        <f t="shared" si="566"/>
        <v>#DIV/0!</v>
      </c>
      <c r="P154" s="1238">
        <f t="shared" si="566"/>
        <v>5.8732850316016494E-2</v>
      </c>
      <c r="Q154" s="1076"/>
      <c r="R154" s="1076"/>
      <c r="S154" s="1076"/>
      <c r="T154" s="1238">
        <f>+T140/T$43-1</f>
        <v>4.6676970633693804E-2</v>
      </c>
      <c r="U154" s="1076"/>
      <c r="V154" s="1076"/>
      <c r="W154" s="1076"/>
      <c r="X154" s="1239">
        <f>+X140/X$43-1</f>
        <v>0.39941458222458759</v>
      </c>
      <c r="Y154" s="1236"/>
      <c r="Z154" s="1236"/>
      <c r="AA154" s="1236"/>
      <c r="AB154" s="1239">
        <f>+AB140/AB$43-1</f>
        <v>0.15262988060664728</v>
      </c>
      <c r="AC154" s="1240" t="e">
        <f t="shared" ref="AC154:AF154" si="567">+AC140/AC$43-1</f>
        <v>#DIV/0!</v>
      </c>
      <c r="AD154" s="1240">
        <f t="shared" si="567"/>
        <v>1.3170575008030871E-2</v>
      </c>
      <c r="AE154" s="1240">
        <f t="shared" si="567"/>
        <v>3.3215755437977501E-2</v>
      </c>
      <c r="AF154" s="1249">
        <f t="shared" si="567"/>
        <v>2.3637759017651749E-2</v>
      </c>
      <c r="AG154" s="1236"/>
      <c r="AH154" s="1236"/>
      <c r="AI154" s="1236"/>
      <c r="AJ154" s="1239">
        <f t="shared" ref="AJ154" si="568">+AJ140/AJ$43-1</f>
        <v>4.1413732631863098E-2</v>
      </c>
      <c r="AK154" s="1236"/>
      <c r="AL154" s="1236"/>
      <c r="AM154" s="1236"/>
      <c r="AN154" s="1671">
        <f t="shared" ref="AN154" si="569">+AN140/AN$43-1</f>
        <v>2.4089219330854839E-2</v>
      </c>
      <c r="AO154" s="1236"/>
      <c r="AP154" s="1236"/>
      <c r="AQ154" s="1236"/>
      <c r="AR154" s="1704">
        <f t="shared" ref="AR154" si="570">+AR140/AR$43-1</f>
        <v>0.1916364264731294</v>
      </c>
      <c r="AS154" s="1236"/>
      <c r="AT154" s="1236"/>
      <c r="AU154" s="1236"/>
      <c r="AV154" s="1238">
        <f ca="1">+AV140/AV$43-1</f>
        <v>-7.4016731214173848E-2</v>
      </c>
      <c r="AW154" s="1236"/>
      <c r="AX154" s="1236"/>
      <c r="AY154" s="1236"/>
      <c r="AZ154" s="1238">
        <f ca="1">+AZ140/AZ$43-1</f>
        <v>-0.15605534481448113</v>
      </c>
      <c r="BA154" s="1236"/>
      <c r="BB154" s="1236"/>
      <c r="BC154" s="1236"/>
      <c r="BD154" s="1238">
        <f ca="1">+BD140/BD$43-1</f>
        <v>-0.18520010232506379</v>
      </c>
    </row>
    <row r="155" spans="3:56">
      <c r="T155" s="680"/>
      <c r="X155" s="680"/>
      <c r="Y155" s="680"/>
      <c r="Z155" s="680"/>
      <c r="AA155" s="680"/>
      <c r="AB155" s="680"/>
      <c r="AC155" s="680"/>
      <c r="AD155" s="680"/>
      <c r="AE155" s="680"/>
      <c r="AF155" s="680"/>
      <c r="AG155" s="680"/>
      <c r="AH155" s="680"/>
      <c r="AI155" s="680"/>
      <c r="AJ155" s="680"/>
      <c r="AK155" s="680"/>
      <c r="AL155" s="680"/>
      <c r="AM155" s="680"/>
      <c r="AN155" s="680"/>
      <c r="AO155" s="680"/>
      <c r="AP155" s="680"/>
      <c r="AQ155" s="680"/>
      <c r="AR155" s="1707"/>
      <c r="AS155" s="680"/>
      <c r="AT155" s="680"/>
      <c r="AU155" s="680"/>
      <c r="AV155" s="680"/>
      <c r="AW155" s="680"/>
      <c r="AX155" s="680"/>
      <c r="AY155" s="680"/>
      <c r="AZ155" s="680"/>
      <c r="BA155" s="680"/>
      <c r="BB155" s="680"/>
      <c r="BC155" s="680"/>
      <c r="BD155" s="680"/>
    </row>
    <row r="156" spans="3:56">
      <c r="C156" s="444" t="s">
        <v>837</v>
      </c>
      <c r="H156" s="683">
        <f>MODEL!BV$1118</f>
        <v>19.750114762657066</v>
      </c>
      <c r="L156" s="683">
        <f>MODEL!BZ$1118</f>
        <v>20.071727500726016</v>
      </c>
      <c r="P156" s="683">
        <f>MODEL!CD$1118</f>
        <v>20.616170126750294</v>
      </c>
      <c r="T156" s="683">
        <f>MODEL!CH$1118</f>
        <v>21.443351196431944</v>
      </c>
      <c r="X156" s="683">
        <f>MODEL!CL$1118</f>
        <v>21.577116764769634</v>
      </c>
      <c r="Y156" s="683"/>
      <c r="Z156" s="683"/>
      <c r="AA156" s="683"/>
      <c r="AB156" s="683">
        <f>MODEL!CP$1118</f>
        <v>22.547747402437526</v>
      </c>
      <c r="AC156" s="683">
        <f>MODEL!CQ$1118</f>
        <v>0</v>
      </c>
      <c r="AD156" s="683">
        <f>MODEL!CR$1118</f>
        <v>22.099032875930273</v>
      </c>
      <c r="AE156" s="683">
        <f>MODEL!CS$1118</f>
        <v>22.043037043321579</v>
      </c>
      <c r="AF156" s="683">
        <f>MODEL!CT$1118</f>
        <v>22.043037043321579</v>
      </c>
      <c r="AG156" s="683"/>
      <c r="AH156" s="683"/>
      <c r="AI156" s="683"/>
      <c r="AJ156" s="683">
        <f>MODEL!CX$1118</f>
        <v>23.120415177343965</v>
      </c>
      <c r="AK156" s="683"/>
      <c r="AL156" s="683"/>
      <c r="AM156" s="683"/>
      <c r="AN156" s="683">
        <f>MODEL!DB$1118</f>
        <v>23.446539155290775</v>
      </c>
      <c r="AO156" s="683"/>
      <c r="AP156" s="683"/>
      <c r="AQ156" s="683"/>
      <c r="AR156" s="1708">
        <f>MODEL!DF$1118</f>
        <v>23.840294587851588</v>
      </c>
      <c r="AS156" s="683"/>
      <c r="AT156" s="683"/>
      <c r="AU156" s="683"/>
      <c r="AV156" s="683">
        <f ca="1">MODEL!DJ$1118</f>
        <v>24.755489516364925</v>
      </c>
      <c r="AW156" s="683"/>
      <c r="AX156" s="683"/>
      <c r="AY156" s="683"/>
      <c r="AZ156" s="683">
        <f ca="1">MODEL!DN$1118</f>
        <v>25.568653920508108</v>
      </c>
      <c r="BA156" s="683"/>
      <c r="BB156" s="683"/>
      <c r="BC156" s="683"/>
      <c r="BD156" s="683">
        <f ca="1">MODEL!DR$1118</f>
        <v>26.393238207067995</v>
      </c>
    </row>
    <row r="157" spans="3:56">
      <c r="C157" s="444" t="s">
        <v>1268</v>
      </c>
      <c r="H157" s="683">
        <f>MODEL!BV$1119</f>
        <v>17.129427771424147</v>
      </c>
      <c r="L157" s="683">
        <f>MODEL!BZ$1119</f>
        <v>17.698893146682355</v>
      </c>
      <c r="P157" s="683">
        <f>MODEL!CD$1119</f>
        <v>18.900562903536091</v>
      </c>
      <c r="T157" s="683">
        <f>MODEL!CH$1119</f>
        <v>19.728461668671624</v>
      </c>
      <c r="X157" s="683">
        <f>MODEL!CL$1119</f>
        <v>20.035416333798526</v>
      </c>
      <c r="Y157" s="683"/>
      <c r="Z157" s="683"/>
      <c r="AA157" s="683"/>
      <c r="AB157" s="683">
        <f>MODEL!CP$1119</f>
        <v>21.087181781018341</v>
      </c>
      <c r="AC157" s="683">
        <f>MODEL!CQ$1119</f>
        <v>0</v>
      </c>
      <c r="AD157" s="683">
        <f>MODEL!CR$1119</f>
        <v>20.643110066088752</v>
      </c>
      <c r="AE157" s="683">
        <f>MODEL!CS$1119</f>
        <v>20.746348457633296</v>
      </c>
      <c r="AF157" s="683">
        <f>MODEL!CT$1119</f>
        <v>20.746348457633296</v>
      </c>
      <c r="AG157" s="683"/>
      <c r="AH157" s="683"/>
      <c r="AI157" s="683"/>
      <c r="AJ157" s="683">
        <f>MODEL!CX$1119</f>
        <v>21.770351938410776</v>
      </c>
      <c r="AK157" s="683"/>
      <c r="AL157" s="683"/>
      <c r="AM157" s="683"/>
      <c r="AN157" s="683">
        <f>MODEL!DB$1119</f>
        <v>21.596847967796215</v>
      </c>
      <c r="AO157" s="683"/>
      <c r="AP157" s="683"/>
      <c r="AQ157" s="683"/>
      <c r="AR157" s="1708">
        <f>MODEL!DF$1119</f>
        <v>21.908013372311093</v>
      </c>
      <c r="AS157" s="683"/>
      <c r="AT157" s="683"/>
      <c r="AU157" s="683"/>
      <c r="AV157" s="683">
        <f ca="1">MODEL!DJ$1119</f>
        <v>22.861131877507056</v>
      </c>
      <c r="AW157" s="683"/>
      <c r="AX157" s="683"/>
      <c r="AY157" s="683"/>
      <c r="AZ157" s="683">
        <f ca="1">MODEL!DN$1119</f>
        <v>23.68309389514932</v>
      </c>
      <c r="BA157" s="683"/>
      <c r="BB157" s="683"/>
      <c r="BC157" s="683"/>
      <c r="BD157" s="683">
        <f ca="1">MODEL!DR$1119</f>
        <v>24.504291047101844</v>
      </c>
    </row>
    <row r="158" spans="3:56" ht="13.2">
      <c r="C158"/>
      <c r="D158"/>
      <c r="E158"/>
      <c r="F158"/>
      <c r="G158"/>
      <c r="H158"/>
      <c r="I158"/>
      <c r="J158"/>
      <c r="K158"/>
      <c r="L158"/>
      <c r="M158"/>
      <c r="N158"/>
      <c r="O158"/>
      <c r="P158"/>
      <c r="AR158" s="1666"/>
    </row>
    <row r="159" spans="3:56" ht="13.2">
      <c r="C159"/>
      <c r="D159"/>
      <c r="E159"/>
      <c r="F159"/>
      <c r="G159"/>
      <c r="H159"/>
      <c r="I159"/>
      <c r="J159"/>
      <c r="K159"/>
      <c r="L159"/>
      <c r="M159"/>
      <c r="N159"/>
      <c r="O159"/>
      <c r="P159"/>
      <c r="AR159" s="1666"/>
    </row>
    <row r="160" spans="3:56" ht="13.2">
      <c r="C160"/>
      <c r="D160"/>
      <c r="E160"/>
      <c r="F160"/>
      <c r="G160"/>
      <c r="H160"/>
      <c r="I160"/>
      <c r="J160"/>
      <c r="K160"/>
      <c r="L160"/>
      <c r="M160"/>
      <c r="N160"/>
      <c r="O160"/>
      <c r="P160"/>
      <c r="AR160" s="1666"/>
    </row>
    <row r="161" customFormat="1" ht="13.2"/>
    <row r="162" customFormat="1" ht="13.2"/>
    <row r="163" customFormat="1" ht="13.2"/>
    <row r="164" customFormat="1" ht="13.2"/>
    <row r="165" customFormat="1" ht="13.2"/>
    <row r="166" customFormat="1" ht="13.2"/>
    <row r="167" customFormat="1" ht="13.2"/>
    <row r="168" customFormat="1" ht="13.2"/>
    <row r="169" customFormat="1" ht="13.2"/>
    <row r="170" customFormat="1" ht="13.2"/>
    <row r="171" customFormat="1" ht="13.2"/>
    <row r="172" customFormat="1" ht="13.2"/>
    <row r="173" customFormat="1" ht="13.2"/>
    <row r="174" customFormat="1" ht="13.2"/>
    <row r="175" customFormat="1" ht="13.2"/>
    <row r="176" customFormat="1" ht="13.2"/>
    <row r="177" customFormat="1" ht="13.2"/>
    <row r="178" customFormat="1" ht="13.2"/>
    <row r="179" customFormat="1" ht="13.2"/>
    <row r="180" customFormat="1" ht="13.2"/>
    <row r="181" customFormat="1" ht="13.2"/>
    <row r="182" customFormat="1" ht="13.2"/>
    <row r="183" customFormat="1" ht="13.2"/>
    <row r="184" customFormat="1" ht="13.2"/>
    <row r="185" customFormat="1" ht="13.2"/>
    <row r="186" customFormat="1" ht="13.2"/>
    <row r="187" customFormat="1" ht="13.2"/>
    <row r="188" customFormat="1" ht="13.2"/>
    <row r="189" customFormat="1" ht="13.2"/>
    <row r="190" customFormat="1" ht="13.2"/>
    <row r="191" customFormat="1" ht="13.2"/>
    <row r="192" customFormat="1" ht="13.2"/>
    <row r="193" customFormat="1" ht="13.2"/>
    <row r="194" customFormat="1" ht="13.2"/>
    <row r="195" customFormat="1" ht="13.2"/>
    <row r="196" customFormat="1" ht="13.2"/>
    <row r="197" customFormat="1" ht="13.2"/>
    <row r="198" customFormat="1" ht="13.2"/>
    <row r="199" customFormat="1" ht="13.2"/>
    <row r="200" customFormat="1" ht="13.2"/>
    <row r="201" customFormat="1" ht="13.2"/>
    <row r="202" customFormat="1" ht="13.2"/>
    <row r="203" customFormat="1" ht="13.2"/>
    <row r="204" customFormat="1" ht="13.2"/>
    <row r="205" customFormat="1" ht="13.2"/>
    <row r="206" customFormat="1" ht="13.2"/>
    <row r="207" customFormat="1" ht="13.2"/>
    <row r="208" customFormat="1" ht="13.2"/>
    <row r="209" spans="3:62">
      <c r="C209"/>
      <c r="D209"/>
      <c r="E209"/>
      <c r="F209"/>
      <c r="G209"/>
      <c r="H209"/>
      <c r="I209"/>
      <c r="J209"/>
      <c r="K209"/>
      <c r="L209"/>
      <c r="M209"/>
      <c r="N209"/>
      <c r="O209"/>
      <c r="P209"/>
      <c r="BE209" s="444"/>
      <c r="BF209" s="444"/>
      <c r="BG209" s="444"/>
      <c r="BH209" s="444"/>
      <c r="BI209" s="444"/>
      <c r="BJ209" s="444"/>
    </row>
    <row r="210" spans="3:62">
      <c r="C210"/>
      <c r="D210"/>
      <c r="E210"/>
      <c r="F210"/>
      <c r="G210"/>
      <c r="H210"/>
      <c r="I210"/>
      <c r="J210"/>
      <c r="K210"/>
      <c r="L210"/>
      <c r="M210"/>
      <c r="N210"/>
      <c r="O210"/>
      <c r="P210"/>
      <c r="BE210" s="444"/>
      <c r="BF210" s="444"/>
      <c r="BG210" s="444"/>
      <c r="BH210" s="444"/>
      <c r="BI210" s="444"/>
      <c r="BJ210" s="444"/>
    </row>
    <row r="211" spans="3:62">
      <c r="C211"/>
      <c r="D211"/>
      <c r="E211"/>
      <c r="F211"/>
      <c r="G211"/>
      <c r="H211"/>
      <c r="I211"/>
      <c r="J211"/>
      <c r="K211"/>
      <c r="L211"/>
      <c r="M211"/>
      <c r="N211"/>
      <c r="O211"/>
      <c r="P211"/>
      <c r="BE211" s="444"/>
      <c r="BF211" s="444"/>
      <c r="BG211" s="444"/>
      <c r="BH211" s="444"/>
      <c r="BI211" s="444"/>
      <c r="BJ211" s="444"/>
    </row>
    <row r="212" spans="3:62">
      <c r="C212"/>
      <c r="D212"/>
      <c r="E212"/>
      <c r="F212"/>
      <c r="G212"/>
      <c r="H212"/>
      <c r="I212"/>
      <c r="J212"/>
      <c r="K212"/>
      <c r="L212"/>
      <c r="M212"/>
      <c r="N212"/>
      <c r="O212"/>
      <c r="P212"/>
      <c r="BE212" s="444"/>
      <c r="BF212" s="444"/>
      <c r="BG212" s="444"/>
      <c r="BH212" s="444"/>
      <c r="BI212" s="444"/>
      <c r="BJ212" s="444"/>
    </row>
    <row r="213" spans="3:62">
      <c r="C213"/>
      <c r="D213"/>
      <c r="E213"/>
      <c r="F213"/>
      <c r="G213"/>
      <c r="H213"/>
      <c r="I213"/>
      <c r="J213"/>
      <c r="K213"/>
      <c r="L213"/>
      <c r="M213"/>
      <c r="N213"/>
      <c r="O213"/>
      <c r="P213"/>
      <c r="BE213" s="444"/>
      <c r="BF213" s="444"/>
      <c r="BG213" s="444"/>
      <c r="BH213" s="444"/>
      <c r="BI213" s="444"/>
      <c r="BJ213" s="444"/>
    </row>
    <row r="214" spans="3:62">
      <c r="C214"/>
      <c r="D214"/>
      <c r="E214"/>
      <c r="F214"/>
      <c r="G214"/>
      <c r="H214"/>
      <c r="I214"/>
      <c r="J214"/>
      <c r="K214"/>
      <c r="L214"/>
      <c r="M214"/>
      <c r="N214"/>
      <c r="O214"/>
      <c r="P214"/>
      <c r="BE214" s="444"/>
      <c r="BF214" s="444"/>
      <c r="BG214" s="444"/>
      <c r="BH214" s="444"/>
      <c r="BI214" s="444"/>
      <c r="BJ214" s="444"/>
    </row>
    <row r="215" spans="3:62">
      <c r="C215"/>
      <c r="D215"/>
      <c r="E215"/>
      <c r="F215"/>
      <c r="G215"/>
      <c r="H215"/>
      <c r="I215"/>
      <c r="J215"/>
      <c r="K215"/>
      <c r="L215"/>
      <c r="M215"/>
      <c r="N215"/>
      <c r="O215"/>
      <c r="P215"/>
      <c r="BE215" s="444"/>
      <c r="BF215" s="444"/>
      <c r="BG215" s="444"/>
      <c r="BH215" s="444"/>
      <c r="BI215" s="444"/>
      <c r="BJ215" s="444"/>
    </row>
    <row r="216" spans="3:62">
      <c r="C216"/>
      <c r="D216"/>
      <c r="E216"/>
      <c r="F216"/>
      <c r="G216"/>
      <c r="H216"/>
      <c r="I216"/>
      <c r="J216"/>
      <c r="K216"/>
      <c r="L216"/>
      <c r="M216"/>
      <c r="N216"/>
      <c r="O216"/>
      <c r="P216"/>
      <c r="BE216" s="444"/>
      <c r="BF216" s="444"/>
      <c r="BG216" s="444"/>
      <c r="BH216" s="444"/>
      <c r="BI216" s="444"/>
      <c r="BJ216" s="444"/>
    </row>
    <row r="217" spans="3:62">
      <c r="C217"/>
      <c r="D217"/>
      <c r="E217"/>
      <c r="F217"/>
      <c r="G217"/>
      <c r="H217"/>
      <c r="I217"/>
      <c r="J217"/>
      <c r="K217"/>
      <c r="L217"/>
      <c r="M217"/>
      <c r="N217"/>
      <c r="O217"/>
      <c r="P217"/>
      <c r="BE217" s="444"/>
      <c r="BF217" s="444"/>
      <c r="BG217" s="444"/>
      <c r="BH217" s="444"/>
      <c r="BI217" s="444"/>
      <c r="BJ217" s="444"/>
    </row>
    <row r="218" spans="3:62">
      <c r="C218"/>
      <c r="D218"/>
      <c r="E218"/>
      <c r="F218"/>
      <c r="G218"/>
      <c r="H218"/>
      <c r="I218"/>
      <c r="J218"/>
      <c r="K218"/>
      <c r="L218"/>
      <c r="M218"/>
      <c r="N218"/>
      <c r="O218"/>
      <c r="P218"/>
      <c r="BE218" s="444"/>
      <c r="BF218" s="444"/>
      <c r="BG218" s="444"/>
      <c r="BH218" s="444"/>
      <c r="BI218" s="444"/>
      <c r="BJ218" s="444"/>
    </row>
    <row r="219" spans="3:62">
      <c r="Q219" s="444"/>
      <c r="R219" s="444"/>
      <c r="S219" s="444"/>
      <c r="T219" s="680"/>
      <c r="U219" s="444"/>
      <c r="V219" s="444"/>
      <c r="W219" s="444"/>
      <c r="X219" s="680"/>
      <c r="Y219" s="680"/>
      <c r="Z219" s="680"/>
      <c r="AA219" s="680"/>
      <c r="AB219" s="680"/>
      <c r="AC219" s="680"/>
      <c r="AD219" s="680"/>
      <c r="AE219" s="680"/>
      <c r="AF219" s="680"/>
      <c r="AG219" s="680"/>
      <c r="AH219" s="680"/>
      <c r="AI219" s="680"/>
      <c r="AJ219" s="680"/>
      <c r="AK219" s="680"/>
      <c r="AL219" s="680"/>
      <c r="AM219" s="680"/>
      <c r="AN219" s="680"/>
      <c r="AO219" s="680"/>
      <c r="AP219" s="680"/>
      <c r="AQ219" s="680"/>
      <c r="AR219" s="680"/>
      <c r="AS219" s="680"/>
      <c r="AT219" s="680"/>
      <c r="AU219" s="680"/>
      <c r="AV219" s="680"/>
      <c r="AW219" s="680"/>
      <c r="AX219" s="680"/>
      <c r="AY219" s="680"/>
      <c r="AZ219" s="680"/>
      <c r="BA219" s="680"/>
      <c r="BB219" s="680"/>
      <c r="BC219" s="680"/>
      <c r="BD219" s="680"/>
      <c r="BE219" s="444"/>
      <c r="BF219" s="444"/>
      <c r="BG219" s="444"/>
      <c r="BH219" s="444"/>
      <c r="BI219" s="444"/>
      <c r="BJ219" s="444"/>
    </row>
    <row r="220" spans="3:62">
      <c r="Q220" s="444"/>
      <c r="R220" s="444"/>
      <c r="S220" s="444"/>
      <c r="T220" s="680"/>
      <c r="U220" s="444"/>
      <c r="V220" s="444"/>
      <c r="W220" s="444"/>
      <c r="X220" s="680"/>
      <c r="Y220" s="680"/>
      <c r="Z220" s="680"/>
      <c r="AA220" s="680"/>
      <c r="AB220" s="680"/>
      <c r="AC220" s="680"/>
      <c r="AD220" s="680"/>
      <c r="AE220" s="680"/>
      <c r="AF220" s="680"/>
      <c r="AG220" s="680"/>
      <c r="AH220" s="680"/>
      <c r="AI220" s="680"/>
      <c r="AJ220" s="680"/>
      <c r="AK220" s="680"/>
      <c r="AL220" s="680"/>
      <c r="AM220" s="680"/>
      <c r="AN220" s="680"/>
      <c r="AO220" s="680"/>
      <c r="AP220" s="680"/>
      <c r="AQ220" s="680"/>
      <c r="AR220" s="680"/>
      <c r="AS220" s="680"/>
      <c r="AT220" s="680"/>
      <c r="AU220" s="680"/>
      <c r="AV220" s="680"/>
      <c r="AW220" s="680"/>
      <c r="AX220" s="680"/>
      <c r="AY220" s="680"/>
      <c r="AZ220" s="680"/>
      <c r="BA220" s="680"/>
      <c r="BB220" s="680"/>
      <c r="BC220" s="680"/>
      <c r="BD220" s="680"/>
      <c r="BE220" s="444"/>
      <c r="BF220" s="444"/>
      <c r="BG220" s="444"/>
      <c r="BH220" s="444"/>
      <c r="BI220" s="444"/>
      <c r="BJ220" s="444"/>
    </row>
    <row r="221" spans="3:62">
      <c r="Q221" s="444"/>
      <c r="R221" s="444"/>
      <c r="S221" s="444"/>
      <c r="T221" s="680"/>
      <c r="U221" s="444"/>
      <c r="V221" s="444"/>
      <c r="W221" s="444"/>
      <c r="X221" s="680"/>
      <c r="Y221" s="680"/>
      <c r="Z221" s="680"/>
      <c r="AA221" s="680"/>
      <c r="AB221" s="680"/>
      <c r="AC221" s="680"/>
      <c r="AD221" s="680"/>
      <c r="AE221" s="680"/>
      <c r="AF221" s="680"/>
      <c r="AG221" s="680"/>
      <c r="AH221" s="680"/>
      <c r="AI221" s="680"/>
      <c r="AJ221" s="680"/>
      <c r="AK221" s="680"/>
      <c r="AL221" s="680"/>
      <c r="AM221" s="680"/>
      <c r="AN221" s="680"/>
      <c r="AO221" s="680"/>
      <c r="AP221" s="680"/>
      <c r="AQ221" s="680"/>
      <c r="AR221" s="680"/>
      <c r="AS221" s="680"/>
      <c r="AT221" s="680"/>
      <c r="AU221" s="680"/>
      <c r="AV221" s="680"/>
      <c r="AW221" s="680"/>
      <c r="AX221" s="680"/>
      <c r="AY221" s="680"/>
      <c r="AZ221" s="680"/>
      <c r="BA221" s="680"/>
      <c r="BB221" s="680"/>
      <c r="BC221" s="680"/>
      <c r="BD221" s="680"/>
      <c r="BE221" s="444"/>
      <c r="BF221" s="444"/>
      <c r="BG221" s="444"/>
      <c r="BH221" s="444"/>
      <c r="BI221" s="444"/>
      <c r="BJ221" s="444"/>
    </row>
    <row r="222" spans="3:62">
      <c r="Q222" s="444"/>
      <c r="R222" s="444"/>
      <c r="S222" s="444"/>
      <c r="T222" s="680"/>
      <c r="U222" s="444"/>
      <c r="V222" s="444"/>
      <c r="W222" s="444"/>
      <c r="X222" s="680"/>
      <c r="Y222" s="680"/>
      <c r="Z222" s="680"/>
      <c r="AA222" s="680"/>
      <c r="AB222" s="680"/>
      <c r="AC222" s="680"/>
      <c r="AD222" s="680"/>
      <c r="AE222" s="680"/>
      <c r="AF222" s="680"/>
      <c r="AG222" s="680"/>
      <c r="AH222" s="680"/>
      <c r="AI222" s="680"/>
      <c r="AJ222" s="680"/>
      <c r="AK222" s="680"/>
      <c r="AL222" s="680"/>
      <c r="AM222" s="680"/>
      <c r="AN222" s="680"/>
      <c r="AO222" s="680"/>
      <c r="AP222" s="680"/>
      <c r="AQ222" s="680"/>
      <c r="AR222" s="680"/>
      <c r="AS222" s="680"/>
      <c r="AT222" s="680"/>
      <c r="AU222" s="680"/>
      <c r="AV222" s="680"/>
      <c r="AW222" s="680"/>
      <c r="AX222" s="680"/>
      <c r="AY222" s="680"/>
      <c r="AZ222" s="680"/>
      <c r="BA222" s="680"/>
      <c r="BB222" s="680"/>
      <c r="BC222" s="680"/>
      <c r="BD222" s="680"/>
      <c r="BE222" s="444"/>
      <c r="BF222" s="444"/>
      <c r="BG222" s="444"/>
      <c r="BH222" s="444"/>
      <c r="BI222" s="444"/>
      <c r="BJ222" s="444"/>
    </row>
    <row r="223" spans="3:62">
      <c r="Q223" s="444"/>
      <c r="R223" s="444"/>
      <c r="S223" s="444"/>
      <c r="T223" s="680"/>
      <c r="U223" s="444"/>
      <c r="V223" s="444"/>
      <c r="W223" s="444"/>
      <c r="X223" s="680"/>
      <c r="Y223" s="680"/>
      <c r="Z223" s="680"/>
      <c r="AA223" s="680"/>
      <c r="AB223" s="680"/>
      <c r="AC223" s="680"/>
      <c r="AD223" s="680"/>
      <c r="AE223" s="680"/>
      <c r="AF223" s="680"/>
      <c r="AG223" s="680"/>
      <c r="AH223" s="680"/>
      <c r="AI223" s="680"/>
      <c r="AJ223" s="680"/>
      <c r="AK223" s="680"/>
      <c r="AL223" s="680"/>
      <c r="AM223" s="680"/>
      <c r="AN223" s="680"/>
      <c r="AO223" s="680"/>
      <c r="AP223" s="680"/>
      <c r="AQ223" s="680"/>
      <c r="AR223" s="680"/>
      <c r="AS223" s="680"/>
      <c r="AT223" s="680"/>
      <c r="AU223" s="680"/>
      <c r="AV223" s="680"/>
      <c r="AW223" s="680"/>
      <c r="AX223" s="680"/>
      <c r="AY223" s="680"/>
      <c r="AZ223" s="680"/>
      <c r="BA223" s="680"/>
      <c r="BB223" s="680"/>
      <c r="BC223" s="680"/>
      <c r="BD223" s="680"/>
      <c r="BE223" s="444"/>
      <c r="BF223" s="444"/>
      <c r="BG223" s="444"/>
      <c r="BH223" s="444"/>
      <c r="BI223" s="444"/>
      <c r="BJ223" s="444"/>
    </row>
    <row r="224" spans="3:62">
      <c r="Q224" s="444"/>
      <c r="R224" s="444"/>
      <c r="S224" s="444"/>
      <c r="T224" s="680"/>
      <c r="U224" s="444"/>
      <c r="V224" s="444"/>
      <c r="W224" s="444"/>
      <c r="X224" s="680"/>
      <c r="Y224" s="680"/>
      <c r="Z224" s="680"/>
      <c r="AA224" s="680"/>
      <c r="AB224" s="680"/>
      <c r="AC224" s="680"/>
      <c r="AD224" s="680"/>
      <c r="AE224" s="680"/>
      <c r="AF224" s="680"/>
      <c r="AG224" s="680"/>
      <c r="AH224" s="680"/>
      <c r="AI224" s="680"/>
      <c r="AJ224" s="680"/>
      <c r="AK224" s="680"/>
      <c r="AL224" s="680"/>
      <c r="AM224" s="680"/>
      <c r="AN224" s="680"/>
      <c r="AO224" s="680"/>
      <c r="AP224" s="680"/>
      <c r="AQ224" s="680"/>
      <c r="AR224" s="680"/>
      <c r="AS224" s="680"/>
      <c r="AT224" s="680"/>
      <c r="AU224" s="680"/>
      <c r="AV224" s="680"/>
      <c r="AW224" s="680"/>
      <c r="AX224" s="680"/>
      <c r="AY224" s="680"/>
      <c r="AZ224" s="680"/>
      <c r="BA224" s="680"/>
      <c r="BB224" s="680"/>
      <c r="BC224" s="680"/>
      <c r="BD224" s="680"/>
      <c r="BE224" s="444"/>
      <c r="BF224" s="444"/>
      <c r="BG224" s="444"/>
      <c r="BH224" s="444"/>
      <c r="BI224" s="444"/>
      <c r="BJ224" s="444"/>
    </row>
    <row r="225" spans="8:62">
      <c r="Q225" s="444"/>
      <c r="R225" s="444"/>
      <c r="S225" s="444"/>
      <c r="T225" s="680"/>
      <c r="U225" s="444"/>
      <c r="V225" s="444"/>
      <c r="W225" s="444"/>
      <c r="X225" s="680"/>
      <c r="Y225" s="680"/>
      <c r="Z225" s="680"/>
      <c r="AA225" s="680"/>
      <c r="AB225" s="680"/>
      <c r="AC225" s="680"/>
      <c r="AD225" s="680"/>
      <c r="AE225" s="680"/>
      <c r="AF225" s="680"/>
      <c r="AG225" s="680"/>
      <c r="AH225" s="680"/>
      <c r="AI225" s="680"/>
      <c r="AJ225" s="680"/>
      <c r="AK225" s="680"/>
      <c r="AL225" s="680"/>
      <c r="AM225" s="680"/>
      <c r="AN225" s="680"/>
      <c r="AO225" s="680"/>
      <c r="AP225" s="680"/>
      <c r="AQ225" s="680"/>
      <c r="AR225" s="680"/>
      <c r="AS225" s="680"/>
      <c r="AT225" s="680"/>
      <c r="AU225" s="680"/>
      <c r="AV225" s="680"/>
      <c r="AW225" s="680"/>
      <c r="AX225" s="680"/>
      <c r="AY225" s="680"/>
      <c r="AZ225" s="680"/>
      <c r="BA225" s="680"/>
      <c r="BB225" s="680"/>
      <c r="BC225" s="680"/>
      <c r="BD225" s="680"/>
      <c r="BE225" s="444"/>
      <c r="BF225" s="444"/>
      <c r="BG225" s="444"/>
      <c r="BH225" s="444"/>
      <c r="BI225" s="444"/>
      <c r="BJ225" s="444"/>
    </row>
    <row r="226" spans="8:62">
      <c r="Q226" s="444"/>
      <c r="R226" s="444"/>
      <c r="S226" s="444"/>
      <c r="T226" s="680"/>
      <c r="U226" s="444"/>
      <c r="V226" s="444"/>
      <c r="W226" s="444"/>
      <c r="X226" s="680"/>
      <c r="Y226" s="680"/>
      <c r="Z226" s="680"/>
      <c r="AA226" s="680"/>
      <c r="AB226" s="680"/>
      <c r="AC226" s="680"/>
      <c r="AD226" s="680"/>
      <c r="AE226" s="680"/>
      <c r="BE226" s="444"/>
      <c r="BF226" s="444"/>
      <c r="BG226" s="444"/>
      <c r="BH226" s="444"/>
      <c r="BI226" s="444"/>
      <c r="BJ226" s="444"/>
    </row>
    <row r="227" spans="8:62">
      <c r="Q227" s="444"/>
      <c r="R227" s="444"/>
      <c r="S227" s="444"/>
      <c r="T227" s="680"/>
      <c r="U227" s="444"/>
      <c r="V227" s="444"/>
      <c r="W227" s="444"/>
      <c r="X227" s="680"/>
      <c r="Y227" s="680"/>
      <c r="Z227" s="680"/>
      <c r="AA227" s="680"/>
      <c r="AB227" s="680"/>
      <c r="AC227" s="680"/>
      <c r="AD227" s="680"/>
      <c r="AE227" s="680"/>
      <c r="BE227" s="444"/>
      <c r="BF227" s="444"/>
    </row>
    <row r="228" spans="8:62">
      <c r="H228" s="444"/>
      <c r="L228" s="444"/>
      <c r="P228" s="444"/>
      <c r="Q228" s="444"/>
      <c r="R228" s="444"/>
      <c r="S228" s="444"/>
      <c r="T228" s="444"/>
      <c r="U228" s="444"/>
      <c r="V228" s="444"/>
      <c r="W228" s="444"/>
      <c r="X228" s="444"/>
      <c r="Y228" s="444"/>
      <c r="Z228" s="444"/>
      <c r="AA228" s="444"/>
      <c r="AB228" s="444"/>
      <c r="AC228" s="444"/>
      <c r="AD228" s="444"/>
      <c r="AE228" s="444"/>
      <c r="BF228" s="444"/>
    </row>
    <row r="229" spans="8:62">
      <c r="H229" s="444"/>
      <c r="L229" s="444"/>
      <c r="P229" s="444"/>
      <c r="Q229" s="444"/>
      <c r="R229" s="444"/>
      <c r="S229" s="444"/>
      <c r="T229" s="444"/>
      <c r="U229" s="444"/>
      <c r="V229" s="444"/>
      <c r="W229" s="444"/>
      <c r="X229" s="444"/>
      <c r="Y229" s="444"/>
      <c r="Z229" s="444"/>
      <c r="AA229" s="444"/>
      <c r="AB229" s="444"/>
      <c r="AC229" s="444"/>
      <c r="AD229" s="444"/>
      <c r="AE229" s="444"/>
      <c r="BF229" s="444"/>
    </row>
    <row r="230" spans="8:62">
      <c r="H230" s="444"/>
      <c r="L230" s="444"/>
      <c r="P230" s="444"/>
      <c r="Q230" s="444"/>
      <c r="R230" s="444"/>
      <c r="S230" s="444"/>
      <c r="T230" s="444"/>
      <c r="U230" s="444"/>
      <c r="V230" s="444"/>
      <c r="W230" s="444"/>
      <c r="X230" s="444"/>
      <c r="Y230" s="444"/>
      <c r="Z230" s="444"/>
      <c r="AA230" s="444"/>
      <c r="AB230" s="444"/>
      <c r="AC230" s="444"/>
      <c r="AD230" s="444"/>
      <c r="AE230" s="444"/>
      <c r="BF230" s="444"/>
    </row>
    <row r="231" spans="8:62">
      <c r="H231" s="444"/>
      <c r="L231" s="444"/>
      <c r="P231" s="444"/>
      <c r="Q231" s="444"/>
      <c r="R231" s="444"/>
      <c r="S231" s="444"/>
      <c r="T231" s="444"/>
      <c r="U231" s="444"/>
      <c r="V231" s="444"/>
      <c r="W231" s="444"/>
      <c r="X231" s="444"/>
      <c r="Y231" s="444"/>
      <c r="Z231" s="444"/>
      <c r="AA231" s="444"/>
      <c r="AB231" s="444"/>
      <c r="AC231" s="444"/>
      <c r="AD231" s="444"/>
      <c r="AE231" s="444"/>
      <c r="BF231" s="444"/>
    </row>
    <row r="232" spans="8:62">
      <c r="H232" s="444"/>
      <c r="L232" s="444"/>
      <c r="P232" s="444"/>
      <c r="Q232" s="444"/>
      <c r="R232" s="444"/>
      <c r="S232" s="444"/>
      <c r="T232" s="444"/>
      <c r="U232" s="444"/>
      <c r="V232" s="444"/>
      <c r="W232" s="444"/>
      <c r="X232" s="444"/>
      <c r="Y232" s="444"/>
      <c r="Z232" s="444"/>
      <c r="AA232" s="444"/>
      <c r="AB232" s="444"/>
      <c r="AC232" s="444"/>
      <c r="AD232" s="444"/>
      <c r="AE232" s="444"/>
      <c r="BF232" s="444"/>
    </row>
    <row r="233" spans="8:62">
      <c r="H233" s="444"/>
      <c r="L233" s="444"/>
      <c r="P233" s="444"/>
      <c r="Q233" s="444"/>
      <c r="R233" s="444"/>
      <c r="S233" s="444"/>
      <c r="T233" s="444"/>
      <c r="U233" s="444"/>
      <c r="V233" s="444"/>
      <c r="W233" s="444"/>
      <c r="X233" s="444"/>
      <c r="Y233" s="444"/>
      <c r="Z233" s="444"/>
      <c r="AA233" s="444"/>
      <c r="AB233" s="444"/>
      <c r="AC233" s="444"/>
      <c r="AD233" s="444"/>
      <c r="AE233" s="444"/>
      <c r="BF233" s="444"/>
    </row>
    <row r="234" spans="8:62">
      <c r="H234" s="444"/>
      <c r="L234" s="444"/>
      <c r="P234" s="444"/>
      <c r="Q234" s="444"/>
      <c r="R234" s="444"/>
      <c r="S234" s="444"/>
      <c r="T234" s="444"/>
      <c r="U234" s="444"/>
      <c r="V234" s="444"/>
      <c r="W234" s="444"/>
      <c r="X234" s="444"/>
      <c r="Y234" s="444"/>
      <c r="Z234" s="444"/>
      <c r="AA234" s="444"/>
      <c r="AB234" s="444"/>
      <c r="AC234" s="444"/>
      <c r="AD234" s="444"/>
      <c r="AE234" s="444"/>
      <c r="BF234" s="444"/>
    </row>
    <row r="235" spans="8:62">
      <c r="H235" s="444"/>
      <c r="L235" s="444"/>
      <c r="P235" s="444"/>
      <c r="Q235" s="444"/>
      <c r="R235" s="444"/>
      <c r="S235" s="444"/>
      <c r="T235" s="444"/>
      <c r="U235" s="444"/>
      <c r="V235" s="444"/>
      <c r="W235" s="444"/>
      <c r="X235" s="444"/>
      <c r="Y235" s="444"/>
      <c r="Z235" s="444"/>
      <c r="AA235" s="444"/>
      <c r="AB235" s="444"/>
      <c r="AC235" s="444"/>
      <c r="AD235" s="444"/>
      <c r="AE235" s="444"/>
      <c r="BF235" s="444"/>
    </row>
    <row r="236" spans="8:62">
      <c r="H236" s="444"/>
      <c r="L236" s="444"/>
      <c r="P236" s="444"/>
      <c r="Q236" s="444"/>
      <c r="R236" s="444"/>
      <c r="S236" s="444"/>
      <c r="T236" s="444"/>
      <c r="U236" s="444"/>
      <c r="V236" s="444"/>
      <c r="W236" s="444"/>
      <c r="X236" s="444"/>
      <c r="Y236" s="444"/>
      <c r="Z236" s="444"/>
      <c r="AA236" s="444"/>
      <c r="AB236" s="444"/>
      <c r="AC236" s="444"/>
      <c r="AD236" s="444"/>
      <c r="AE236" s="444"/>
      <c r="BF236" s="444"/>
    </row>
    <row r="237" spans="8:62">
      <c r="H237" s="444"/>
      <c r="L237" s="444"/>
      <c r="P237" s="444"/>
      <c r="Q237" s="444"/>
      <c r="R237" s="444"/>
      <c r="S237" s="444"/>
      <c r="T237" s="444"/>
      <c r="U237" s="444"/>
      <c r="V237" s="444"/>
      <c r="W237" s="444"/>
      <c r="X237" s="444"/>
      <c r="Y237" s="444"/>
      <c r="Z237" s="444"/>
      <c r="AA237" s="444"/>
      <c r="AB237" s="444"/>
      <c r="AC237" s="444"/>
      <c r="AD237" s="444"/>
      <c r="AE237" s="444"/>
      <c r="BF237" s="444"/>
    </row>
    <row r="238" spans="8:62">
      <c r="Q238" s="444"/>
      <c r="R238" s="444"/>
      <c r="S238" s="444"/>
      <c r="T238" s="680"/>
      <c r="U238" s="444"/>
      <c r="V238" s="444"/>
      <c r="W238" s="444"/>
      <c r="X238" s="680"/>
      <c r="Y238" s="680"/>
      <c r="Z238" s="680"/>
      <c r="AA238" s="680"/>
      <c r="AB238" s="680"/>
      <c r="AC238" s="680"/>
      <c r="AD238" s="680"/>
      <c r="AE238" s="680"/>
      <c r="BE238" s="444"/>
      <c r="BF238" s="444"/>
    </row>
    <row r="239" spans="8:62">
      <c r="Q239" s="444"/>
      <c r="R239" s="444"/>
      <c r="S239" s="444"/>
      <c r="T239" s="680"/>
      <c r="U239" s="444"/>
      <c r="V239" s="444"/>
      <c r="W239" s="444"/>
      <c r="X239" s="680"/>
      <c r="Y239" s="680"/>
      <c r="Z239" s="680"/>
      <c r="AA239" s="680"/>
      <c r="AB239" s="680"/>
      <c r="AC239" s="680"/>
      <c r="AD239" s="680"/>
      <c r="AE239" s="680"/>
      <c r="BE239" s="444"/>
      <c r="BF239" s="444"/>
    </row>
    <row r="240" spans="8:62">
      <c r="Q240" s="444"/>
      <c r="R240" s="444"/>
      <c r="S240" s="444"/>
      <c r="T240" s="680"/>
      <c r="U240" s="444"/>
      <c r="V240" s="444"/>
      <c r="W240" s="444"/>
      <c r="X240" s="680"/>
      <c r="Y240" s="680"/>
      <c r="Z240" s="680"/>
      <c r="AA240" s="680"/>
      <c r="AB240" s="680"/>
      <c r="AC240" s="680"/>
      <c r="AD240" s="680"/>
      <c r="AE240" s="680"/>
      <c r="BE240" s="444"/>
      <c r="BF240" s="444"/>
    </row>
    <row r="241" spans="17:62">
      <c r="Q241" s="444"/>
      <c r="R241" s="444"/>
      <c r="S241" s="444"/>
      <c r="T241" s="680"/>
      <c r="U241" s="444"/>
      <c r="V241" s="444"/>
      <c r="W241" s="444"/>
      <c r="X241" s="680"/>
      <c r="Y241" s="680"/>
      <c r="Z241" s="680"/>
      <c r="AA241" s="680"/>
      <c r="AB241" s="680"/>
      <c r="AC241" s="680"/>
      <c r="AD241" s="680"/>
      <c r="AE241" s="680"/>
      <c r="BE241" s="444"/>
      <c r="BF241" s="444"/>
    </row>
    <row r="242" spans="17:62">
      <c r="Q242" s="444"/>
      <c r="R242" s="444"/>
      <c r="S242" s="444"/>
      <c r="T242" s="680"/>
      <c r="U242" s="444"/>
      <c r="V242" s="444"/>
      <c r="W242" s="444"/>
      <c r="X242" s="680"/>
      <c r="Y242" s="680"/>
      <c r="Z242" s="680"/>
      <c r="AA242" s="680"/>
      <c r="AB242" s="680"/>
      <c r="AC242" s="680"/>
      <c r="AD242" s="680"/>
      <c r="AE242" s="680"/>
      <c r="BE242" s="444"/>
      <c r="BF242" s="444"/>
    </row>
    <row r="243" spans="17:62">
      <c r="Q243" s="444"/>
      <c r="R243" s="444"/>
      <c r="S243" s="444"/>
      <c r="T243" s="680"/>
      <c r="U243" s="444"/>
      <c r="V243" s="444"/>
      <c r="W243" s="444"/>
      <c r="X243" s="680"/>
      <c r="Y243" s="680"/>
      <c r="Z243" s="680"/>
      <c r="AA243" s="680"/>
      <c r="AB243" s="680"/>
      <c r="AC243" s="680"/>
      <c r="AD243" s="680"/>
      <c r="AE243" s="680"/>
      <c r="AF243" s="680"/>
      <c r="AG243" s="680"/>
      <c r="AH243" s="680"/>
      <c r="AI243" s="680"/>
      <c r="AJ243" s="680"/>
      <c r="AK243" s="680"/>
      <c r="AL243" s="680"/>
      <c r="AM243" s="680"/>
      <c r="AN243" s="680"/>
      <c r="AO243" s="680"/>
      <c r="AP243" s="680"/>
      <c r="AQ243" s="680"/>
      <c r="AR243" s="680"/>
      <c r="AS243" s="680"/>
      <c r="AT243" s="680"/>
      <c r="AU243" s="680"/>
      <c r="AV243" s="680"/>
      <c r="AW243" s="680"/>
      <c r="AX243" s="680"/>
      <c r="AY243" s="680"/>
      <c r="AZ243" s="680"/>
      <c r="BA243" s="680"/>
      <c r="BB243" s="680"/>
      <c r="BC243" s="680"/>
      <c r="BD243" s="680"/>
      <c r="BE243" s="444"/>
      <c r="BF243" s="444"/>
    </row>
    <row r="244" spans="17:62">
      <c r="Q244" s="444"/>
      <c r="R244" s="444"/>
      <c r="S244" s="444"/>
      <c r="T244" s="680"/>
      <c r="U244" s="444"/>
      <c r="V244" s="444"/>
      <c r="W244" s="444"/>
      <c r="X244" s="680"/>
      <c r="Y244" s="680"/>
      <c r="Z244" s="680"/>
      <c r="AA244" s="680"/>
      <c r="AB244" s="680"/>
      <c r="AC244" s="680"/>
      <c r="AD244" s="680"/>
      <c r="AE244" s="680"/>
      <c r="AF244" s="680"/>
      <c r="AG244" s="680"/>
      <c r="AH244" s="680"/>
      <c r="AI244" s="680"/>
      <c r="AJ244" s="680"/>
      <c r="AK244" s="680"/>
      <c r="AL244" s="680"/>
      <c r="AM244" s="680"/>
      <c r="AN244" s="680"/>
      <c r="AO244" s="680"/>
      <c r="AP244" s="680"/>
      <c r="AQ244" s="680"/>
      <c r="AR244" s="680"/>
      <c r="AS244" s="680"/>
      <c r="AT244" s="680"/>
      <c r="AU244" s="680"/>
      <c r="AV244" s="680"/>
      <c r="AW244" s="680"/>
      <c r="AX244" s="680"/>
      <c r="AY244" s="680"/>
      <c r="AZ244" s="680"/>
      <c r="BA244" s="680"/>
      <c r="BB244" s="680"/>
      <c r="BC244" s="680"/>
      <c r="BD244" s="680"/>
      <c r="BE244" s="444"/>
      <c r="BF244" s="444"/>
    </row>
    <row r="246" spans="17:62">
      <c r="BJ246" s="444"/>
    </row>
    <row r="247" spans="17:62">
      <c r="BJ247" s="444"/>
    </row>
    <row r="248" spans="17:62">
      <c r="BJ248" s="444"/>
    </row>
    <row r="249" spans="17:62">
      <c r="BJ249" s="444"/>
    </row>
    <row r="250" spans="17:62">
      <c r="BJ250" s="444"/>
    </row>
    <row r="251" spans="17:62">
      <c r="BJ251" s="444"/>
    </row>
    <row r="252" spans="17:62">
      <c r="BJ252" s="444"/>
    </row>
    <row r="253" spans="17:62">
      <c r="BJ253" s="444"/>
    </row>
    <row r="254" spans="17:62">
      <c r="BJ254" s="444"/>
    </row>
    <row r="255" spans="17:62">
      <c r="BJ255" s="444"/>
    </row>
    <row r="256" spans="17:62">
      <c r="BJ256" s="444"/>
    </row>
    <row r="257" spans="62:62">
      <c r="BJ257" s="444"/>
    </row>
    <row r="258" spans="62:62">
      <c r="BJ258" s="444"/>
    </row>
    <row r="259" spans="62:62">
      <c r="BJ259" s="444"/>
    </row>
    <row r="260" spans="62:62">
      <c r="BJ260" s="444"/>
    </row>
    <row r="261" spans="62:62">
      <c r="BJ261" s="444"/>
    </row>
    <row r="262" spans="62:62">
      <c r="BJ262" s="444"/>
    </row>
    <row r="263" spans="62:62">
      <c r="BJ263" s="444"/>
    </row>
    <row r="264" spans="62:62">
      <c r="BJ264" s="444"/>
    </row>
    <row r="265" spans="62:62">
      <c r="BJ265" s="444"/>
    </row>
    <row r="266" spans="62:62">
      <c r="BJ266" s="444"/>
    </row>
    <row r="267" spans="62:62">
      <c r="BJ267" s="444"/>
    </row>
    <row r="268" spans="62:62">
      <c r="BJ268" s="444"/>
    </row>
    <row r="269" spans="62:62">
      <c r="BJ269" s="444"/>
    </row>
    <row r="270" spans="62:62">
      <c r="BJ270" s="444"/>
    </row>
    <row r="271" spans="62:62">
      <c r="BJ271" s="444"/>
    </row>
    <row r="272" spans="62:62">
      <c r="BJ272" s="444"/>
    </row>
    <row r="273" spans="62:62">
      <c r="BJ273" s="444"/>
    </row>
    <row r="274" spans="62:62">
      <c r="BJ274" s="444"/>
    </row>
    <row r="275" spans="62:62">
      <c r="BJ275" s="444"/>
    </row>
    <row r="276" spans="62:62">
      <c r="BJ276" s="444"/>
    </row>
    <row r="277" spans="62:62">
      <c r="BJ277" s="444"/>
    </row>
    <row r="278" spans="62:62">
      <c r="BJ278" s="444"/>
    </row>
    <row r="292" spans="3:16" ht="12.75" customHeight="1"/>
    <row r="294" spans="3:16" ht="12.75" customHeight="1"/>
    <row r="300" spans="3:16" ht="13.2">
      <c r="C300"/>
      <c r="D300"/>
      <c r="E300"/>
      <c r="F300"/>
      <c r="G300"/>
      <c r="H300"/>
      <c r="I300"/>
      <c r="J300"/>
      <c r="K300"/>
      <c r="L300"/>
      <c r="M300"/>
      <c r="N300"/>
      <c r="O300"/>
      <c r="P300"/>
    </row>
    <row r="301" spans="3:16" ht="13.2">
      <c r="C301"/>
      <c r="D301"/>
      <c r="E301"/>
      <c r="F301"/>
      <c r="G301"/>
      <c r="H301"/>
      <c r="I301"/>
      <c r="J301"/>
      <c r="K301"/>
      <c r="L301"/>
      <c r="M301"/>
      <c r="N301"/>
      <c r="O301"/>
      <c r="P301"/>
    </row>
    <row r="302" spans="3:16" ht="13.2">
      <c r="C302"/>
      <c r="D302"/>
      <c r="E302"/>
      <c r="F302"/>
      <c r="G302"/>
      <c r="H302"/>
      <c r="I302"/>
      <c r="J302"/>
      <c r="K302"/>
      <c r="L302"/>
      <c r="M302"/>
      <c r="N302"/>
      <c r="O302"/>
      <c r="P302"/>
    </row>
    <row r="303" spans="3:16" ht="13.2">
      <c r="C303"/>
      <c r="D303"/>
      <c r="E303"/>
      <c r="F303"/>
      <c r="G303"/>
      <c r="H303"/>
      <c r="I303"/>
      <c r="J303"/>
      <c r="K303"/>
      <c r="L303"/>
      <c r="M303"/>
      <c r="N303"/>
      <c r="O303"/>
      <c r="P303"/>
    </row>
    <row r="304" spans="3:16" ht="13.2">
      <c r="C304"/>
      <c r="D304"/>
      <c r="E304"/>
      <c r="F304"/>
      <c r="G304"/>
      <c r="H304"/>
      <c r="I304"/>
      <c r="J304"/>
      <c r="K304"/>
      <c r="L304"/>
      <c r="M304"/>
      <c r="N304"/>
      <c r="O304"/>
      <c r="P304"/>
    </row>
    <row r="305" customFormat="1" ht="13.2"/>
    <row r="306" customFormat="1" ht="13.2"/>
    <row r="307" customFormat="1" ht="13.2"/>
    <row r="308" customFormat="1" ht="13.2"/>
    <row r="309" customFormat="1" ht="13.2"/>
    <row r="310" customFormat="1" ht="13.2"/>
    <row r="311" customFormat="1" ht="13.2"/>
    <row r="312" customFormat="1" ht="13.2"/>
    <row r="313" customFormat="1" ht="13.2"/>
    <row r="314" customFormat="1" ht="13.2"/>
    <row r="315" customFormat="1" ht="13.2"/>
    <row r="316" customFormat="1" ht="13.2"/>
    <row r="317" customFormat="1" ht="13.2"/>
    <row r="318" customFormat="1" ht="13.2"/>
    <row r="319" customFormat="1" ht="13.2"/>
    <row r="320" customFormat="1" ht="13.2"/>
    <row r="321" customFormat="1" ht="13.2"/>
    <row r="322" customFormat="1" ht="13.2"/>
    <row r="323" customFormat="1" ht="13.2"/>
    <row r="324" customFormat="1" ht="13.2"/>
    <row r="325" customFormat="1" ht="13.2"/>
    <row r="326" customFormat="1" ht="13.2"/>
    <row r="327" customFormat="1" ht="13.2"/>
    <row r="328" customFormat="1" ht="13.2"/>
    <row r="329" customFormat="1" ht="13.2"/>
    <row r="330" customFormat="1" ht="13.2"/>
    <row r="331" customFormat="1" ht="13.2"/>
    <row r="332" customFormat="1" ht="13.2"/>
    <row r="333" customFormat="1" ht="13.2"/>
    <row r="334" customFormat="1" ht="13.2"/>
    <row r="335" customFormat="1" ht="13.2"/>
    <row r="336" customFormat="1" ht="13.2"/>
    <row r="337" customFormat="1" ht="13.2"/>
    <row r="338" customFormat="1" ht="13.2"/>
    <row r="339" customFormat="1" ht="13.2"/>
    <row r="340" customFormat="1" ht="13.2"/>
    <row r="341" customFormat="1" ht="13.2"/>
    <row r="342" customFormat="1" ht="13.2"/>
    <row r="343" customFormat="1" ht="13.2"/>
  </sheetData>
  <pageMargins left="0" right="0" top="0" bottom="0" header="0" footer="0"/>
  <pageSetup paperSize="5" scale="14" orientation="landscape"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0">
    <tabColor rgb="FFFFFF99"/>
  </sheetPr>
  <dimension ref="A1:EQ157"/>
  <sheetViews>
    <sheetView workbookViewId="0">
      <selection activeCell="D2" sqref="D2"/>
    </sheetView>
  </sheetViews>
  <sheetFormatPr defaultRowHeight="13.2" outlineLevelCol="1"/>
  <cols>
    <col min="1" max="1" width="0.5546875" customWidth="1"/>
    <col min="2" max="2" width="28.33203125" customWidth="1"/>
    <col min="3" max="3" width="7.44140625" customWidth="1"/>
    <col min="4" max="4" width="6.44140625" customWidth="1"/>
    <col min="5" max="5" width="0.6640625" customWidth="1"/>
    <col min="6" max="6" width="29.5546875" customWidth="1"/>
    <col min="7" max="7" width="9.33203125" customWidth="1"/>
    <col min="8" max="8" width="10.33203125" customWidth="1"/>
    <col min="9" max="10" width="10.88671875" customWidth="1"/>
    <col min="11" max="11" width="4" customWidth="1"/>
    <col min="12" max="16" width="12.6640625" style="757" customWidth="1"/>
    <col min="17" max="17" width="5.6640625" customWidth="1"/>
    <col min="18" max="18" width="36.6640625" customWidth="1"/>
    <col min="19" max="19" width="10.5546875" customWidth="1"/>
    <col min="20" max="20" width="11" customWidth="1"/>
    <col min="21" max="25" width="12" hidden="1" customWidth="1" outlineLevel="1"/>
    <col min="26" max="26" width="12" hidden="1" customWidth="1" outlineLevel="1" collapsed="1"/>
    <col min="27" max="27" width="12" hidden="1" customWidth="1" outlineLevel="1"/>
    <col min="28" max="28" width="12" hidden="1" customWidth="1" outlineLevel="1" collapsed="1"/>
    <col min="29" max="30" width="12" hidden="1" customWidth="1" outlineLevel="1"/>
    <col min="31" max="31" width="12" customWidth="1" collapsed="1"/>
    <col min="32" max="147" width="12" customWidth="1"/>
  </cols>
  <sheetData>
    <row r="1" spans="2:147" s="10" customFormat="1">
      <c r="B1" s="110" t="s">
        <v>163</v>
      </c>
      <c r="C1" s="111"/>
      <c r="G1" s="111"/>
      <c r="H1" s="111"/>
      <c r="L1" s="111"/>
      <c r="M1" s="111"/>
      <c r="N1" s="111"/>
      <c r="O1" s="111"/>
      <c r="P1" s="111"/>
      <c r="S1" s="111"/>
      <c r="V1" s="10">
        <v>0</v>
      </c>
      <c r="W1" s="10">
        <v>0</v>
      </c>
      <c r="X1" s="10">
        <v>0</v>
      </c>
      <c r="Y1" s="10">
        <v>0</v>
      </c>
      <c r="Z1" s="694">
        <v>0</v>
      </c>
      <c r="AA1" s="694">
        <v>0</v>
      </c>
      <c r="AB1" s="694">
        <v>0</v>
      </c>
      <c r="AC1" s="10">
        <f>AC4</f>
        <v>0</v>
      </c>
      <c r="AD1" s="10">
        <f>AD4</f>
        <v>0</v>
      </c>
      <c r="AE1" s="10">
        <f>AE4</f>
        <v>0</v>
      </c>
      <c r="AF1" s="10">
        <f>AF4</f>
        <v>0</v>
      </c>
      <c r="AG1" s="10">
        <f>AG4</f>
        <v>0</v>
      </c>
      <c r="AH1" s="1626">
        <v>0</v>
      </c>
      <c r="AI1" s="10">
        <f>AI4</f>
        <v>1</v>
      </c>
      <c r="AJ1" s="10">
        <f t="shared" ref="AJ1:AK1" si="0">AJ4</f>
        <v>2</v>
      </c>
      <c r="AK1" s="10">
        <f t="shared" si="0"/>
        <v>3</v>
      </c>
      <c r="AL1" s="10">
        <f t="shared" ref="AL1:CU1" si="1">AK1+1</f>
        <v>4</v>
      </c>
      <c r="AM1" s="10">
        <f t="shared" si="1"/>
        <v>5</v>
      </c>
      <c r="AN1" s="10">
        <f t="shared" si="1"/>
        <v>6</v>
      </c>
      <c r="AO1" s="10">
        <f t="shared" si="1"/>
        <v>7</v>
      </c>
      <c r="AP1" s="10">
        <f t="shared" si="1"/>
        <v>8</v>
      </c>
      <c r="AQ1" s="10">
        <f t="shared" si="1"/>
        <v>9</v>
      </c>
      <c r="AR1" s="10">
        <f t="shared" si="1"/>
        <v>10</v>
      </c>
      <c r="AS1" s="10">
        <f t="shared" si="1"/>
        <v>11</v>
      </c>
      <c r="AT1" s="10">
        <f t="shared" si="1"/>
        <v>12</v>
      </c>
      <c r="AU1" s="10">
        <f t="shared" si="1"/>
        <v>13</v>
      </c>
      <c r="AV1" s="10">
        <f t="shared" si="1"/>
        <v>14</v>
      </c>
      <c r="AW1" s="10">
        <f t="shared" si="1"/>
        <v>15</v>
      </c>
      <c r="AX1" s="10">
        <f t="shared" si="1"/>
        <v>16</v>
      </c>
      <c r="AY1" s="10">
        <f t="shared" si="1"/>
        <v>17</v>
      </c>
      <c r="AZ1" s="10">
        <f t="shared" si="1"/>
        <v>18</v>
      </c>
      <c r="BA1" s="10">
        <f t="shared" si="1"/>
        <v>19</v>
      </c>
      <c r="BB1" s="10">
        <f t="shared" si="1"/>
        <v>20</v>
      </c>
      <c r="BC1" s="10">
        <f t="shared" si="1"/>
        <v>21</v>
      </c>
      <c r="BD1" s="10">
        <f t="shared" si="1"/>
        <v>22</v>
      </c>
      <c r="BE1" s="10">
        <f t="shared" si="1"/>
        <v>23</v>
      </c>
      <c r="BF1" s="10">
        <f t="shared" si="1"/>
        <v>24</v>
      </c>
      <c r="BG1" s="10">
        <f t="shared" si="1"/>
        <v>25</v>
      </c>
      <c r="BH1" s="10">
        <f t="shared" si="1"/>
        <v>26</v>
      </c>
      <c r="BI1" s="10">
        <f t="shared" si="1"/>
        <v>27</v>
      </c>
      <c r="BJ1" s="10">
        <f t="shared" si="1"/>
        <v>28</v>
      </c>
      <c r="BK1" s="10">
        <f t="shared" si="1"/>
        <v>29</v>
      </c>
      <c r="BL1" s="10">
        <f t="shared" si="1"/>
        <v>30</v>
      </c>
      <c r="BM1" s="10">
        <f t="shared" si="1"/>
        <v>31</v>
      </c>
      <c r="BN1" s="10">
        <f t="shared" si="1"/>
        <v>32</v>
      </c>
      <c r="BO1" s="10">
        <f t="shared" si="1"/>
        <v>33</v>
      </c>
      <c r="BP1" s="10">
        <f t="shared" si="1"/>
        <v>34</v>
      </c>
      <c r="BQ1" s="10">
        <f t="shared" si="1"/>
        <v>35</v>
      </c>
      <c r="BR1" s="10">
        <f t="shared" si="1"/>
        <v>36</v>
      </c>
      <c r="BS1" s="10">
        <f t="shared" si="1"/>
        <v>37</v>
      </c>
      <c r="BT1" s="10">
        <f t="shared" si="1"/>
        <v>38</v>
      </c>
      <c r="BU1" s="10">
        <f t="shared" si="1"/>
        <v>39</v>
      </c>
      <c r="BV1" s="10">
        <f t="shared" si="1"/>
        <v>40</v>
      </c>
      <c r="BW1" s="10">
        <f t="shared" si="1"/>
        <v>41</v>
      </c>
      <c r="BX1" s="10">
        <f t="shared" si="1"/>
        <v>42</v>
      </c>
      <c r="BY1" s="10">
        <f t="shared" si="1"/>
        <v>43</v>
      </c>
      <c r="BZ1" s="10">
        <f t="shared" si="1"/>
        <v>44</v>
      </c>
      <c r="CA1" s="10">
        <f t="shared" si="1"/>
        <v>45</v>
      </c>
      <c r="CB1" s="10">
        <f t="shared" si="1"/>
        <v>46</v>
      </c>
      <c r="CC1" s="10">
        <f t="shared" si="1"/>
        <v>47</v>
      </c>
      <c r="CD1" s="10">
        <f t="shared" si="1"/>
        <v>48</v>
      </c>
      <c r="CE1" s="10">
        <f t="shared" si="1"/>
        <v>49</v>
      </c>
      <c r="CF1" s="10">
        <f t="shared" si="1"/>
        <v>50</v>
      </c>
      <c r="CG1" s="10">
        <f t="shared" si="1"/>
        <v>51</v>
      </c>
      <c r="CH1" s="10">
        <f t="shared" si="1"/>
        <v>52</v>
      </c>
      <c r="CI1" s="10">
        <f t="shared" si="1"/>
        <v>53</v>
      </c>
      <c r="CJ1" s="10">
        <f t="shared" si="1"/>
        <v>54</v>
      </c>
      <c r="CK1" s="10">
        <f t="shared" si="1"/>
        <v>55</v>
      </c>
      <c r="CL1" s="10">
        <f t="shared" si="1"/>
        <v>56</v>
      </c>
      <c r="CM1" s="10">
        <f t="shared" si="1"/>
        <v>57</v>
      </c>
      <c r="CN1" s="10">
        <f t="shared" si="1"/>
        <v>58</v>
      </c>
      <c r="CO1" s="10">
        <f t="shared" si="1"/>
        <v>59</v>
      </c>
      <c r="CP1" s="10">
        <f t="shared" si="1"/>
        <v>60</v>
      </c>
      <c r="CQ1" s="10">
        <f t="shared" si="1"/>
        <v>61</v>
      </c>
      <c r="CR1" s="10">
        <f t="shared" si="1"/>
        <v>62</v>
      </c>
      <c r="CS1" s="10">
        <f t="shared" si="1"/>
        <v>63</v>
      </c>
      <c r="CT1" s="10">
        <f t="shared" si="1"/>
        <v>64</v>
      </c>
      <c r="CU1" s="10">
        <f t="shared" si="1"/>
        <v>65</v>
      </c>
      <c r="CV1" s="10">
        <f t="shared" ref="CV1:EQ1" si="2">CU1+1</f>
        <v>66</v>
      </c>
      <c r="CW1" s="10">
        <f t="shared" si="2"/>
        <v>67</v>
      </c>
      <c r="CX1" s="10">
        <f t="shared" si="2"/>
        <v>68</v>
      </c>
      <c r="CY1" s="10">
        <f t="shared" si="2"/>
        <v>69</v>
      </c>
      <c r="CZ1" s="10">
        <f t="shared" si="2"/>
        <v>70</v>
      </c>
      <c r="DA1" s="10">
        <f t="shared" si="2"/>
        <v>71</v>
      </c>
      <c r="DB1" s="10">
        <f t="shared" si="2"/>
        <v>72</v>
      </c>
      <c r="DC1" s="10">
        <f t="shared" si="2"/>
        <v>73</v>
      </c>
      <c r="DD1" s="10">
        <f t="shared" si="2"/>
        <v>74</v>
      </c>
      <c r="DE1" s="10">
        <f t="shared" si="2"/>
        <v>75</v>
      </c>
      <c r="DF1" s="10">
        <f t="shared" si="2"/>
        <v>76</v>
      </c>
      <c r="DG1" s="10">
        <f t="shared" si="2"/>
        <v>77</v>
      </c>
      <c r="DH1" s="10">
        <f t="shared" si="2"/>
        <v>78</v>
      </c>
      <c r="DI1" s="10">
        <f t="shared" si="2"/>
        <v>79</v>
      </c>
      <c r="DJ1" s="10">
        <f t="shared" si="2"/>
        <v>80</v>
      </c>
      <c r="DK1" s="10">
        <f t="shared" si="2"/>
        <v>81</v>
      </c>
      <c r="DL1" s="10">
        <f t="shared" si="2"/>
        <v>82</v>
      </c>
      <c r="DM1" s="10">
        <f t="shared" si="2"/>
        <v>83</v>
      </c>
      <c r="DN1" s="10">
        <f t="shared" si="2"/>
        <v>84</v>
      </c>
      <c r="DO1" s="10">
        <f t="shared" si="2"/>
        <v>85</v>
      </c>
      <c r="DP1" s="10">
        <f t="shared" si="2"/>
        <v>86</v>
      </c>
      <c r="DQ1" s="10">
        <f t="shared" si="2"/>
        <v>87</v>
      </c>
      <c r="DR1" s="10">
        <f t="shared" si="2"/>
        <v>88</v>
      </c>
      <c r="DS1" s="10">
        <f t="shared" si="2"/>
        <v>89</v>
      </c>
      <c r="DT1" s="10">
        <f t="shared" si="2"/>
        <v>90</v>
      </c>
      <c r="DU1" s="10">
        <f t="shared" si="2"/>
        <v>91</v>
      </c>
      <c r="DV1" s="10">
        <f t="shared" si="2"/>
        <v>92</v>
      </c>
      <c r="DW1" s="10">
        <f t="shared" si="2"/>
        <v>93</v>
      </c>
      <c r="DX1" s="10">
        <f t="shared" si="2"/>
        <v>94</v>
      </c>
      <c r="DY1" s="10">
        <f t="shared" si="2"/>
        <v>95</v>
      </c>
      <c r="DZ1" s="10">
        <f t="shared" si="2"/>
        <v>96</v>
      </c>
      <c r="EA1" s="10">
        <f t="shared" si="2"/>
        <v>97</v>
      </c>
      <c r="EB1" s="10">
        <f t="shared" si="2"/>
        <v>98</v>
      </c>
      <c r="EC1" s="10">
        <f t="shared" si="2"/>
        <v>99</v>
      </c>
      <c r="ED1" s="10">
        <f t="shared" si="2"/>
        <v>100</v>
      </c>
      <c r="EE1" s="10">
        <f t="shared" si="2"/>
        <v>101</v>
      </c>
      <c r="EF1" s="10">
        <f t="shared" si="2"/>
        <v>102</v>
      </c>
      <c r="EG1" s="10">
        <f t="shared" si="2"/>
        <v>103</v>
      </c>
      <c r="EH1" s="10">
        <f t="shared" si="2"/>
        <v>104</v>
      </c>
      <c r="EI1" s="10">
        <f t="shared" si="2"/>
        <v>105</v>
      </c>
      <c r="EJ1" s="10">
        <f t="shared" si="2"/>
        <v>106</v>
      </c>
      <c r="EK1" s="10">
        <f t="shared" si="2"/>
        <v>107</v>
      </c>
      <c r="EL1" s="10">
        <f t="shared" si="2"/>
        <v>108</v>
      </c>
      <c r="EM1" s="10">
        <f t="shared" si="2"/>
        <v>109</v>
      </c>
      <c r="EN1" s="10">
        <f t="shared" si="2"/>
        <v>110</v>
      </c>
      <c r="EO1" s="10">
        <f t="shared" si="2"/>
        <v>111</v>
      </c>
      <c r="EP1" s="10">
        <f t="shared" si="2"/>
        <v>112</v>
      </c>
      <c r="EQ1" s="10">
        <f t="shared" si="2"/>
        <v>113</v>
      </c>
    </row>
    <row r="2" spans="2:147" s="10" customFormat="1" ht="13.5" customHeight="1" thickBot="1">
      <c r="B2" s="110"/>
      <c r="C2" s="111"/>
      <c r="F2" s="113" t="s">
        <v>496</v>
      </c>
      <c r="G2" s="114"/>
      <c r="H2" s="114">
        <f>SUMMARY!FS2</f>
        <v>40.35</v>
      </c>
      <c r="I2" s="114"/>
      <c r="J2" s="114"/>
      <c r="K2" s="114"/>
      <c r="L2" s="114"/>
      <c r="M2" s="114"/>
      <c r="N2" s="114"/>
      <c r="O2" s="114"/>
      <c r="P2" s="114"/>
      <c r="Q2" s="114"/>
      <c r="S2" s="291"/>
      <c r="T2" s="115"/>
      <c r="U2" s="115"/>
      <c r="V2" s="115">
        <v>41547</v>
      </c>
      <c r="W2" s="115">
        <f>+V2+365</f>
        <v>41912</v>
      </c>
      <c r="X2" s="115">
        <f>+W2+365</f>
        <v>42277</v>
      </c>
      <c r="Y2" s="115">
        <f>+X2+366</f>
        <v>42643</v>
      </c>
      <c r="Z2" s="115">
        <f>+Y2+365</f>
        <v>43008</v>
      </c>
      <c r="AA2" s="115">
        <f>+Z2+365</f>
        <v>43373</v>
      </c>
      <c r="AB2" s="115">
        <f>+AA2+365</f>
        <v>43738</v>
      </c>
      <c r="AC2" s="115">
        <f>+AB2+365</f>
        <v>44103</v>
      </c>
      <c r="AD2" s="115">
        <f t="shared" ref="AD2" si="3">+AC2+365</f>
        <v>44468</v>
      </c>
      <c r="AE2" s="115">
        <f>+AD2+365</f>
        <v>44833</v>
      </c>
      <c r="AF2" s="115">
        <f>+AE2+365</f>
        <v>45198</v>
      </c>
      <c r="AG2" s="115">
        <f>+AF2+365</f>
        <v>45563</v>
      </c>
      <c r="AH2" s="1627">
        <f>+AG2+365</f>
        <v>45928</v>
      </c>
      <c r="AI2" s="115">
        <f>+AH2+365</f>
        <v>46293</v>
      </c>
      <c r="AJ2" s="115">
        <f t="shared" ref="AJ2:AK2" si="4">+AI2+365</f>
        <v>46658</v>
      </c>
      <c r="AK2" s="115">
        <f t="shared" si="4"/>
        <v>47023</v>
      </c>
      <c r="AL2" s="115">
        <f t="shared" ref="AL2:CU2" si="5">+AK2+365</f>
        <v>47388</v>
      </c>
      <c r="AM2" s="115">
        <f t="shared" si="5"/>
        <v>47753</v>
      </c>
      <c r="AN2" s="115">
        <f t="shared" si="5"/>
        <v>48118</v>
      </c>
      <c r="AO2" s="115">
        <f t="shared" si="5"/>
        <v>48483</v>
      </c>
      <c r="AP2" s="115">
        <f t="shared" si="5"/>
        <v>48848</v>
      </c>
      <c r="AQ2" s="115">
        <f t="shared" si="5"/>
        <v>49213</v>
      </c>
      <c r="AR2" s="115">
        <f t="shared" si="5"/>
        <v>49578</v>
      </c>
      <c r="AS2" s="115">
        <f t="shared" si="5"/>
        <v>49943</v>
      </c>
      <c r="AT2" s="115">
        <f t="shared" si="5"/>
        <v>50308</v>
      </c>
      <c r="AU2" s="115">
        <f t="shared" si="5"/>
        <v>50673</v>
      </c>
      <c r="AV2" s="115">
        <f t="shared" si="5"/>
        <v>51038</v>
      </c>
      <c r="AW2" s="115">
        <f t="shared" si="5"/>
        <v>51403</v>
      </c>
      <c r="AX2" s="115">
        <f t="shared" si="5"/>
        <v>51768</v>
      </c>
      <c r="AY2" s="115">
        <f t="shared" si="5"/>
        <v>52133</v>
      </c>
      <c r="AZ2" s="115">
        <f t="shared" si="5"/>
        <v>52498</v>
      </c>
      <c r="BA2" s="115">
        <f t="shared" si="5"/>
        <v>52863</v>
      </c>
      <c r="BB2" s="115">
        <f t="shared" si="5"/>
        <v>53228</v>
      </c>
      <c r="BC2" s="115">
        <f t="shared" si="5"/>
        <v>53593</v>
      </c>
      <c r="BD2" s="115">
        <f t="shared" si="5"/>
        <v>53958</v>
      </c>
      <c r="BE2" s="115">
        <f t="shared" si="5"/>
        <v>54323</v>
      </c>
      <c r="BF2" s="115">
        <f t="shared" si="5"/>
        <v>54688</v>
      </c>
      <c r="BG2" s="115">
        <f t="shared" si="5"/>
        <v>55053</v>
      </c>
      <c r="BH2" s="115">
        <f t="shared" si="5"/>
        <v>55418</v>
      </c>
      <c r="BI2" s="115">
        <f t="shared" si="5"/>
        <v>55783</v>
      </c>
      <c r="BJ2" s="115">
        <f t="shared" si="5"/>
        <v>56148</v>
      </c>
      <c r="BK2" s="115">
        <f t="shared" si="5"/>
        <v>56513</v>
      </c>
      <c r="BL2" s="115">
        <f t="shared" si="5"/>
        <v>56878</v>
      </c>
      <c r="BM2" s="115">
        <f t="shared" si="5"/>
        <v>57243</v>
      </c>
      <c r="BN2" s="115">
        <f t="shared" si="5"/>
        <v>57608</v>
      </c>
      <c r="BO2" s="115">
        <f t="shared" si="5"/>
        <v>57973</v>
      </c>
      <c r="BP2" s="115">
        <f t="shared" si="5"/>
        <v>58338</v>
      </c>
      <c r="BQ2" s="115">
        <f t="shared" si="5"/>
        <v>58703</v>
      </c>
      <c r="BR2" s="115">
        <f t="shared" si="5"/>
        <v>59068</v>
      </c>
      <c r="BS2" s="115">
        <f t="shared" si="5"/>
        <v>59433</v>
      </c>
      <c r="BT2" s="115">
        <f t="shared" si="5"/>
        <v>59798</v>
      </c>
      <c r="BU2" s="115">
        <f t="shared" si="5"/>
        <v>60163</v>
      </c>
      <c r="BV2" s="115">
        <f t="shared" si="5"/>
        <v>60528</v>
      </c>
      <c r="BW2" s="115">
        <f t="shared" si="5"/>
        <v>60893</v>
      </c>
      <c r="BX2" s="115">
        <f t="shared" si="5"/>
        <v>61258</v>
      </c>
      <c r="BY2" s="115">
        <f t="shared" si="5"/>
        <v>61623</v>
      </c>
      <c r="BZ2" s="115">
        <f t="shared" si="5"/>
        <v>61988</v>
      </c>
      <c r="CA2" s="115">
        <f t="shared" si="5"/>
        <v>62353</v>
      </c>
      <c r="CB2" s="115">
        <f t="shared" si="5"/>
        <v>62718</v>
      </c>
      <c r="CC2" s="115">
        <f t="shared" si="5"/>
        <v>63083</v>
      </c>
      <c r="CD2" s="115">
        <f t="shared" si="5"/>
        <v>63448</v>
      </c>
      <c r="CE2" s="115">
        <f t="shared" si="5"/>
        <v>63813</v>
      </c>
      <c r="CF2" s="115">
        <f t="shared" si="5"/>
        <v>64178</v>
      </c>
      <c r="CG2" s="115">
        <f t="shared" si="5"/>
        <v>64543</v>
      </c>
      <c r="CH2" s="115">
        <f t="shared" si="5"/>
        <v>64908</v>
      </c>
      <c r="CI2" s="115">
        <f t="shared" si="5"/>
        <v>65273</v>
      </c>
      <c r="CJ2" s="115">
        <f t="shared" si="5"/>
        <v>65638</v>
      </c>
      <c r="CK2" s="115">
        <f t="shared" si="5"/>
        <v>66003</v>
      </c>
      <c r="CL2" s="115">
        <f t="shared" si="5"/>
        <v>66368</v>
      </c>
      <c r="CM2" s="115">
        <f t="shared" si="5"/>
        <v>66733</v>
      </c>
      <c r="CN2" s="115">
        <f t="shared" si="5"/>
        <v>67098</v>
      </c>
      <c r="CO2" s="115">
        <f t="shared" si="5"/>
        <v>67463</v>
      </c>
      <c r="CP2" s="115">
        <f t="shared" si="5"/>
        <v>67828</v>
      </c>
      <c r="CQ2" s="115">
        <f t="shared" si="5"/>
        <v>68193</v>
      </c>
      <c r="CR2" s="115">
        <f t="shared" si="5"/>
        <v>68558</v>
      </c>
      <c r="CS2" s="115">
        <f t="shared" si="5"/>
        <v>68923</v>
      </c>
      <c r="CT2" s="115">
        <f t="shared" si="5"/>
        <v>69288</v>
      </c>
      <c r="CU2" s="115">
        <f t="shared" si="5"/>
        <v>69653</v>
      </c>
      <c r="CV2" s="115">
        <f t="shared" ref="CV2:EQ2" si="6">+CU2+365</f>
        <v>70018</v>
      </c>
      <c r="CW2" s="115">
        <f t="shared" si="6"/>
        <v>70383</v>
      </c>
      <c r="CX2" s="115">
        <f t="shared" si="6"/>
        <v>70748</v>
      </c>
      <c r="CY2" s="115">
        <f t="shared" si="6"/>
        <v>71113</v>
      </c>
      <c r="CZ2" s="115">
        <f t="shared" si="6"/>
        <v>71478</v>
      </c>
      <c r="DA2" s="115">
        <f t="shared" si="6"/>
        <v>71843</v>
      </c>
      <c r="DB2" s="115">
        <f t="shared" si="6"/>
        <v>72208</v>
      </c>
      <c r="DC2" s="115">
        <f t="shared" si="6"/>
        <v>72573</v>
      </c>
      <c r="DD2" s="115">
        <f t="shared" si="6"/>
        <v>72938</v>
      </c>
      <c r="DE2" s="115">
        <f t="shared" si="6"/>
        <v>73303</v>
      </c>
      <c r="DF2" s="115">
        <f t="shared" si="6"/>
        <v>73668</v>
      </c>
      <c r="DG2" s="115">
        <f t="shared" si="6"/>
        <v>74033</v>
      </c>
      <c r="DH2" s="115">
        <f t="shared" si="6"/>
        <v>74398</v>
      </c>
      <c r="DI2" s="115">
        <f t="shared" si="6"/>
        <v>74763</v>
      </c>
      <c r="DJ2" s="115">
        <f t="shared" si="6"/>
        <v>75128</v>
      </c>
      <c r="DK2" s="115">
        <f t="shared" si="6"/>
        <v>75493</v>
      </c>
      <c r="DL2" s="115">
        <f t="shared" si="6"/>
        <v>75858</v>
      </c>
      <c r="DM2" s="115">
        <f t="shared" si="6"/>
        <v>76223</v>
      </c>
      <c r="DN2" s="115">
        <f t="shared" si="6"/>
        <v>76588</v>
      </c>
      <c r="DO2" s="115">
        <f t="shared" si="6"/>
        <v>76953</v>
      </c>
      <c r="DP2" s="115">
        <f t="shared" si="6"/>
        <v>77318</v>
      </c>
      <c r="DQ2" s="115">
        <f t="shared" si="6"/>
        <v>77683</v>
      </c>
      <c r="DR2" s="115">
        <f t="shared" si="6"/>
        <v>78048</v>
      </c>
      <c r="DS2" s="115">
        <f t="shared" si="6"/>
        <v>78413</v>
      </c>
      <c r="DT2" s="115">
        <f t="shared" si="6"/>
        <v>78778</v>
      </c>
      <c r="DU2" s="115">
        <f t="shared" si="6"/>
        <v>79143</v>
      </c>
      <c r="DV2" s="115">
        <f t="shared" si="6"/>
        <v>79508</v>
      </c>
      <c r="DW2" s="115">
        <f t="shared" si="6"/>
        <v>79873</v>
      </c>
      <c r="DX2" s="115">
        <f t="shared" si="6"/>
        <v>80238</v>
      </c>
      <c r="DY2" s="115">
        <f t="shared" si="6"/>
        <v>80603</v>
      </c>
      <c r="DZ2" s="115">
        <f t="shared" si="6"/>
        <v>80968</v>
      </c>
      <c r="EA2" s="115">
        <f t="shared" si="6"/>
        <v>81333</v>
      </c>
      <c r="EB2" s="115">
        <f t="shared" si="6"/>
        <v>81698</v>
      </c>
      <c r="EC2" s="115">
        <f t="shared" si="6"/>
        <v>82063</v>
      </c>
      <c r="ED2" s="115">
        <f t="shared" si="6"/>
        <v>82428</v>
      </c>
      <c r="EE2" s="115">
        <f t="shared" si="6"/>
        <v>82793</v>
      </c>
      <c r="EF2" s="115">
        <f t="shared" si="6"/>
        <v>83158</v>
      </c>
      <c r="EG2" s="115">
        <f t="shared" si="6"/>
        <v>83523</v>
      </c>
      <c r="EH2" s="115">
        <f t="shared" si="6"/>
        <v>83888</v>
      </c>
      <c r="EI2" s="115">
        <f t="shared" si="6"/>
        <v>84253</v>
      </c>
      <c r="EJ2" s="115">
        <f t="shared" si="6"/>
        <v>84618</v>
      </c>
      <c r="EK2" s="115">
        <f t="shared" si="6"/>
        <v>84983</v>
      </c>
      <c r="EL2" s="115">
        <f t="shared" si="6"/>
        <v>85348</v>
      </c>
      <c r="EM2" s="115">
        <f t="shared" si="6"/>
        <v>85713</v>
      </c>
      <c r="EN2" s="115">
        <f t="shared" si="6"/>
        <v>86078</v>
      </c>
      <c r="EO2" s="115">
        <f t="shared" si="6"/>
        <v>86443</v>
      </c>
      <c r="EP2" s="115">
        <f t="shared" si="6"/>
        <v>86808</v>
      </c>
      <c r="EQ2" s="115">
        <f t="shared" si="6"/>
        <v>87173</v>
      </c>
    </row>
    <row r="3" spans="2:147" s="10" customFormat="1" ht="13.8" thickBot="1">
      <c r="B3" s="116" t="s">
        <v>439</v>
      </c>
      <c r="C3" s="117"/>
      <c r="F3" s="536" t="s">
        <v>126</v>
      </c>
      <c r="G3" s="111"/>
      <c r="H3" s="537">
        <v>41.3</v>
      </c>
      <c r="I3" s="538">
        <f>+H3/H2-1</f>
        <v>2.3543990086740907E-2</v>
      </c>
      <c r="J3" s="538"/>
      <c r="K3" s="538"/>
      <c r="L3" s="538"/>
      <c r="M3" s="538"/>
      <c r="N3" s="538"/>
      <c r="O3" s="538"/>
      <c r="P3" s="538"/>
      <c r="Q3" s="538"/>
      <c r="S3" s="124"/>
      <c r="T3" s="9"/>
      <c r="U3" s="9"/>
      <c r="V3" s="118"/>
      <c r="W3" s="118"/>
      <c r="X3" s="118"/>
      <c r="Y3" s="118"/>
      <c r="Z3" s="118"/>
      <c r="AA3" s="118"/>
      <c r="AB3" s="118"/>
      <c r="AC3" s="118"/>
      <c r="AD3" s="118"/>
      <c r="AE3" s="118"/>
      <c r="AF3" s="118"/>
      <c r="AG3" s="118"/>
      <c r="AH3" s="1628"/>
      <c r="AI3" s="118"/>
      <c r="AJ3" s="118"/>
      <c r="AK3" s="118"/>
      <c r="AL3" s="118"/>
      <c r="AM3" s="118"/>
      <c r="AN3" s="118"/>
      <c r="AP3" s="9"/>
      <c r="AQ3" s="9"/>
      <c r="AR3" s="9"/>
      <c r="AS3" s="9" t="s">
        <v>550</v>
      </c>
      <c r="AW3" s="9"/>
      <c r="AX3" s="9" t="s">
        <v>159</v>
      </c>
    </row>
    <row r="4" spans="2:147" s="10" customFormat="1">
      <c r="B4" s="119"/>
      <c r="C4" s="120"/>
      <c r="F4" s="121" t="s">
        <v>1252</v>
      </c>
      <c r="G4" s="122" t="s">
        <v>544</v>
      </c>
      <c r="H4" s="123" t="s">
        <v>414</v>
      </c>
      <c r="I4" s="955" t="s">
        <v>304</v>
      </c>
      <c r="J4" s="1541"/>
      <c r="K4" s="1541"/>
      <c r="L4" s="1281" t="s">
        <v>486</v>
      </c>
      <c r="M4" s="1281" t="s">
        <v>1003</v>
      </c>
      <c r="N4" s="1281" t="s">
        <v>1003</v>
      </c>
      <c r="O4" s="1281" t="s">
        <v>486</v>
      </c>
      <c r="P4" s="1281"/>
      <c r="Q4" s="1541"/>
      <c r="R4" s="687">
        <v>46081</v>
      </c>
      <c r="S4" s="111"/>
      <c r="V4" s="694">
        <v>0</v>
      </c>
      <c r="W4" s="694">
        <v>0</v>
      </c>
      <c r="X4" s="694">
        <v>0</v>
      </c>
      <c r="Y4" s="694">
        <v>0</v>
      </c>
      <c r="Z4" s="694">
        <v>0</v>
      </c>
      <c r="AA4" s="694">
        <v>0</v>
      </c>
      <c r="AB4" s="694">
        <v>0</v>
      </c>
      <c r="AC4" s="694">
        <v>0</v>
      </c>
      <c r="AD4" s="694">
        <v>0</v>
      </c>
      <c r="AE4" s="694">
        <v>0</v>
      </c>
      <c r="AF4" s="694">
        <v>0</v>
      </c>
      <c r="AG4" s="694">
        <v>0</v>
      </c>
      <c r="AH4" s="1629">
        <v>0</v>
      </c>
      <c r="AI4" s="125">
        <f>AH4+1</f>
        <v>1</v>
      </c>
      <c r="AJ4" s="125">
        <f t="shared" ref="AJ4:AK4" si="7">AI4+1</f>
        <v>2</v>
      </c>
      <c r="AK4" s="125">
        <f t="shared" si="7"/>
        <v>3</v>
      </c>
      <c r="AL4" s="125">
        <f t="shared" ref="AL4:AR4" si="8">AK4+1</f>
        <v>4</v>
      </c>
      <c r="AM4" s="125">
        <f t="shared" si="8"/>
        <v>5</v>
      </c>
      <c r="AN4" s="125">
        <f t="shared" si="8"/>
        <v>6</v>
      </c>
      <c r="AO4" s="125">
        <f t="shared" si="8"/>
        <v>7</v>
      </c>
      <c r="AP4" s="125">
        <f t="shared" si="8"/>
        <v>8</v>
      </c>
      <c r="AQ4" s="125">
        <f t="shared" si="8"/>
        <v>9</v>
      </c>
      <c r="AR4" s="125">
        <f t="shared" si="8"/>
        <v>10</v>
      </c>
      <c r="AS4" s="693">
        <v>1</v>
      </c>
      <c r="AT4" s="126">
        <f>AS4+1</f>
        <v>2</v>
      </c>
      <c r="AU4" s="126">
        <f>AT4+1</f>
        <v>3</v>
      </c>
      <c r="AV4" s="126">
        <f>AU4+1</f>
        <v>4</v>
      </c>
      <c r="AW4" s="126">
        <f>AV4+1</f>
        <v>5</v>
      </c>
      <c r="AX4" s="695">
        <v>1</v>
      </c>
      <c r="AY4" s="125">
        <f t="shared" ref="AY4:CB4" si="9">AX4+1</f>
        <v>2</v>
      </c>
      <c r="AZ4" s="125">
        <f t="shared" si="9"/>
        <v>3</v>
      </c>
      <c r="BA4" s="125">
        <f t="shared" si="9"/>
        <v>4</v>
      </c>
      <c r="BB4" s="125">
        <f t="shared" si="9"/>
        <v>5</v>
      </c>
      <c r="BC4" s="125">
        <f t="shared" si="9"/>
        <v>6</v>
      </c>
      <c r="BD4" s="125">
        <f t="shared" si="9"/>
        <v>7</v>
      </c>
      <c r="BE4" s="125">
        <f t="shared" si="9"/>
        <v>8</v>
      </c>
      <c r="BF4" s="125">
        <f t="shared" si="9"/>
        <v>9</v>
      </c>
      <c r="BG4" s="125">
        <f t="shared" si="9"/>
        <v>10</v>
      </c>
      <c r="BH4" s="125">
        <f t="shared" si="9"/>
        <v>11</v>
      </c>
      <c r="BI4" s="125">
        <f t="shared" si="9"/>
        <v>12</v>
      </c>
      <c r="BJ4" s="125">
        <f t="shared" si="9"/>
        <v>13</v>
      </c>
      <c r="BK4" s="125">
        <f t="shared" si="9"/>
        <v>14</v>
      </c>
      <c r="BL4" s="125">
        <f t="shared" si="9"/>
        <v>15</v>
      </c>
      <c r="BM4" s="125">
        <f t="shared" si="9"/>
        <v>16</v>
      </c>
      <c r="BN4" s="125">
        <f t="shared" si="9"/>
        <v>17</v>
      </c>
      <c r="BO4" s="125">
        <f t="shared" si="9"/>
        <v>18</v>
      </c>
      <c r="BP4" s="125">
        <f t="shared" si="9"/>
        <v>19</v>
      </c>
      <c r="BQ4" s="125">
        <f t="shared" si="9"/>
        <v>20</v>
      </c>
      <c r="BR4" s="125">
        <f t="shared" si="9"/>
        <v>21</v>
      </c>
      <c r="BS4" s="125">
        <f t="shared" si="9"/>
        <v>22</v>
      </c>
      <c r="BT4" s="125">
        <f t="shared" si="9"/>
        <v>23</v>
      </c>
      <c r="BU4" s="125">
        <f t="shared" si="9"/>
        <v>24</v>
      </c>
      <c r="BV4" s="125">
        <f t="shared" si="9"/>
        <v>25</v>
      </c>
      <c r="BW4" s="125">
        <f t="shared" si="9"/>
        <v>26</v>
      </c>
      <c r="BX4" s="125">
        <f t="shared" si="9"/>
        <v>27</v>
      </c>
      <c r="BY4" s="125">
        <f t="shared" si="9"/>
        <v>28</v>
      </c>
      <c r="BZ4" s="125">
        <f t="shared" si="9"/>
        <v>29</v>
      </c>
      <c r="CA4" s="125">
        <f t="shared" si="9"/>
        <v>30</v>
      </c>
      <c r="CB4" s="125">
        <f t="shared" si="9"/>
        <v>31</v>
      </c>
      <c r="CC4" s="125">
        <f t="shared" ref="CC4:DH4" si="10">CB4+1</f>
        <v>32</v>
      </c>
      <c r="CD4" s="125">
        <f t="shared" si="10"/>
        <v>33</v>
      </c>
      <c r="CE4" s="125">
        <f t="shared" si="10"/>
        <v>34</v>
      </c>
      <c r="CF4" s="125">
        <f t="shared" si="10"/>
        <v>35</v>
      </c>
      <c r="CG4" s="125">
        <f t="shared" si="10"/>
        <v>36</v>
      </c>
      <c r="CH4" s="125">
        <f t="shared" si="10"/>
        <v>37</v>
      </c>
      <c r="CI4" s="125">
        <f t="shared" si="10"/>
        <v>38</v>
      </c>
      <c r="CJ4" s="125">
        <f t="shared" si="10"/>
        <v>39</v>
      </c>
      <c r="CK4" s="125">
        <f t="shared" si="10"/>
        <v>40</v>
      </c>
      <c r="CL4" s="125">
        <f t="shared" si="10"/>
        <v>41</v>
      </c>
      <c r="CM4" s="125">
        <f t="shared" si="10"/>
        <v>42</v>
      </c>
      <c r="CN4" s="125">
        <f t="shared" si="10"/>
        <v>43</v>
      </c>
      <c r="CO4" s="125">
        <f t="shared" si="10"/>
        <v>44</v>
      </c>
      <c r="CP4" s="125">
        <f t="shared" si="10"/>
        <v>45</v>
      </c>
      <c r="CQ4" s="125">
        <f t="shared" si="10"/>
        <v>46</v>
      </c>
      <c r="CR4" s="125">
        <f t="shared" si="10"/>
        <v>47</v>
      </c>
      <c r="CS4" s="125">
        <f t="shared" si="10"/>
        <v>48</v>
      </c>
      <c r="CT4" s="125">
        <f t="shared" si="10"/>
        <v>49</v>
      </c>
      <c r="CU4" s="125">
        <f t="shared" si="10"/>
        <v>50</v>
      </c>
      <c r="CV4" s="125">
        <f t="shared" si="10"/>
        <v>51</v>
      </c>
      <c r="CW4" s="125">
        <f t="shared" si="10"/>
        <v>52</v>
      </c>
      <c r="CX4" s="125">
        <f t="shared" si="10"/>
        <v>53</v>
      </c>
      <c r="CY4" s="125">
        <f t="shared" si="10"/>
        <v>54</v>
      </c>
      <c r="CZ4" s="125">
        <f t="shared" si="10"/>
        <v>55</v>
      </c>
      <c r="DA4" s="125">
        <f t="shared" si="10"/>
        <v>56</v>
      </c>
      <c r="DB4" s="125">
        <f t="shared" si="10"/>
        <v>57</v>
      </c>
      <c r="DC4" s="125">
        <f t="shared" si="10"/>
        <v>58</v>
      </c>
      <c r="DD4" s="125">
        <f t="shared" si="10"/>
        <v>59</v>
      </c>
      <c r="DE4" s="125">
        <f t="shared" si="10"/>
        <v>60</v>
      </c>
      <c r="DF4" s="125">
        <f t="shared" si="10"/>
        <v>61</v>
      </c>
      <c r="DG4" s="125">
        <f t="shared" si="10"/>
        <v>62</v>
      </c>
      <c r="DH4" s="125">
        <f t="shared" si="10"/>
        <v>63</v>
      </c>
      <c r="DI4" s="125">
        <f t="shared" ref="DI4:EQ4" si="11">DH4+1</f>
        <v>64</v>
      </c>
      <c r="DJ4" s="125">
        <f t="shared" si="11"/>
        <v>65</v>
      </c>
      <c r="DK4" s="125">
        <f t="shared" si="11"/>
        <v>66</v>
      </c>
      <c r="DL4" s="125">
        <f t="shared" si="11"/>
        <v>67</v>
      </c>
      <c r="DM4" s="125">
        <f t="shared" si="11"/>
        <v>68</v>
      </c>
      <c r="DN4" s="125">
        <f t="shared" si="11"/>
        <v>69</v>
      </c>
      <c r="DO4" s="125">
        <f t="shared" si="11"/>
        <v>70</v>
      </c>
      <c r="DP4" s="125">
        <f t="shared" si="11"/>
        <v>71</v>
      </c>
      <c r="DQ4" s="125">
        <f t="shared" si="11"/>
        <v>72</v>
      </c>
      <c r="DR4" s="125">
        <f t="shared" si="11"/>
        <v>73</v>
      </c>
      <c r="DS4" s="125">
        <f t="shared" si="11"/>
        <v>74</v>
      </c>
      <c r="DT4" s="125">
        <f t="shared" si="11"/>
        <v>75</v>
      </c>
      <c r="DU4" s="125">
        <f t="shared" si="11"/>
        <v>76</v>
      </c>
      <c r="DV4" s="125">
        <f t="shared" si="11"/>
        <v>77</v>
      </c>
      <c r="DW4" s="125">
        <f t="shared" si="11"/>
        <v>78</v>
      </c>
      <c r="DX4" s="125">
        <f t="shared" si="11"/>
        <v>79</v>
      </c>
      <c r="DY4" s="125">
        <f t="shared" si="11"/>
        <v>80</v>
      </c>
      <c r="DZ4" s="125">
        <f t="shared" si="11"/>
        <v>81</v>
      </c>
      <c r="EA4" s="125">
        <f t="shared" si="11"/>
        <v>82</v>
      </c>
      <c r="EB4" s="125">
        <f t="shared" si="11"/>
        <v>83</v>
      </c>
      <c r="EC4" s="125">
        <f t="shared" si="11"/>
        <v>84</v>
      </c>
      <c r="ED4" s="125">
        <f t="shared" si="11"/>
        <v>85</v>
      </c>
      <c r="EE4" s="125">
        <f t="shared" si="11"/>
        <v>86</v>
      </c>
      <c r="EF4" s="125">
        <f t="shared" si="11"/>
        <v>87</v>
      </c>
      <c r="EG4" s="125">
        <f t="shared" si="11"/>
        <v>88</v>
      </c>
      <c r="EH4" s="125">
        <f t="shared" si="11"/>
        <v>89</v>
      </c>
      <c r="EI4" s="125">
        <f t="shared" si="11"/>
        <v>90</v>
      </c>
      <c r="EJ4" s="125">
        <f t="shared" si="11"/>
        <v>91</v>
      </c>
      <c r="EK4" s="125">
        <f t="shared" si="11"/>
        <v>92</v>
      </c>
      <c r="EL4" s="125">
        <f t="shared" si="11"/>
        <v>93</v>
      </c>
      <c r="EM4" s="125">
        <f t="shared" si="11"/>
        <v>94</v>
      </c>
      <c r="EN4" s="125">
        <f t="shared" si="11"/>
        <v>95</v>
      </c>
      <c r="EO4" s="125">
        <f t="shared" si="11"/>
        <v>96</v>
      </c>
      <c r="EP4" s="125">
        <f t="shared" si="11"/>
        <v>97</v>
      </c>
      <c r="EQ4" s="125">
        <f t="shared" si="11"/>
        <v>98</v>
      </c>
    </row>
    <row r="5" spans="2:147" s="10" customFormat="1">
      <c r="B5" s="127" t="s">
        <v>507</v>
      </c>
      <c r="C5" s="128"/>
      <c r="F5" s="129" t="s">
        <v>435</v>
      </c>
      <c r="G5" s="433">
        <f>SUMIF(MODEL!$7:$7,G51,MODEL!1114:1114)</f>
        <v>71128</v>
      </c>
      <c r="H5" s="130">
        <f t="shared" ref="H5:H12" si="12">+G5/$C$8</f>
        <v>23.840294587851588</v>
      </c>
      <c r="I5" s="1244">
        <v>23.840294587851588</v>
      </c>
      <c r="J5" s="1566">
        <f>+H5/I5-1</f>
        <v>0</v>
      </c>
      <c r="K5" s="1542"/>
      <c r="L5" s="1546" t="s">
        <v>1245</v>
      </c>
      <c r="M5" s="1546" t="s">
        <v>1246</v>
      </c>
      <c r="N5" s="1546" t="s">
        <v>1247</v>
      </c>
      <c r="O5" s="1546" t="s">
        <v>1248</v>
      </c>
      <c r="P5" s="1546" t="s">
        <v>1254</v>
      </c>
      <c r="Q5" s="1542"/>
      <c r="R5" s="9" t="s">
        <v>307</v>
      </c>
      <c r="S5" s="292"/>
      <c r="T5" s="131"/>
      <c r="U5" s="131"/>
      <c r="V5" s="131" t="s">
        <v>595</v>
      </c>
      <c r="W5" s="131" t="s">
        <v>547</v>
      </c>
      <c r="X5" s="131" t="s">
        <v>774</v>
      </c>
      <c r="Y5" s="131" t="s">
        <v>815</v>
      </c>
      <c r="Z5" s="131" t="s">
        <v>882</v>
      </c>
      <c r="AA5" s="131" t="s">
        <v>917</v>
      </c>
      <c r="AB5" s="131" t="s">
        <v>963</v>
      </c>
      <c r="AC5" s="131" t="s">
        <v>1016</v>
      </c>
      <c r="AD5" s="131" t="s">
        <v>1064</v>
      </c>
      <c r="AE5" s="131" t="s">
        <v>1004</v>
      </c>
      <c r="AF5" s="131" t="s">
        <v>1169</v>
      </c>
      <c r="AG5" s="131" t="str">
        <f>MODEL!DB7</f>
        <v>FY24</v>
      </c>
      <c r="AH5" s="1630" t="s">
        <v>1260</v>
      </c>
      <c r="AI5" s="132" t="str">
        <f t="shared" ref="AI5" si="13">"FY"&amp;MID(AH5,3,2)+1&amp;"E"</f>
        <v>FY26E</v>
      </c>
      <c r="AJ5" s="132" t="str">
        <f t="shared" ref="AJ5" si="14">"FY"&amp;MID(AI5,3,2)+1&amp;"E"</f>
        <v>FY27E</v>
      </c>
      <c r="AK5" s="132" t="str">
        <f t="shared" ref="AK5" si="15">"FY"&amp;MID(AJ5,3,2)+1&amp;"E"</f>
        <v>FY28E</v>
      </c>
      <c r="AL5" s="132" t="str">
        <f t="shared" ref="AL5:AR5" si="16">"FY"&amp;MID(AK5,3,2)+1&amp;"E"</f>
        <v>FY29E</v>
      </c>
      <c r="AM5" s="132" t="str">
        <f t="shared" si="16"/>
        <v>FY30E</v>
      </c>
      <c r="AN5" s="132" t="str">
        <f t="shared" si="16"/>
        <v>FY31E</v>
      </c>
      <c r="AO5" s="132" t="str">
        <f t="shared" si="16"/>
        <v>FY32E</v>
      </c>
      <c r="AP5" s="132" t="str">
        <f t="shared" si="16"/>
        <v>FY33E</v>
      </c>
      <c r="AQ5" s="132" t="str">
        <f t="shared" si="16"/>
        <v>FY34E</v>
      </c>
      <c r="AR5" s="132" t="str">
        <f t="shared" si="16"/>
        <v>FY35E</v>
      </c>
      <c r="AS5" s="133">
        <f t="shared" ref="AS5:BV5" si="17">+AS2</f>
        <v>49943</v>
      </c>
      <c r="AT5" s="133">
        <f t="shared" si="17"/>
        <v>50308</v>
      </c>
      <c r="AU5" s="133">
        <f t="shared" si="17"/>
        <v>50673</v>
      </c>
      <c r="AV5" s="133">
        <f>+AV2</f>
        <v>51038</v>
      </c>
      <c r="AW5" s="133">
        <f>+AW2</f>
        <v>51403</v>
      </c>
      <c r="AX5" s="134">
        <f t="shared" si="17"/>
        <v>51768</v>
      </c>
      <c r="AY5" s="134">
        <f t="shared" si="17"/>
        <v>52133</v>
      </c>
      <c r="AZ5" s="134">
        <f t="shared" si="17"/>
        <v>52498</v>
      </c>
      <c r="BA5" s="134">
        <f t="shared" si="17"/>
        <v>52863</v>
      </c>
      <c r="BB5" s="134">
        <f t="shared" si="17"/>
        <v>53228</v>
      </c>
      <c r="BC5" s="134">
        <f t="shared" si="17"/>
        <v>53593</v>
      </c>
      <c r="BD5" s="134">
        <f t="shared" si="17"/>
        <v>53958</v>
      </c>
      <c r="BE5" s="134">
        <f t="shared" si="17"/>
        <v>54323</v>
      </c>
      <c r="BF5" s="134">
        <f t="shared" si="17"/>
        <v>54688</v>
      </c>
      <c r="BG5" s="134">
        <f t="shared" si="17"/>
        <v>55053</v>
      </c>
      <c r="BH5" s="134">
        <f t="shared" si="17"/>
        <v>55418</v>
      </c>
      <c r="BI5" s="134">
        <f t="shared" si="17"/>
        <v>55783</v>
      </c>
      <c r="BJ5" s="134">
        <f t="shared" si="17"/>
        <v>56148</v>
      </c>
      <c r="BK5" s="134">
        <f t="shared" si="17"/>
        <v>56513</v>
      </c>
      <c r="BL5" s="134">
        <f t="shared" si="17"/>
        <v>56878</v>
      </c>
      <c r="BM5" s="134">
        <f t="shared" si="17"/>
        <v>57243</v>
      </c>
      <c r="BN5" s="134">
        <f t="shared" si="17"/>
        <v>57608</v>
      </c>
      <c r="BO5" s="134">
        <f t="shared" si="17"/>
        <v>57973</v>
      </c>
      <c r="BP5" s="134">
        <f t="shared" si="17"/>
        <v>58338</v>
      </c>
      <c r="BQ5" s="134">
        <f t="shared" si="17"/>
        <v>58703</v>
      </c>
      <c r="BR5" s="134">
        <f t="shared" si="17"/>
        <v>59068</v>
      </c>
      <c r="BS5" s="134">
        <f t="shared" si="17"/>
        <v>59433</v>
      </c>
      <c r="BT5" s="134">
        <f t="shared" si="17"/>
        <v>59798</v>
      </c>
      <c r="BU5" s="134">
        <f t="shared" si="17"/>
        <v>60163</v>
      </c>
      <c r="BV5" s="134">
        <f t="shared" si="17"/>
        <v>60528</v>
      </c>
      <c r="BW5" s="134">
        <f t="shared" ref="BW5:DB5" si="18">+BW2</f>
        <v>60893</v>
      </c>
      <c r="BX5" s="134">
        <f t="shared" si="18"/>
        <v>61258</v>
      </c>
      <c r="BY5" s="134">
        <f t="shared" si="18"/>
        <v>61623</v>
      </c>
      <c r="BZ5" s="134">
        <f t="shared" si="18"/>
        <v>61988</v>
      </c>
      <c r="CA5" s="134">
        <f t="shared" si="18"/>
        <v>62353</v>
      </c>
      <c r="CB5" s="134">
        <f t="shared" si="18"/>
        <v>62718</v>
      </c>
      <c r="CC5" s="134">
        <f t="shared" si="18"/>
        <v>63083</v>
      </c>
      <c r="CD5" s="134">
        <f t="shared" si="18"/>
        <v>63448</v>
      </c>
      <c r="CE5" s="134">
        <f t="shared" si="18"/>
        <v>63813</v>
      </c>
      <c r="CF5" s="134">
        <f t="shared" si="18"/>
        <v>64178</v>
      </c>
      <c r="CG5" s="134">
        <f t="shared" si="18"/>
        <v>64543</v>
      </c>
      <c r="CH5" s="134">
        <f t="shared" si="18"/>
        <v>64908</v>
      </c>
      <c r="CI5" s="134">
        <f t="shared" si="18"/>
        <v>65273</v>
      </c>
      <c r="CJ5" s="134">
        <f t="shared" si="18"/>
        <v>65638</v>
      </c>
      <c r="CK5" s="134">
        <f t="shared" si="18"/>
        <v>66003</v>
      </c>
      <c r="CL5" s="134">
        <f t="shared" si="18"/>
        <v>66368</v>
      </c>
      <c r="CM5" s="134">
        <f t="shared" si="18"/>
        <v>66733</v>
      </c>
      <c r="CN5" s="134">
        <f t="shared" si="18"/>
        <v>67098</v>
      </c>
      <c r="CO5" s="134">
        <f t="shared" si="18"/>
        <v>67463</v>
      </c>
      <c r="CP5" s="134">
        <f t="shared" si="18"/>
        <v>67828</v>
      </c>
      <c r="CQ5" s="134">
        <f t="shared" si="18"/>
        <v>68193</v>
      </c>
      <c r="CR5" s="134">
        <f t="shared" si="18"/>
        <v>68558</v>
      </c>
      <c r="CS5" s="134">
        <f t="shared" si="18"/>
        <v>68923</v>
      </c>
      <c r="CT5" s="134">
        <f t="shared" si="18"/>
        <v>69288</v>
      </c>
      <c r="CU5" s="134">
        <f t="shared" si="18"/>
        <v>69653</v>
      </c>
      <c r="CV5" s="134">
        <f t="shared" si="18"/>
        <v>70018</v>
      </c>
      <c r="CW5" s="134">
        <f t="shared" si="18"/>
        <v>70383</v>
      </c>
      <c r="CX5" s="134">
        <f t="shared" si="18"/>
        <v>70748</v>
      </c>
      <c r="CY5" s="134">
        <f t="shared" si="18"/>
        <v>71113</v>
      </c>
      <c r="CZ5" s="134">
        <f t="shared" si="18"/>
        <v>71478</v>
      </c>
      <c r="DA5" s="134">
        <f t="shared" si="18"/>
        <v>71843</v>
      </c>
      <c r="DB5" s="134">
        <f t="shared" si="18"/>
        <v>72208</v>
      </c>
      <c r="DC5" s="134">
        <f t="shared" ref="DC5:EH5" si="19">+DC2</f>
        <v>72573</v>
      </c>
      <c r="DD5" s="134">
        <f t="shared" si="19"/>
        <v>72938</v>
      </c>
      <c r="DE5" s="134">
        <f t="shared" si="19"/>
        <v>73303</v>
      </c>
      <c r="DF5" s="134">
        <f t="shared" si="19"/>
        <v>73668</v>
      </c>
      <c r="DG5" s="134">
        <f t="shared" si="19"/>
        <v>74033</v>
      </c>
      <c r="DH5" s="134">
        <f t="shared" si="19"/>
        <v>74398</v>
      </c>
      <c r="DI5" s="134">
        <f t="shared" si="19"/>
        <v>74763</v>
      </c>
      <c r="DJ5" s="134">
        <f t="shared" si="19"/>
        <v>75128</v>
      </c>
      <c r="DK5" s="134">
        <f t="shared" si="19"/>
        <v>75493</v>
      </c>
      <c r="DL5" s="134">
        <f t="shared" si="19"/>
        <v>75858</v>
      </c>
      <c r="DM5" s="134">
        <f t="shared" si="19"/>
        <v>76223</v>
      </c>
      <c r="DN5" s="134">
        <f t="shared" si="19"/>
        <v>76588</v>
      </c>
      <c r="DO5" s="134">
        <f t="shared" si="19"/>
        <v>76953</v>
      </c>
      <c r="DP5" s="134">
        <f t="shared" si="19"/>
        <v>77318</v>
      </c>
      <c r="DQ5" s="134">
        <f t="shared" si="19"/>
        <v>77683</v>
      </c>
      <c r="DR5" s="134">
        <f t="shared" si="19"/>
        <v>78048</v>
      </c>
      <c r="DS5" s="134">
        <f t="shared" si="19"/>
        <v>78413</v>
      </c>
      <c r="DT5" s="134">
        <f t="shared" si="19"/>
        <v>78778</v>
      </c>
      <c r="DU5" s="134">
        <f t="shared" si="19"/>
        <v>79143</v>
      </c>
      <c r="DV5" s="134">
        <f t="shared" si="19"/>
        <v>79508</v>
      </c>
      <c r="DW5" s="134">
        <f t="shared" si="19"/>
        <v>79873</v>
      </c>
      <c r="DX5" s="134">
        <f t="shared" si="19"/>
        <v>80238</v>
      </c>
      <c r="DY5" s="134">
        <f t="shared" si="19"/>
        <v>80603</v>
      </c>
      <c r="DZ5" s="134">
        <f t="shared" si="19"/>
        <v>80968</v>
      </c>
      <c r="EA5" s="134">
        <f t="shared" si="19"/>
        <v>81333</v>
      </c>
      <c r="EB5" s="134">
        <f t="shared" si="19"/>
        <v>81698</v>
      </c>
      <c r="EC5" s="134">
        <f t="shared" si="19"/>
        <v>82063</v>
      </c>
      <c r="ED5" s="134">
        <f t="shared" si="19"/>
        <v>82428</v>
      </c>
      <c r="EE5" s="134">
        <f t="shared" si="19"/>
        <v>82793</v>
      </c>
      <c r="EF5" s="134">
        <f t="shared" si="19"/>
        <v>83158</v>
      </c>
      <c r="EG5" s="134">
        <f t="shared" si="19"/>
        <v>83523</v>
      </c>
      <c r="EH5" s="134">
        <f t="shared" si="19"/>
        <v>83888</v>
      </c>
      <c r="EI5" s="134">
        <f t="shared" ref="EI5:EQ5" si="20">+EI2</f>
        <v>84253</v>
      </c>
      <c r="EJ5" s="134">
        <f t="shared" si="20"/>
        <v>84618</v>
      </c>
      <c r="EK5" s="134">
        <f t="shared" si="20"/>
        <v>84983</v>
      </c>
      <c r="EL5" s="134">
        <f t="shared" si="20"/>
        <v>85348</v>
      </c>
      <c r="EM5" s="134">
        <f t="shared" si="20"/>
        <v>85713</v>
      </c>
      <c r="EN5" s="134">
        <f t="shared" si="20"/>
        <v>86078</v>
      </c>
      <c r="EO5" s="134">
        <f t="shared" si="20"/>
        <v>86443</v>
      </c>
      <c r="EP5" s="134">
        <f t="shared" si="20"/>
        <v>86808</v>
      </c>
      <c r="EQ5" s="134">
        <f t="shared" si="20"/>
        <v>87173</v>
      </c>
    </row>
    <row r="6" spans="2:147" s="10" customFormat="1">
      <c r="B6" s="135" t="s">
        <v>508</v>
      </c>
      <c r="C6" s="432">
        <f ca="1">SUMIF(MODEL!$7:$7,G52,MODEL!1125:1125)/100+SUMIF(MODEL!$7:$7,G53,MODEL!1125:1125)/100</f>
        <v>1.72</v>
      </c>
      <c r="F6" s="129" t="s">
        <v>305</v>
      </c>
      <c r="G6" s="136">
        <f ca="1">SUM(AI112:AR112)</f>
        <v>13138.902736181084</v>
      </c>
      <c r="H6" s="130">
        <f t="shared" ca="1" si="12"/>
        <v>4.403825663475514</v>
      </c>
      <c r="I6" s="1244">
        <v>2.8671094631606135</v>
      </c>
      <c r="J6" s="1566">
        <f t="shared" ref="J6:J13" ca="1" si="21">+H6/I6-1</f>
        <v>0.53598100109539293</v>
      </c>
      <c r="K6" s="1542"/>
      <c r="L6" s="1542"/>
      <c r="M6" s="1542"/>
      <c r="N6" s="1542"/>
      <c r="O6" s="1542"/>
      <c r="P6" s="1542"/>
      <c r="Q6" s="1542"/>
      <c r="R6" s="9"/>
      <c r="S6" s="292"/>
      <c r="T6" s="131"/>
      <c r="U6" s="131"/>
      <c r="V6" s="131"/>
      <c r="W6" s="131"/>
      <c r="X6" s="131"/>
      <c r="Y6" s="131"/>
      <c r="Z6" s="131"/>
      <c r="AA6" s="131"/>
      <c r="AB6" s="131"/>
      <c r="AC6" s="131"/>
      <c r="AD6" s="131"/>
      <c r="AE6" s="131"/>
      <c r="AF6" s="131"/>
      <c r="AG6" s="131"/>
      <c r="AH6" s="1630"/>
      <c r="AI6" s="131"/>
      <c r="AJ6" s="131"/>
      <c r="AK6" s="131"/>
      <c r="AL6" s="131"/>
      <c r="AM6" s="131"/>
      <c r="AN6" s="131"/>
      <c r="AO6" s="131"/>
      <c r="AP6" s="131"/>
      <c r="AQ6" s="131"/>
      <c r="AR6" s="131"/>
      <c r="AS6" s="137"/>
      <c r="AT6" s="137"/>
      <c r="AU6" s="137"/>
      <c r="AV6" s="137"/>
      <c r="AW6" s="137"/>
      <c r="AX6" s="137"/>
      <c r="AY6" s="137"/>
      <c r="AZ6" s="137"/>
      <c r="BA6" s="137"/>
      <c r="BB6" s="137"/>
      <c r="BC6" s="137"/>
      <c r="BD6" s="137"/>
      <c r="BE6" s="137"/>
      <c r="BF6" s="137"/>
      <c r="BG6" s="137"/>
      <c r="BH6" s="137"/>
      <c r="BI6" s="137"/>
      <c r="BJ6" s="137"/>
      <c r="BK6" s="137"/>
      <c r="BL6" s="137"/>
      <c r="BM6" s="137"/>
      <c r="BN6" s="137"/>
      <c r="BO6" s="137"/>
      <c r="BP6" s="137"/>
      <c r="BQ6" s="137"/>
      <c r="BR6" s="137"/>
      <c r="BS6" s="137"/>
      <c r="BT6" s="137"/>
      <c r="BU6" s="137"/>
      <c r="BV6" s="137"/>
      <c r="BW6" s="137"/>
      <c r="BX6" s="137"/>
      <c r="BY6" s="137"/>
      <c r="BZ6" s="137"/>
      <c r="CA6" s="137"/>
      <c r="CB6" s="137"/>
      <c r="CC6" s="137"/>
      <c r="CD6" s="137"/>
      <c r="CE6" s="137"/>
      <c r="CF6" s="137"/>
      <c r="CG6" s="137"/>
      <c r="CH6" s="137"/>
      <c r="CI6" s="137"/>
      <c r="CJ6" s="137"/>
      <c r="CK6" s="137"/>
      <c r="CL6" s="137"/>
      <c r="CM6" s="137"/>
      <c r="CN6" s="137"/>
      <c r="CO6" s="137"/>
      <c r="CP6" s="137"/>
      <c r="CQ6" s="137"/>
      <c r="CR6" s="137"/>
      <c r="CS6" s="137"/>
      <c r="CT6" s="137"/>
      <c r="CU6" s="137"/>
      <c r="CV6" s="137"/>
      <c r="CW6" s="137"/>
      <c r="CX6" s="137"/>
      <c r="CY6" s="137"/>
      <c r="CZ6" s="137"/>
      <c r="DA6" s="137"/>
      <c r="DB6" s="137"/>
      <c r="DC6" s="137"/>
      <c r="DD6" s="137"/>
      <c r="DE6" s="137"/>
      <c r="DF6" s="137"/>
      <c r="DG6" s="137"/>
      <c r="DH6" s="137"/>
      <c r="DI6" s="137"/>
      <c r="DJ6" s="137"/>
      <c r="DK6" s="137"/>
      <c r="DL6" s="137"/>
      <c r="DM6" s="137"/>
      <c r="DN6" s="137"/>
      <c r="DO6" s="137"/>
      <c r="DP6" s="137"/>
      <c r="DQ6" s="137"/>
      <c r="DR6" s="137"/>
      <c r="DS6" s="137"/>
      <c r="DT6" s="137"/>
      <c r="DU6" s="137"/>
      <c r="DV6" s="137"/>
      <c r="DW6" s="137"/>
      <c r="DX6" s="137"/>
      <c r="DY6" s="137"/>
      <c r="DZ6" s="137"/>
      <c r="EA6" s="137"/>
      <c r="EB6" s="137"/>
      <c r="EC6" s="137"/>
      <c r="ED6" s="137"/>
      <c r="EE6" s="137"/>
      <c r="EF6" s="137"/>
      <c r="EG6" s="137"/>
      <c r="EH6" s="137"/>
      <c r="EI6" s="137"/>
      <c r="EJ6" s="137"/>
      <c r="EK6" s="137"/>
      <c r="EL6" s="137"/>
      <c r="EM6" s="137"/>
      <c r="EN6" s="137"/>
      <c r="EO6" s="137"/>
      <c r="EP6" s="137"/>
      <c r="EQ6" s="137"/>
    </row>
    <row r="7" spans="2:147" s="10" customFormat="1">
      <c r="B7" s="135" t="s">
        <v>721</v>
      </c>
      <c r="C7" s="138">
        <f>SUMMARY!FS2</f>
        <v>40.35</v>
      </c>
      <c r="E7" s="139"/>
      <c r="F7" s="129" t="s">
        <v>251</v>
      </c>
      <c r="G7" s="136">
        <f ca="1">SUM(AS112:AW112)</f>
        <v>5381.3474301419674</v>
      </c>
      <c r="H7" s="130">
        <f t="shared" ca="1" si="12"/>
        <v>1.8036906424215866</v>
      </c>
      <c r="I7" s="1244">
        <v>1.1889665683434585</v>
      </c>
      <c r="J7" s="1566">
        <f t="shared" ca="1" si="21"/>
        <v>0.51702385117068483</v>
      </c>
      <c r="K7" s="1542"/>
      <c r="L7" s="1542"/>
      <c r="M7" s="1554"/>
      <c r="N7" s="1554"/>
      <c r="O7" s="1554"/>
      <c r="P7" s="1554"/>
      <c r="Q7" s="1542"/>
      <c r="R7" s="10" t="s">
        <v>500</v>
      </c>
      <c r="S7" s="111"/>
      <c r="V7" s="140">
        <f>MODEL!BJ149</f>
        <v>253277</v>
      </c>
      <c r="W7" s="140">
        <f>MODEL!BN149</f>
        <v>271388</v>
      </c>
      <c r="X7" s="140">
        <f>MODEL!BR149</f>
        <v>300468</v>
      </c>
      <c r="Y7" s="140">
        <f>MODEL!BV149</f>
        <v>323144</v>
      </c>
      <c r="Z7" s="140">
        <f>MODEL!BZ149</f>
        <v>337309</v>
      </c>
      <c r="AA7" s="140">
        <f>MODEL!CD149</f>
        <v>346154</v>
      </c>
      <c r="AB7" s="763">
        <f>MODEL!CH149</f>
        <v>343808</v>
      </c>
      <c r="AC7" s="763">
        <f>MODEL!CL149</f>
        <v>358350</v>
      </c>
      <c r="AD7" s="763">
        <f>MODEL!CP149</f>
        <v>372572</v>
      </c>
      <c r="AE7" s="763">
        <f>MODEL!CT149</f>
        <v>374625</v>
      </c>
      <c r="AF7" s="763">
        <f>MODEL!CX149</f>
        <v>404491</v>
      </c>
      <c r="AG7" s="763">
        <f>MODEL!DB149</f>
        <v>484554</v>
      </c>
      <c r="AH7" s="1631">
        <f>INDEX(MODEL!149:149,MATCH(AH$5,MODEL!$7:$7,0))</f>
        <v>503997</v>
      </c>
      <c r="AI7" s="763">
        <f>INDEX(MODEL!149:149,MATCH(AI$5,MODEL!$7:$7,0))</f>
        <v>522445.91705658485</v>
      </c>
      <c r="AJ7" s="763">
        <f>INDEX(MODEL!149:149,MATCH(AJ$5,MODEL!$7:$7,0))</f>
        <v>552107.82554237521</v>
      </c>
      <c r="AK7" s="763">
        <f>INDEX(MODEL!149:149,MATCH(AK$5,MODEL!$7:$7,0))</f>
        <v>577831.86688080593</v>
      </c>
      <c r="AL7" s="140">
        <f t="shared" ref="AL7:CG7" si="22">+AK7*(1+AL10)</f>
        <v>600945.14155603817</v>
      </c>
      <c r="AM7" s="140">
        <f t="shared" si="22"/>
        <v>618973.49580271938</v>
      </c>
      <c r="AN7" s="140">
        <f t="shared" si="22"/>
        <v>637542.70067680103</v>
      </c>
      <c r="AO7" s="140">
        <f t="shared" si="22"/>
        <v>656668.9816971051</v>
      </c>
      <c r="AP7" s="140">
        <f t="shared" si="22"/>
        <v>676369.05114801822</v>
      </c>
      <c r="AQ7" s="140">
        <f t="shared" si="22"/>
        <v>696660.12268245884</v>
      </c>
      <c r="AR7" s="140">
        <f t="shared" si="22"/>
        <v>717559.92636293266</v>
      </c>
      <c r="AS7" s="140">
        <f>+AR7*(1+AS10)</f>
        <v>739086.72415382066</v>
      </c>
      <c r="AT7" s="140">
        <f t="shared" si="22"/>
        <v>761259.32587843528</v>
      </c>
      <c r="AU7" s="140">
        <f t="shared" si="22"/>
        <v>784097.10565478832</v>
      </c>
      <c r="AV7" s="140">
        <f t="shared" si="22"/>
        <v>807620.01882443205</v>
      </c>
      <c r="AW7" s="140">
        <f t="shared" si="22"/>
        <v>831848.61938916508</v>
      </c>
      <c r="AX7" s="140">
        <f t="shared" si="22"/>
        <v>856804.07797084004</v>
      </c>
      <c r="AY7" s="140">
        <f t="shared" si="22"/>
        <v>882508.20030996529</v>
      </c>
      <c r="AZ7" s="140">
        <f t="shared" si="22"/>
        <v>908983.44631926424</v>
      </c>
      <c r="BA7" s="140">
        <f t="shared" si="22"/>
        <v>936252.94970884221</v>
      </c>
      <c r="BB7" s="140">
        <f t="shared" si="22"/>
        <v>964340.53820010752</v>
      </c>
      <c r="BC7" s="140">
        <f t="shared" si="22"/>
        <v>993270.75434611074</v>
      </c>
      <c r="BD7" s="140">
        <f t="shared" si="22"/>
        <v>1023068.8769764941</v>
      </c>
      <c r="BE7" s="140">
        <f t="shared" si="22"/>
        <v>1053760.9432857889</v>
      </c>
      <c r="BF7" s="140">
        <f t="shared" si="22"/>
        <v>1085373.7715843625</v>
      </c>
      <c r="BG7" s="140">
        <f t="shared" si="22"/>
        <v>1117934.9847318933</v>
      </c>
      <c r="BH7" s="140">
        <f t="shared" si="22"/>
        <v>1151473.03427385</v>
      </c>
      <c r="BI7" s="140">
        <f t="shared" si="22"/>
        <v>1186017.2253020655</v>
      </c>
      <c r="BJ7" s="140">
        <f t="shared" si="22"/>
        <v>1221597.7420611274</v>
      </c>
      <c r="BK7" s="140">
        <f t="shared" si="22"/>
        <v>1258245.6743229614</v>
      </c>
      <c r="BL7" s="140">
        <f t="shared" si="22"/>
        <v>1295993.0445526503</v>
      </c>
      <c r="BM7" s="140">
        <f t="shared" si="22"/>
        <v>1334872.8358892298</v>
      </c>
      <c r="BN7" s="140">
        <f t="shared" si="22"/>
        <v>1374919.0209659068</v>
      </c>
      <c r="BO7" s="140">
        <f t="shared" si="22"/>
        <v>1416166.5915948839</v>
      </c>
      <c r="BP7" s="140">
        <f t="shared" si="22"/>
        <v>1458651.5893427306</v>
      </c>
      <c r="BQ7" s="140">
        <f t="shared" si="22"/>
        <v>1502411.1370230126</v>
      </c>
      <c r="BR7" s="140">
        <f t="shared" si="22"/>
        <v>1547483.4711337031</v>
      </c>
      <c r="BS7" s="140">
        <f t="shared" si="22"/>
        <v>1593907.9752677144</v>
      </c>
      <c r="BT7" s="140">
        <f t="shared" si="22"/>
        <v>1641725.2145257457</v>
      </c>
      <c r="BU7" s="140">
        <f t="shared" si="22"/>
        <v>1690976.9709615181</v>
      </c>
      <c r="BV7" s="140">
        <f t="shared" si="22"/>
        <v>1741706.2800903637</v>
      </c>
      <c r="BW7" s="140">
        <f t="shared" si="22"/>
        <v>1793957.4684930746</v>
      </c>
      <c r="BX7" s="140">
        <f t="shared" si="22"/>
        <v>1847776.1925478668</v>
      </c>
      <c r="BY7" s="140">
        <f t="shared" si="22"/>
        <v>1903209.4783243029</v>
      </c>
      <c r="BZ7" s="140">
        <f t="shared" si="22"/>
        <v>1960305.762674032</v>
      </c>
      <c r="CA7" s="140">
        <f t="shared" si="22"/>
        <v>2019114.9355542529</v>
      </c>
      <c r="CB7" s="140">
        <f t="shared" si="22"/>
        <v>2079688.3836208805</v>
      </c>
      <c r="CC7" s="140">
        <f t="shared" si="22"/>
        <v>2142079.0351295071</v>
      </c>
      <c r="CD7" s="140">
        <f t="shared" si="22"/>
        <v>2206341.4061833923</v>
      </c>
      <c r="CE7" s="140">
        <f t="shared" si="22"/>
        <v>2272531.6483688941</v>
      </c>
      <c r="CF7" s="140">
        <f t="shared" si="22"/>
        <v>2340707.5978199611</v>
      </c>
      <c r="CG7" s="140">
        <f t="shared" si="22"/>
        <v>2410928.8257545601</v>
      </c>
      <c r="CH7" s="140"/>
      <c r="CI7" s="140"/>
      <c r="CJ7" s="140"/>
      <c r="CK7" s="140"/>
      <c r="CL7" s="140"/>
      <c r="CM7" s="140"/>
      <c r="CN7" s="140"/>
      <c r="CO7" s="140"/>
      <c r="CP7" s="140"/>
      <c r="CQ7" s="140"/>
      <c r="CR7" s="140"/>
      <c r="CS7" s="140"/>
      <c r="CT7" s="140"/>
      <c r="CU7" s="140"/>
      <c r="CV7" s="140"/>
      <c r="CW7" s="140"/>
      <c r="CX7" s="140"/>
      <c r="CY7" s="140"/>
      <c r="CZ7" s="140"/>
      <c r="DA7" s="140"/>
      <c r="DB7" s="140"/>
      <c r="DC7" s="140"/>
      <c r="DD7" s="140"/>
      <c r="DE7" s="140"/>
      <c r="DF7" s="140"/>
      <c r="DG7" s="140"/>
      <c r="DH7" s="140"/>
      <c r="DI7" s="140"/>
      <c r="DJ7" s="140"/>
      <c r="DK7" s="140"/>
      <c r="DL7" s="140"/>
      <c r="DM7" s="140"/>
      <c r="DN7" s="140"/>
      <c r="DO7" s="140"/>
      <c r="DP7" s="140"/>
      <c r="DQ7" s="140"/>
      <c r="DR7" s="140"/>
      <c r="DS7" s="140"/>
      <c r="DT7" s="140"/>
      <c r="DU7" s="140"/>
      <c r="DV7" s="140"/>
      <c r="DW7" s="140"/>
      <c r="DX7" s="140"/>
      <c r="DY7" s="140"/>
      <c r="DZ7" s="140"/>
      <c r="EA7" s="140"/>
      <c r="EB7" s="140"/>
      <c r="EC7" s="140"/>
      <c r="ED7" s="140"/>
      <c r="EE7" s="140"/>
      <c r="EF7" s="140"/>
      <c r="EG7" s="140"/>
      <c r="EH7" s="140"/>
      <c r="EI7" s="140"/>
      <c r="EJ7" s="140"/>
      <c r="EK7" s="140"/>
      <c r="EL7" s="140"/>
      <c r="EM7" s="140"/>
      <c r="EN7" s="140"/>
      <c r="EO7" s="140"/>
      <c r="EP7" s="140"/>
      <c r="EQ7" s="140"/>
    </row>
    <row r="8" spans="2:147" s="10" customFormat="1">
      <c r="B8" s="141" t="s">
        <v>26</v>
      </c>
      <c r="C8" s="433">
        <f>SUMIF(MODEL!$7:$7,G51,MODEL!1107:1107)</f>
        <v>2983.52018</v>
      </c>
      <c r="E8" s="142"/>
      <c r="F8" s="129" t="s">
        <v>128</v>
      </c>
      <c r="G8" s="136">
        <f ca="1">SUM(AX112:CG112)</f>
        <v>9029.913251359143</v>
      </c>
      <c r="H8" s="130">
        <f t="shared" ca="1" si="12"/>
        <v>3.0265970084235003</v>
      </c>
      <c r="I8" s="1244">
        <v>1.9404746585027877</v>
      </c>
      <c r="J8" s="1566">
        <f t="shared" ca="1" si="21"/>
        <v>0.55971993510017404</v>
      </c>
      <c r="K8" s="1542"/>
      <c r="L8" s="1542"/>
      <c r="M8" s="1542"/>
      <c r="N8" s="1542"/>
      <c r="O8" s="1542"/>
      <c r="P8" s="1542"/>
      <c r="Q8" s="1542"/>
      <c r="R8" s="10" t="s">
        <v>410</v>
      </c>
      <c r="S8" s="111"/>
      <c r="V8" s="140">
        <f t="shared" ref="V8:AB8" si="23">V9-V7</f>
        <v>235294</v>
      </c>
      <c r="W8" s="140">
        <f t="shared" si="23"/>
        <v>255189</v>
      </c>
      <c r="X8" s="140">
        <f t="shared" si="23"/>
        <v>274526</v>
      </c>
      <c r="Y8" s="140">
        <f t="shared" si="23"/>
        <v>257435</v>
      </c>
      <c r="Z8" s="140">
        <f t="shared" si="23"/>
        <v>247193</v>
      </c>
      <c r="AA8" s="140">
        <f>AA9-AA7</f>
        <v>262656</v>
      </c>
      <c r="AB8" s="140">
        <f t="shared" si="23"/>
        <v>275357</v>
      </c>
      <c r="AC8" s="140">
        <f t="shared" ref="AC8:AH8" si="24">AC9-AC7</f>
        <v>264184</v>
      </c>
      <c r="AD8" s="140">
        <f t="shared" si="24"/>
        <v>261626</v>
      </c>
      <c r="AE8" s="140">
        <f t="shared" si="24"/>
        <v>301882</v>
      </c>
      <c r="AF8" s="140">
        <f t="shared" ref="AF8:AG8" si="25">AF9-AF7</f>
        <v>306614</v>
      </c>
      <c r="AG8" s="140">
        <f t="shared" si="25"/>
        <v>323018</v>
      </c>
      <c r="AH8" s="1632">
        <f t="shared" si="24"/>
        <v>329974</v>
      </c>
      <c r="AI8" s="140">
        <f t="shared" ref="AI8" si="26">AI9-AI7</f>
        <v>335605.7160533102</v>
      </c>
      <c r="AJ8" s="140">
        <f t="shared" ref="AJ8:AK8" si="27">AJ9-AJ7</f>
        <v>346333.47497835336</v>
      </c>
      <c r="AK8" s="140">
        <f t="shared" si="27"/>
        <v>358558.83926172217</v>
      </c>
      <c r="AL8" s="140">
        <f t="shared" ref="AL8:CG8" si="28">+AK8*(1+AL11)</f>
        <v>369315.60443957383</v>
      </c>
      <c r="AM8" s="140">
        <f t="shared" si="28"/>
        <v>380395.07257276104</v>
      </c>
      <c r="AN8" s="140">
        <f t="shared" si="28"/>
        <v>391806.92474994389</v>
      </c>
      <c r="AO8" s="140">
        <f t="shared" si="28"/>
        <v>403561.13249244221</v>
      </c>
      <c r="AP8" s="140">
        <f t="shared" si="28"/>
        <v>415667.9664672155</v>
      </c>
      <c r="AQ8" s="140">
        <f t="shared" si="28"/>
        <v>428138.00546123198</v>
      </c>
      <c r="AR8" s="140">
        <f t="shared" si="28"/>
        <v>440982.14562506892</v>
      </c>
      <c r="AS8" s="140">
        <f>+AR8*(1+AS11)</f>
        <v>454211.60999382101</v>
      </c>
      <c r="AT8" s="140">
        <f t="shared" si="28"/>
        <v>467837.95829363563</v>
      </c>
      <c r="AU8" s="140">
        <f t="shared" si="28"/>
        <v>481873.09704244469</v>
      </c>
      <c r="AV8" s="140">
        <f t="shared" si="28"/>
        <v>496329.28995371802</v>
      </c>
      <c r="AW8" s="140">
        <f t="shared" si="28"/>
        <v>511219.16865232959</v>
      </c>
      <c r="AX8" s="140">
        <f t="shared" si="28"/>
        <v>526555.7437118995</v>
      </c>
      <c r="AY8" s="140">
        <f t="shared" si="28"/>
        <v>542352.41602325649</v>
      </c>
      <c r="AZ8" s="140">
        <f t="shared" si="28"/>
        <v>558622.98850395426</v>
      </c>
      <c r="BA8" s="140">
        <f t="shared" si="28"/>
        <v>575381.67815907288</v>
      </c>
      <c r="BB8" s="140">
        <f t="shared" si="28"/>
        <v>592643.12850384507</v>
      </c>
      <c r="BC8" s="140">
        <f t="shared" si="28"/>
        <v>610422.4223589605</v>
      </c>
      <c r="BD8" s="140">
        <f t="shared" si="28"/>
        <v>628735.0950297293</v>
      </c>
      <c r="BE8" s="140">
        <f t="shared" si="28"/>
        <v>647597.14788062125</v>
      </c>
      <c r="BF8" s="140">
        <f t="shared" si="28"/>
        <v>667025.06231703993</v>
      </c>
      <c r="BG8" s="140">
        <f t="shared" si="28"/>
        <v>687035.81418655114</v>
      </c>
      <c r="BH8" s="140">
        <f t="shared" si="28"/>
        <v>707646.88861214765</v>
      </c>
      <c r="BI8" s="140">
        <f t="shared" si="28"/>
        <v>728876.29527051211</v>
      </c>
      <c r="BJ8" s="140">
        <f t="shared" si="28"/>
        <v>750742.58412862755</v>
      </c>
      <c r="BK8" s="140">
        <f t="shared" si="28"/>
        <v>773264.86165248638</v>
      </c>
      <c r="BL8" s="140">
        <f t="shared" si="28"/>
        <v>796462.80750206101</v>
      </c>
      <c r="BM8" s="140">
        <f t="shared" si="28"/>
        <v>820356.69172712287</v>
      </c>
      <c r="BN8" s="140">
        <f t="shared" si="28"/>
        <v>844967.39247893658</v>
      </c>
      <c r="BO8" s="140">
        <f t="shared" si="28"/>
        <v>870316.41425330471</v>
      </c>
      <c r="BP8" s="140">
        <f t="shared" si="28"/>
        <v>896425.90668090386</v>
      </c>
      <c r="BQ8" s="140">
        <f t="shared" si="28"/>
        <v>923318.683881331</v>
      </c>
      <c r="BR8" s="140">
        <f t="shared" si="28"/>
        <v>951018.24439777096</v>
      </c>
      <c r="BS8" s="140">
        <f t="shared" si="28"/>
        <v>979548.79172970413</v>
      </c>
      <c r="BT8" s="140">
        <f t="shared" si="28"/>
        <v>1008935.2554815953</v>
      </c>
      <c r="BU8" s="140">
        <f t="shared" si="28"/>
        <v>1039203.3131460432</v>
      </c>
      <c r="BV8" s="140">
        <f t="shared" si="28"/>
        <v>1070379.4125404246</v>
      </c>
      <c r="BW8" s="140">
        <f t="shared" si="28"/>
        <v>1102490.7949166375</v>
      </c>
      <c r="BX8" s="140">
        <f t="shared" si="28"/>
        <v>1135565.5187641366</v>
      </c>
      <c r="BY8" s="140">
        <f t="shared" si="28"/>
        <v>1169632.4843270606</v>
      </c>
      <c r="BZ8" s="140">
        <f t="shared" si="28"/>
        <v>1204721.4588568725</v>
      </c>
      <c r="CA8" s="140">
        <f t="shared" si="28"/>
        <v>1240863.1026225786</v>
      </c>
      <c r="CB8" s="140">
        <f t="shared" si="28"/>
        <v>1278088.995701256</v>
      </c>
      <c r="CC8" s="140">
        <f t="shared" si="28"/>
        <v>1316431.6655722938</v>
      </c>
      <c r="CD8" s="140">
        <f t="shared" si="28"/>
        <v>1355924.6155394625</v>
      </c>
      <c r="CE8" s="140">
        <f t="shared" si="28"/>
        <v>1396602.3540056464</v>
      </c>
      <c r="CF8" s="140">
        <f t="shared" si="28"/>
        <v>1438500.4246258158</v>
      </c>
      <c r="CG8" s="140">
        <f t="shared" si="28"/>
        <v>1481655.4373645904</v>
      </c>
      <c r="CH8" s="140"/>
      <c r="CI8" s="140"/>
      <c r="CJ8" s="140"/>
      <c r="CK8" s="140"/>
      <c r="CL8" s="140"/>
      <c r="CM8" s="140"/>
      <c r="CN8" s="140"/>
      <c r="CO8" s="140"/>
      <c r="CP8" s="140"/>
      <c r="CQ8" s="140"/>
      <c r="CR8" s="140"/>
      <c r="CS8" s="140"/>
      <c r="CT8" s="140"/>
      <c r="CU8" s="140"/>
      <c r="CV8" s="140"/>
      <c r="CW8" s="140"/>
      <c r="CX8" s="140"/>
      <c r="CY8" s="140"/>
      <c r="CZ8" s="140"/>
      <c r="DA8" s="140"/>
      <c r="DB8" s="140"/>
      <c r="DC8" s="140"/>
      <c r="DD8" s="140"/>
      <c r="DE8" s="140"/>
      <c r="DF8" s="140"/>
      <c r="DG8" s="140"/>
      <c r="DH8" s="140"/>
      <c r="DI8" s="140"/>
      <c r="DJ8" s="140"/>
      <c r="DK8" s="140"/>
      <c r="DL8" s="140"/>
      <c r="DM8" s="140"/>
      <c r="DN8" s="140"/>
      <c r="DO8" s="140"/>
      <c r="DP8" s="140"/>
      <c r="DQ8" s="140"/>
      <c r="DR8" s="140"/>
      <c r="DS8" s="140"/>
      <c r="DT8" s="140"/>
      <c r="DU8" s="140"/>
      <c r="DV8" s="140"/>
      <c r="DW8" s="140"/>
      <c r="DX8" s="140"/>
      <c r="DY8" s="140"/>
      <c r="DZ8" s="140"/>
      <c r="EA8" s="140"/>
      <c r="EB8" s="140"/>
      <c r="EC8" s="140"/>
      <c r="ED8" s="140"/>
      <c r="EE8" s="140"/>
      <c r="EF8" s="140"/>
      <c r="EG8" s="140"/>
      <c r="EH8" s="140"/>
      <c r="EI8" s="140"/>
      <c r="EJ8" s="140"/>
      <c r="EK8" s="140"/>
      <c r="EL8" s="140"/>
      <c r="EM8" s="140"/>
      <c r="EN8" s="140"/>
      <c r="EO8" s="140"/>
      <c r="EP8" s="140"/>
      <c r="EQ8" s="140"/>
    </row>
    <row r="9" spans="2:147" s="10" customFormat="1" ht="13.8" thickBot="1">
      <c r="B9" s="141" t="s">
        <v>299</v>
      </c>
      <c r="C9" s="143">
        <f>SUMIF(MODEL!$7:$7,G51,MODEL!1118:1118)</f>
        <v>23.840294587851588</v>
      </c>
      <c r="D9" s="124"/>
      <c r="E9" s="142"/>
      <c r="F9" s="144" t="s">
        <v>8</v>
      </c>
      <c r="G9" s="145">
        <f ca="1">SUM(G6:G8)</f>
        <v>27550.163417682194</v>
      </c>
      <c r="H9" s="146">
        <f t="shared" ca="1" si="12"/>
        <v>9.2341133143206005</v>
      </c>
      <c r="I9" s="1245">
        <v>5.9965506900068597</v>
      </c>
      <c r="J9" s="1566">
        <f t="shared" ca="1" si="21"/>
        <v>0.53990415351763454</v>
      </c>
      <c r="K9" s="1543"/>
      <c r="L9" s="1543"/>
      <c r="M9" s="1543"/>
      <c r="N9" s="1543"/>
      <c r="O9" s="1543"/>
      <c r="P9" s="1543"/>
      <c r="Q9" s="1543"/>
      <c r="R9" s="113" t="s">
        <v>178</v>
      </c>
      <c r="S9" s="293"/>
      <c r="T9" s="113"/>
      <c r="U9" s="113"/>
      <c r="V9" s="279">
        <f>MODEL!BJ154</f>
        <v>488571</v>
      </c>
      <c r="W9" s="279">
        <f>MODEL!BN154</f>
        <v>526577</v>
      </c>
      <c r="X9" s="279">
        <f>MODEL!BR154</f>
        <v>574994</v>
      </c>
      <c r="Y9" s="279">
        <f>MODEL!BV154</f>
        <v>580579</v>
      </c>
      <c r="Z9" s="279">
        <f>MODEL!BZ154</f>
        <v>584502</v>
      </c>
      <c r="AA9" s="279">
        <f>MODEL!CD154</f>
        <v>608810</v>
      </c>
      <c r="AB9" s="764">
        <f>MODEL!CH154</f>
        <v>619165</v>
      </c>
      <c r="AC9" s="764">
        <f>MODEL!CL154</f>
        <v>622534</v>
      </c>
      <c r="AD9" s="764">
        <f>MODEL!CP154</f>
        <v>634198</v>
      </c>
      <c r="AE9" s="764">
        <f>MODEL!CT154</f>
        <v>676507</v>
      </c>
      <c r="AF9" s="764">
        <f>MODEL!CX154</f>
        <v>711105</v>
      </c>
      <c r="AG9" s="764">
        <f>MODEL!DB154</f>
        <v>807572</v>
      </c>
      <c r="AH9" s="1633">
        <f>INDEX(MODEL!154:154,MATCH(AH$5,MODEL!$7:$7,0))</f>
        <v>833971</v>
      </c>
      <c r="AI9" s="1623">
        <f>INDEX(MODEL!154:154,MATCH(AI$5,MODEL!$7:$7,0))</f>
        <v>858051.63310989505</v>
      </c>
      <c r="AJ9" s="1623">
        <f>INDEX(MODEL!154:154,MATCH(AJ$5,MODEL!$7:$7,0))</f>
        <v>898441.30052072858</v>
      </c>
      <c r="AK9" s="1623">
        <f>INDEX(MODEL!154:154,MATCH(AK$5,MODEL!$7:$7,0))</f>
        <v>936390.7061425281</v>
      </c>
      <c r="AL9" s="147">
        <f t="shared" ref="AL9:AQ9" si="29">SUM(AL7:AL8)</f>
        <v>970260.745995612</v>
      </c>
      <c r="AM9" s="147">
        <f t="shared" si="29"/>
        <v>999368.56837548036</v>
      </c>
      <c r="AN9" s="147">
        <f t="shared" si="29"/>
        <v>1029349.6254267449</v>
      </c>
      <c r="AO9" s="147">
        <f t="shared" si="29"/>
        <v>1060230.1141895473</v>
      </c>
      <c r="AP9" s="147">
        <f t="shared" si="29"/>
        <v>1092037.0176152338</v>
      </c>
      <c r="AQ9" s="147">
        <f t="shared" si="29"/>
        <v>1124798.1281436908</v>
      </c>
      <c r="AR9" s="147">
        <f t="shared" ref="AR9" si="30">SUM(AR7:AR8)</f>
        <v>1158542.0719880015</v>
      </c>
      <c r="AS9" s="147">
        <f t="shared" ref="AS9:CD9" si="31">SUM(AS7:AS8)</f>
        <v>1193298.3341476417</v>
      </c>
      <c r="AT9" s="147">
        <f t="shared" si="31"/>
        <v>1229097.2841720709</v>
      </c>
      <c r="AU9" s="147">
        <f t="shared" si="31"/>
        <v>1265970.2026972331</v>
      </c>
      <c r="AV9" s="147">
        <f>SUM(AV7:AV8)</f>
        <v>1303949.30877815</v>
      </c>
      <c r="AW9" s="147">
        <f>SUM(AW7:AW8)</f>
        <v>1343067.7880414948</v>
      </c>
      <c r="AX9" s="147">
        <f t="shared" si="31"/>
        <v>1383359.8216827395</v>
      </c>
      <c r="AY9" s="147">
        <f t="shared" si="31"/>
        <v>1424860.6163332218</v>
      </c>
      <c r="AZ9" s="147">
        <f t="shared" si="31"/>
        <v>1467606.4348232185</v>
      </c>
      <c r="BA9" s="147">
        <f t="shared" si="31"/>
        <v>1511634.6278679152</v>
      </c>
      <c r="BB9" s="147">
        <f t="shared" si="31"/>
        <v>1556983.6667039525</v>
      </c>
      <c r="BC9" s="147">
        <f t="shared" si="31"/>
        <v>1603693.1767050712</v>
      </c>
      <c r="BD9" s="147">
        <f t="shared" si="31"/>
        <v>1651803.9720062234</v>
      </c>
      <c r="BE9" s="147">
        <f t="shared" si="31"/>
        <v>1701358.0911664101</v>
      </c>
      <c r="BF9" s="147">
        <f t="shared" si="31"/>
        <v>1752398.8339014025</v>
      </c>
      <c r="BG9" s="147">
        <f t="shared" si="31"/>
        <v>1804970.7989184444</v>
      </c>
      <c r="BH9" s="147">
        <f t="shared" si="31"/>
        <v>1859119.9228859977</v>
      </c>
      <c r="BI9" s="147">
        <f t="shared" si="31"/>
        <v>1914893.5205725776</v>
      </c>
      <c r="BJ9" s="147">
        <f t="shared" si="31"/>
        <v>1972340.326189755</v>
      </c>
      <c r="BK9" s="147">
        <f t="shared" si="31"/>
        <v>2031510.5359754479</v>
      </c>
      <c r="BL9" s="147">
        <f t="shared" si="31"/>
        <v>2092455.8520547114</v>
      </c>
      <c r="BM9" s="147">
        <f t="shared" si="31"/>
        <v>2155229.5276163528</v>
      </c>
      <c r="BN9" s="147">
        <f t="shared" si="31"/>
        <v>2219886.4134448431</v>
      </c>
      <c r="BO9" s="147">
        <f t="shared" si="31"/>
        <v>2286483.0058481889</v>
      </c>
      <c r="BP9" s="147">
        <f t="shared" si="31"/>
        <v>2355077.4960236344</v>
      </c>
      <c r="BQ9" s="147">
        <f t="shared" si="31"/>
        <v>2425729.8209043434</v>
      </c>
      <c r="BR9" s="147">
        <f t="shared" si="31"/>
        <v>2498501.715531474</v>
      </c>
      <c r="BS9" s="147">
        <f t="shared" si="31"/>
        <v>2573456.7669974184</v>
      </c>
      <c r="BT9" s="147">
        <f t="shared" si="31"/>
        <v>2650660.4700073409</v>
      </c>
      <c r="BU9" s="147">
        <f t="shared" si="31"/>
        <v>2730180.2841075612</v>
      </c>
      <c r="BV9" s="147">
        <f t="shared" si="31"/>
        <v>2812085.6926307883</v>
      </c>
      <c r="BW9" s="147">
        <f t="shared" si="31"/>
        <v>2896448.2634097124</v>
      </c>
      <c r="BX9" s="147">
        <f t="shared" si="31"/>
        <v>2983341.7113120034</v>
      </c>
      <c r="BY9" s="147">
        <f t="shared" si="31"/>
        <v>3072841.9626513636</v>
      </c>
      <c r="BZ9" s="147">
        <f t="shared" si="31"/>
        <v>3165027.2215309045</v>
      </c>
      <c r="CA9" s="147">
        <f t="shared" si="31"/>
        <v>3259978.0381768318</v>
      </c>
      <c r="CB9" s="147">
        <f t="shared" si="31"/>
        <v>3357777.3793221368</v>
      </c>
      <c r="CC9" s="147">
        <f t="shared" si="31"/>
        <v>3458510.7007018011</v>
      </c>
      <c r="CD9" s="147">
        <f t="shared" si="31"/>
        <v>3562266.021722855</v>
      </c>
      <c r="CE9" s="147">
        <f>SUM(CE7:CE8)</f>
        <v>3669134.0023745405</v>
      </c>
      <c r="CF9" s="147">
        <f>SUM(CF7:CF8)</f>
        <v>3779208.022445777</v>
      </c>
      <c r="CG9" s="147">
        <f>SUM(CG7:CG8)</f>
        <v>3892584.2631191504</v>
      </c>
      <c r="CH9" s="147"/>
      <c r="CI9" s="147"/>
      <c r="CJ9" s="147"/>
      <c r="CK9" s="147"/>
      <c r="CL9" s="147"/>
      <c r="CM9" s="147"/>
      <c r="CN9" s="147"/>
      <c r="CO9" s="147"/>
      <c r="CP9" s="147"/>
      <c r="CQ9" s="147"/>
      <c r="CR9" s="147"/>
      <c r="CS9" s="147"/>
      <c r="CT9" s="147"/>
      <c r="CU9" s="147"/>
      <c r="CV9" s="147"/>
      <c r="CW9" s="147"/>
      <c r="CX9" s="147"/>
      <c r="CY9" s="147"/>
      <c r="CZ9" s="147"/>
      <c r="DA9" s="147"/>
      <c r="DB9" s="147"/>
      <c r="DC9" s="147"/>
      <c r="DD9" s="147"/>
      <c r="DE9" s="147"/>
      <c r="DF9" s="147"/>
      <c r="DG9" s="147"/>
      <c r="DH9" s="147"/>
      <c r="DI9" s="147"/>
      <c r="DJ9" s="147"/>
      <c r="DK9" s="147"/>
      <c r="DL9" s="147"/>
      <c r="DM9" s="147"/>
      <c r="DN9" s="147"/>
      <c r="DO9" s="147"/>
      <c r="DP9" s="147"/>
      <c r="DQ9" s="147"/>
      <c r="DR9" s="147"/>
      <c r="DS9" s="147"/>
      <c r="DT9" s="147"/>
      <c r="DU9" s="147"/>
      <c r="DV9" s="147"/>
      <c r="DW9" s="147"/>
      <c r="DX9" s="147"/>
      <c r="DY9" s="147"/>
      <c r="DZ9" s="147"/>
      <c r="EA9" s="147"/>
      <c r="EB9" s="147"/>
      <c r="EC9" s="147"/>
      <c r="ED9" s="147"/>
      <c r="EE9" s="147"/>
      <c r="EF9" s="147"/>
      <c r="EG9" s="147"/>
      <c r="EH9" s="147"/>
      <c r="EI9" s="147"/>
      <c r="EJ9" s="147"/>
      <c r="EK9" s="147"/>
      <c r="EL9" s="147"/>
      <c r="EM9" s="147"/>
      <c r="EN9" s="147"/>
      <c r="EO9" s="147"/>
      <c r="EP9" s="147"/>
      <c r="EQ9" s="147"/>
    </row>
    <row r="10" spans="2:147" s="10" customFormat="1" ht="13.8" thickBot="1">
      <c r="B10" s="127"/>
      <c r="C10" s="148"/>
      <c r="E10" s="149"/>
      <c r="F10" s="150" t="s">
        <v>288</v>
      </c>
      <c r="G10" s="151">
        <f ca="1">+G9+G5</f>
        <v>98678.163417682197</v>
      </c>
      <c r="H10" s="152">
        <f t="shared" ca="1" si="12"/>
        <v>33.07440790217219</v>
      </c>
      <c r="I10" s="1246">
        <v>29.836845277858451</v>
      </c>
      <c r="J10" s="1566">
        <f t="shared" ca="1" si="21"/>
        <v>0.10850887867546422</v>
      </c>
      <c r="K10" s="1544"/>
      <c r="L10" s="1560">
        <f>AVERAGE(5.5%,MODEL!CY149,MODEL!CU149,MODEL!CQ149,MODEL!CM149,MODEL!CI149,MODEL!CE149,MODEL!CA149,MODEL!BW149,MODEL!BS149)</f>
        <v>4.6811871047862261E-2</v>
      </c>
      <c r="M10" s="1560">
        <f>AVERAGE(AE10,AF10,5.5%)</f>
        <v>4.6744244455003414E-2</v>
      </c>
      <c r="N10" s="1555">
        <f>AVERAGE(AH10:AK10)</f>
        <v>4.5024568327416248E-2</v>
      </c>
      <c r="O10" s="1555">
        <f>AVERAGE(AH10:AR10)</f>
        <v>3.6372570300878641E-2</v>
      </c>
      <c r="P10" s="1555">
        <f>AL10</f>
        <v>0.04</v>
      </c>
      <c r="Q10" s="1544"/>
      <c r="R10" s="112" t="s">
        <v>258</v>
      </c>
      <c r="S10" s="276"/>
      <c r="T10" s="112"/>
      <c r="U10" s="112"/>
      <c r="V10" s="153"/>
      <c r="W10" s="153">
        <f t="shared" ref="W10:AD12" si="32">+W7/V7-1</f>
        <v>7.1506690303501763E-2</v>
      </c>
      <c r="X10" s="153">
        <f t="shared" si="32"/>
        <v>0.10715285863781743</v>
      </c>
      <c r="Y10" s="153">
        <f t="shared" si="32"/>
        <v>7.5468935127867232E-2</v>
      </c>
      <c r="Z10" s="153">
        <f t="shared" si="32"/>
        <v>4.3834946649171869E-2</v>
      </c>
      <c r="AA10" s="153">
        <f t="shared" si="32"/>
        <v>2.6222247256966202E-2</v>
      </c>
      <c r="AB10" s="153">
        <f t="shared" si="32"/>
        <v>-6.7773303211865477E-3</v>
      </c>
      <c r="AC10" s="153">
        <f t="shared" si="32"/>
        <v>4.2296863365599346E-2</v>
      </c>
      <c r="AD10" s="153">
        <f t="shared" si="32"/>
        <v>3.9687456397376808E-2</v>
      </c>
      <c r="AE10" s="153">
        <f t="shared" ref="AE10:AI12" si="33">+AE7/AD7-1</f>
        <v>5.5103443092878734E-3</v>
      </c>
      <c r="AF10" s="153">
        <f t="shared" si="33"/>
        <v>7.9722389055722376E-2</v>
      </c>
      <c r="AG10" s="153">
        <f t="shared" si="33"/>
        <v>0.19793518273583333</v>
      </c>
      <c r="AH10" s="1634">
        <f t="shared" si="33"/>
        <v>4.0125558761252567E-2</v>
      </c>
      <c r="AI10" s="153">
        <f t="shared" si="33"/>
        <v>3.6605212048057556E-2</v>
      </c>
      <c r="AJ10" s="153">
        <f t="shared" ref="AJ10:AJ12" si="34">+AJ7/AI7-1</f>
        <v>5.6775079520006599E-2</v>
      </c>
      <c r="AK10" s="153">
        <f t="shared" ref="AK10:AK12" si="35">+AK7/AJ7-1</f>
        <v>4.6592422980348269E-2</v>
      </c>
      <c r="AL10" s="1561">
        <v>0.04</v>
      </c>
      <c r="AM10" s="1561">
        <v>0.03</v>
      </c>
      <c r="AN10" s="1561">
        <v>0.03</v>
      </c>
      <c r="AO10" s="1285">
        <f t="shared" ref="AO10:AR10" si="36">AN10</f>
        <v>0.03</v>
      </c>
      <c r="AP10" s="1285">
        <f t="shared" si="36"/>
        <v>0.03</v>
      </c>
      <c r="AQ10" s="1285">
        <f t="shared" si="36"/>
        <v>0.03</v>
      </c>
      <c r="AR10" s="1285">
        <f t="shared" si="36"/>
        <v>0.03</v>
      </c>
      <c r="AS10" s="155">
        <v>0.03</v>
      </c>
      <c r="AT10" s="155">
        <v>0.03</v>
      </c>
      <c r="AU10" s="155">
        <v>0.03</v>
      </c>
      <c r="AV10" s="155">
        <v>0.03</v>
      </c>
      <c r="AW10" s="155">
        <v>0.03</v>
      </c>
      <c r="AX10" s="156">
        <v>0.03</v>
      </c>
      <c r="AY10" s="156">
        <v>0.03</v>
      </c>
      <c r="AZ10" s="156">
        <v>0.03</v>
      </c>
      <c r="BA10" s="156">
        <v>0.03</v>
      </c>
      <c r="BB10" s="156">
        <v>0.03</v>
      </c>
      <c r="BC10" s="156">
        <v>0.03</v>
      </c>
      <c r="BD10" s="156">
        <v>0.03</v>
      </c>
      <c r="BE10" s="156">
        <v>0.03</v>
      </c>
      <c r="BF10" s="156">
        <v>0.03</v>
      </c>
      <c r="BG10" s="156">
        <v>0.03</v>
      </c>
      <c r="BH10" s="156">
        <v>0.03</v>
      </c>
      <c r="BI10" s="156">
        <v>0.03</v>
      </c>
      <c r="BJ10" s="156">
        <v>0.03</v>
      </c>
      <c r="BK10" s="156">
        <v>0.03</v>
      </c>
      <c r="BL10" s="156">
        <v>0.03</v>
      </c>
      <c r="BM10" s="156">
        <v>0.03</v>
      </c>
      <c r="BN10" s="156">
        <v>0.03</v>
      </c>
      <c r="BO10" s="156">
        <v>0.03</v>
      </c>
      <c r="BP10" s="156">
        <v>0.03</v>
      </c>
      <c r="BQ10" s="156">
        <v>0.03</v>
      </c>
      <c r="BR10" s="156">
        <v>0.03</v>
      </c>
      <c r="BS10" s="156">
        <v>0.03</v>
      </c>
      <c r="BT10" s="156">
        <v>0.03</v>
      </c>
      <c r="BU10" s="156">
        <v>0.03</v>
      </c>
      <c r="BV10" s="156">
        <v>0.03</v>
      </c>
      <c r="BW10" s="156">
        <v>0.03</v>
      </c>
      <c r="BX10" s="156">
        <v>0.03</v>
      </c>
      <c r="BY10" s="156">
        <v>0.03</v>
      </c>
      <c r="BZ10" s="156">
        <v>0.03</v>
      </c>
      <c r="CA10" s="156">
        <v>0.03</v>
      </c>
      <c r="CB10" s="156">
        <v>0.03</v>
      </c>
      <c r="CC10" s="156">
        <v>0.03</v>
      </c>
      <c r="CD10" s="156">
        <v>0.03</v>
      </c>
      <c r="CE10" s="156">
        <v>0.03</v>
      </c>
      <c r="CF10" s="156">
        <v>0.03</v>
      </c>
      <c r="CG10" s="156">
        <v>0.03</v>
      </c>
      <c r="CH10" s="157"/>
      <c r="CI10" s="157"/>
      <c r="CJ10" s="157"/>
      <c r="CK10" s="157"/>
      <c r="CL10" s="157"/>
      <c r="CM10" s="157"/>
      <c r="CN10" s="157"/>
      <c r="CO10" s="157"/>
      <c r="CP10" s="157"/>
      <c r="CQ10" s="157"/>
      <c r="CR10" s="157"/>
      <c r="CS10" s="157"/>
      <c r="CT10" s="157"/>
      <c r="CU10" s="157"/>
      <c r="CV10" s="157"/>
      <c r="CW10" s="157"/>
      <c r="CX10" s="157"/>
      <c r="CY10" s="157"/>
      <c r="CZ10" s="157"/>
      <c r="DA10" s="157"/>
      <c r="DB10" s="157"/>
      <c r="DC10" s="157"/>
      <c r="DD10" s="157"/>
      <c r="DE10" s="157"/>
      <c r="DF10" s="157"/>
      <c r="DG10" s="157"/>
      <c r="DH10" s="157"/>
      <c r="DI10" s="157"/>
      <c r="DJ10" s="157"/>
      <c r="DK10" s="157"/>
      <c r="DL10" s="157"/>
      <c r="DM10" s="157"/>
      <c r="DN10" s="157"/>
      <c r="DO10" s="157"/>
      <c r="DP10" s="157"/>
      <c r="DQ10" s="157"/>
      <c r="DR10" s="157"/>
      <c r="DS10" s="157"/>
      <c r="DT10" s="157"/>
      <c r="DU10" s="157"/>
      <c r="DV10" s="157"/>
      <c r="DW10" s="157"/>
      <c r="DX10" s="157"/>
      <c r="DY10" s="157"/>
      <c r="DZ10" s="157"/>
      <c r="EA10" s="157"/>
      <c r="EB10" s="157"/>
      <c r="EC10" s="157"/>
      <c r="ED10" s="157"/>
      <c r="EE10" s="157"/>
      <c r="EF10" s="157"/>
      <c r="EG10" s="157"/>
      <c r="EH10" s="157"/>
      <c r="EI10" s="157"/>
      <c r="EJ10" s="157"/>
      <c r="EK10" s="157"/>
      <c r="EL10" s="157"/>
      <c r="EM10" s="157"/>
      <c r="EN10" s="157"/>
      <c r="EO10" s="157"/>
      <c r="EP10" s="157"/>
      <c r="EQ10" s="157"/>
    </row>
    <row r="11" spans="2:147" s="10" customFormat="1" ht="13.8" thickBot="1">
      <c r="B11" s="127" t="s">
        <v>498</v>
      </c>
      <c r="C11" s="148"/>
      <c r="D11" s="9"/>
      <c r="F11" s="129" t="s">
        <v>259</v>
      </c>
      <c r="G11" s="136">
        <v>0</v>
      </c>
      <c r="H11" s="130">
        <f t="shared" si="12"/>
        <v>0</v>
      </c>
      <c r="I11" s="1244">
        <v>0</v>
      </c>
      <c r="J11" s="1566"/>
      <c r="K11" s="1542"/>
      <c r="L11" s="1560">
        <f>AVERAGE(0.9%,MODEL!CY150,MODEL!CU150,MODEL!CQ150,MODEL!CM150,MODEL!CI150,MODEL!CE150,MODEL!CA150,MODEL!BW150,MODEL!BS150)</f>
        <v>2.093038855592938E-2</v>
      </c>
      <c r="M11" s="1560">
        <f>AVERAGE(AE11,AF11,0.9%)</f>
        <v>5.9514499382926446E-2</v>
      </c>
      <c r="N11" s="1555">
        <f t="shared" ref="N11:N12" si="37">AVERAGE(AH11:AK11)</f>
        <v>2.646657997931029E-2</v>
      </c>
      <c r="O11" s="1555">
        <f t="shared" ref="O11:O12" si="38">AVERAGE(AH11:AR11)</f>
        <v>2.8715119992476477E-2</v>
      </c>
      <c r="P11" s="1555">
        <f t="shared" ref="P11:P12" si="39">AL11</f>
        <v>0.03</v>
      </c>
      <c r="Q11" s="1542"/>
      <c r="R11" s="112" t="s">
        <v>260</v>
      </c>
      <c r="S11" s="276"/>
      <c r="T11" s="112"/>
      <c r="U11" s="112"/>
      <c r="V11" s="153"/>
      <c r="W11" s="153">
        <f t="shared" si="32"/>
        <v>8.4553792276896189E-2</v>
      </c>
      <c r="X11" s="153">
        <f t="shared" si="32"/>
        <v>7.5775209746501648E-2</v>
      </c>
      <c r="Y11" s="153">
        <f t="shared" si="32"/>
        <v>-6.2256398301071658E-2</v>
      </c>
      <c r="Z11" s="153">
        <f t="shared" si="32"/>
        <v>-3.9784800046613666E-2</v>
      </c>
      <c r="AA11" s="153">
        <f t="shared" si="32"/>
        <v>6.2554360358100691E-2</v>
      </c>
      <c r="AB11" s="153">
        <f t="shared" si="32"/>
        <v>4.8356024610136439E-2</v>
      </c>
      <c r="AC11" s="153">
        <f t="shared" si="32"/>
        <v>-4.0576415344443784E-2</v>
      </c>
      <c r="AD11" s="153">
        <f t="shared" si="32"/>
        <v>-9.6826454289434816E-3</v>
      </c>
      <c r="AE11" s="153">
        <f t="shared" si="33"/>
        <v>0.1538684993081727</v>
      </c>
      <c r="AF11" s="153">
        <f t="shared" si="33"/>
        <v>1.5674998840606635E-2</v>
      </c>
      <c r="AG11" s="153">
        <f t="shared" si="33"/>
        <v>5.3500492475881734E-2</v>
      </c>
      <c r="AH11" s="1634">
        <f t="shared" si="33"/>
        <v>2.1534403655523837E-2</v>
      </c>
      <c r="AI11" s="153">
        <f t="shared" si="33"/>
        <v>1.7067150906769024E-2</v>
      </c>
      <c r="AJ11" s="153">
        <f t="shared" si="34"/>
        <v>3.1965364151721021E-2</v>
      </c>
      <c r="AK11" s="153">
        <f t="shared" si="35"/>
        <v>3.5299401203227276E-2</v>
      </c>
      <c r="AL11" s="1287">
        <f>H78</f>
        <v>0.03</v>
      </c>
      <c r="AM11" s="1287">
        <f>H78</f>
        <v>0.03</v>
      </c>
      <c r="AN11" s="1285">
        <f t="shared" ref="AN11:AR11" si="40">AM11</f>
        <v>0.03</v>
      </c>
      <c r="AO11" s="1285">
        <f t="shared" si="40"/>
        <v>0.03</v>
      </c>
      <c r="AP11" s="1285">
        <f t="shared" si="40"/>
        <v>0.03</v>
      </c>
      <c r="AQ11" s="1285">
        <f t="shared" si="40"/>
        <v>0.03</v>
      </c>
      <c r="AR11" s="1285">
        <f t="shared" si="40"/>
        <v>0.03</v>
      </c>
      <c r="AS11" s="155">
        <v>0.03</v>
      </c>
      <c r="AT11" s="155">
        <v>0.03</v>
      </c>
      <c r="AU11" s="155">
        <v>0.03</v>
      </c>
      <c r="AV11" s="155">
        <v>0.03</v>
      </c>
      <c r="AW11" s="155">
        <v>0.03</v>
      </c>
      <c r="AX11" s="156">
        <v>0.03</v>
      </c>
      <c r="AY11" s="156">
        <v>0.03</v>
      </c>
      <c r="AZ11" s="156">
        <v>0.03</v>
      </c>
      <c r="BA11" s="156">
        <v>0.03</v>
      </c>
      <c r="BB11" s="156">
        <v>0.03</v>
      </c>
      <c r="BC11" s="156">
        <v>0.03</v>
      </c>
      <c r="BD11" s="156">
        <v>0.03</v>
      </c>
      <c r="BE11" s="156">
        <v>0.03</v>
      </c>
      <c r="BF11" s="156">
        <v>0.03</v>
      </c>
      <c r="BG11" s="156">
        <v>0.03</v>
      </c>
      <c r="BH11" s="156">
        <v>0.03</v>
      </c>
      <c r="BI11" s="156">
        <v>0.03</v>
      </c>
      <c r="BJ11" s="156">
        <v>0.03</v>
      </c>
      <c r="BK11" s="156">
        <v>0.03</v>
      </c>
      <c r="BL11" s="156">
        <v>0.03</v>
      </c>
      <c r="BM11" s="156">
        <v>0.03</v>
      </c>
      <c r="BN11" s="156">
        <v>0.03</v>
      </c>
      <c r="BO11" s="156">
        <v>0.03</v>
      </c>
      <c r="BP11" s="156">
        <v>0.03</v>
      </c>
      <c r="BQ11" s="156">
        <v>0.03</v>
      </c>
      <c r="BR11" s="156">
        <v>0.03</v>
      </c>
      <c r="BS11" s="156">
        <v>0.03</v>
      </c>
      <c r="BT11" s="156">
        <v>0.03</v>
      </c>
      <c r="BU11" s="156">
        <v>0.03</v>
      </c>
      <c r="BV11" s="156">
        <v>0.03</v>
      </c>
      <c r="BW11" s="156">
        <v>0.03</v>
      </c>
      <c r="BX11" s="156">
        <v>0.03</v>
      </c>
      <c r="BY11" s="156">
        <v>0.03</v>
      </c>
      <c r="BZ11" s="156">
        <v>0.03</v>
      </c>
      <c r="CA11" s="156">
        <v>0.03</v>
      </c>
      <c r="CB11" s="156">
        <v>0.03</v>
      </c>
      <c r="CC11" s="156">
        <v>0.03</v>
      </c>
      <c r="CD11" s="156">
        <v>0.03</v>
      </c>
      <c r="CE11" s="156">
        <v>0.03</v>
      </c>
      <c r="CF11" s="156">
        <v>0.03</v>
      </c>
      <c r="CG11" s="156">
        <v>0.03</v>
      </c>
      <c r="CH11" s="157"/>
      <c r="CI11" s="157"/>
      <c r="CJ11" s="157"/>
      <c r="CK11" s="157"/>
      <c r="CL11" s="157"/>
      <c r="CM11" s="157"/>
      <c r="CN11" s="157"/>
      <c r="CO11" s="157"/>
      <c r="CP11" s="157"/>
      <c r="CQ11" s="157"/>
      <c r="CR11" s="157"/>
      <c r="CS11" s="157"/>
      <c r="CT11" s="157"/>
      <c r="CU11" s="157"/>
      <c r="CV11" s="157"/>
      <c r="CW11" s="157"/>
      <c r="CX11" s="157"/>
      <c r="CY11" s="157"/>
      <c r="CZ11" s="157"/>
      <c r="DA11" s="157"/>
      <c r="DB11" s="157"/>
      <c r="DC11" s="157"/>
      <c r="DD11" s="157"/>
      <c r="DE11" s="157"/>
      <c r="DF11" s="157"/>
      <c r="DG11" s="157"/>
      <c r="DH11" s="157"/>
      <c r="DI11" s="157"/>
      <c r="DJ11" s="157"/>
      <c r="DK11" s="157"/>
      <c r="DL11" s="157"/>
      <c r="DM11" s="157"/>
      <c r="DN11" s="157"/>
      <c r="DO11" s="157"/>
      <c r="DP11" s="157"/>
      <c r="DQ11" s="157"/>
      <c r="DR11" s="157"/>
      <c r="DS11" s="157"/>
      <c r="DT11" s="157"/>
      <c r="DU11" s="157"/>
      <c r="DV11" s="157"/>
      <c r="DW11" s="157"/>
      <c r="DX11" s="157"/>
      <c r="DY11" s="157"/>
      <c r="DZ11" s="157"/>
      <c r="EA11" s="157"/>
      <c r="EB11" s="157"/>
      <c r="EC11" s="157"/>
      <c r="ED11" s="157"/>
      <c r="EE11" s="157"/>
      <c r="EF11" s="157"/>
      <c r="EG11" s="157"/>
      <c r="EH11" s="157"/>
      <c r="EI11" s="157"/>
      <c r="EJ11" s="157"/>
      <c r="EK11" s="157"/>
      <c r="EL11" s="157"/>
      <c r="EM11" s="157"/>
      <c r="EN11" s="157"/>
      <c r="EO11" s="157"/>
      <c r="EP11" s="157"/>
      <c r="EQ11" s="157"/>
    </row>
    <row r="12" spans="2:147" s="10" customFormat="1" ht="13.8" thickBot="1">
      <c r="B12" s="135" t="s">
        <v>1029</v>
      </c>
      <c r="C12" s="688">
        <v>4</v>
      </c>
      <c r="D12" s="9"/>
      <c r="E12" s="158"/>
      <c r="F12" s="159" t="s">
        <v>261</v>
      </c>
      <c r="G12" s="160">
        <f ca="1">+G11+G10</f>
        <v>98678.163417682197</v>
      </c>
      <c r="H12" s="161">
        <f t="shared" ca="1" si="12"/>
        <v>33.07440790217219</v>
      </c>
      <c r="I12" s="1246">
        <v>29.836845277858451</v>
      </c>
      <c r="J12" s="1566">
        <f t="shared" ca="1" si="21"/>
        <v>0.10850887867546422</v>
      </c>
      <c r="K12" s="1544"/>
      <c r="L12" s="1560">
        <f>AVERAGE(3.5%,MODEL!CY151,MODEL!CU151,MODEL!CQ151,MODEL!CM151,MODEL!CI151,MODEL!CE151,MODEL!CA151,MODEL!BW151,MODEL!BS151)</f>
        <v>3.1768975083006891E-2</v>
      </c>
      <c r="M12" s="1560">
        <f>AVERAGE(AE12,AF12,3.5%)</f>
        <v>5.0951573578459392E-2</v>
      </c>
      <c r="N12" s="1555">
        <f t="shared" si="37"/>
        <v>3.7718635424361324E-2</v>
      </c>
      <c r="O12" s="1555">
        <f t="shared" si="38"/>
        <v>3.3367762112657573E-2</v>
      </c>
      <c r="P12" s="1555">
        <f t="shared" si="39"/>
        <v>3.6170841541787624E-2</v>
      </c>
      <c r="Q12" s="1544"/>
      <c r="R12" s="112" t="s">
        <v>262</v>
      </c>
      <c r="S12" s="276"/>
      <c r="T12" s="112"/>
      <c r="U12" s="112"/>
      <c r="V12" s="153"/>
      <c r="W12" s="153">
        <f t="shared" si="32"/>
        <v>7.7790126716485331E-2</v>
      </c>
      <c r="X12" s="153">
        <f t="shared" si="32"/>
        <v>9.1946666869232807E-2</v>
      </c>
      <c r="Y12" s="153">
        <f t="shared" si="32"/>
        <v>9.7131448328156011E-3</v>
      </c>
      <c r="Z12" s="153">
        <f t="shared" si="32"/>
        <v>6.757047705824748E-3</v>
      </c>
      <c r="AA12" s="153">
        <f t="shared" si="32"/>
        <v>4.1587539478051383E-2</v>
      </c>
      <c r="AB12" s="153">
        <f t="shared" si="32"/>
        <v>1.7008590529064893E-2</v>
      </c>
      <c r="AC12" s="153">
        <f t="shared" si="32"/>
        <v>5.441199034183164E-3</v>
      </c>
      <c r="AD12" s="153">
        <f t="shared" si="32"/>
        <v>1.8736326048055307E-2</v>
      </c>
      <c r="AE12" s="153">
        <f t="shared" si="33"/>
        <v>6.6712603950185967E-2</v>
      </c>
      <c r="AF12" s="153">
        <f t="shared" si="33"/>
        <v>5.1142116785192204E-2</v>
      </c>
      <c r="AG12" s="153">
        <f t="shared" si="33"/>
        <v>0.13565788455994543</v>
      </c>
      <c r="AH12" s="1634">
        <f t="shared" si="33"/>
        <v>3.2689345346297305E-2</v>
      </c>
      <c r="AI12" s="153">
        <f t="shared" si="33"/>
        <v>2.8874664838339781E-2</v>
      </c>
      <c r="AJ12" s="153">
        <f t="shared" si="34"/>
        <v>4.7071371759350278E-2</v>
      </c>
      <c r="AK12" s="153">
        <f t="shared" si="35"/>
        <v>4.2239159753457933E-2</v>
      </c>
      <c r="AL12" s="153">
        <f t="shared" ref="AL12:CG12" si="41">+AL9/AK9-1</f>
        <v>3.6170841541787624E-2</v>
      </c>
      <c r="AM12" s="153">
        <f t="shared" si="41"/>
        <v>3.0000000000000027E-2</v>
      </c>
      <c r="AN12" s="153">
        <f t="shared" si="41"/>
        <v>3.0000000000000249E-2</v>
      </c>
      <c r="AO12" s="153">
        <f t="shared" si="41"/>
        <v>3.0000000000000027E-2</v>
      </c>
      <c r="AP12" s="153">
        <f t="shared" si="41"/>
        <v>3.0000000000000027E-2</v>
      </c>
      <c r="AQ12" s="153">
        <f t="shared" si="41"/>
        <v>3.0000000000000027E-2</v>
      </c>
      <c r="AR12" s="153">
        <f t="shared" si="41"/>
        <v>3.0000000000000027E-2</v>
      </c>
      <c r="AS12" s="153">
        <f>+AS9/AR9-1</f>
        <v>3.0000000000000027E-2</v>
      </c>
      <c r="AT12" s="153">
        <f t="shared" si="41"/>
        <v>3.0000000000000027E-2</v>
      </c>
      <c r="AU12" s="153">
        <f t="shared" si="41"/>
        <v>3.0000000000000027E-2</v>
      </c>
      <c r="AV12" s="153">
        <f t="shared" si="41"/>
        <v>3.0000000000000027E-2</v>
      </c>
      <c r="AW12" s="153">
        <f t="shared" si="41"/>
        <v>3.0000000000000249E-2</v>
      </c>
      <c r="AX12" s="153">
        <f t="shared" si="41"/>
        <v>3.0000000000000027E-2</v>
      </c>
      <c r="AY12" s="153">
        <f t="shared" si="41"/>
        <v>3.0000000000000027E-2</v>
      </c>
      <c r="AZ12" s="153">
        <f t="shared" si="41"/>
        <v>3.0000000000000027E-2</v>
      </c>
      <c r="BA12" s="153">
        <f t="shared" si="41"/>
        <v>3.0000000000000027E-2</v>
      </c>
      <c r="BB12" s="153">
        <f t="shared" si="41"/>
        <v>2.9999999999999805E-2</v>
      </c>
      <c r="BC12" s="153">
        <f t="shared" si="41"/>
        <v>3.0000000000000027E-2</v>
      </c>
      <c r="BD12" s="153">
        <f t="shared" si="41"/>
        <v>3.0000000000000027E-2</v>
      </c>
      <c r="BE12" s="153">
        <f t="shared" si="41"/>
        <v>3.0000000000000027E-2</v>
      </c>
      <c r="BF12" s="153">
        <f t="shared" si="41"/>
        <v>3.0000000000000027E-2</v>
      </c>
      <c r="BG12" s="153">
        <f t="shared" si="41"/>
        <v>2.9999999999999805E-2</v>
      </c>
      <c r="BH12" s="153">
        <f t="shared" si="41"/>
        <v>3.0000000000000027E-2</v>
      </c>
      <c r="BI12" s="153">
        <f t="shared" si="41"/>
        <v>3.0000000000000027E-2</v>
      </c>
      <c r="BJ12" s="153">
        <f t="shared" si="41"/>
        <v>3.0000000000000027E-2</v>
      </c>
      <c r="BK12" s="153">
        <f t="shared" si="41"/>
        <v>3.0000000000000027E-2</v>
      </c>
      <c r="BL12" s="153">
        <f t="shared" si="41"/>
        <v>3.0000000000000027E-2</v>
      </c>
      <c r="BM12" s="153">
        <f t="shared" si="41"/>
        <v>3.0000000000000027E-2</v>
      </c>
      <c r="BN12" s="153">
        <f t="shared" si="41"/>
        <v>2.9999999999999805E-2</v>
      </c>
      <c r="BO12" s="153">
        <f t="shared" si="41"/>
        <v>3.0000000000000249E-2</v>
      </c>
      <c r="BP12" s="153">
        <f t="shared" si="41"/>
        <v>3.0000000000000027E-2</v>
      </c>
      <c r="BQ12" s="153">
        <f t="shared" si="41"/>
        <v>3.0000000000000027E-2</v>
      </c>
      <c r="BR12" s="153">
        <f t="shared" si="41"/>
        <v>3.0000000000000027E-2</v>
      </c>
      <c r="BS12" s="153">
        <f t="shared" si="41"/>
        <v>3.0000000000000027E-2</v>
      </c>
      <c r="BT12" s="153">
        <f t="shared" si="41"/>
        <v>3.0000000000000027E-2</v>
      </c>
      <c r="BU12" s="153">
        <f t="shared" si="41"/>
        <v>3.0000000000000027E-2</v>
      </c>
      <c r="BV12" s="153">
        <f t="shared" si="41"/>
        <v>3.0000000000000027E-2</v>
      </c>
      <c r="BW12" s="153">
        <f t="shared" si="41"/>
        <v>3.0000000000000249E-2</v>
      </c>
      <c r="BX12" s="153">
        <f t="shared" si="41"/>
        <v>2.9999999999999805E-2</v>
      </c>
      <c r="BY12" s="153">
        <f t="shared" si="41"/>
        <v>3.0000000000000027E-2</v>
      </c>
      <c r="BZ12" s="153">
        <f t="shared" si="41"/>
        <v>3.0000000000000027E-2</v>
      </c>
      <c r="CA12" s="153">
        <f t="shared" si="41"/>
        <v>3.0000000000000027E-2</v>
      </c>
      <c r="CB12" s="153">
        <f t="shared" si="41"/>
        <v>3.0000000000000027E-2</v>
      </c>
      <c r="CC12" s="153">
        <f t="shared" si="41"/>
        <v>3.0000000000000027E-2</v>
      </c>
      <c r="CD12" s="153">
        <f t="shared" si="41"/>
        <v>3.0000000000000027E-2</v>
      </c>
      <c r="CE12" s="153">
        <f t="shared" si="41"/>
        <v>3.0000000000000027E-2</v>
      </c>
      <c r="CF12" s="153">
        <f t="shared" si="41"/>
        <v>3.0000000000000027E-2</v>
      </c>
      <c r="CG12" s="153">
        <f t="shared" si="41"/>
        <v>3.0000000000000027E-2</v>
      </c>
      <c r="CH12" s="153"/>
      <c r="CI12" s="153"/>
      <c r="CJ12" s="153"/>
      <c r="CK12" s="153"/>
      <c r="CL12" s="153"/>
      <c r="CM12" s="153"/>
      <c r="CN12" s="153"/>
      <c r="CO12" s="153"/>
      <c r="CP12" s="153"/>
      <c r="CQ12" s="153"/>
      <c r="CR12" s="153"/>
      <c r="CS12" s="153"/>
      <c r="CT12" s="153"/>
      <c r="CU12" s="153"/>
      <c r="CV12" s="153"/>
      <c r="CW12" s="153"/>
      <c r="CX12" s="153"/>
      <c r="CY12" s="153"/>
      <c r="CZ12" s="153"/>
      <c r="DA12" s="153"/>
      <c r="DB12" s="153"/>
      <c r="DC12" s="153"/>
      <c r="DD12" s="153"/>
      <c r="DE12" s="153"/>
      <c r="DF12" s="153"/>
      <c r="DG12" s="153"/>
      <c r="DH12" s="153"/>
      <c r="DI12" s="153"/>
      <c r="DJ12" s="153"/>
      <c r="DK12" s="153"/>
      <c r="DL12" s="153"/>
      <c r="DM12" s="153"/>
      <c r="DN12" s="153"/>
      <c r="DO12" s="153"/>
      <c r="DP12" s="153"/>
      <c r="DQ12" s="153"/>
      <c r="DR12" s="153"/>
      <c r="DS12" s="153"/>
      <c r="DT12" s="153"/>
      <c r="DU12" s="153"/>
      <c r="DV12" s="153"/>
      <c r="DW12" s="153"/>
      <c r="DX12" s="153"/>
      <c r="DY12" s="153"/>
      <c r="DZ12" s="153"/>
      <c r="EA12" s="153"/>
      <c r="EB12" s="153"/>
      <c r="EC12" s="153"/>
      <c r="ED12" s="153"/>
      <c r="EE12" s="153"/>
      <c r="EF12" s="153"/>
      <c r="EG12" s="153"/>
      <c r="EH12" s="153"/>
      <c r="EI12" s="153"/>
      <c r="EJ12" s="153"/>
      <c r="EK12" s="153"/>
      <c r="EL12" s="153"/>
      <c r="EM12" s="153"/>
      <c r="EN12" s="153"/>
      <c r="EO12" s="153"/>
      <c r="EP12" s="153"/>
      <c r="EQ12" s="153"/>
    </row>
    <row r="13" spans="2:147" s="10" customFormat="1">
      <c r="B13" s="135" t="s">
        <v>491</v>
      </c>
      <c r="C13" s="780">
        <v>0.9</v>
      </c>
      <c r="E13" s="162"/>
      <c r="F13" s="163" t="s">
        <v>158</v>
      </c>
      <c r="G13" s="164"/>
      <c r="H13" s="165">
        <f ca="1">H12*(1+$C$15/100)-$C$6</f>
        <v>34.165732573856829</v>
      </c>
      <c r="I13" s="1246">
        <v>30.692977126476421</v>
      </c>
      <c r="J13" s="1566">
        <f t="shared" ca="1" si="21"/>
        <v>0.11314495277112546</v>
      </c>
      <c r="K13" s="1544"/>
      <c r="L13" s="1555"/>
      <c r="M13" s="1544"/>
      <c r="N13" s="1544"/>
      <c r="O13" s="1544"/>
      <c r="P13" s="1544"/>
      <c r="Q13" s="1544"/>
      <c r="R13" s="10" t="s">
        <v>510</v>
      </c>
      <c r="S13" s="111"/>
      <c r="V13" s="140">
        <f t="shared" ref="V13:AB13" si="42">V15-V9</f>
        <v>214424</v>
      </c>
      <c r="W13" s="140">
        <f t="shared" si="42"/>
        <v>245515</v>
      </c>
      <c r="X13" s="140">
        <f t="shared" si="42"/>
        <v>314906</v>
      </c>
      <c r="Y13" s="140">
        <f t="shared" si="42"/>
        <v>334290</v>
      </c>
      <c r="Z13" s="140">
        <f t="shared" si="42"/>
        <v>312824</v>
      </c>
      <c r="AA13" s="140">
        <f>AA15-AA9</f>
        <v>334372</v>
      </c>
      <c r="AB13" s="140">
        <f t="shared" si="42"/>
        <v>361972</v>
      </c>
      <c r="AC13" s="140">
        <f t="shared" ref="AC13:AH13" si="43">AC15-AC9</f>
        <v>419752</v>
      </c>
      <c r="AD13" s="140">
        <f t="shared" si="43"/>
        <v>344659</v>
      </c>
      <c r="AE13" s="140">
        <f t="shared" si="43"/>
        <v>409222</v>
      </c>
      <c r="AF13" s="140">
        <f t="shared" ref="AF13:AG13" si="44">AF15-AF9</f>
        <v>394538</v>
      </c>
      <c r="AG13" s="140">
        <f t="shared" si="44"/>
        <v>421543</v>
      </c>
      <c r="AH13" s="1632">
        <f t="shared" si="43"/>
        <v>463137</v>
      </c>
      <c r="AI13" s="140">
        <f t="shared" ref="AI13" ca="1" si="45">AI15-AI9</f>
        <v>475908.20794827002</v>
      </c>
      <c r="AJ13" s="140">
        <f t="shared" ref="AJ13:AK13" ca="1" si="46">AJ15-AJ9</f>
        <v>498076.79864741769</v>
      </c>
      <c r="AK13" s="140">
        <f t="shared" ca="1" si="46"/>
        <v>518796.10293763329</v>
      </c>
      <c r="AL13" s="140">
        <f t="shared" ref="AL13:CG13" ca="1" si="47">+AK13*(1+AL14)</f>
        <v>534359.98602576228</v>
      </c>
      <c r="AM13" s="140">
        <f t="shared" ca="1" si="47"/>
        <v>550390.78560653515</v>
      </c>
      <c r="AN13" s="140">
        <f t="shared" ca="1" si="47"/>
        <v>566902.50917473121</v>
      </c>
      <c r="AO13" s="140">
        <f t="shared" ca="1" si="47"/>
        <v>583909.58444997319</v>
      </c>
      <c r="AP13" s="140">
        <f t="shared" ca="1" si="47"/>
        <v>601426.87198347237</v>
      </c>
      <c r="AQ13" s="140">
        <f t="shared" ca="1" si="47"/>
        <v>619469.6781429766</v>
      </c>
      <c r="AR13" s="140">
        <f t="shared" ca="1" si="47"/>
        <v>638053.76848726592</v>
      </c>
      <c r="AS13" s="140">
        <f ca="1">+AR13*(1+AS14)</f>
        <v>657195.38154188392</v>
      </c>
      <c r="AT13" s="140">
        <f t="shared" ca="1" si="47"/>
        <v>676911.24298814044</v>
      </c>
      <c r="AU13" s="140">
        <f t="shared" ca="1" si="47"/>
        <v>697218.58027778473</v>
      </c>
      <c r="AV13" s="140">
        <f t="shared" ca="1" si="47"/>
        <v>718135.13768611825</v>
      </c>
      <c r="AW13" s="140">
        <f t="shared" ca="1" si="47"/>
        <v>739679.19181670179</v>
      </c>
      <c r="AX13" s="140">
        <f t="shared" ca="1" si="47"/>
        <v>761869.56757120288</v>
      </c>
      <c r="AY13" s="140">
        <f t="shared" ca="1" si="47"/>
        <v>784725.654598339</v>
      </c>
      <c r="AZ13" s="140">
        <f t="shared" ca="1" si="47"/>
        <v>808267.42423628923</v>
      </c>
      <c r="BA13" s="140">
        <f t="shared" ca="1" si="47"/>
        <v>832515.44696337788</v>
      </c>
      <c r="BB13" s="140">
        <f t="shared" ca="1" si="47"/>
        <v>857490.91037227924</v>
      </c>
      <c r="BC13" s="140">
        <f t="shared" ca="1" si="47"/>
        <v>883215.63768344768</v>
      </c>
      <c r="BD13" s="140">
        <f t="shared" ca="1" si="47"/>
        <v>909712.10681395116</v>
      </c>
      <c r="BE13" s="140">
        <f t="shared" ca="1" si="47"/>
        <v>937003.47001836973</v>
      </c>
      <c r="BF13" s="140">
        <f t="shared" ca="1" si="47"/>
        <v>965113.57411892083</v>
      </c>
      <c r="BG13" s="140">
        <f t="shared" ca="1" si="47"/>
        <v>994066.98134248843</v>
      </c>
      <c r="BH13" s="140">
        <f t="shared" ca="1" si="47"/>
        <v>1023888.9907827631</v>
      </c>
      <c r="BI13" s="140">
        <f t="shared" ca="1" si="47"/>
        <v>1054605.6605062461</v>
      </c>
      <c r="BJ13" s="140">
        <f t="shared" ca="1" si="47"/>
        <v>1086243.8303214335</v>
      </c>
      <c r="BK13" s="140">
        <f t="shared" ca="1" si="47"/>
        <v>1118831.1452310765</v>
      </c>
      <c r="BL13" s="140">
        <f t="shared" ca="1" si="47"/>
        <v>1152396.0795880088</v>
      </c>
      <c r="BM13" s="140">
        <f t="shared" ca="1" si="47"/>
        <v>1186967.961975649</v>
      </c>
      <c r="BN13" s="140">
        <f t="shared" ca="1" si="47"/>
        <v>1222577.0008349186</v>
      </c>
      <c r="BO13" s="140">
        <f t="shared" ca="1" si="47"/>
        <v>1259254.3108599661</v>
      </c>
      <c r="BP13" s="140">
        <f t="shared" ca="1" si="47"/>
        <v>1297031.940185765</v>
      </c>
      <c r="BQ13" s="140">
        <f t="shared" ca="1" si="47"/>
        <v>1335942.8983913381</v>
      </c>
      <c r="BR13" s="140">
        <f t="shared" ca="1" si="47"/>
        <v>1376021.1853430783</v>
      </c>
      <c r="BS13" s="140">
        <f t="shared" ca="1" si="47"/>
        <v>1417301.8209033706</v>
      </c>
      <c r="BT13" s="140">
        <f t="shared" ca="1" si="47"/>
        <v>1459820.8755304718</v>
      </c>
      <c r="BU13" s="140">
        <f t="shared" ca="1" si="47"/>
        <v>1503615.501796386</v>
      </c>
      <c r="BV13" s="140">
        <f t="shared" ca="1" si="47"/>
        <v>1548723.9668502775</v>
      </c>
      <c r="BW13" s="140">
        <f t="shared" ca="1" si="47"/>
        <v>1595185.6858557859</v>
      </c>
      <c r="BX13" s="140">
        <f t="shared" ca="1" si="47"/>
        <v>1643041.2564314594</v>
      </c>
      <c r="BY13" s="140">
        <f t="shared" ca="1" si="47"/>
        <v>1692332.4941244032</v>
      </c>
      <c r="BZ13" s="140">
        <f t="shared" ca="1" si="47"/>
        <v>1743102.4689481354</v>
      </c>
      <c r="CA13" s="140">
        <f t="shared" ca="1" si="47"/>
        <v>1795395.5430165795</v>
      </c>
      <c r="CB13" s="140">
        <f t="shared" ca="1" si="47"/>
        <v>1849257.4093070768</v>
      </c>
      <c r="CC13" s="140">
        <f t="shared" ca="1" si="47"/>
        <v>1904735.1315862893</v>
      </c>
      <c r="CD13" s="140">
        <f t="shared" ca="1" si="47"/>
        <v>1961877.1855338779</v>
      </c>
      <c r="CE13" s="140">
        <f t="shared" ca="1" si="47"/>
        <v>2020733.5010998943</v>
      </c>
      <c r="CF13" s="140">
        <f t="shared" ca="1" si="47"/>
        <v>2081355.5061328912</v>
      </c>
      <c r="CG13" s="140">
        <f t="shared" ca="1" si="47"/>
        <v>2143796.1713168779</v>
      </c>
      <c r="CH13" s="140"/>
      <c r="CI13" s="140"/>
      <c r="CJ13" s="140"/>
      <c r="CK13" s="140"/>
      <c r="CL13" s="140"/>
      <c r="CM13" s="140"/>
      <c r="CN13" s="140"/>
      <c r="CO13" s="140"/>
      <c r="CP13" s="140"/>
      <c r="CQ13" s="140"/>
      <c r="CR13" s="140"/>
      <c r="CS13" s="140"/>
      <c r="CT13" s="140"/>
      <c r="CU13" s="140"/>
      <c r="CV13" s="140"/>
      <c r="CW13" s="140"/>
      <c r="CX13" s="140"/>
      <c r="CY13" s="140"/>
      <c r="CZ13" s="140"/>
      <c r="DA13" s="140"/>
      <c r="DB13" s="140"/>
      <c r="DC13" s="140"/>
      <c r="DD13" s="140"/>
      <c r="DE13" s="140"/>
      <c r="DF13" s="140"/>
      <c r="DG13" s="140"/>
      <c r="DH13" s="140"/>
      <c r="DI13" s="140"/>
      <c r="DJ13" s="140"/>
      <c r="DK13" s="140"/>
      <c r="DL13" s="140"/>
      <c r="DM13" s="140"/>
      <c r="DN13" s="140"/>
      <c r="DO13" s="140"/>
      <c r="DP13" s="140"/>
      <c r="DQ13" s="140"/>
      <c r="DR13" s="140"/>
      <c r="DS13" s="140"/>
      <c r="DT13" s="140"/>
      <c r="DU13" s="140"/>
      <c r="DV13" s="140"/>
      <c r="DW13" s="140"/>
      <c r="DX13" s="140"/>
      <c r="DY13" s="140"/>
      <c r="DZ13" s="140"/>
      <c r="EA13" s="140"/>
      <c r="EB13" s="140"/>
      <c r="EC13" s="140"/>
      <c r="ED13" s="140"/>
      <c r="EE13" s="140"/>
      <c r="EF13" s="140"/>
      <c r="EG13" s="140"/>
      <c r="EH13" s="140"/>
      <c r="EI13" s="140"/>
      <c r="EJ13" s="140"/>
      <c r="EK13" s="140"/>
      <c r="EL13" s="140"/>
      <c r="EM13" s="140"/>
      <c r="EN13" s="140"/>
      <c r="EO13" s="140"/>
      <c r="EP13" s="140"/>
      <c r="EQ13" s="140"/>
    </row>
    <row r="14" spans="2:147" s="10" customFormat="1" ht="13.8" thickBot="1">
      <c r="B14" s="135" t="s">
        <v>492</v>
      </c>
      <c r="C14" s="689">
        <v>5</v>
      </c>
      <c r="E14" s="5"/>
      <c r="F14" s="745" t="s">
        <v>285</v>
      </c>
      <c r="G14" s="746"/>
      <c r="H14" s="747">
        <f ca="1">+H13/H$2-1</f>
        <v>-0.15326561155249496</v>
      </c>
      <c r="I14" s="955"/>
      <c r="J14" s="1541"/>
      <c r="K14" s="1541"/>
      <c r="L14" s="1541"/>
      <c r="M14" s="1541"/>
      <c r="N14" s="1541"/>
      <c r="O14" s="1541"/>
      <c r="P14" s="1541"/>
      <c r="Q14" s="1541"/>
      <c r="R14" s="112" t="s">
        <v>263</v>
      </c>
      <c r="S14" s="111"/>
      <c r="V14" s="166"/>
      <c r="W14" s="166">
        <f t="shared" ref="W14:AC14" si="48">W13/V13-1</f>
        <v>0.14499776144461451</v>
      </c>
      <c r="X14" s="166">
        <f t="shared" si="48"/>
        <v>0.28263446225281541</v>
      </c>
      <c r="Y14" s="166">
        <f t="shared" si="48"/>
        <v>6.1554876693362459E-2</v>
      </c>
      <c r="Z14" s="166">
        <f t="shared" si="48"/>
        <v>-6.4213706661880421E-2</v>
      </c>
      <c r="AA14" s="166">
        <f t="shared" si="48"/>
        <v>6.8882182952714643E-2</v>
      </c>
      <c r="AB14" s="166">
        <f t="shared" si="48"/>
        <v>8.2542796645652228E-2</v>
      </c>
      <c r="AC14" s="166">
        <f t="shared" si="48"/>
        <v>0.15962560640049506</v>
      </c>
      <c r="AD14" s="166">
        <f t="shared" ref="AD14:AI14" si="49">AD13/AC13-1</f>
        <v>-0.17889849244315692</v>
      </c>
      <c r="AE14" s="166">
        <f t="shared" si="49"/>
        <v>0.1873242828418813</v>
      </c>
      <c r="AF14" s="166">
        <f t="shared" si="49"/>
        <v>-3.5882723802728056E-2</v>
      </c>
      <c r="AG14" s="166">
        <f t="shared" si="49"/>
        <v>6.8447145775565321E-2</v>
      </c>
      <c r="AH14" s="1635">
        <f t="shared" si="49"/>
        <v>9.8670835478231078E-2</v>
      </c>
      <c r="AI14" s="166">
        <f t="shared" ca="1" si="49"/>
        <v>2.757544300772774E-2</v>
      </c>
      <c r="AJ14" s="166">
        <f t="shared" ref="AJ14" ca="1" si="50">AJ13/AI13-1</f>
        <v>4.6581652362586157E-2</v>
      </c>
      <c r="AK14" s="166">
        <f t="shared" ref="AK14" ca="1" si="51">AK13/AJ13-1</f>
        <v>4.1598613600314582E-2</v>
      </c>
      <c r="AL14" s="154">
        <v>0.03</v>
      </c>
      <c r="AM14" s="154">
        <v>0.03</v>
      </c>
      <c r="AN14" s="154">
        <v>0.03</v>
      </c>
      <c r="AO14" s="154">
        <v>0.03</v>
      </c>
      <c r="AP14" s="154">
        <v>0.03</v>
      </c>
      <c r="AQ14" s="154">
        <v>0.03</v>
      </c>
      <c r="AR14" s="154">
        <v>0.03</v>
      </c>
      <c r="AS14" s="155">
        <v>0.03</v>
      </c>
      <c r="AT14" s="155">
        <v>0.03</v>
      </c>
      <c r="AU14" s="155">
        <v>0.03</v>
      </c>
      <c r="AV14" s="155">
        <v>0.03</v>
      </c>
      <c r="AW14" s="155">
        <v>0.03</v>
      </c>
      <c r="AX14" s="156">
        <v>0.03</v>
      </c>
      <c r="AY14" s="156">
        <v>0.03</v>
      </c>
      <c r="AZ14" s="156">
        <v>0.03</v>
      </c>
      <c r="BA14" s="156">
        <v>0.03</v>
      </c>
      <c r="BB14" s="156">
        <v>0.03</v>
      </c>
      <c r="BC14" s="156">
        <v>0.03</v>
      </c>
      <c r="BD14" s="156">
        <v>0.03</v>
      </c>
      <c r="BE14" s="156">
        <v>0.03</v>
      </c>
      <c r="BF14" s="156">
        <v>0.03</v>
      </c>
      <c r="BG14" s="156">
        <v>0.03</v>
      </c>
      <c r="BH14" s="156">
        <v>0.03</v>
      </c>
      <c r="BI14" s="156">
        <v>0.03</v>
      </c>
      <c r="BJ14" s="156">
        <v>0.03</v>
      </c>
      <c r="BK14" s="156">
        <v>0.03</v>
      </c>
      <c r="BL14" s="156">
        <v>0.03</v>
      </c>
      <c r="BM14" s="156">
        <v>0.03</v>
      </c>
      <c r="BN14" s="156">
        <v>0.03</v>
      </c>
      <c r="BO14" s="156">
        <v>0.03</v>
      </c>
      <c r="BP14" s="156">
        <v>0.03</v>
      </c>
      <c r="BQ14" s="156">
        <v>0.03</v>
      </c>
      <c r="BR14" s="156">
        <v>0.03</v>
      </c>
      <c r="BS14" s="156">
        <v>0.03</v>
      </c>
      <c r="BT14" s="156">
        <v>0.03</v>
      </c>
      <c r="BU14" s="156">
        <v>0.03</v>
      </c>
      <c r="BV14" s="156">
        <v>0.03</v>
      </c>
      <c r="BW14" s="156">
        <v>0.03</v>
      </c>
      <c r="BX14" s="156">
        <v>0.03</v>
      </c>
      <c r="BY14" s="156">
        <v>0.03</v>
      </c>
      <c r="BZ14" s="156">
        <v>0.03</v>
      </c>
      <c r="CA14" s="156">
        <v>0.03</v>
      </c>
      <c r="CB14" s="156">
        <v>0.03</v>
      </c>
      <c r="CC14" s="156">
        <v>0.03</v>
      </c>
      <c r="CD14" s="156">
        <v>0.03</v>
      </c>
      <c r="CE14" s="156">
        <v>0.03</v>
      </c>
      <c r="CF14" s="156">
        <v>0.03</v>
      </c>
      <c r="CG14" s="156">
        <v>0.03</v>
      </c>
      <c r="CH14" s="157"/>
      <c r="CI14" s="157"/>
      <c r="CJ14" s="157"/>
      <c r="CK14" s="157"/>
      <c r="CL14" s="157"/>
      <c r="CM14" s="157"/>
      <c r="CN14" s="157"/>
      <c r="CO14" s="157"/>
      <c r="CP14" s="157"/>
      <c r="CQ14" s="157"/>
      <c r="CR14" s="157"/>
      <c r="CS14" s="157"/>
      <c r="CT14" s="157"/>
      <c r="CU14" s="157"/>
      <c r="CV14" s="157"/>
      <c r="CW14" s="157"/>
      <c r="CX14" s="157"/>
      <c r="CY14" s="157"/>
      <c r="CZ14" s="157"/>
      <c r="DA14" s="157"/>
      <c r="DB14" s="157"/>
      <c r="DC14" s="157"/>
      <c r="DD14" s="157"/>
      <c r="DE14" s="157"/>
      <c r="DF14" s="157"/>
      <c r="DG14" s="157"/>
      <c r="DH14" s="157"/>
      <c r="DI14" s="157"/>
      <c r="DJ14" s="157"/>
      <c r="DK14" s="157"/>
      <c r="DL14" s="157"/>
      <c r="DM14" s="157"/>
      <c r="DN14" s="157"/>
      <c r="DO14" s="157"/>
      <c r="DP14" s="157"/>
      <c r="DQ14" s="157"/>
      <c r="DR14" s="157"/>
      <c r="DS14" s="157"/>
      <c r="DT14" s="157"/>
      <c r="DU14" s="157"/>
      <c r="DV14" s="157"/>
      <c r="DW14" s="157"/>
      <c r="DX14" s="157"/>
      <c r="DY14" s="157"/>
      <c r="DZ14" s="157"/>
      <c r="EA14" s="157"/>
      <c r="EB14" s="157"/>
      <c r="EC14" s="157"/>
      <c r="ED14" s="157"/>
      <c r="EE14" s="157"/>
      <c r="EF14" s="157"/>
      <c r="EG14" s="157"/>
      <c r="EH14" s="157"/>
      <c r="EI14" s="157"/>
      <c r="EJ14" s="157"/>
      <c r="EK14" s="157"/>
      <c r="EL14" s="157"/>
      <c r="EM14" s="157"/>
      <c r="EN14" s="157"/>
      <c r="EO14" s="157"/>
      <c r="EP14" s="157"/>
      <c r="EQ14" s="157"/>
    </row>
    <row r="15" spans="2:147" s="10" customFormat="1">
      <c r="B15" s="135" t="s">
        <v>271</v>
      </c>
      <c r="C15" s="690">
        <f>C12+C13*C14</f>
        <v>8.5</v>
      </c>
      <c r="E15" s="158"/>
      <c r="G15" s="167"/>
      <c r="H15" s="167"/>
      <c r="I15" s="1257"/>
      <c r="J15" s="1545"/>
      <c r="K15" s="1545"/>
      <c r="L15" s="1545"/>
      <c r="M15" s="1545"/>
      <c r="N15" s="1545"/>
      <c r="O15" s="1545"/>
      <c r="P15" s="1545"/>
      <c r="Q15" s="1545"/>
      <c r="R15" s="113" t="s">
        <v>186</v>
      </c>
      <c r="S15" s="294"/>
      <c r="T15" s="168"/>
      <c r="U15" s="168"/>
      <c r="V15" s="140">
        <f>MODEL!BJ370</f>
        <v>702995</v>
      </c>
      <c r="W15" s="140">
        <f>MODEL!BN370</f>
        <v>772092</v>
      </c>
      <c r="X15" s="140">
        <f>MODEL!BR370</f>
        <v>889900</v>
      </c>
      <c r="Y15" s="140">
        <f>MODEL!BV370</f>
        <v>914869</v>
      </c>
      <c r="Z15" s="140">
        <f>MODEL!BZ370</f>
        <v>897326</v>
      </c>
      <c r="AA15" s="140">
        <f>MODEL!CD370</f>
        <v>943182</v>
      </c>
      <c r="AB15" s="763">
        <f>MODEL!CH370</f>
        <v>981137</v>
      </c>
      <c r="AC15" s="763">
        <f>MODEL!CL370</f>
        <v>1042286</v>
      </c>
      <c r="AD15" s="763">
        <f>MODEL!CP370</f>
        <v>978857</v>
      </c>
      <c r="AE15" s="763">
        <f>MODEL!CT370</f>
        <v>1085729</v>
      </c>
      <c r="AF15" s="763">
        <f>MODEL!CX370</f>
        <v>1105643</v>
      </c>
      <c r="AG15" s="763">
        <f>MODEL!DB370</f>
        <v>1229115</v>
      </c>
      <c r="AH15" s="1631">
        <f>INDEX(MODEL!370:370,MATCH(AH$5,MODEL!$7:$7,0))</f>
        <v>1297108</v>
      </c>
      <c r="AI15" s="763">
        <f ca="1">INDEX(MODEL!370:370,MATCH(AI$5,MODEL!$7:$7,0))</f>
        <v>1333959.8410581651</v>
      </c>
      <c r="AJ15" s="763">
        <f ca="1">INDEX(MODEL!370:370,MATCH(AJ$5,MODEL!$7:$7,0))</f>
        <v>1396518.0991681463</v>
      </c>
      <c r="AK15" s="763">
        <f ca="1">INDEX(MODEL!370:370,MATCH(AK$5,MODEL!$7:$7,0))</f>
        <v>1455186.8090801614</v>
      </c>
      <c r="AL15" s="169">
        <f t="shared" ref="AL15:AQ15" ca="1" si="52">+AL13+AL9</f>
        <v>1504620.7320213742</v>
      </c>
      <c r="AM15" s="169">
        <f t="shared" ca="1" si="52"/>
        <v>1549759.3539820155</v>
      </c>
      <c r="AN15" s="169">
        <f t="shared" ca="1" si="52"/>
        <v>1596252.1346014761</v>
      </c>
      <c r="AO15" s="169">
        <f t="shared" ca="1" si="52"/>
        <v>1644139.6986395204</v>
      </c>
      <c r="AP15" s="169">
        <f t="shared" ca="1" si="52"/>
        <v>1693463.8895987063</v>
      </c>
      <c r="AQ15" s="169">
        <f t="shared" ca="1" si="52"/>
        <v>1744267.8062866675</v>
      </c>
      <c r="AR15" s="169">
        <f t="shared" ref="AR15" ca="1" si="53">+AR13+AR9</f>
        <v>1796595.8404752673</v>
      </c>
      <c r="AS15" s="169">
        <f t="shared" ref="AS15:CD15" ca="1" si="54">+AS13+AS9</f>
        <v>1850493.7156895255</v>
      </c>
      <c r="AT15" s="169">
        <f t="shared" ca="1" si="54"/>
        <v>1906008.5271602115</v>
      </c>
      <c r="AU15" s="169">
        <f t="shared" ca="1" si="54"/>
        <v>1963188.7829750178</v>
      </c>
      <c r="AV15" s="169">
        <f ca="1">+AV13+AV9</f>
        <v>2022084.4464642683</v>
      </c>
      <c r="AW15" s="169">
        <f ca="1">+AW13+AW9</f>
        <v>2082746.9798581966</v>
      </c>
      <c r="AX15" s="169">
        <f t="shared" ca="1" si="54"/>
        <v>2145229.3892539423</v>
      </c>
      <c r="AY15" s="169">
        <f t="shared" ca="1" si="54"/>
        <v>2209586.2709315605</v>
      </c>
      <c r="AZ15" s="169">
        <f t="shared" ca="1" si="54"/>
        <v>2275873.859059508</v>
      </c>
      <c r="BA15" s="169">
        <f t="shared" ca="1" si="54"/>
        <v>2344150.074831293</v>
      </c>
      <c r="BB15" s="169">
        <f t="shared" ca="1" si="54"/>
        <v>2414474.5770762316</v>
      </c>
      <c r="BC15" s="169">
        <f t="shared" ca="1" si="54"/>
        <v>2486908.8143885192</v>
      </c>
      <c r="BD15" s="169">
        <f t="shared" ca="1" si="54"/>
        <v>2561516.0788201746</v>
      </c>
      <c r="BE15" s="169">
        <f t="shared" ca="1" si="54"/>
        <v>2638361.5611847797</v>
      </c>
      <c r="BF15" s="169">
        <f t="shared" ca="1" si="54"/>
        <v>2717512.4080203231</v>
      </c>
      <c r="BG15" s="169">
        <f t="shared" ca="1" si="54"/>
        <v>2799037.7802609326</v>
      </c>
      <c r="BH15" s="169">
        <f t="shared" ca="1" si="54"/>
        <v>2883008.913668761</v>
      </c>
      <c r="BI15" s="169">
        <f t="shared" ca="1" si="54"/>
        <v>2969499.1810788237</v>
      </c>
      <c r="BJ15" s="169">
        <f t="shared" ca="1" si="54"/>
        <v>3058584.1565111885</v>
      </c>
      <c r="BK15" s="169">
        <f t="shared" ca="1" si="54"/>
        <v>3150341.6812065244</v>
      </c>
      <c r="BL15" s="169">
        <f t="shared" ca="1" si="54"/>
        <v>3244851.9316427205</v>
      </c>
      <c r="BM15" s="169">
        <f t="shared" ca="1" si="54"/>
        <v>3342197.4895920018</v>
      </c>
      <c r="BN15" s="169">
        <f t="shared" ca="1" si="54"/>
        <v>3442463.4142797617</v>
      </c>
      <c r="BO15" s="169">
        <f t="shared" ca="1" si="54"/>
        <v>3545737.316708155</v>
      </c>
      <c r="BP15" s="169">
        <f t="shared" ca="1" si="54"/>
        <v>3652109.4362093993</v>
      </c>
      <c r="BQ15" s="169">
        <f t="shared" ca="1" si="54"/>
        <v>3761672.7192956815</v>
      </c>
      <c r="BR15" s="169">
        <f t="shared" ca="1" si="54"/>
        <v>3874522.9008745523</v>
      </c>
      <c r="BS15" s="169">
        <f t="shared" ca="1" si="54"/>
        <v>3990758.587900789</v>
      </c>
      <c r="BT15" s="169">
        <f t="shared" ca="1" si="54"/>
        <v>4110481.3455378124</v>
      </c>
      <c r="BU15" s="169">
        <f t="shared" ca="1" si="54"/>
        <v>4233795.7859039474</v>
      </c>
      <c r="BV15" s="169">
        <f t="shared" ca="1" si="54"/>
        <v>4360809.6594810653</v>
      </c>
      <c r="BW15" s="169">
        <f t="shared" ca="1" si="54"/>
        <v>4491633.9492654987</v>
      </c>
      <c r="BX15" s="169">
        <f t="shared" ca="1" si="54"/>
        <v>4626382.9677434629</v>
      </c>
      <c r="BY15" s="169">
        <f t="shared" ca="1" si="54"/>
        <v>4765174.4567757668</v>
      </c>
      <c r="BZ15" s="169">
        <f t="shared" ca="1" si="54"/>
        <v>4908129.6904790401</v>
      </c>
      <c r="CA15" s="169">
        <f t="shared" ca="1" si="54"/>
        <v>5055373.5811934117</v>
      </c>
      <c r="CB15" s="169">
        <f t="shared" ca="1" si="54"/>
        <v>5207034.7886292133</v>
      </c>
      <c r="CC15" s="169">
        <f t="shared" ca="1" si="54"/>
        <v>5363245.8322880901</v>
      </c>
      <c r="CD15" s="169">
        <f t="shared" ca="1" si="54"/>
        <v>5524143.2072567325</v>
      </c>
      <c r="CE15" s="169">
        <f ca="1">+CE13+CE9</f>
        <v>5689867.5034744348</v>
      </c>
      <c r="CF15" s="169">
        <f ca="1">+CF13+CF9</f>
        <v>5860563.5285786679</v>
      </c>
      <c r="CG15" s="169">
        <f ca="1">+CG13+CG9</f>
        <v>6036380.4344360288</v>
      </c>
      <c r="CH15" s="169"/>
      <c r="CI15" s="169"/>
      <c r="CJ15" s="169"/>
      <c r="CK15" s="169"/>
      <c r="CL15" s="169"/>
      <c r="CM15" s="169"/>
      <c r="CN15" s="169"/>
      <c r="CO15" s="169"/>
      <c r="CP15" s="169"/>
      <c r="CQ15" s="169"/>
      <c r="CR15" s="169"/>
      <c r="CS15" s="169"/>
      <c r="CT15" s="169"/>
      <c r="CU15" s="169"/>
      <c r="CV15" s="169"/>
      <c r="CW15" s="169"/>
      <c r="CX15" s="169"/>
      <c r="CY15" s="169"/>
      <c r="CZ15" s="169"/>
      <c r="DA15" s="169"/>
      <c r="DB15" s="169"/>
      <c r="DC15" s="169"/>
      <c r="DD15" s="169"/>
      <c r="DE15" s="169"/>
      <c r="DF15" s="169"/>
      <c r="DG15" s="169"/>
      <c r="DH15" s="169"/>
      <c r="DI15" s="169"/>
      <c r="DJ15" s="169"/>
      <c r="DK15" s="169"/>
      <c r="DL15" s="169"/>
      <c r="DM15" s="169"/>
      <c r="DN15" s="169"/>
      <c r="DO15" s="169"/>
      <c r="DP15" s="169"/>
      <c r="DQ15" s="169"/>
      <c r="DR15" s="169"/>
      <c r="DS15" s="169"/>
      <c r="DT15" s="169"/>
      <c r="DU15" s="169"/>
      <c r="DV15" s="169"/>
      <c r="DW15" s="169"/>
      <c r="DX15" s="169"/>
      <c r="DY15" s="169"/>
      <c r="DZ15" s="169"/>
      <c r="EA15" s="169"/>
      <c r="EB15" s="169"/>
      <c r="EC15" s="169"/>
      <c r="ED15" s="169"/>
      <c r="EE15" s="169"/>
      <c r="EF15" s="169"/>
      <c r="EG15" s="169"/>
      <c r="EH15" s="169"/>
      <c r="EI15" s="169"/>
      <c r="EJ15" s="169"/>
      <c r="EK15" s="169"/>
      <c r="EL15" s="169"/>
      <c r="EM15" s="169"/>
      <c r="EN15" s="169"/>
      <c r="EO15" s="169"/>
      <c r="EP15" s="169"/>
      <c r="EQ15" s="169"/>
    </row>
    <row r="16" spans="2:147" s="10" customFormat="1">
      <c r="B16" s="135" t="s">
        <v>499</v>
      </c>
      <c r="C16" s="691"/>
      <c r="E16" s="162"/>
      <c r="F16" s="121" t="s">
        <v>1253</v>
      </c>
      <c r="G16" s="122" t="s">
        <v>544</v>
      </c>
      <c r="H16" s="123" t="s">
        <v>414</v>
      </c>
      <c r="I16" s="173"/>
      <c r="J16" s="173"/>
      <c r="K16" s="173"/>
      <c r="L16" s="124"/>
      <c r="M16" s="124"/>
      <c r="N16" s="124"/>
      <c r="O16" s="124"/>
      <c r="P16" s="124"/>
      <c r="Q16" s="173"/>
      <c r="R16" s="112" t="s">
        <v>32</v>
      </c>
      <c r="S16" s="292"/>
      <c r="T16" s="131"/>
      <c r="U16" s="131"/>
      <c r="V16" s="166"/>
      <c r="W16" s="166">
        <f t="shared" ref="W16:AD16" si="55">W15/V15-1</f>
        <v>9.828946151821838E-2</v>
      </c>
      <c r="X16" s="166">
        <f t="shared" si="55"/>
        <v>0.15258285282064832</v>
      </c>
      <c r="Y16" s="166">
        <f t="shared" si="55"/>
        <v>2.8058208787504313E-2</v>
      </c>
      <c r="Z16" s="166">
        <f t="shared" si="55"/>
        <v>-1.9175422929402997E-2</v>
      </c>
      <c r="AA16" s="166">
        <f t="shared" si="55"/>
        <v>5.1102943634754761E-2</v>
      </c>
      <c r="AB16" s="166">
        <f t="shared" si="55"/>
        <v>4.0241438025746978E-2</v>
      </c>
      <c r="AC16" s="166">
        <f t="shared" si="55"/>
        <v>6.2324629485994265E-2</v>
      </c>
      <c r="AD16" s="166">
        <f t="shared" si="55"/>
        <v>-6.0855657660181528E-2</v>
      </c>
      <c r="AE16" s="166">
        <f t="shared" ref="AE16:AI16" si="56">AE15/AD15-1</f>
        <v>0.10918040122305905</v>
      </c>
      <c r="AF16" s="166">
        <f t="shared" si="56"/>
        <v>1.8341593528403477E-2</v>
      </c>
      <c r="AG16" s="166">
        <f t="shared" si="56"/>
        <v>0.11167438314175548</v>
      </c>
      <c r="AH16" s="1635">
        <f t="shared" si="56"/>
        <v>5.5318664242157922E-2</v>
      </c>
      <c r="AI16" s="166">
        <f t="shared" ca="1" si="56"/>
        <v>2.841077308764195E-2</v>
      </c>
      <c r="AJ16" s="166">
        <f t="shared" ref="AJ16" ca="1" si="57">AJ15/AI15-1</f>
        <v>4.6896657743726866E-2</v>
      </c>
      <c r="AK16" s="166">
        <f t="shared" ref="AK16" ca="1" si="58">AK15/AJ15-1</f>
        <v>4.2010705014823513E-2</v>
      </c>
      <c r="AL16" s="166">
        <f t="shared" ref="AL16:CG16" ca="1" si="59">+AL15/AK15-1</f>
        <v>3.3970843215971991E-2</v>
      </c>
      <c r="AM16" s="166">
        <f t="shared" ca="1" si="59"/>
        <v>3.0000000000000027E-2</v>
      </c>
      <c r="AN16" s="166">
        <f t="shared" ca="1" si="59"/>
        <v>3.0000000000000027E-2</v>
      </c>
      <c r="AO16" s="166">
        <f t="shared" ca="1" si="59"/>
        <v>3.0000000000000027E-2</v>
      </c>
      <c r="AP16" s="166">
        <f t="shared" ca="1" si="59"/>
        <v>3.0000000000000027E-2</v>
      </c>
      <c r="AQ16" s="166">
        <f t="shared" ca="1" si="59"/>
        <v>3.0000000000000027E-2</v>
      </c>
      <c r="AR16" s="166">
        <f t="shared" ca="1" si="59"/>
        <v>2.9999999999999805E-2</v>
      </c>
      <c r="AS16" s="166">
        <f ca="1">+AS15/AR15-1</f>
        <v>3.0000000000000027E-2</v>
      </c>
      <c r="AT16" s="166">
        <f t="shared" ca="1" si="59"/>
        <v>3.0000000000000027E-2</v>
      </c>
      <c r="AU16" s="166">
        <f t="shared" ca="1" si="59"/>
        <v>3.0000000000000027E-2</v>
      </c>
      <c r="AV16" s="166">
        <f t="shared" ca="1" si="59"/>
        <v>3.0000000000000027E-2</v>
      </c>
      <c r="AW16" s="166">
        <f t="shared" ca="1" si="59"/>
        <v>3.0000000000000027E-2</v>
      </c>
      <c r="AX16" s="166">
        <f t="shared" ca="1" si="59"/>
        <v>3.0000000000000027E-2</v>
      </c>
      <c r="AY16" s="166">
        <f t="shared" ca="1" si="59"/>
        <v>3.0000000000000027E-2</v>
      </c>
      <c r="AZ16" s="166">
        <f t="shared" ca="1" si="59"/>
        <v>3.0000000000000249E-2</v>
      </c>
      <c r="BA16" s="166">
        <f t="shared" ca="1" si="59"/>
        <v>2.9999999999999805E-2</v>
      </c>
      <c r="BB16" s="166">
        <f t="shared" ca="1" si="59"/>
        <v>3.0000000000000027E-2</v>
      </c>
      <c r="BC16" s="166">
        <f t="shared" ca="1" si="59"/>
        <v>3.0000000000000249E-2</v>
      </c>
      <c r="BD16" s="166">
        <f t="shared" ca="1" si="59"/>
        <v>3.0000000000000027E-2</v>
      </c>
      <c r="BE16" s="166">
        <f t="shared" ca="1" si="59"/>
        <v>3.0000000000000027E-2</v>
      </c>
      <c r="BF16" s="166">
        <f t="shared" ca="1" si="59"/>
        <v>3.0000000000000027E-2</v>
      </c>
      <c r="BG16" s="166">
        <f t="shared" ca="1" si="59"/>
        <v>3.0000000000000027E-2</v>
      </c>
      <c r="BH16" s="166">
        <f t="shared" ca="1" si="59"/>
        <v>3.0000000000000249E-2</v>
      </c>
      <c r="BI16" s="166">
        <f t="shared" ca="1" si="59"/>
        <v>3.0000000000000027E-2</v>
      </c>
      <c r="BJ16" s="166">
        <f t="shared" ca="1" si="59"/>
        <v>3.0000000000000027E-2</v>
      </c>
      <c r="BK16" s="166">
        <f t="shared" ca="1" si="59"/>
        <v>3.0000000000000027E-2</v>
      </c>
      <c r="BL16" s="166">
        <f t="shared" ca="1" si="59"/>
        <v>3.0000000000000027E-2</v>
      </c>
      <c r="BM16" s="166">
        <f t="shared" ca="1" si="59"/>
        <v>2.9999999999999805E-2</v>
      </c>
      <c r="BN16" s="166">
        <f t="shared" ca="1" si="59"/>
        <v>3.0000000000000027E-2</v>
      </c>
      <c r="BO16" s="166">
        <f t="shared" ca="1" si="59"/>
        <v>3.0000000000000027E-2</v>
      </c>
      <c r="BP16" s="166">
        <f t="shared" ca="1" si="59"/>
        <v>2.9999999999999805E-2</v>
      </c>
      <c r="BQ16" s="166">
        <f t="shared" ca="1" si="59"/>
        <v>3.0000000000000027E-2</v>
      </c>
      <c r="BR16" s="166">
        <f t="shared" ca="1" si="59"/>
        <v>3.0000000000000027E-2</v>
      </c>
      <c r="BS16" s="166">
        <f t="shared" ca="1" si="59"/>
        <v>3.0000000000000027E-2</v>
      </c>
      <c r="BT16" s="166">
        <f t="shared" ca="1" si="59"/>
        <v>3.0000000000000027E-2</v>
      </c>
      <c r="BU16" s="166">
        <f t="shared" ca="1" si="59"/>
        <v>3.0000000000000249E-2</v>
      </c>
      <c r="BV16" s="166">
        <f t="shared" ca="1" si="59"/>
        <v>2.9999999999999805E-2</v>
      </c>
      <c r="BW16" s="166">
        <f t="shared" ca="1" si="59"/>
        <v>3.0000000000000249E-2</v>
      </c>
      <c r="BX16" s="166">
        <f t="shared" ca="1" si="59"/>
        <v>2.9999999999999805E-2</v>
      </c>
      <c r="BY16" s="166">
        <f t="shared" ca="1" si="59"/>
        <v>3.0000000000000027E-2</v>
      </c>
      <c r="BZ16" s="166">
        <f t="shared" ca="1" si="59"/>
        <v>3.0000000000000027E-2</v>
      </c>
      <c r="CA16" s="166">
        <f t="shared" ca="1" si="59"/>
        <v>3.0000000000000027E-2</v>
      </c>
      <c r="CB16" s="166">
        <f t="shared" ca="1" si="59"/>
        <v>2.9999999999999805E-2</v>
      </c>
      <c r="CC16" s="166">
        <f t="shared" ca="1" si="59"/>
        <v>3.0000000000000027E-2</v>
      </c>
      <c r="CD16" s="166">
        <f t="shared" ca="1" si="59"/>
        <v>3.0000000000000027E-2</v>
      </c>
      <c r="CE16" s="166">
        <f t="shared" ca="1" si="59"/>
        <v>3.0000000000000027E-2</v>
      </c>
      <c r="CF16" s="166">
        <f t="shared" ca="1" si="59"/>
        <v>3.0000000000000027E-2</v>
      </c>
      <c r="CG16" s="166">
        <f t="shared" ca="1" si="59"/>
        <v>3.0000000000000249E-2</v>
      </c>
      <c r="CH16" s="166"/>
      <c r="CI16" s="166"/>
      <c r="CJ16" s="166"/>
      <c r="CK16" s="166"/>
      <c r="CL16" s="166"/>
      <c r="CM16" s="166"/>
      <c r="CN16" s="166"/>
      <c r="CO16" s="166"/>
      <c r="CP16" s="166"/>
      <c r="CQ16" s="166"/>
      <c r="CR16" s="166"/>
      <c r="CS16" s="166"/>
      <c r="CT16" s="166"/>
      <c r="CU16" s="166"/>
      <c r="CV16" s="166"/>
      <c r="CW16" s="166"/>
      <c r="CX16" s="166"/>
      <c r="CY16" s="166"/>
      <c r="CZ16" s="166"/>
      <c r="DA16" s="166"/>
      <c r="DB16" s="166"/>
      <c r="DC16" s="166"/>
      <c r="DD16" s="166"/>
      <c r="DE16" s="166"/>
      <c r="DF16" s="166"/>
      <c r="DG16" s="166"/>
      <c r="DH16" s="166"/>
      <c r="DI16" s="166"/>
      <c r="DJ16" s="166"/>
      <c r="DK16" s="166"/>
      <c r="DL16" s="166"/>
      <c r="DM16" s="166"/>
      <c r="DN16" s="166"/>
      <c r="DO16" s="166"/>
      <c r="DP16" s="166"/>
      <c r="DQ16" s="166"/>
      <c r="DR16" s="166"/>
      <c r="DS16" s="166"/>
      <c r="DT16" s="166"/>
      <c r="DU16" s="166"/>
      <c r="DV16" s="166"/>
      <c r="DW16" s="166"/>
      <c r="DX16" s="166"/>
      <c r="DY16" s="166"/>
      <c r="DZ16" s="166"/>
      <c r="EA16" s="166"/>
      <c r="EB16" s="166"/>
      <c r="EC16" s="166"/>
      <c r="ED16" s="166"/>
      <c r="EE16" s="166"/>
      <c r="EF16" s="166"/>
      <c r="EG16" s="166"/>
      <c r="EH16" s="166"/>
      <c r="EI16" s="166"/>
      <c r="EJ16" s="166"/>
      <c r="EK16" s="166"/>
      <c r="EL16" s="166"/>
      <c r="EM16" s="166"/>
      <c r="EN16" s="166"/>
      <c r="EO16" s="166"/>
      <c r="EP16" s="166"/>
      <c r="EQ16" s="166"/>
    </row>
    <row r="17" spans="1:147" s="10" customFormat="1">
      <c r="B17" s="135"/>
      <c r="C17" s="148"/>
      <c r="F17" s="129" t="s">
        <v>421</v>
      </c>
      <c r="G17" s="433">
        <f>INDEX(MODEL!1116:1116,MATCH(G51,MODEL!$7:$7,0))</f>
        <v>65363</v>
      </c>
      <c r="H17" s="130">
        <f t="shared" ref="H17:H24" si="60">+G17/$C$8</f>
        <v>21.908013372311093</v>
      </c>
      <c r="I17" s="142"/>
      <c r="J17" s="142"/>
      <c r="K17" s="142"/>
      <c r="L17" s="233"/>
      <c r="M17" s="233"/>
      <c r="N17" s="233"/>
      <c r="O17" s="233"/>
      <c r="P17" s="233"/>
      <c r="Q17" s="142"/>
      <c r="R17" s="10" t="s">
        <v>788</v>
      </c>
      <c r="S17" s="292"/>
      <c r="T17" s="131"/>
      <c r="U17" s="131"/>
      <c r="V17" s="166"/>
      <c r="W17" s="166"/>
      <c r="X17" s="166"/>
      <c r="Y17" s="166"/>
      <c r="Z17" s="166"/>
      <c r="AA17" s="925">
        <f>MODEL!CD1444</f>
        <v>1.0899108489285116</v>
      </c>
      <c r="AB17" s="925">
        <f>MODEL!CH1444</f>
        <v>1.0872958162695459</v>
      </c>
      <c r="AC17" s="925">
        <f>MODEL!CL1444</f>
        <v>1.0959871633877494</v>
      </c>
      <c r="AD17" s="925">
        <f>MODEL!CP1444</f>
        <v>1.1022835854546236</v>
      </c>
      <c r="AE17" s="925">
        <f>MODEL!CT1444</f>
        <v>1.1065999332665999</v>
      </c>
      <c r="AF17" s="925">
        <f>MODEL!CX1444</f>
        <v>1.1207344539186286</v>
      </c>
      <c r="AG17" s="925">
        <f>MODEL!DB1444</f>
        <v>1.1039471348910546</v>
      </c>
      <c r="AH17" s="1636">
        <f>INDEX(MODEL!1444:1444,MATCH(AH$5,MODEL!$7:$7,0))</f>
        <v>1.0878080623495774</v>
      </c>
      <c r="AI17" s="925">
        <f>INDEX(MODEL!1444:1444,MATCH(AI$5,MODEL!$7:$7,0))</f>
        <v>1.0878602390600349</v>
      </c>
      <c r="AJ17" s="925">
        <f>INDEX(MODEL!1444:1444,MATCH(AJ$5,MODEL!$7:$7,0))</f>
        <v>1.087916445062467</v>
      </c>
      <c r="AK17" s="925">
        <f>INDEX(MODEL!1444:1444,MATCH(AK$5,MODEL!$7:$7,0))</f>
        <v>1.0879721439666832</v>
      </c>
      <c r="AL17" s="929">
        <f t="shared" ref="AL17:CG17" si="61">AK17</f>
        <v>1.0879721439666832</v>
      </c>
      <c r="AM17" s="929">
        <f t="shared" si="61"/>
        <v>1.0879721439666832</v>
      </c>
      <c r="AN17" s="929">
        <f t="shared" si="61"/>
        <v>1.0879721439666832</v>
      </c>
      <c r="AO17" s="929">
        <f t="shared" si="61"/>
        <v>1.0879721439666832</v>
      </c>
      <c r="AP17" s="929">
        <f t="shared" si="61"/>
        <v>1.0879721439666832</v>
      </c>
      <c r="AQ17" s="929">
        <f t="shared" si="61"/>
        <v>1.0879721439666832</v>
      </c>
      <c r="AR17" s="929">
        <f t="shared" si="61"/>
        <v>1.0879721439666832</v>
      </c>
      <c r="AS17" s="930">
        <f>AR17</f>
        <v>1.0879721439666832</v>
      </c>
      <c r="AT17" s="930">
        <f t="shared" si="61"/>
        <v>1.0879721439666832</v>
      </c>
      <c r="AU17" s="930">
        <f t="shared" si="61"/>
        <v>1.0879721439666832</v>
      </c>
      <c r="AV17" s="930">
        <f t="shared" si="61"/>
        <v>1.0879721439666832</v>
      </c>
      <c r="AW17" s="930">
        <f t="shared" si="61"/>
        <v>1.0879721439666832</v>
      </c>
      <c r="AX17" s="931">
        <f t="shared" si="61"/>
        <v>1.0879721439666832</v>
      </c>
      <c r="AY17" s="931">
        <f t="shared" si="61"/>
        <v>1.0879721439666832</v>
      </c>
      <c r="AZ17" s="931">
        <f t="shared" si="61"/>
        <v>1.0879721439666832</v>
      </c>
      <c r="BA17" s="931">
        <f t="shared" si="61"/>
        <v>1.0879721439666832</v>
      </c>
      <c r="BB17" s="931">
        <f t="shared" si="61"/>
        <v>1.0879721439666832</v>
      </c>
      <c r="BC17" s="931">
        <f t="shared" si="61"/>
        <v>1.0879721439666832</v>
      </c>
      <c r="BD17" s="931">
        <f t="shared" si="61"/>
        <v>1.0879721439666832</v>
      </c>
      <c r="BE17" s="931">
        <f t="shared" si="61"/>
        <v>1.0879721439666832</v>
      </c>
      <c r="BF17" s="931">
        <f t="shared" si="61"/>
        <v>1.0879721439666832</v>
      </c>
      <c r="BG17" s="931">
        <f t="shared" si="61"/>
        <v>1.0879721439666832</v>
      </c>
      <c r="BH17" s="931">
        <f t="shared" si="61"/>
        <v>1.0879721439666832</v>
      </c>
      <c r="BI17" s="931">
        <f t="shared" si="61"/>
        <v>1.0879721439666832</v>
      </c>
      <c r="BJ17" s="931">
        <f t="shared" si="61"/>
        <v>1.0879721439666832</v>
      </c>
      <c r="BK17" s="931">
        <f t="shared" si="61"/>
        <v>1.0879721439666832</v>
      </c>
      <c r="BL17" s="931">
        <f t="shared" si="61"/>
        <v>1.0879721439666832</v>
      </c>
      <c r="BM17" s="931">
        <f t="shared" si="61"/>
        <v>1.0879721439666832</v>
      </c>
      <c r="BN17" s="931">
        <f t="shared" si="61"/>
        <v>1.0879721439666832</v>
      </c>
      <c r="BO17" s="931">
        <f t="shared" si="61"/>
        <v>1.0879721439666832</v>
      </c>
      <c r="BP17" s="931">
        <f t="shared" si="61"/>
        <v>1.0879721439666832</v>
      </c>
      <c r="BQ17" s="931">
        <f t="shared" si="61"/>
        <v>1.0879721439666832</v>
      </c>
      <c r="BR17" s="931">
        <f t="shared" si="61"/>
        <v>1.0879721439666832</v>
      </c>
      <c r="BS17" s="931">
        <f t="shared" si="61"/>
        <v>1.0879721439666832</v>
      </c>
      <c r="BT17" s="931">
        <f t="shared" si="61"/>
        <v>1.0879721439666832</v>
      </c>
      <c r="BU17" s="931">
        <f t="shared" si="61"/>
        <v>1.0879721439666832</v>
      </c>
      <c r="BV17" s="931">
        <f t="shared" si="61"/>
        <v>1.0879721439666832</v>
      </c>
      <c r="BW17" s="931">
        <f t="shared" si="61"/>
        <v>1.0879721439666832</v>
      </c>
      <c r="BX17" s="931">
        <f t="shared" si="61"/>
        <v>1.0879721439666832</v>
      </c>
      <c r="BY17" s="931">
        <f t="shared" si="61"/>
        <v>1.0879721439666832</v>
      </c>
      <c r="BZ17" s="931">
        <f t="shared" si="61"/>
        <v>1.0879721439666832</v>
      </c>
      <c r="CA17" s="931">
        <f t="shared" si="61"/>
        <v>1.0879721439666832</v>
      </c>
      <c r="CB17" s="931">
        <f t="shared" si="61"/>
        <v>1.0879721439666832</v>
      </c>
      <c r="CC17" s="931">
        <f t="shared" si="61"/>
        <v>1.0879721439666832</v>
      </c>
      <c r="CD17" s="931">
        <f t="shared" si="61"/>
        <v>1.0879721439666832</v>
      </c>
      <c r="CE17" s="931">
        <f t="shared" si="61"/>
        <v>1.0879721439666832</v>
      </c>
      <c r="CF17" s="931">
        <f t="shared" si="61"/>
        <v>1.0879721439666832</v>
      </c>
      <c r="CG17" s="931">
        <f t="shared" si="61"/>
        <v>1.0879721439666832</v>
      </c>
      <c r="CH17" s="166"/>
      <c r="CI17" s="166"/>
      <c r="CJ17" s="166"/>
      <c r="CK17" s="166"/>
      <c r="CL17" s="166"/>
      <c r="CM17" s="166"/>
      <c r="CN17" s="166"/>
      <c r="CO17" s="166"/>
      <c r="CP17" s="166"/>
      <c r="CQ17" s="166"/>
      <c r="CR17" s="166"/>
      <c r="CS17" s="166"/>
      <c r="CT17" s="166"/>
      <c r="CU17" s="166"/>
      <c r="CV17" s="166"/>
      <c r="CW17" s="166"/>
      <c r="CX17" s="166"/>
      <c r="CY17" s="166"/>
      <c r="CZ17" s="166"/>
      <c r="DA17" s="166"/>
      <c r="DB17" s="166"/>
      <c r="DC17" s="166"/>
      <c r="DD17" s="166"/>
      <c r="DE17" s="166"/>
      <c r="DF17" s="166"/>
      <c r="DG17" s="166"/>
      <c r="DH17" s="166"/>
      <c r="DI17" s="166"/>
      <c r="DJ17" s="166"/>
      <c r="DK17" s="166"/>
      <c r="DL17" s="166"/>
      <c r="DM17" s="166"/>
      <c r="DN17" s="166"/>
      <c r="DO17" s="166"/>
      <c r="DP17" s="166"/>
      <c r="DQ17" s="166"/>
      <c r="DR17" s="166"/>
      <c r="DS17" s="166"/>
      <c r="DT17" s="166"/>
      <c r="DU17" s="166"/>
      <c r="DV17" s="166"/>
      <c r="DW17" s="166"/>
      <c r="DX17" s="166"/>
      <c r="DY17" s="166"/>
      <c r="DZ17" s="166"/>
      <c r="EA17" s="166"/>
      <c r="EB17" s="166"/>
      <c r="EC17" s="166"/>
      <c r="ED17" s="166"/>
      <c r="EE17" s="166"/>
      <c r="EF17" s="166"/>
      <c r="EG17" s="166"/>
      <c r="EH17" s="166"/>
      <c r="EI17" s="166"/>
      <c r="EJ17" s="166"/>
      <c r="EK17" s="166"/>
      <c r="EL17" s="166"/>
      <c r="EM17" s="166"/>
      <c r="EN17" s="166"/>
      <c r="EO17" s="166"/>
      <c r="EP17" s="166"/>
      <c r="EQ17" s="166"/>
    </row>
    <row r="18" spans="1:147" s="10" customFormat="1" ht="13.8" thickBot="1">
      <c r="B18" s="135"/>
      <c r="C18" s="148"/>
      <c r="D18" s="9"/>
      <c r="F18" s="129" t="s">
        <v>305</v>
      </c>
      <c r="G18" s="136">
        <f ca="1">SUM(AH118:AR118)</f>
        <v>16735.01692846998</v>
      </c>
      <c r="H18" s="130">
        <f t="shared" ca="1" si="60"/>
        <v>5.6091515789479196</v>
      </c>
      <c r="L18" s="111"/>
      <c r="M18" s="111"/>
      <c r="N18" s="111"/>
      <c r="O18" s="111"/>
      <c r="P18" s="111"/>
      <c r="R18" s="10" t="s">
        <v>798</v>
      </c>
      <c r="S18" s="292"/>
      <c r="T18" s="131"/>
      <c r="U18" s="131"/>
      <c r="V18" s="166"/>
      <c r="W18" s="166"/>
      <c r="X18" s="166"/>
      <c r="Y18" s="166"/>
      <c r="Z18" s="166"/>
      <c r="AA18" s="925">
        <f>MODEL!CD1445</f>
        <v>2.1663233445056354</v>
      </c>
      <c r="AB18" s="925">
        <f>MODEL!CH1445</f>
        <v>2.1982680418380469</v>
      </c>
      <c r="AC18" s="925">
        <f>MODEL!CL1445</f>
        <v>2.3492518693757085</v>
      </c>
      <c r="AD18" s="925">
        <f>MODEL!CP1445</f>
        <v>2.572861579141557</v>
      </c>
      <c r="AE18" s="925">
        <f>MODEL!CT1445</f>
        <v>2.4673879598662207</v>
      </c>
      <c r="AF18" s="925">
        <f>MODEL!CX1445</f>
        <v>2.3402234618442366</v>
      </c>
      <c r="AG18" s="925">
        <f>MODEL!DB1445</f>
        <v>2.2736079000944223</v>
      </c>
      <c r="AH18" s="1636">
        <f>INDEX(MODEL!1445:1445,MATCH(AH$5,MODEL!$7:$7,0))</f>
        <v>2.3683858004018754</v>
      </c>
      <c r="AI18" s="925">
        <f>INDEX(MODEL!1445:1445,MATCH(AI$5,MODEL!$7:$7,0))</f>
        <v>2.3683858004018754</v>
      </c>
      <c r="AJ18" s="925">
        <f>INDEX(MODEL!1445:1445,MATCH(AJ$5,MODEL!$7:$7,0))</f>
        <v>2.3683858004018754</v>
      </c>
      <c r="AK18" s="925">
        <f>INDEX(MODEL!1445:1445,MATCH(AK$5,MODEL!$7:$7,0))</f>
        <v>2.3683858004018754</v>
      </c>
      <c r="AL18" s="929">
        <f t="shared" ref="AL18:CG18" si="62">AK18</f>
        <v>2.3683858004018754</v>
      </c>
      <c r="AM18" s="929">
        <f t="shared" si="62"/>
        <v>2.3683858004018754</v>
      </c>
      <c r="AN18" s="929">
        <f t="shared" si="62"/>
        <v>2.3683858004018754</v>
      </c>
      <c r="AO18" s="929">
        <f t="shared" si="62"/>
        <v>2.3683858004018754</v>
      </c>
      <c r="AP18" s="929">
        <f t="shared" si="62"/>
        <v>2.3683858004018754</v>
      </c>
      <c r="AQ18" s="929">
        <f t="shared" si="62"/>
        <v>2.3683858004018754</v>
      </c>
      <c r="AR18" s="929">
        <f t="shared" si="62"/>
        <v>2.3683858004018754</v>
      </c>
      <c r="AS18" s="930">
        <f>AR18</f>
        <v>2.3683858004018754</v>
      </c>
      <c r="AT18" s="930">
        <f t="shared" si="62"/>
        <v>2.3683858004018754</v>
      </c>
      <c r="AU18" s="930">
        <f t="shared" si="62"/>
        <v>2.3683858004018754</v>
      </c>
      <c r="AV18" s="930">
        <f t="shared" si="62"/>
        <v>2.3683858004018754</v>
      </c>
      <c r="AW18" s="930">
        <f t="shared" si="62"/>
        <v>2.3683858004018754</v>
      </c>
      <c r="AX18" s="931">
        <f t="shared" si="62"/>
        <v>2.3683858004018754</v>
      </c>
      <c r="AY18" s="931">
        <f t="shared" si="62"/>
        <v>2.3683858004018754</v>
      </c>
      <c r="AZ18" s="931">
        <f t="shared" si="62"/>
        <v>2.3683858004018754</v>
      </c>
      <c r="BA18" s="931">
        <f t="shared" si="62"/>
        <v>2.3683858004018754</v>
      </c>
      <c r="BB18" s="931">
        <f t="shared" si="62"/>
        <v>2.3683858004018754</v>
      </c>
      <c r="BC18" s="931">
        <f t="shared" si="62"/>
        <v>2.3683858004018754</v>
      </c>
      <c r="BD18" s="931">
        <f t="shared" si="62"/>
        <v>2.3683858004018754</v>
      </c>
      <c r="BE18" s="931">
        <f t="shared" si="62"/>
        <v>2.3683858004018754</v>
      </c>
      <c r="BF18" s="931">
        <f t="shared" si="62"/>
        <v>2.3683858004018754</v>
      </c>
      <c r="BG18" s="931">
        <f t="shared" si="62"/>
        <v>2.3683858004018754</v>
      </c>
      <c r="BH18" s="931">
        <f t="shared" si="62"/>
        <v>2.3683858004018754</v>
      </c>
      <c r="BI18" s="931">
        <f t="shared" si="62"/>
        <v>2.3683858004018754</v>
      </c>
      <c r="BJ18" s="931">
        <f t="shared" si="62"/>
        <v>2.3683858004018754</v>
      </c>
      <c r="BK18" s="931">
        <f t="shared" si="62"/>
        <v>2.3683858004018754</v>
      </c>
      <c r="BL18" s="931">
        <f t="shared" si="62"/>
        <v>2.3683858004018754</v>
      </c>
      <c r="BM18" s="931">
        <f t="shared" si="62"/>
        <v>2.3683858004018754</v>
      </c>
      <c r="BN18" s="931">
        <f t="shared" si="62"/>
        <v>2.3683858004018754</v>
      </c>
      <c r="BO18" s="931">
        <f t="shared" si="62"/>
        <v>2.3683858004018754</v>
      </c>
      <c r="BP18" s="931">
        <f t="shared" si="62"/>
        <v>2.3683858004018754</v>
      </c>
      <c r="BQ18" s="931">
        <f t="shared" si="62"/>
        <v>2.3683858004018754</v>
      </c>
      <c r="BR18" s="931">
        <f t="shared" si="62"/>
        <v>2.3683858004018754</v>
      </c>
      <c r="BS18" s="931">
        <f t="shared" si="62"/>
        <v>2.3683858004018754</v>
      </c>
      <c r="BT18" s="931">
        <f t="shared" si="62"/>
        <v>2.3683858004018754</v>
      </c>
      <c r="BU18" s="931">
        <f t="shared" si="62"/>
        <v>2.3683858004018754</v>
      </c>
      <c r="BV18" s="931">
        <f t="shared" si="62"/>
        <v>2.3683858004018754</v>
      </c>
      <c r="BW18" s="931">
        <f t="shared" si="62"/>
        <v>2.3683858004018754</v>
      </c>
      <c r="BX18" s="931">
        <f t="shared" si="62"/>
        <v>2.3683858004018754</v>
      </c>
      <c r="BY18" s="931">
        <f t="shared" si="62"/>
        <v>2.3683858004018754</v>
      </c>
      <c r="BZ18" s="931">
        <f t="shared" si="62"/>
        <v>2.3683858004018754</v>
      </c>
      <c r="CA18" s="931">
        <f t="shared" si="62"/>
        <v>2.3683858004018754</v>
      </c>
      <c r="CB18" s="931">
        <f t="shared" si="62"/>
        <v>2.3683858004018754</v>
      </c>
      <c r="CC18" s="931">
        <f t="shared" si="62"/>
        <v>2.3683858004018754</v>
      </c>
      <c r="CD18" s="931">
        <f t="shared" si="62"/>
        <v>2.3683858004018754</v>
      </c>
      <c r="CE18" s="931">
        <f t="shared" si="62"/>
        <v>2.3683858004018754</v>
      </c>
      <c r="CF18" s="931">
        <f t="shared" si="62"/>
        <v>2.3683858004018754</v>
      </c>
      <c r="CG18" s="931">
        <f t="shared" si="62"/>
        <v>2.3683858004018754</v>
      </c>
      <c r="CH18" s="166"/>
      <c r="CI18" s="166"/>
      <c r="CJ18" s="166"/>
      <c r="CK18" s="166"/>
      <c r="CL18" s="166"/>
      <c r="CM18" s="166"/>
      <c r="CN18" s="166"/>
      <c r="CO18" s="166"/>
      <c r="CP18" s="166"/>
      <c r="CQ18" s="166"/>
      <c r="CR18" s="166"/>
      <c r="CS18" s="166"/>
      <c r="CT18" s="166"/>
      <c r="CU18" s="166"/>
      <c r="CV18" s="166"/>
      <c r="CW18" s="166"/>
      <c r="CX18" s="166"/>
      <c r="CY18" s="166"/>
      <c r="CZ18" s="166"/>
      <c r="DA18" s="166"/>
      <c r="DB18" s="166"/>
      <c r="DC18" s="166"/>
      <c r="DD18" s="166"/>
      <c r="DE18" s="166"/>
      <c r="DF18" s="166"/>
      <c r="DG18" s="166"/>
      <c r="DH18" s="166"/>
      <c r="DI18" s="166"/>
      <c r="DJ18" s="166"/>
      <c r="DK18" s="166"/>
      <c r="DL18" s="166"/>
      <c r="DM18" s="166"/>
      <c r="DN18" s="166"/>
      <c r="DO18" s="166"/>
      <c r="DP18" s="166"/>
      <c r="DQ18" s="166"/>
      <c r="DR18" s="166"/>
      <c r="DS18" s="166"/>
      <c r="DT18" s="166"/>
      <c r="DU18" s="166"/>
      <c r="DV18" s="166"/>
      <c r="DW18" s="166"/>
      <c r="DX18" s="166"/>
      <c r="DY18" s="166"/>
      <c r="DZ18" s="166"/>
      <c r="EA18" s="166"/>
      <c r="EB18" s="166"/>
      <c r="EC18" s="166"/>
      <c r="ED18" s="166"/>
      <c r="EE18" s="166"/>
      <c r="EF18" s="166"/>
      <c r="EG18" s="166"/>
      <c r="EH18" s="166"/>
      <c r="EI18" s="166"/>
      <c r="EJ18" s="166"/>
      <c r="EK18" s="166"/>
      <c r="EL18" s="166"/>
      <c r="EM18" s="166"/>
      <c r="EN18" s="166"/>
      <c r="EO18" s="166"/>
      <c r="EP18" s="166"/>
      <c r="EQ18" s="166"/>
    </row>
    <row r="19" spans="1:147" s="10" customFormat="1" ht="13.8" thickBot="1">
      <c r="B19" s="116" t="s">
        <v>266</v>
      </c>
      <c r="C19" s="117"/>
      <c r="F19" s="129" t="s">
        <v>251</v>
      </c>
      <c r="G19" s="136">
        <f ca="1">SUM(AS118:AW118)</f>
        <v>6242.2195990277269</v>
      </c>
      <c r="H19" s="130">
        <f t="shared" ca="1" si="60"/>
        <v>2.0922330744978326</v>
      </c>
      <c r="L19" s="111"/>
      <c r="M19" s="111"/>
      <c r="N19" s="111"/>
      <c r="O19" s="111"/>
      <c r="P19" s="111"/>
      <c r="R19" s="10" t="s">
        <v>787</v>
      </c>
      <c r="S19" s="292"/>
      <c r="T19" s="131"/>
      <c r="U19" s="131"/>
      <c r="V19" s="166"/>
      <c r="W19" s="166"/>
      <c r="X19" s="166"/>
      <c r="Y19" s="166"/>
      <c r="Z19" s="166"/>
      <c r="AA19" s="763">
        <f>MODEL!CD1436</f>
        <v>377277</v>
      </c>
      <c r="AB19" s="763">
        <f>MODEL!CH1436</f>
        <v>373821</v>
      </c>
      <c r="AC19" s="763">
        <f>MODEL!CL1436</f>
        <v>392747</v>
      </c>
      <c r="AD19" s="763">
        <f>MODEL!CP1436</f>
        <v>410680</v>
      </c>
      <c r="AE19" s="763">
        <f>MODEL!CT1436</f>
        <v>414560</v>
      </c>
      <c r="AF19" s="763">
        <f>MODEL!CX1436</f>
        <v>453327</v>
      </c>
      <c r="AG19" s="763">
        <f>MODEL!DB1436</f>
        <v>534922</v>
      </c>
      <c r="AH19" s="1631">
        <f>INDEX(MODEL!1436:1436,MATCH(AH$5,MODEL!$7:$7,0))</f>
        <v>548252</v>
      </c>
      <c r="AI19" s="763">
        <f>INDEX(MODEL!1436:1436,MATCH(AI$5,MODEL!$7:$7,0))</f>
        <v>568348.14022511558</v>
      </c>
      <c r="AJ19" s="763">
        <f>INDEX(MODEL!1436:1436,MATCH(AJ$5,MODEL!$7:$7,0))</f>
        <v>600647.18285522959</v>
      </c>
      <c r="AK19" s="763">
        <f>INDEX(MODEL!1436:1436,MATCH(AK$5,MODEL!$7:$7,0))</f>
        <v>628664.97506258148</v>
      </c>
      <c r="AL19" s="140">
        <f t="shared" ref="AL19:CF20" si="63">AL17*AL7</f>
        <v>653811.5740650848</v>
      </c>
      <c r="AM19" s="140">
        <f t="shared" si="63"/>
        <v>673425.92128703743</v>
      </c>
      <c r="AN19" s="140">
        <f t="shared" si="63"/>
        <v>693628.69892564858</v>
      </c>
      <c r="AO19" s="140">
        <f t="shared" si="63"/>
        <v>714437.5598934181</v>
      </c>
      <c r="AP19" s="140">
        <f t="shared" si="63"/>
        <v>735870.68669022061</v>
      </c>
      <c r="AQ19" s="140">
        <f t="shared" ref="AQ19:AR19" si="64">AQ17*AQ7</f>
        <v>757946.80729092727</v>
      </c>
      <c r="AR19" s="140">
        <f t="shared" si="64"/>
        <v>780685.21150965511</v>
      </c>
      <c r="AS19" s="140">
        <f t="shared" si="63"/>
        <v>804105.7678549448</v>
      </c>
      <c r="AT19" s="140">
        <f t="shared" si="63"/>
        <v>828228.94089059322</v>
      </c>
      <c r="AU19" s="140">
        <f t="shared" si="63"/>
        <v>853075.80911731091</v>
      </c>
      <c r="AV19" s="140">
        <f t="shared" si="63"/>
        <v>878668.08339083032</v>
      </c>
      <c r="AW19" s="140">
        <f t="shared" si="63"/>
        <v>905028.12589255534</v>
      </c>
      <c r="AX19" s="140">
        <f t="shared" si="63"/>
        <v>932178.96966933203</v>
      </c>
      <c r="AY19" s="140">
        <f t="shared" si="63"/>
        <v>960144.33875941206</v>
      </c>
      <c r="AZ19" s="140">
        <f t="shared" si="63"/>
        <v>988948.6689221944</v>
      </c>
      <c r="BA19" s="140">
        <f t="shared" si="63"/>
        <v>1018617.1289898603</v>
      </c>
      <c r="BB19" s="140">
        <f t="shared" si="63"/>
        <v>1049175.642859556</v>
      </c>
      <c r="BC19" s="140">
        <f t="shared" si="63"/>
        <v>1080650.9121453429</v>
      </c>
      <c r="BD19" s="140">
        <f t="shared" si="63"/>
        <v>1113070.4395097031</v>
      </c>
      <c r="BE19" s="140">
        <f t="shared" si="63"/>
        <v>1146462.5526949943</v>
      </c>
      <c r="BF19" s="140">
        <f t="shared" si="63"/>
        <v>1180856.429275844</v>
      </c>
      <c r="BG19" s="140">
        <f t="shared" si="63"/>
        <v>1216282.1221541192</v>
      </c>
      <c r="BH19" s="140">
        <f t="shared" si="63"/>
        <v>1252770.5858187426</v>
      </c>
      <c r="BI19" s="140">
        <f t="shared" si="63"/>
        <v>1290353.703393305</v>
      </c>
      <c r="BJ19" s="140">
        <f t="shared" si="63"/>
        <v>1329064.3144951041</v>
      </c>
      <c r="BK19" s="140">
        <f t="shared" si="63"/>
        <v>1368936.2439299573</v>
      </c>
      <c r="BL19" s="140">
        <f t="shared" si="63"/>
        <v>1410004.3312478561</v>
      </c>
      <c r="BM19" s="140">
        <f t="shared" si="63"/>
        <v>1452304.4611852916</v>
      </c>
      <c r="BN19" s="140">
        <f t="shared" si="63"/>
        <v>1495873.5950208507</v>
      </c>
      <c r="BO19" s="140">
        <f t="shared" si="63"/>
        <v>1540749.8028714762</v>
      </c>
      <c r="BP19" s="140">
        <f t="shared" si="63"/>
        <v>1586972.2969576204</v>
      </c>
      <c r="BQ19" s="140">
        <f t="shared" si="63"/>
        <v>1634581.4658663492</v>
      </c>
      <c r="BR19" s="140">
        <f t="shared" si="63"/>
        <v>1683618.9098423398</v>
      </c>
      <c r="BS19" s="140">
        <f t="shared" si="63"/>
        <v>1734127.4771376103</v>
      </c>
      <c r="BT19" s="140">
        <f t="shared" si="63"/>
        <v>1786151.3014517385</v>
      </c>
      <c r="BU19" s="140">
        <f t="shared" si="63"/>
        <v>1839735.8404952907</v>
      </c>
      <c r="BV19" s="140">
        <f t="shared" si="63"/>
        <v>1894927.9157101493</v>
      </c>
      <c r="BW19" s="140">
        <f t="shared" si="63"/>
        <v>1951775.753181454</v>
      </c>
      <c r="BX19" s="140">
        <f t="shared" si="63"/>
        <v>2010329.0257768976</v>
      </c>
      <c r="BY19" s="140">
        <f t="shared" si="63"/>
        <v>2070638.8965502046</v>
      </c>
      <c r="BZ19" s="140">
        <f t="shared" si="63"/>
        <v>2132758.0634467108</v>
      </c>
      <c r="CA19" s="140">
        <f t="shared" si="63"/>
        <v>2196740.8053501118</v>
      </c>
      <c r="CB19" s="140">
        <f t="shared" si="63"/>
        <v>2262643.0295106154</v>
      </c>
      <c r="CC19" s="140">
        <f t="shared" si="63"/>
        <v>2330522.3203959339</v>
      </c>
      <c r="CD19" s="140">
        <f t="shared" si="63"/>
        <v>2400437.9900078117</v>
      </c>
      <c r="CE19" s="140">
        <f t="shared" si="63"/>
        <v>2472451.1297080461</v>
      </c>
      <c r="CF19" s="140">
        <f t="shared" si="63"/>
        <v>2546624.6635992881</v>
      </c>
      <c r="CG19" s="140">
        <f t="shared" ref="CG19" si="65">CG17*CG7</f>
        <v>2623023.4035072667</v>
      </c>
      <c r="CH19" s="166"/>
      <c r="CI19" s="166"/>
      <c r="CJ19" s="166"/>
      <c r="CK19" s="166"/>
      <c r="CL19" s="166"/>
      <c r="CM19" s="166"/>
      <c r="CN19" s="166"/>
      <c r="CO19" s="166"/>
      <c r="CP19" s="166"/>
      <c r="CQ19" s="166"/>
      <c r="CR19" s="166"/>
      <c r="CS19" s="166"/>
      <c r="CT19" s="166"/>
      <c r="CU19" s="166"/>
      <c r="CV19" s="166"/>
      <c r="CW19" s="166"/>
      <c r="CX19" s="166"/>
      <c r="CY19" s="166"/>
      <c r="CZ19" s="166"/>
      <c r="DA19" s="166"/>
      <c r="DB19" s="166"/>
      <c r="DC19" s="166"/>
      <c r="DD19" s="166"/>
      <c r="DE19" s="166"/>
      <c r="DF19" s="166"/>
      <c r="DG19" s="166"/>
      <c r="DH19" s="166"/>
      <c r="DI19" s="166"/>
      <c r="DJ19" s="166"/>
      <c r="DK19" s="166"/>
      <c r="DL19" s="166"/>
      <c r="DM19" s="166"/>
      <c r="DN19" s="166"/>
      <c r="DO19" s="166"/>
      <c r="DP19" s="166"/>
      <c r="DQ19" s="166"/>
      <c r="DR19" s="166"/>
      <c r="DS19" s="166"/>
      <c r="DT19" s="166"/>
      <c r="DU19" s="166"/>
      <c r="DV19" s="166"/>
      <c r="DW19" s="166"/>
      <c r="DX19" s="166"/>
      <c r="DY19" s="166"/>
      <c r="DZ19" s="166"/>
      <c r="EA19" s="166"/>
      <c r="EB19" s="166"/>
      <c r="EC19" s="166"/>
      <c r="ED19" s="166"/>
      <c r="EE19" s="166"/>
      <c r="EF19" s="166"/>
      <c r="EG19" s="166"/>
      <c r="EH19" s="166"/>
      <c r="EI19" s="166"/>
      <c r="EJ19" s="166"/>
      <c r="EK19" s="166"/>
      <c r="EL19" s="166"/>
      <c r="EM19" s="166"/>
      <c r="EN19" s="166"/>
      <c r="EO19" s="166"/>
      <c r="EP19" s="166"/>
      <c r="EQ19" s="166"/>
    </row>
    <row r="20" spans="1:147" s="10" customFormat="1">
      <c r="B20" s="183"/>
      <c r="C20" s="148"/>
      <c r="D20" s="184"/>
      <c r="F20" s="129" t="s">
        <v>128</v>
      </c>
      <c r="G20" s="136">
        <f ca="1">SUM(AX118:CG118)</f>
        <v>10648.514401561304</v>
      </c>
      <c r="H20" s="130">
        <f t="shared" ca="1" si="60"/>
        <v>3.5691109022635485</v>
      </c>
      <c r="I20" s="142"/>
      <c r="J20" s="142"/>
      <c r="K20" s="142"/>
      <c r="L20" s="233"/>
      <c r="M20" s="233"/>
      <c r="N20" s="233"/>
      <c r="O20" s="233"/>
      <c r="P20" s="233"/>
      <c r="Q20" s="142"/>
      <c r="R20" s="10" t="s">
        <v>796</v>
      </c>
      <c r="S20" s="292"/>
      <c r="T20" s="131"/>
      <c r="U20" s="131"/>
      <c r="V20" s="166"/>
      <c r="W20" s="166"/>
      <c r="X20" s="166"/>
      <c r="Y20" s="166"/>
      <c r="Z20" s="166"/>
      <c r="AA20" s="763">
        <f>MODEL!CD1437</f>
        <v>566838</v>
      </c>
      <c r="AB20" s="763">
        <f>MODEL!CH1437</f>
        <v>603396</v>
      </c>
      <c r="AC20" s="763">
        <f>MODEL!CL1437</f>
        <v>617670</v>
      </c>
      <c r="AD20" s="763">
        <f>MODEL!CP1437</f>
        <v>669438</v>
      </c>
      <c r="AE20" s="763">
        <f>MODEL!CT1437</f>
        <v>737749</v>
      </c>
      <c r="AF20" s="763">
        <f>MODEL!CX1437</f>
        <v>709413</v>
      </c>
      <c r="AG20" s="763">
        <f>MODEL!DB1437</f>
        <v>724783</v>
      </c>
      <c r="AH20" s="1631">
        <f>INDEX(MODEL!1437:1437,MATCH(AH$5,MODEL!$7:$7,0))</f>
        <v>770848</v>
      </c>
      <c r="AI20" s="763">
        <f>INDEX(MODEL!1437:1437,MATCH(AI$5,MODEL!$7:$7,0))</f>
        <v>783863.9462588781</v>
      </c>
      <c r="AJ20" s="763">
        <f>INDEX(MODEL!1437:1437,MATCH(AJ$5,MODEL!$7:$7,0))</f>
        <v>808939.55171193078</v>
      </c>
      <c r="AK20" s="763">
        <f>INDEX(MODEL!1437:1437,MATCH(AK$5,MODEL!$7:$7,0))</f>
        <v>837552.03376664058</v>
      </c>
      <c r="AL20" s="140">
        <f t="shared" si="63"/>
        <v>874681.83342152252</v>
      </c>
      <c r="AM20" s="140">
        <f t="shared" si="63"/>
        <v>900922.28842416813</v>
      </c>
      <c r="AN20" s="140">
        <f t="shared" si="63"/>
        <v>927949.95707689319</v>
      </c>
      <c r="AO20" s="140">
        <f t="shared" si="63"/>
        <v>955788.45578920003</v>
      </c>
      <c r="AP20" s="140">
        <f t="shared" si="63"/>
        <v>984462.10946287611</v>
      </c>
      <c r="AQ20" s="140">
        <f t="shared" ref="AQ20:AR20" si="66">AQ18*AQ8</f>
        <v>1013995.9727467624</v>
      </c>
      <c r="AR20" s="140">
        <f t="shared" si="66"/>
        <v>1044415.8519291652</v>
      </c>
      <c r="AS20" s="140">
        <f t="shared" si="63"/>
        <v>1075748.3274870403</v>
      </c>
      <c r="AT20" s="140">
        <f t="shared" si="63"/>
        <v>1108020.7773116515</v>
      </c>
      <c r="AU20" s="140">
        <f t="shared" si="63"/>
        <v>1141261.400631001</v>
      </c>
      <c r="AV20" s="140">
        <f t="shared" si="63"/>
        <v>1175499.242649931</v>
      </c>
      <c r="AW20" s="140">
        <f t="shared" si="63"/>
        <v>1210764.219929429</v>
      </c>
      <c r="AX20" s="140">
        <f t="shared" si="63"/>
        <v>1247087.1465273118</v>
      </c>
      <c r="AY20" s="140">
        <f t="shared" si="63"/>
        <v>1284499.7609231311</v>
      </c>
      <c r="AZ20" s="140">
        <f t="shared" si="63"/>
        <v>1323034.7537508253</v>
      </c>
      <c r="BA20" s="140">
        <f t="shared" si="63"/>
        <v>1362725.79636335</v>
      </c>
      <c r="BB20" s="140">
        <f t="shared" si="63"/>
        <v>1403607.5702542507</v>
      </c>
      <c r="BC20" s="140">
        <f t="shared" si="63"/>
        <v>1445715.7973618782</v>
      </c>
      <c r="BD20" s="140">
        <f t="shared" si="63"/>
        <v>1489087.2712827346</v>
      </c>
      <c r="BE20" s="140">
        <f t="shared" si="63"/>
        <v>1533759.8894212169</v>
      </c>
      <c r="BF20" s="140">
        <f t="shared" si="63"/>
        <v>1579772.6861038534</v>
      </c>
      <c r="BG20" s="140">
        <f t="shared" si="63"/>
        <v>1627165.8666869691</v>
      </c>
      <c r="BH20" s="140">
        <f t="shared" si="63"/>
        <v>1675980.8426875782</v>
      </c>
      <c r="BI20" s="140">
        <f t="shared" si="63"/>
        <v>1726260.2679682055</v>
      </c>
      <c r="BJ20" s="140">
        <f t="shared" si="63"/>
        <v>1778048.0760072519</v>
      </c>
      <c r="BK20" s="140">
        <f t="shared" si="63"/>
        <v>1831389.5182874694</v>
      </c>
      <c r="BL20" s="140">
        <f t="shared" si="63"/>
        <v>1886331.2038360937</v>
      </c>
      <c r="BM20" s="140">
        <f t="shared" si="63"/>
        <v>1942921.1399511765</v>
      </c>
      <c r="BN20" s="140">
        <f t="shared" si="63"/>
        <v>2001208.7741497117</v>
      </c>
      <c r="BO20" s="140">
        <f t="shared" si="63"/>
        <v>2061245.0373742033</v>
      </c>
      <c r="BP20" s="140">
        <f t="shared" si="63"/>
        <v>2123082.3884954294</v>
      </c>
      <c r="BQ20" s="140">
        <f t="shared" si="63"/>
        <v>2186774.8601502925</v>
      </c>
      <c r="BR20" s="140">
        <f t="shared" si="63"/>
        <v>2252378.1059548012</v>
      </c>
      <c r="BS20" s="140">
        <f t="shared" si="63"/>
        <v>2319949.449133445</v>
      </c>
      <c r="BT20" s="140">
        <f t="shared" si="63"/>
        <v>2389547.9326074487</v>
      </c>
      <c r="BU20" s="140">
        <f t="shared" si="63"/>
        <v>2461234.3705856726</v>
      </c>
      <c r="BV20" s="140">
        <f t="shared" si="63"/>
        <v>2535071.4017032427</v>
      </c>
      <c r="BW20" s="140">
        <f t="shared" si="63"/>
        <v>2611123.5437543401</v>
      </c>
      <c r="BX20" s="140">
        <f t="shared" si="63"/>
        <v>2689457.2500669705</v>
      </c>
      <c r="BY20" s="140">
        <f t="shared" si="63"/>
        <v>2770140.9675689796</v>
      </c>
      <c r="BZ20" s="140">
        <f t="shared" si="63"/>
        <v>2853245.1965960492</v>
      </c>
      <c r="CA20" s="140">
        <f t="shared" si="63"/>
        <v>2938842.5524939303</v>
      </c>
      <c r="CB20" s="140">
        <f t="shared" si="63"/>
        <v>3027007.8290687483</v>
      </c>
      <c r="CC20" s="140">
        <f t="shared" si="63"/>
        <v>3117818.063940811</v>
      </c>
      <c r="CD20" s="140">
        <f t="shared" si="63"/>
        <v>3211352.6058590352</v>
      </c>
      <c r="CE20" s="140">
        <f t="shared" si="63"/>
        <v>3307693.1840348062</v>
      </c>
      <c r="CF20" s="140">
        <f t="shared" si="63"/>
        <v>3406923.9795558504</v>
      </c>
      <c r="CG20" s="140">
        <f t="shared" ref="CG20" si="67">CG18*CG8</f>
        <v>3509131.6989425262</v>
      </c>
      <c r="CH20" s="166"/>
      <c r="CI20" s="166"/>
      <c r="CJ20" s="166"/>
      <c r="CK20" s="166"/>
      <c r="CL20" s="166"/>
      <c r="CM20" s="166"/>
      <c r="CN20" s="166"/>
      <c r="CO20" s="166"/>
      <c r="CP20" s="166"/>
      <c r="CQ20" s="166"/>
      <c r="CR20" s="166"/>
      <c r="CS20" s="166"/>
      <c r="CT20" s="166"/>
      <c r="CU20" s="166"/>
      <c r="CV20" s="166"/>
      <c r="CW20" s="166"/>
      <c r="CX20" s="166"/>
      <c r="CY20" s="166"/>
      <c r="CZ20" s="166"/>
      <c r="DA20" s="166"/>
      <c r="DB20" s="166"/>
      <c r="DC20" s="166"/>
      <c r="DD20" s="166"/>
      <c r="DE20" s="166"/>
      <c r="DF20" s="166"/>
      <c r="DG20" s="166"/>
      <c r="DH20" s="166"/>
      <c r="DI20" s="166"/>
      <c r="DJ20" s="166"/>
      <c r="DK20" s="166"/>
      <c r="DL20" s="166"/>
      <c r="DM20" s="166"/>
      <c r="DN20" s="166"/>
      <c r="DO20" s="166"/>
      <c r="DP20" s="166"/>
      <c r="DQ20" s="166"/>
      <c r="DR20" s="166"/>
      <c r="DS20" s="166"/>
      <c r="DT20" s="166"/>
      <c r="DU20" s="166"/>
      <c r="DV20" s="166"/>
      <c r="DW20" s="166"/>
      <c r="DX20" s="166"/>
      <c r="DY20" s="166"/>
      <c r="DZ20" s="166"/>
      <c r="EA20" s="166"/>
      <c r="EB20" s="166"/>
      <c r="EC20" s="166"/>
      <c r="ED20" s="166"/>
      <c r="EE20" s="166"/>
      <c r="EF20" s="166"/>
      <c r="EG20" s="166"/>
      <c r="EH20" s="166"/>
      <c r="EI20" s="166"/>
      <c r="EJ20" s="166"/>
      <c r="EK20" s="166"/>
      <c r="EL20" s="166"/>
      <c r="EM20" s="166"/>
      <c r="EN20" s="166"/>
      <c r="EO20" s="166"/>
      <c r="EP20" s="166"/>
      <c r="EQ20" s="166"/>
    </row>
    <row r="21" spans="1:147" s="10" customFormat="1" ht="13.8" thickBot="1">
      <c r="B21" s="185" t="s">
        <v>722</v>
      </c>
      <c r="C21" s="138">
        <f>+C7</f>
        <v>40.35</v>
      </c>
      <c r="D21" s="9"/>
      <c r="F21" s="144" t="s">
        <v>8</v>
      </c>
      <c r="G21" s="145">
        <f ca="1">SUM(G18:G20)</f>
        <v>33625.75092905901</v>
      </c>
      <c r="H21" s="146">
        <f t="shared" ca="1" si="60"/>
        <v>11.270495555709299</v>
      </c>
      <c r="I21" s="189"/>
      <c r="J21" s="189"/>
      <c r="K21" s="189"/>
      <c r="L21" s="225"/>
      <c r="M21" s="225"/>
      <c r="N21" s="225"/>
      <c r="O21" s="225"/>
      <c r="P21" s="225"/>
      <c r="Q21" s="189"/>
      <c r="R21" s="10" t="s">
        <v>797</v>
      </c>
      <c r="S21" s="292"/>
      <c r="T21" s="131"/>
      <c r="U21" s="131"/>
      <c r="V21" s="166"/>
      <c r="W21" s="166"/>
      <c r="X21" s="166"/>
      <c r="Y21" s="166"/>
      <c r="Z21" s="166"/>
      <c r="AA21" s="140">
        <f>SUM(AA19:AA20)</f>
        <v>944115</v>
      </c>
      <c r="AB21" s="140">
        <f t="shared" ref="AB21:BM21" si="68">SUM(AB19:AB20)</f>
        <v>977217</v>
      </c>
      <c r="AC21" s="140">
        <f t="shared" si="68"/>
        <v>1010417</v>
      </c>
      <c r="AD21" s="140">
        <f t="shared" si="68"/>
        <v>1080118</v>
      </c>
      <c r="AE21" s="140">
        <f t="shared" ref="AE21:AH21" si="69">SUM(AE19:AE20)</f>
        <v>1152309</v>
      </c>
      <c r="AF21" s="140">
        <f t="shared" si="69"/>
        <v>1162740</v>
      </c>
      <c r="AG21" s="140">
        <f t="shared" si="69"/>
        <v>1259705</v>
      </c>
      <c r="AH21" s="1632">
        <f t="shared" si="69"/>
        <v>1319100</v>
      </c>
      <c r="AI21" s="140">
        <f t="shared" ref="AI21" si="70">SUM(AI19:AI20)</f>
        <v>1352212.0864839936</v>
      </c>
      <c r="AJ21" s="140">
        <f t="shared" ref="AJ21:AK21" si="71">SUM(AJ19:AJ20)</f>
        <v>1409586.7345671603</v>
      </c>
      <c r="AK21" s="140">
        <f t="shared" si="71"/>
        <v>1466217.0088292221</v>
      </c>
      <c r="AL21" s="140">
        <f t="shared" si="68"/>
        <v>1528493.4074866073</v>
      </c>
      <c r="AM21" s="140">
        <f t="shared" si="68"/>
        <v>1574348.2097112057</v>
      </c>
      <c r="AN21" s="140">
        <f t="shared" si="68"/>
        <v>1621578.6560025418</v>
      </c>
      <c r="AO21" s="140">
        <f t="shared" si="68"/>
        <v>1670226.0156826181</v>
      </c>
      <c r="AP21" s="140">
        <f t="shared" si="68"/>
        <v>1720332.7961530967</v>
      </c>
      <c r="AQ21" s="140">
        <f t="shared" ref="AQ21:AR21" si="72">SUM(AQ19:AQ20)</f>
        <v>1771942.7800376897</v>
      </c>
      <c r="AR21" s="140">
        <f t="shared" si="72"/>
        <v>1825101.0634388202</v>
      </c>
      <c r="AS21" s="140">
        <f t="shared" si="68"/>
        <v>1879854.0953419851</v>
      </c>
      <c r="AT21" s="140">
        <f t="shared" si="68"/>
        <v>1936249.7182022447</v>
      </c>
      <c r="AU21" s="140">
        <f t="shared" si="68"/>
        <v>1994337.2097483119</v>
      </c>
      <c r="AV21" s="140">
        <f t="shared" si="68"/>
        <v>2054167.3260407613</v>
      </c>
      <c r="AW21" s="140">
        <f t="shared" si="68"/>
        <v>2115792.3458219841</v>
      </c>
      <c r="AX21" s="140">
        <f t="shared" si="68"/>
        <v>2179266.1161966436</v>
      </c>
      <c r="AY21" s="140">
        <f t="shared" si="68"/>
        <v>2244644.0996825434</v>
      </c>
      <c r="AZ21" s="140">
        <f t="shared" si="68"/>
        <v>2311983.4226730196</v>
      </c>
      <c r="BA21" s="140">
        <f t="shared" si="68"/>
        <v>2381342.9253532104</v>
      </c>
      <c r="BB21" s="140">
        <f t="shared" si="68"/>
        <v>2452783.2131138067</v>
      </c>
      <c r="BC21" s="140">
        <f t="shared" si="68"/>
        <v>2526366.7095072214</v>
      </c>
      <c r="BD21" s="140">
        <f t="shared" si="68"/>
        <v>2602157.7107924377</v>
      </c>
      <c r="BE21" s="140">
        <f t="shared" si="68"/>
        <v>2680222.4421162112</v>
      </c>
      <c r="BF21" s="140">
        <f t="shared" si="68"/>
        <v>2760629.1153796976</v>
      </c>
      <c r="BG21" s="140">
        <f t="shared" si="68"/>
        <v>2843447.9888410885</v>
      </c>
      <c r="BH21" s="140">
        <f t="shared" si="68"/>
        <v>2928751.4285063208</v>
      </c>
      <c r="BI21" s="140">
        <f t="shared" si="68"/>
        <v>3016613.9713615105</v>
      </c>
      <c r="BJ21" s="140">
        <f t="shared" si="68"/>
        <v>3107112.390502356</v>
      </c>
      <c r="BK21" s="140">
        <f t="shared" si="68"/>
        <v>3200325.7622174267</v>
      </c>
      <c r="BL21" s="140">
        <f t="shared" si="68"/>
        <v>3296335.5350839496</v>
      </c>
      <c r="BM21" s="140">
        <f t="shared" si="68"/>
        <v>3395225.6011364684</v>
      </c>
      <c r="BN21" s="140">
        <f t="shared" ref="BN21:CF21" si="73">SUM(BN19:BN20)</f>
        <v>3497082.3691705624</v>
      </c>
      <c r="BO21" s="140">
        <f t="shared" si="73"/>
        <v>3601994.8402456795</v>
      </c>
      <c r="BP21" s="140">
        <f t="shared" si="73"/>
        <v>3710054.6854530498</v>
      </c>
      <c r="BQ21" s="140">
        <f t="shared" si="73"/>
        <v>3821356.3260166417</v>
      </c>
      <c r="BR21" s="140">
        <f t="shared" si="73"/>
        <v>3935997.015797141</v>
      </c>
      <c r="BS21" s="140">
        <f t="shared" si="73"/>
        <v>4054076.9262710554</v>
      </c>
      <c r="BT21" s="140">
        <f t="shared" si="73"/>
        <v>4175699.2340591871</v>
      </c>
      <c r="BU21" s="140">
        <f t="shared" si="73"/>
        <v>4300970.2110809628</v>
      </c>
      <c r="BV21" s="140">
        <f t="shared" si="73"/>
        <v>4429999.3174133915</v>
      </c>
      <c r="BW21" s="140">
        <f t="shared" si="73"/>
        <v>4562899.2969357939</v>
      </c>
      <c r="BX21" s="140">
        <f t="shared" si="73"/>
        <v>4699786.275843868</v>
      </c>
      <c r="BY21" s="140">
        <f t="shared" si="73"/>
        <v>4840779.8641191842</v>
      </c>
      <c r="BZ21" s="140">
        <f t="shared" si="73"/>
        <v>4986003.2600427605</v>
      </c>
      <c r="CA21" s="140">
        <f t="shared" si="73"/>
        <v>5135583.3578440417</v>
      </c>
      <c r="CB21" s="140">
        <f t="shared" si="73"/>
        <v>5289650.8585793637</v>
      </c>
      <c r="CC21" s="140">
        <f t="shared" si="73"/>
        <v>5448340.3843367454</v>
      </c>
      <c r="CD21" s="140">
        <f t="shared" si="73"/>
        <v>5611790.5958668469</v>
      </c>
      <c r="CE21" s="140">
        <f t="shared" si="73"/>
        <v>5780144.3137428518</v>
      </c>
      <c r="CF21" s="140">
        <f t="shared" si="73"/>
        <v>5953548.6431551389</v>
      </c>
      <c r="CG21" s="140">
        <f t="shared" ref="CG21" si="74">SUM(CG19:CG20)</f>
        <v>6132155.1024497934</v>
      </c>
      <c r="CH21" s="166"/>
      <c r="CI21" s="166"/>
      <c r="CJ21" s="166"/>
      <c r="CK21" s="166"/>
      <c r="CL21" s="166"/>
      <c r="CM21" s="166"/>
      <c r="CN21" s="166"/>
      <c r="CO21" s="166"/>
      <c r="CP21" s="166"/>
      <c r="CQ21" s="166"/>
      <c r="CR21" s="166"/>
      <c r="CS21" s="166"/>
      <c r="CT21" s="166"/>
      <c r="CU21" s="166"/>
      <c r="CV21" s="166"/>
      <c r="CW21" s="166"/>
      <c r="CX21" s="166"/>
      <c r="CY21" s="166"/>
      <c r="CZ21" s="166"/>
      <c r="DA21" s="166"/>
      <c r="DB21" s="166"/>
      <c r="DC21" s="166"/>
      <c r="DD21" s="166"/>
      <c r="DE21" s="166"/>
      <c r="DF21" s="166"/>
      <c r="DG21" s="166"/>
      <c r="DH21" s="166"/>
      <c r="DI21" s="166"/>
      <c r="DJ21" s="166"/>
      <c r="DK21" s="166"/>
      <c r="DL21" s="166"/>
      <c r="DM21" s="166"/>
      <c r="DN21" s="166"/>
      <c r="DO21" s="166"/>
      <c r="DP21" s="166"/>
      <c r="DQ21" s="166"/>
      <c r="DR21" s="166"/>
      <c r="DS21" s="166"/>
      <c r="DT21" s="166"/>
      <c r="DU21" s="166"/>
      <c r="DV21" s="166"/>
      <c r="DW21" s="166"/>
      <c r="DX21" s="166"/>
      <c r="DY21" s="166"/>
      <c r="DZ21" s="166"/>
      <c r="EA21" s="166"/>
      <c r="EB21" s="166"/>
      <c r="EC21" s="166"/>
      <c r="ED21" s="166"/>
      <c r="EE21" s="166"/>
      <c r="EF21" s="166"/>
      <c r="EG21" s="166"/>
      <c r="EH21" s="166"/>
      <c r="EI21" s="166"/>
      <c r="EJ21" s="166"/>
      <c r="EK21" s="166"/>
      <c r="EL21" s="166"/>
      <c r="EM21" s="166"/>
      <c r="EN21" s="166"/>
      <c r="EO21" s="166"/>
      <c r="EP21" s="166"/>
      <c r="EQ21" s="166"/>
    </row>
    <row r="22" spans="1:147" s="10" customFormat="1" ht="13.8" thickBot="1">
      <c r="B22" s="185" t="s">
        <v>762</v>
      </c>
      <c r="C22" s="190">
        <f ca="1">H12</f>
        <v>33.07440790217219</v>
      </c>
      <c r="F22" s="150" t="s">
        <v>288</v>
      </c>
      <c r="G22" s="151">
        <f ca="1">+G21+G17</f>
        <v>98988.75092905901</v>
      </c>
      <c r="H22" s="152">
        <f t="shared" ca="1" si="60"/>
        <v>33.178508928020392</v>
      </c>
      <c r="I22" s="142"/>
      <c r="J22" s="142"/>
      <c r="K22" s="142"/>
      <c r="L22" s="233"/>
      <c r="M22" s="233"/>
      <c r="N22" s="233"/>
      <c r="O22" s="233"/>
      <c r="P22" s="233"/>
      <c r="Q22" s="142"/>
      <c r="R22" s="924" t="s">
        <v>996</v>
      </c>
      <c r="S22" s="292"/>
      <c r="T22" s="131"/>
      <c r="U22" s="131"/>
      <c r="V22" s="166"/>
      <c r="W22" s="166"/>
      <c r="X22" s="166"/>
      <c r="Y22" s="166"/>
      <c r="Z22" s="166"/>
      <c r="AA22" s="166">
        <f>AA30/AA19</f>
        <v>0.25999729641616109</v>
      </c>
      <c r="AB22" s="166">
        <f t="shared" ref="AB22:AD23" si="75">AB30/AB19</f>
        <v>0.28277437597138738</v>
      </c>
      <c r="AC22" s="166">
        <f t="shared" si="75"/>
        <v>0.28151201664175668</v>
      </c>
      <c r="AD22" s="166">
        <f t="shared" si="75"/>
        <v>0.26985730982760298</v>
      </c>
      <c r="AE22" s="166">
        <f t="shared" ref="AE22:AH23" si="76">AE30/AE19</f>
        <v>0.27454168274797375</v>
      </c>
      <c r="AF22" s="166">
        <f t="shared" ref="AF22:AG22" si="77">AF30/AF19</f>
        <v>0.26525587452150484</v>
      </c>
      <c r="AG22" s="166">
        <f t="shared" si="77"/>
        <v>0.25855653721477151</v>
      </c>
      <c r="AH22" s="1635">
        <f t="shared" si="76"/>
        <v>0.2657518805220957</v>
      </c>
      <c r="AI22" s="166">
        <f t="shared" ref="AI22" si="78">AI30/AI19</f>
        <v>0.2657542638272441</v>
      </c>
      <c r="AJ22" s="166">
        <f t="shared" ref="AJ22:AK22" si="79">AJ30/AJ19</f>
        <v>0.26575683092487323</v>
      </c>
      <c r="AK22" s="166">
        <f t="shared" si="79"/>
        <v>0.26575937460013743</v>
      </c>
      <c r="AL22" s="1562">
        <f>AK22</f>
        <v>0.26575937460013743</v>
      </c>
      <c r="AM22" s="177">
        <f t="shared" ref="AM22:CG22" si="80">AL22</f>
        <v>0.26575937460013743</v>
      </c>
      <c r="AN22" s="177">
        <f t="shared" si="80"/>
        <v>0.26575937460013743</v>
      </c>
      <c r="AO22" s="177">
        <f t="shared" si="80"/>
        <v>0.26575937460013743</v>
      </c>
      <c r="AP22" s="177">
        <f t="shared" si="80"/>
        <v>0.26575937460013743</v>
      </c>
      <c r="AQ22" s="177">
        <f t="shared" si="80"/>
        <v>0.26575937460013743</v>
      </c>
      <c r="AR22" s="177">
        <f t="shared" si="80"/>
        <v>0.26575937460013743</v>
      </c>
      <c r="AS22" s="932">
        <f>AR22</f>
        <v>0.26575937460013743</v>
      </c>
      <c r="AT22" s="932">
        <f t="shared" si="80"/>
        <v>0.26575937460013743</v>
      </c>
      <c r="AU22" s="932">
        <f t="shared" si="80"/>
        <v>0.26575937460013743</v>
      </c>
      <c r="AV22" s="932">
        <f t="shared" si="80"/>
        <v>0.26575937460013743</v>
      </c>
      <c r="AW22" s="932">
        <f t="shared" si="80"/>
        <v>0.26575937460013743</v>
      </c>
      <c r="AX22" s="933">
        <f t="shared" si="80"/>
        <v>0.26575937460013743</v>
      </c>
      <c r="AY22" s="933">
        <f t="shared" si="80"/>
        <v>0.26575937460013743</v>
      </c>
      <c r="AZ22" s="933">
        <f t="shared" si="80"/>
        <v>0.26575937460013743</v>
      </c>
      <c r="BA22" s="933">
        <f t="shared" si="80"/>
        <v>0.26575937460013743</v>
      </c>
      <c r="BB22" s="933">
        <f t="shared" si="80"/>
        <v>0.26575937460013743</v>
      </c>
      <c r="BC22" s="933">
        <f t="shared" si="80"/>
        <v>0.26575937460013743</v>
      </c>
      <c r="BD22" s="933">
        <f t="shared" si="80"/>
        <v>0.26575937460013743</v>
      </c>
      <c r="BE22" s="933">
        <f t="shared" si="80"/>
        <v>0.26575937460013743</v>
      </c>
      <c r="BF22" s="933">
        <f t="shared" si="80"/>
        <v>0.26575937460013743</v>
      </c>
      <c r="BG22" s="933">
        <f t="shared" si="80"/>
        <v>0.26575937460013743</v>
      </c>
      <c r="BH22" s="933">
        <f t="shared" si="80"/>
        <v>0.26575937460013743</v>
      </c>
      <c r="BI22" s="933">
        <f t="shared" si="80"/>
        <v>0.26575937460013743</v>
      </c>
      <c r="BJ22" s="933">
        <f t="shared" si="80"/>
        <v>0.26575937460013743</v>
      </c>
      <c r="BK22" s="933">
        <f t="shared" si="80"/>
        <v>0.26575937460013743</v>
      </c>
      <c r="BL22" s="933">
        <f t="shared" si="80"/>
        <v>0.26575937460013743</v>
      </c>
      <c r="BM22" s="933">
        <f t="shared" si="80"/>
        <v>0.26575937460013743</v>
      </c>
      <c r="BN22" s="933">
        <f t="shared" si="80"/>
        <v>0.26575937460013743</v>
      </c>
      <c r="BO22" s="933">
        <f t="shared" si="80"/>
        <v>0.26575937460013743</v>
      </c>
      <c r="BP22" s="933">
        <f t="shared" si="80"/>
        <v>0.26575937460013743</v>
      </c>
      <c r="BQ22" s="933">
        <f t="shared" si="80"/>
        <v>0.26575937460013743</v>
      </c>
      <c r="BR22" s="933">
        <f t="shared" si="80"/>
        <v>0.26575937460013743</v>
      </c>
      <c r="BS22" s="933">
        <f t="shared" si="80"/>
        <v>0.26575937460013743</v>
      </c>
      <c r="BT22" s="933">
        <f t="shared" si="80"/>
        <v>0.26575937460013743</v>
      </c>
      <c r="BU22" s="933">
        <f t="shared" si="80"/>
        <v>0.26575937460013743</v>
      </c>
      <c r="BV22" s="933">
        <f t="shared" si="80"/>
        <v>0.26575937460013743</v>
      </c>
      <c r="BW22" s="933">
        <f t="shared" si="80"/>
        <v>0.26575937460013743</v>
      </c>
      <c r="BX22" s="933">
        <f t="shared" si="80"/>
        <v>0.26575937460013743</v>
      </c>
      <c r="BY22" s="933">
        <f t="shared" si="80"/>
        <v>0.26575937460013743</v>
      </c>
      <c r="BZ22" s="933">
        <f t="shared" si="80"/>
        <v>0.26575937460013743</v>
      </c>
      <c r="CA22" s="933">
        <f t="shared" si="80"/>
        <v>0.26575937460013743</v>
      </c>
      <c r="CB22" s="933">
        <f t="shared" si="80"/>
        <v>0.26575937460013743</v>
      </c>
      <c r="CC22" s="933">
        <f t="shared" si="80"/>
        <v>0.26575937460013743</v>
      </c>
      <c r="CD22" s="933">
        <f t="shared" si="80"/>
        <v>0.26575937460013743</v>
      </c>
      <c r="CE22" s="933">
        <f t="shared" si="80"/>
        <v>0.26575937460013743</v>
      </c>
      <c r="CF22" s="933">
        <f t="shared" si="80"/>
        <v>0.26575937460013743</v>
      </c>
      <c r="CG22" s="933">
        <f t="shared" si="80"/>
        <v>0.26575937460013743</v>
      </c>
      <c r="CH22" s="178"/>
      <c r="CI22" s="178"/>
      <c r="CJ22" s="178"/>
      <c r="CK22" s="178"/>
      <c r="CL22" s="178"/>
      <c r="CM22" s="178"/>
      <c r="CN22" s="178"/>
      <c r="CO22" s="178"/>
      <c r="CP22" s="178"/>
      <c r="CQ22" s="178"/>
      <c r="CR22" s="178"/>
      <c r="CS22" s="178"/>
      <c r="CT22" s="178"/>
      <c r="CU22" s="178"/>
      <c r="CV22" s="178"/>
      <c r="CW22" s="178"/>
      <c r="CX22" s="178"/>
      <c r="CY22" s="178"/>
      <c r="CZ22" s="178"/>
      <c r="DA22" s="178"/>
      <c r="DB22" s="178"/>
      <c r="DC22" s="178"/>
      <c r="DD22" s="178"/>
      <c r="DE22" s="178"/>
      <c r="DF22" s="178"/>
      <c r="DG22" s="178"/>
      <c r="DH22" s="178"/>
      <c r="DI22" s="178"/>
      <c r="DJ22" s="178"/>
      <c r="DK22" s="178"/>
      <c r="DL22" s="178"/>
      <c r="DM22" s="178"/>
      <c r="DN22" s="178"/>
      <c r="DO22" s="178"/>
      <c r="DP22" s="178"/>
      <c r="DQ22" s="178"/>
      <c r="DR22" s="178"/>
      <c r="DS22" s="178"/>
      <c r="DT22" s="178"/>
      <c r="DU22" s="178"/>
      <c r="DV22" s="178"/>
      <c r="DW22" s="178"/>
      <c r="DX22" s="178"/>
      <c r="DY22" s="178"/>
      <c r="DZ22" s="178"/>
      <c r="EA22" s="178"/>
      <c r="EB22" s="178"/>
      <c r="EC22" s="178"/>
      <c r="ED22" s="178"/>
      <c r="EE22" s="178"/>
      <c r="EF22" s="178"/>
      <c r="EG22" s="178"/>
      <c r="EH22" s="178"/>
      <c r="EI22" s="178"/>
      <c r="EJ22" s="178"/>
      <c r="EK22" s="178"/>
      <c r="EL22" s="178"/>
      <c r="EM22" s="178"/>
      <c r="EN22" s="178"/>
      <c r="EO22" s="178"/>
      <c r="EP22" s="178"/>
      <c r="EQ22" s="178"/>
    </row>
    <row r="23" spans="1:147" s="264" customFormat="1" ht="13.8" thickBot="1">
      <c r="A23" s="10"/>
      <c r="B23" s="193" t="s">
        <v>763</v>
      </c>
      <c r="C23" s="194">
        <f ca="1">H13</f>
        <v>34.165732573856829</v>
      </c>
      <c r="D23" s="10"/>
      <c r="E23" s="10"/>
      <c r="F23" s="129" t="s">
        <v>259</v>
      </c>
      <c r="G23" s="136">
        <v>0</v>
      </c>
      <c r="H23" s="130">
        <f t="shared" si="60"/>
        <v>0</v>
      </c>
      <c r="I23" s="198"/>
      <c r="J23" s="198"/>
      <c r="K23" s="198"/>
      <c r="L23" s="262"/>
      <c r="M23" s="262"/>
      <c r="N23" s="262"/>
      <c r="O23" s="262"/>
      <c r="P23" s="262"/>
      <c r="Q23" s="198"/>
      <c r="R23" s="924" t="s">
        <v>997</v>
      </c>
      <c r="S23" s="292"/>
      <c r="T23" s="131"/>
      <c r="U23" s="131"/>
      <c r="V23" s="166"/>
      <c r="W23" s="166"/>
      <c r="X23" s="166"/>
      <c r="Y23" s="166"/>
      <c r="Z23" s="166"/>
      <c r="AA23" s="166">
        <f>AA31/AA20</f>
        <v>0.51642444578521551</v>
      </c>
      <c r="AB23" s="166">
        <f t="shared" si="75"/>
        <v>0.3953920808225444</v>
      </c>
      <c r="AC23" s="166">
        <f t="shared" si="75"/>
        <v>0.38088947172438359</v>
      </c>
      <c r="AD23" s="166">
        <f t="shared" si="75"/>
        <v>0.33213680729208678</v>
      </c>
      <c r="AE23" s="166">
        <f t="shared" si="76"/>
        <v>0.31916410594931338</v>
      </c>
      <c r="AF23" s="166">
        <f t="shared" ref="AF23:AG23" si="81">AF31/AF20</f>
        <v>0.31349629929362693</v>
      </c>
      <c r="AG23" s="166">
        <f t="shared" si="81"/>
        <v>0.29881829457920506</v>
      </c>
      <c r="AH23" s="1635">
        <f t="shared" si="76"/>
        <v>0.2651612250404749</v>
      </c>
      <c r="AI23" s="166">
        <f t="shared" ref="AI23" si="82">AI31/AI20</f>
        <v>0.2651612250404749</v>
      </c>
      <c r="AJ23" s="166">
        <f t="shared" ref="AJ23:AK23" si="83">AJ31/AJ20</f>
        <v>0.2651612250404749</v>
      </c>
      <c r="AK23" s="166">
        <f t="shared" si="83"/>
        <v>0.2651612250404749</v>
      </c>
      <c r="AL23" s="1562">
        <f>AK23</f>
        <v>0.2651612250404749</v>
      </c>
      <c r="AM23" s="177">
        <f t="shared" ref="AM23:CG23" si="84">AL23</f>
        <v>0.2651612250404749</v>
      </c>
      <c r="AN23" s="177">
        <f t="shared" si="84"/>
        <v>0.2651612250404749</v>
      </c>
      <c r="AO23" s="177">
        <f t="shared" si="84"/>
        <v>0.2651612250404749</v>
      </c>
      <c r="AP23" s="177">
        <f t="shared" si="84"/>
        <v>0.2651612250404749</v>
      </c>
      <c r="AQ23" s="177">
        <f t="shared" si="84"/>
        <v>0.2651612250404749</v>
      </c>
      <c r="AR23" s="177">
        <f t="shared" si="84"/>
        <v>0.2651612250404749</v>
      </c>
      <c r="AS23" s="932">
        <f>AR23</f>
        <v>0.2651612250404749</v>
      </c>
      <c r="AT23" s="932">
        <f t="shared" si="84"/>
        <v>0.2651612250404749</v>
      </c>
      <c r="AU23" s="932">
        <f t="shared" si="84"/>
        <v>0.2651612250404749</v>
      </c>
      <c r="AV23" s="932">
        <f t="shared" si="84"/>
        <v>0.2651612250404749</v>
      </c>
      <c r="AW23" s="932">
        <f t="shared" si="84"/>
        <v>0.2651612250404749</v>
      </c>
      <c r="AX23" s="933">
        <f t="shared" si="84"/>
        <v>0.2651612250404749</v>
      </c>
      <c r="AY23" s="933">
        <f t="shared" si="84"/>
        <v>0.2651612250404749</v>
      </c>
      <c r="AZ23" s="933">
        <f t="shared" si="84"/>
        <v>0.2651612250404749</v>
      </c>
      <c r="BA23" s="933">
        <f t="shared" si="84"/>
        <v>0.2651612250404749</v>
      </c>
      <c r="BB23" s="933">
        <f t="shared" si="84"/>
        <v>0.2651612250404749</v>
      </c>
      <c r="BC23" s="933">
        <f t="shared" si="84"/>
        <v>0.2651612250404749</v>
      </c>
      <c r="BD23" s="933">
        <f t="shared" si="84"/>
        <v>0.2651612250404749</v>
      </c>
      <c r="BE23" s="933">
        <f t="shared" si="84"/>
        <v>0.2651612250404749</v>
      </c>
      <c r="BF23" s="933">
        <f t="shared" si="84"/>
        <v>0.2651612250404749</v>
      </c>
      <c r="BG23" s="933">
        <f t="shared" si="84"/>
        <v>0.2651612250404749</v>
      </c>
      <c r="BH23" s="933">
        <f t="shared" si="84"/>
        <v>0.2651612250404749</v>
      </c>
      <c r="BI23" s="933">
        <f t="shared" si="84"/>
        <v>0.2651612250404749</v>
      </c>
      <c r="BJ23" s="933">
        <f t="shared" si="84"/>
        <v>0.2651612250404749</v>
      </c>
      <c r="BK23" s="933">
        <f t="shared" si="84"/>
        <v>0.2651612250404749</v>
      </c>
      <c r="BL23" s="933">
        <f t="shared" si="84"/>
        <v>0.2651612250404749</v>
      </c>
      <c r="BM23" s="933">
        <f t="shared" si="84"/>
        <v>0.2651612250404749</v>
      </c>
      <c r="BN23" s="933">
        <f t="shared" si="84"/>
        <v>0.2651612250404749</v>
      </c>
      <c r="BO23" s="933">
        <f t="shared" si="84"/>
        <v>0.2651612250404749</v>
      </c>
      <c r="BP23" s="933">
        <f t="shared" si="84"/>
        <v>0.2651612250404749</v>
      </c>
      <c r="BQ23" s="933">
        <f t="shared" si="84"/>
        <v>0.2651612250404749</v>
      </c>
      <c r="BR23" s="933">
        <f t="shared" si="84"/>
        <v>0.2651612250404749</v>
      </c>
      <c r="BS23" s="933">
        <f t="shared" si="84"/>
        <v>0.2651612250404749</v>
      </c>
      <c r="BT23" s="933">
        <f t="shared" si="84"/>
        <v>0.2651612250404749</v>
      </c>
      <c r="BU23" s="933">
        <f t="shared" si="84"/>
        <v>0.2651612250404749</v>
      </c>
      <c r="BV23" s="933">
        <f t="shared" si="84"/>
        <v>0.2651612250404749</v>
      </c>
      <c r="BW23" s="933">
        <f t="shared" si="84"/>
        <v>0.2651612250404749</v>
      </c>
      <c r="BX23" s="933">
        <f t="shared" si="84"/>
        <v>0.2651612250404749</v>
      </c>
      <c r="BY23" s="933">
        <f t="shared" si="84"/>
        <v>0.2651612250404749</v>
      </c>
      <c r="BZ23" s="933">
        <f t="shared" si="84"/>
        <v>0.2651612250404749</v>
      </c>
      <c r="CA23" s="933">
        <f t="shared" si="84"/>
        <v>0.2651612250404749</v>
      </c>
      <c r="CB23" s="933">
        <f t="shared" si="84"/>
        <v>0.2651612250404749</v>
      </c>
      <c r="CC23" s="933">
        <f t="shared" si="84"/>
        <v>0.2651612250404749</v>
      </c>
      <c r="CD23" s="933">
        <f t="shared" si="84"/>
        <v>0.2651612250404749</v>
      </c>
      <c r="CE23" s="933">
        <f t="shared" si="84"/>
        <v>0.2651612250404749</v>
      </c>
      <c r="CF23" s="933">
        <f t="shared" si="84"/>
        <v>0.2651612250404749</v>
      </c>
      <c r="CG23" s="933">
        <f t="shared" si="84"/>
        <v>0.2651612250404749</v>
      </c>
      <c r="CH23" s="178"/>
      <c r="CI23" s="178"/>
      <c r="CJ23" s="178"/>
      <c r="CK23" s="178"/>
      <c r="CL23" s="178"/>
      <c r="CM23" s="178"/>
      <c r="CN23" s="178"/>
      <c r="CO23" s="178"/>
      <c r="CP23" s="178"/>
      <c r="CQ23" s="178"/>
      <c r="CR23" s="178"/>
      <c r="CS23" s="178"/>
      <c r="CT23" s="178"/>
      <c r="CU23" s="178"/>
      <c r="CV23" s="178"/>
      <c r="CW23" s="178"/>
      <c r="CX23" s="178"/>
      <c r="CY23" s="178"/>
      <c r="CZ23" s="178"/>
      <c r="DA23" s="178"/>
      <c r="DB23" s="178"/>
      <c r="DC23" s="178"/>
      <c r="DD23" s="178"/>
      <c r="DE23" s="178"/>
      <c r="DF23" s="178"/>
      <c r="DG23" s="178"/>
      <c r="DH23" s="178"/>
      <c r="DI23" s="178"/>
      <c r="DJ23" s="178"/>
      <c r="DK23" s="178"/>
      <c r="DL23" s="178"/>
      <c r="DM23" s="178"/>
      <c r="DN23" s="178"/>
      <c r="DO23" s="178"/>
      <c r="DP23" s="178"/>
      <c r="DQ23" s="178"/>
      <c r="DR23" s="178"/>
      <c r="DS23" s="178"/>
      <c r="DT23" s="178"/>
      <c r="DU23" s="178"/>
      <c r="DV23" s="178"/>
      <c r="DW23" s="178"/>
      <c r="DX23" s="178"/>
      <c r="DY23" s="178"/>
      <c r="DZ23" s="178"/>
      <c r="EA23" s="178"/>
      <c r="EB23" s="178"/>
      <c r="EC23" s="178"/>
      <c r="ED23" s="178"/>
      <c r="EE23" s="178"/>
      <c r="EF23" s="178"/>
      <c r="EG23" s="178"/>
      <c r="EH23" s="178"/>
      <c r="EI23" s="178"/>
      <c r="EJ23" s="178"/>
      <c r="EK23" s="178"/>
      <c r="EL23" s="178"/>
      <c r="EM23" s="178"/>
      <c r="EN23" s="178"/>
      <c r="EO23" s="178"/>
      <c r="EP23" s="178"/>
      <c r="EQ23" s="178"/>
    </row>
    <row r="24" spans="1:147" s="10" customFormat="1" ht="13.8" thickBot="1">
      <c r="B24" s="6"/>
      <c r="C24" s="148"/>
      <c r="F24" s="159" t="s">
        <v>261</v>
      </c>
      <c r="G24" s="160">
        <f ca="1">+G23+G22</f>
        <v>98988.75092905901</v>
      </c>
      <c r="H24" s="161">
        <f t="shared" ca="1" si="60"/>
        <v>33.178508928020392</v>
      </c>
      <c r="L24" s="111"/>
      <c r="M24" s="111"/>
      <c r="N24" s="111"/>
      <c r="O24" s="111"/>
      <c r="P24" s="111"/>
      <c r="R24" s="924" t="s">
        <v>998</v>
      </c>
      <c r="S24" s="292"/>
      <c r="T24" s="131"/>
      <c r="U24" s="131"/>
      <c r="V24" s="166"/>
      <c r="W24" s="166"/>
      <c r="X24" s="166"/>
      <c r="Y24" s="166"/>
      <c r="Z24" s="166"/>
      <c r="AA24" s="166">
        <f t="shared" ref="AA24:AE24" si="85">AA33/AA21</f>
        <v>1.2805643380308544E-2</v>
      </c>
      <c r="AB24" s="166">
        <f t="shared" si="85"/>
        <v>1.4143225097393925E-2</v>
      </c>
      <c r="AC24" s="166">
        <f t="shared" si="85"/>
        <v>1.406350051513385E-2</v>
      </c>
      <c r="AD24" s="166">
        <f t="shared" si="85"/>
        <v>8.6360934638622811E-3</v>
      </c>
      <c r="AE24" s="166">
        <f t="shared" si="85"/>
        <v>8.8214185604729295E-3</v>
      </c>
      <c r="AF24" s="166">
        <f t="shared" ref="AF24:AG24" si="86">AF33/AF21</f>
        <v>5.4999397973751656E-3</v>
      </c>
      <c r="AG24" s="166">
        <f t="shared" si="86"/>
        <v>5.0003770724098102E-3</v>
      </c>
      <c r="AH24" s="1635">
        <f t="shared" ref="AH24" si="87">AH33/AH21</f>
        <v>1.4771435069365476E-2</v>
      </c>
      <c r="AI24" s="166">
        <f t="shared" ref="AI24" ca="1" si="88">AI33/AI21</f>
        <v>1.4819113150893955E-2</v>
      </c>
      <c r="AJ24" s="166">
        <f t="shared" ref="AJ24:AK24" ca="1" si="89">AJ33/AJ21</f>
        <v>1.4882607796050318E-2</v>
      </c>
      <c r="AK24" s="166">
        <f t="shared" ca="1" si="89"/>
        <v>1.4908871388610479E-2</v>
      </c>
      <c r="AL24" s="177">
        <f t="shared" ref="AL24:CG24" ca="1" si="90">AK24</f>
        <v>1.4908871388610479E-2</v>
      </c>
      <c r="AM24" s="177">
        <f t="shared" ca="1" si="90"/>
        <v>1.4908871388610479E-2</v>
      </c>
      <c r="AN24" s="177">
        <f t="shared" ca="1" si="90"/>
        <v>1.4908871388610479E-2</v>
      </c>
      <c r="AO24" s="177">
        <f t="shared" ca="1" si="90"/>
        <v>1.4908871388610479E-2</v>
      </c>
      <c r="AP24" s="177">
        <f t="shared" ca="1" si="90"/>
        <v>1.4908871388610479E-2</v>
      </c>
      <c r="AQ24" s="177">
        <f t="shared" ca="1" si="90"/>
        <v>1.4908871388610479E-2</v>
      </c>
      <c r="AR24" s="177">
        <f t="shared" ca="1" si="90"/>
        <v>1.4908871388610479E-2</v>
      </c>
      <c r="AS24" s="932">
        <f ca="1">AR24</f>
        <v>1.4908871388610479E-2</v>
      </c>
      <c r="AT24" s="932">
        <f t="shared" ca="1" si="90"/>
        <v>1.4908871388610479E-2</v>
      </c>
      <c r="AU24" s="932">
        <f t="shared" ca="1" si="90"/>
        <v>1.4908871388610479E-2</v>
      </c>
      <c r="AV24" s="932">
        <f t="shared" ca="1" si="90"/>
        <v>1.4908871388610479E-2</v>
      </c>
      <c r="AW24" s="932">
        <f t="shared" ca="1" si="90"/>
        <v>1.4908871388610479E-2</v>
      </c>
      <c r="AX24" s="933">
        <f t="shared" ca="1" si="90"/>
        <v>1.4908871388610479E-2</v>
      </c>
      <c r="AY24" s="933">
        <f t="shared" ca="1" si="90"/>
        <v>1.4908871388610479E-2</v>
      </c>
      <c r="AZ24" s="933">
        <f t="shared" ca="1" si="90"/>
        <v>1.4908871388610479E-2</v>
      </c>
      <c r="BA24" s="933">
        <f t="shared" ca="1" si="90"/>
        <v>1.4908871388610479E-2</v>
      </c>
      <c r="BB24" s="933">
        <f t="shared" ca="1" si="90"/>
        <v>1.4908871388610479E-2</v>
      </c>
      <c r="BC24" s="933">
        <f t="shared" ca="1" si="90"/>
        <v>1.4908871388610479E-2</v>
      </c>
      <c r="BD24" s="933">
        <f t="shared" ca="1" si="90"/>
        <v>1.4908871388610479E-2</v>
      </c>
      <c r="BE24" s="933">
        <f t="shared" ca="1" si="90"/>
        <v>1.4908871388610479E-2</v>
      </c>
      <c r="BF24" s="933">
        <f t="shared" ca="1" si="90"/>
        <v>1.4908871388610479E-2</v>
      </c>
      <c r="BG24" s="933">
        <f t="shared" ca="1" si="90"/>
        <v>1.4908871388610479E-2</v>
      </c>
      <c r="BH24" s="933">
        <f t="shared" ca="1" si="90"/>
        <v>1.4908871388610479E-2</v>
      </c>
      <c r="BI24" s="933">
        <f t="shared" ca="1" si="90"/>
        <v>1.4908871388610479E-2</v>
      </c>
      <c r="BJ24" s="933">
        <f t="shared" ca="1" si="90"/>
        <v>1.4908871388610479E-2</v>
      </c>
      <c r="BK24" s="933">
        <f t="shared" ca="1" si="90"/>
        <v>1.4908871388610479E-2</v>
      </c>
      <c r="BL24" s="933">
        <f t="shared" ca="1" si="90"/>
        <v>1.4908871388610479E-2</v>
      </c>
      <c r="BM24" s="933">
        <f t="shared" ca="1" si="90"/>
        <v>1.4908871388610479E-2</v>
      </c>
      <c r="BN24" s="933">
        <f t="shared" ca="1" si="90"/>
        <v>1.4908871388610479E-2</v>
      </c>
      <c r="BO24" s="933">
        <f t="shared" ca="1" si="90"/>
        <v>1.4908871388610479E-2</v>
      </c>
      <c r="BP24" s="933">
        <f t="shared" ca="1" si="90"/>
        <v>1.4908871388610479E-2</v>
      </c>
      <c r="BQ24" s="933">
        <f t="shared" ca="1" si="90"/>
        <v>1.4908871388610479E-2</v>
      </c>
      <c r="BR24" s="933">
        <f t="shared" ca="1" si="90"/>
        <v>1.4908871388610479E-2</v>
      </c>
      <c r="BS24" s="933">
        <f t="shared" ca="1" si="90"/>
        <v>1.4908871388610479E-2</v>
      </c>
      <c r="BT24" s="933">
        <f t="shared" ca="1" si="90"/>
        <v>1.4908871388610479E-2</v>
      </c>
      <c r="BU24" s="933">
        <f t="shared" ca="1" si="90"/>
        <v>1.4908871388610479E-2</v>
      </c>
      <c r="BV24" s="933">
        <f t="shared" ca="1" si="90"/>
        <v>1.4908871388610479E-2</v>
      </c>
      <c r="BW24" s="933">
        <f t="shared" ca="1" si="90"/>
        <v>1.4908871388610479E-2</v>
      </c>
      <c r="BX24" s="933">
        <f t="shared" ca="1" si="90"/>
        <v>1.4908871388610479E-2</v>
      </c>
      <c r="BY24" s="933">
        <f t="shared" ca="1" si="90"/>
        <v>1.4908871388610479E-2</v>
      </c>
      <c r="BZ24" s="933">
        <f t="shared" ca="1" si="90"/>
        <v>1.4908871388610479E-2</v>
      </c>
      <c r="CA24" s="933">
        <f t="shared" ca="1" si="90"/>
        <v>1.4908871388610479E-2</v>
      </c>
      <c r="CB24" s="933">
        <f t="shared" ca="1" si="90"/>
        <v>1.4908871388610479E-2</v>
      </c>
      <c r="CC24" s="933">
        <f t="shared" ca="1" si="90"/>
        <v>1.4908871388610479E-2</v>
      </c>
      <c r="CD24" s="933">
        <f t="shared" ca="1" si="90"/>
        <v>1.4908871388610479E-2</v>
      </c>
      <c r="CE24" s="933">
        <f t="shared" ca="1" si="90"/>
        <v>1.4908871388610479E-2</v>
      </c>
      <c r="CF24" s="933">
        <f t="shared" ca="1" si="90"/>
        <v>1.4908871388610479E-2</v>
      </c>
      <c r="CG24" s="933">
        <f t="shared" ca="1" si="90"/>
        <v>1.4908871388610479E-2</v>
      </c>
      <c r="CH24" s="166"/>
      <c r="CI24" s="166"/>
      <c r="CJ24" s="166"/>
      <c r="CK24" s="166"/>
      <c r="CL24" s="166"/>
      <c r="CM24" s="166"/>
      <c r="CN24" s="166"/>
      <c r="CO24" s="166"/>
      <c r="CP24" s="166"/>
      <c r="CQ24" s="166"/>
      <c r="CR24" s="166"/>
      <c r="CS24" s="166"/>
      <c r="CT24" s="166"/>
      <c r="CU24" s="166"/>
      <c r="CV24" s="166"/>
      <c r="CW24" s="166"/>
      <c r="CX24" s="166"/>
      <c r="CY24" s="166"/>
      <c r="CZ24" s="166"/>
      <c r="DA24" s="166"/>
      <c r="DB24" s="166"/>
      <c r="DC24" s="166"/>
      <c r="DD24" s="166"/>
      <c r="DE24" s="166"/>
      <c r="DF24" s="166"/>
      <c r="DG24" s="166"/>
      <c r="DH24" s="166"/>
      <c r="DI24" s="166"/>
      <c r="DJ24" s="166"/>
      <c r="DK24" s="166"/>
      <c r="DL24" s="166"/>
      <c r="DM24" s="166"/>
      <c r="DN24" s="166"/>
      <c r="DO24" s="166"/>
      <c r="DP24" s="166"/>
      <c r="DQ24" s="166"/>
      <c r="DR24" s="166"/>
      <c r="DS24" s="166"/>
      <c r="DT24" s="166"/>
      <c r="DU24" s="166"/>
      <c r="DV24" s="166"/>
      <c r="DW24" s="166"/>
      <c r="DX24" s="166"/>
      <c r="DY24" s="166"/>
      <c r="DZ24" s="166"/>
      <c r="EA24" s="166"/>
      <c r="EB24" s="166"/>
      <c r="EC24" s="166"/>
      <c r="ED24" s="166"/>
      <c r="EE24" s="166"/>
      <c r="EF24" s="166"/>
      <c r="EG24" s="166"/>
      <c r="EH24" s="166"/>
      <c r="EI24" s="166"/>
      <c r="EJ24" s="166"/>
      <c r="EK24" s="166"/>
      <c r="EL24" s="166"/>
      <c r="EM24" s="166"/>
      <c r="EN24" s="166"/>
      <c r="EO24" s="166"/>
      <c r="EP24" s="166"/>
      <c r="EQ24" s="166"/>
    </row>
    <row r="25" spans="1:147" s="10" customFormat="1">
      <c r="B25" s="6" t="s">
        <v>750</v>
      </c>
      <c r="C25" s="201"/>
      <c r="D25" s="9"/>
      <c r="F25" s="163" t="s">
        <v>158</v>
      </c>
      <c r="G25" s="164"/>
      <c r="H25" s="165">
        <f ca="1">H24*(1+$C$15/100)-$C$6</f>
        <v>34.278682186902124</v>
      </c>
      <c r="I25" s="173"/>
      <c r="J25" s="173"/>
      <c r="K25" s="173"/>
      <c r="L25" s="124"/>
      <c r="M25" s="124"/>
      <c r="N25" s="124"/>
      <c r="O25" s="124"/>
      <c r="P25" s="124"/>
      <c r="Q25" s="173"/>
      <c r="R25" s="924" t="s">
        <v>999</v>
      </c>
      <c r="S25" s="292"/>
      <c r="T25" s="131"/>
      <c r="U25" s="131"/>
      <c r="V25" s="166"/>
      <c r="W25" s="166"/>
      <c r="X25" s="166"/>
      <c r="Y25" s="166"/>
      <c r="Z25" s="166"/>
      <c r="AA25" s="166">
        <f>AA34/AA21</f>
        <v>0.35756237322783774</v>
      </c>
      <c r="AB25" s="166">
        <f>AB34/AB21</f>
        <v>0.3664549429655849</v>
      </c>
      <c r="AC25" s="166">
        <f t="shared" ref="AC25:CE25" si="91">AC34/AC21</f>
        <v>0.35632516079994697</v>
      </c>
      <c r="AD25" s="166">
        <f t="shared" si="91"/>
        <v>0.3170931324170137</v>
      </c>
      <c r="AE25" s="166">
        <f t="shared" ref="AE25:AH25" si="92">AE34/AE21</f>
        <v>0.31193195575145211</v>
      </c>
      <c r="AF25" s="166">
        <f t="shared" si="92"/>
        <v>0.30018834821198204</v>
      </c>
      <c r="AG25" s="166">
        <f t="shared" si="92"/>
        <v>0.28672189123644026</v>
      </c>
      <c r="AH25" s="1635">
        <f t="shared" si="92"/>
        <v>0.28017815177014632</v>
      </c>
      <c r="AI25" s="166">
        <f t="shared" ref="AI25" ca="1" si="93">AI34/AI21</f>
        <v>0.28022959827039839</v>
      </c>
      <c r="AJ25" s="166">
        <f t="shared" ref="AJ25:AK25" ca="1" si="94">AJ34/AJ21</f>
        <v>0.28029762991603996</v>
      </c>
      <c r="AK25" s="166">
        <f t="shared" ca="1" si="94"/>
        <v>0.28032656302014558</v>
      </c>
      <c r="AL25" s="166">
        <f t="shared" ca="1" si="91"/>
        <v>0.28032595432367219</v>
      </c>
      <c r="AM25" s="166">
        <f t="shared" ca="1" si="91"/>
        <v>0.28032595432367213</v>
      </c>
      <c r="AN25" s="166">
        <f t="shared" ca="1" si="91"/>
        <v>0.28032595432367213</v>
      </c>
      <c r="AO25" s="166">
        <f t="shared" ca="1" si="91"/>
        <v>0.28032595432367219</v>
      </c>
      <c r="AP25" s="166">
        <f t="shared" ca="1" si="91"/>
        <v>0.28032595432367213</v>
      </c>
      <c r="AQ25" s="166">
        <f t="shared" ref="AQ25:AR25" ca="1" si="95">AQ34/AQ21</f>
        <v>0.28032595432367213</v>
      </c>
      <c r="AR25" s="166">
        <f t="shared" ca="1" si="95"/>
        <v>0.28032595432367219</v>
      </c>
      <c r="AS25" s="934">
        <f t="shared" ca="1" si="91"/>
        <v>0.28032595432367219</v>
      </c>
      <c r="AT25" s="934">
        <f t="shared" ca="1" si="91"/>
        <v>0.28032595432367213</v>
      </c>
      <c r="AU25" s="934">
        <f t="shared" ca="1" si="91"/>
        <v>0.28032595432367213</v>
      </c>
      <c r="AV25" s="934">
        <f t="shared" ca="1" si="91"/>
        <v>0.28032595432367213</v>
      </c>
      <c r="AW25" s="934">
        <f t="shared" ca="1" si="91"/>
        <v>0.28032595432367224</v>
      </c>
      <c r="AX25" s="934">
        <f t="shared" ca="1" si="91"/>
        <v>0.28032595432367219</v>
      </c>
      <c r="AY25" s="934">
        <f t="shared" ca="1" si="91"/>
        <v>0.28032595432367213</v>
      </c>
      <c r="AZ25" s="934">
        <f t="shared" ca="1" si="91"/>
        <v>0.28032595432367219</v>
      </c>
      <c r="BA25" s="934">
        <f t="shared" ca="1" si="91"/>
        <v>0.28032595432367213</v>
      </c>
      <c r="BB25" s="934">
        <f t="shared" ca="1" si="91"/>
        <v>0.28032595432367219</v>
      </c>
      <c r="BC25" s="934">
        <f t="shared" ca="1" si="91"/>
        <v>0.28032595432367213</v>
      </c>
      <c r="BD25" s="934">
        <f t="shared" ca="1" si="91"/>
        <v>0.28032595432367213</v>
      </c>
      <c r="BE25" s="934">
        <f t="shared" ca="1" si="91"/>
        <v>0.28032595432367219</v>
      </c>
      <c r="BF25" s="934">
        <f t="shared" ca="1" si="91"/>
        <v>0.28032595432367219</v>
      </c>
      <c r="BG25" s="934">
        <f t="shared" ca="1" si="91"/>
        <v>0.28032595432367213</v>
      </c>
      <c r="BH25" s="934">
        <f t="shared" ca="1" si="91"/>
        <v>0.28032595432367219</v>
      </c>
      <c r="BI25" s="934">
        <f t="shared" ca="1" si="91"/>
        <v>0.28032595432367219</v>
      </c>
      <c r="BJ25" s="934">
        <f t="shared" ca="1" si="91"/>
        <v>0.28032595432367213</v>
      </c>
      <c r="BK25" s="934">
        <f t="shared" ca="1" si="91"/>
        <v>0.28032595432367213</v>
      </c>
      <c r="BL25" s="934">
        <f t="shared" ca="1" si="91"/>
        <v>0.28032595432367219</v>
      </c>
      <c r="BM25" s="934">
        <f t="shared" ca="1" si="91"/>
        <v>0.28032595432367213</v>
      </c>
      <c r="BN25" s="934">
        <f t="shared" ca="1" si="91"/>
        <v>0.28032595432367219</v>
      </c>
      <c r="BO25" s="934">
        <f t="shared" ca="1" si="91"/>
        <v>0.28032595432367219</v>
      </c>
      <c r="BP25" s="934">
        <f t="shared" ca="1" si="91"/>
        <v>0.28032595432367213</v>
      </c>
      <c r="BQ25" s="934">
        <f t="shared" ca="1" si="91"/>
        <v>0.28032595432367213</v>
      </c>
      <c r="BR25" s="934">
        <f t="shared" ca="1" si="91"/>
        <v>0.28032595432367219</v>
      </c>
      <c r="BS25" s="934">
        <f t="shared" ca="1" si="91"/>
        <v>0.28032595432367213</v>
      </c>
      <c r="BT25" s="934">
        <f t="shared" ca="1" si="91"/>
        <v>0.28032595432367219</v>
      </c>
      <c r="BU25" s="934">
        <f t="shared" ca="1" si="91"/>
        <v>0.28032595432367224</v>
      </c>
      <c r="BV25" s="934">
        <f t="shared" ca="1" si="91"/>
        <v>0.28032595432367219</v>
      </c>
      <c r="BW25" s="934">
        <f t="shared" ca="1" si="91"/>
        <v>0.28032595432367219</v>
      </c>
      <c r="BX25" s="934">
        <f t="shared" ca="1" si="91"/>
        <v>0.28032595432367219</v>
      </c>
      <c r="BY25" s="934">
        <f t="shared" ca="1" si="91"/>
        <v>0.28032595432367213</v>
      </c>
      <c r="BZ25" s="934">
        <f t="shared" ca="1" si="91"/>
        <v>0.28032595432367213</v>
      </c>
      <c r="CA25" s="934">
        <f t="shared" ca="1" si="91"/>
        <v>0.28032595432367219</v>
      </c>
      <c r="CB25" s="934">
        <f t="shared" ca="1" si="91"/>
        <v>0.28032595432367219</v>
      </c>
      <c r="CC25" s="934">
        <f t="shared" ca="1" si="91"/>
        <v>0.28032595432367213</v>
      </c>
      <c r="CD25" s="934">
        <f t="shared" ca="1" si="91"/>
        <v>0.28032595432367213</v>
      </c>
      <c r="CE25" s="934">
        <f t="shared" ca="1" si="91"/>
        <v>0.28032595432367219</v>
      </c>
      <c r="CF25" s="934">
        <f ca="1">CF34/CF21</f>
        <v>0.28032595432367213</v>
      </c>
      <c r="CG25" s="934">
        <f ca="1">CG34/CG21</f>
        <v>0.28032595432367213</v>
      </c>
      <c r="CH25" s="140"/>
      <c r="CI25" s="140"/>
      <c r="CJ25" s="140"/>
      <c r="CK25" s="140"/>
      <c r="CL25" s="140"/>
      <c r="CM25" s="140"/>
      <c r="CN25" s="140"/>
      <c r="CO25" s="140"/>
      <c r="CP25" s="140"/>
      <c r="CQ25" s="140"/>
      <c r="CR25" s="140"/>
      <c r="CS25" s="140"/>
      <c r="CT25" s="140"/>
      <c r="CU25" s="140"/>
      <c r="CV25" s="140"/>
      <c r="CW25" s="140"/>
      <c r="CX25" s="140"/>
      <c r="CY25" s="140"/>
      <c r="CZ25" s="140"/>
      <c r="DA25" s="140"/>
      <c r="DB25" s="140"/>
      <c r="DC25" s="140"/>
      <c r="DD25" s="140"/>
      <c r="DE25" s="140"/>
      <c r="DF25" s="140"/>
      <c r="DG25" s="140"/>
      <c r="DH25" s="140"/>
      <c r="DI25" s="140"/>
      <c r="DJ25" s="140"/>
      <c r="DK25" s="140"/>
      <c r="DL25" s="140"/>
      <c r="DM25" s="140"/>
      <c r="DN25" s="140"/>
      <c r="DO25" s="140"/>
      <c r="DP25" s="140"/>
      <c r="DQ25" s="140"/>
      <c r="DR25" s="140"/>
      <c r="DS25" s="140"/>
      <c r="DT25" s="140"/>
      <c r="DU25" s="140"/>
      <c r="DV25" s="140"/>
      <c r="DW25" s="140"/>
      <c r="DX25" s="140"/>
      <c r="DY25" s="140"/>
      <c r="DZ25" s="140"/>
      <c r="EA25" s="140"/>
      <c r="EB25" s="140"/>
      <c r="EC25" s="140"/>
      <c r="ED25" s="140"/>
      <c r="EE25" s="140"/>
      <c r="EF25" s="140"/>
      <c r="EG25" s="140"/>
      <c r="EH25" s="140"/>
      <c r="EI25" s="140"/>
      <c r="EJ25" s="140"/>
      <c r="EK25" s="140"/>
      <c r="EL25" s="140"/>
      <c r="EM25" s="140"/>
      <c r="EN25" s="140"/>
      <c r="EO25" s="140"/>
      <c r="EP25" s="140"/>
      <c r="EQ25" s="140"/>
    </row>
    <row r="26" spans="1:147" s="10" customFormat="1" ht="13.8" thickBot="1">
      <c r="B26" s="6" t="s">
        <v>752</v>
      </c>
      <c r="C26" s="201"/>
      <c r="F26" s="745" t="s">
        <v>285</v>
      </c>
      <c r="G26" s="746"/>
      <c r="H26" s="747">
        <f ca="1">+H25/H$2-1</f>
        <v>-0.15046636463687424</v>
      </c>
      <c r="L26" s="111"/>
      <c r="M26" s="111"/>
      <c r="N26" s="111"/>
      <c r="O26" s="111"/>
      <c r="P26" s="111"/>
      <c r="R26" s="924" t="s">
        <v>1000</v>
      </c>
      <c r="S26" s="292"/>
      <c r="T26" s="131"/>
      <c r="U26" s="131"/>
      <c r="V26" s="166"/>
      <c r="W26" s="166"/>
      <c r="X26" s="166"/>
      <c r="Y26" s="166"/>
      <c r="Z26" s="166"/>
      <c r="AA26" s="166">
        <f t="shared" ref="AA26:AE26" si="96">AA35/AA15</f>
        <v>5.6447218034271225E-2</v>
      </c>
      <c r="AB26" s="166">
        <f t="shared" si="96"/>
        <v>5.9986525836860705E-2</v>
      </c>
      <c r="AC26" s="166">
        <f t="shared" si="96"/>
        <v>6.6533561805492927E-2</v>
      </c>
      <c r="AD26" s="166">
        <f t="shared" si="96"/>
        <v>7.517747740476903E-2</v>
      </c>
      <c r="AE26" s="166">
        <f t="shared" si="96"/>
        <v>8.7753021241948961E-2</v>
      </c>
      <c r="AF26" s="166">
        <f t="shared" ref="AF26:AG26" si="97">AF35/AF15</f>
        <v>7.6232563313836377E-2</v>
      </c>
      <c r="AG26" s="166">
        <f t="shared" si="97"/>
        <v>6.9478445873657063E-2</v>
      </c>
      <c r="AH26" s="1635">
        <f t="shared" ref="AH26" si="98">AH35/AH15</f>
        <v>6.858642456911837E-2</v>
      </c>
      <c r="AI26" s="166">
        <f t="shared" ref="AI26" ca="1" si="99">AI35/AI15</f>
        <v>7.3561538354720485E-2</v>
      </c>
      <c r="AJ26" s="166">
        <f t="shared" ref="AJ26:AK26" ca="1" si="100">AJ35/AJ15</f>
        <v>7.0022047390510031E-2</v>
      </c>
      <c r="AK26" s="166">
        <f t="shared" ca="1" si="100"/>
        <v>6.9924078542304507E-2</v>
      </c>
      <c r="AL26" s="177">
        <f t="shared" ref="AL26:CG26" ca="1" si="101">AK26</f>
        <v>6.9924078542304507E-2</v>
      </c>
      <c r="AM26" s="177">
        <f t="shared" ca="1" si="101"/>
        <v>6.9924078542304507E-2</v>
      </c>
      <c r="AN26" s="177">
        <f t="shared" ca="1" si="101"/>
        <v>6.9924078542304507E-2</v>
      </c>
      <c r="AO26" s="177">
        <f t="shared" ca="1" si="101"/>
        <v>6.9924078542304507E-2</v>
      </c>
      <c r="AP26" s="177">
        <f t="shared" ca="1" si="101"/>
        <v>6.9924078542304507E-2</v>
      </c>
      <c r="AQ26" s="177">
        <f t="shared" ca="1" si="101"/>
        <v>6.9924078542304507E-2</v>
      </c>
      <c r="AR26" s="177">
        <f t="shared" ca="1" si="101"/>
        <v>6.9924078542304507E-2</v>
      </c>
      <c r="AS26" s="932">
        <f ca="1">AR26</f>
        <v>6.9924078542304507E-2</v>
      </c>
      <c r="AT26" s="932">
        <f t="shared" ca="1" si="101"/>
        <v>6.9924078542304507E-2</v>
      </c>
      <c r="AU26" s="932">
        <f t="shared" ca="1" si="101"/>
        <v>6.9924078542304507E-2</v>
      </c>
      <c r="AV26" s="932">
        <f t="shared" ca="1" si="101"/>
        <v>6.9924078542304507E-2</v>
      </c>
      <c r="AW26" s="932">
        <f t="shared" ca="1" si="101"/>
        <v>6.9924078542304507E-2</v>
      </c>
      <c r="AX26" s="933">
        <f t="shared" ca="1" si="101"/>
        <v>6.9924078542304507E-2</v>
      </c>
      <c r="AY26" s="933">
        <f t="shared" ca="1" si="101"/>
        <v>6.9924078542304507E-2</v>
      </c>
      <c r="AZ26" s="933">
        <f t="shared" ca="1" si="101"/>
        <v>6.9924078542304507E-2</v>
      </c>
      <c r="BA26" s="933">
        <f t="shared" ca="1" si="101"/>
        <v>6.9924078542304507E-2</v>
      </c>
      <c r="BB26" s="933">
        <f t="shared" ca="1" si="101"/>
        <v>6.9924078542304507E-2</v>
      </c>
      <c r="BC26" s="933">
        <f t="shared" ca="1" si="101"/>
        <v>6.9924078542304507E-2</v>
      </c>
      <c r="BD26" s="933">
        <f t="shared" ca="1" si="101"/>
        <v>6.9924078542304507E-2</v>
      </c>
      <c r="BE26" s="933">
        <f t="shared" ca="1" si="101"/>
        <v>6.9924078542304507E-2</v>
      </c>
      <c r="BF26" s="933">
        <f t="shared" ca="1" si="101"/>
        <v>6.9924078542304507E-2</v>
      </c>
      <c r="BG26" s="933">
        <f t="shared" ca="1" si="101"/>
        <v>6.9924078542304507E-2</v>
      </c>
      <c r="BH26" s="933">
        <f t="shared" ca="1" si="101"/>
        <v>6.9924078542304507E-2</v>
      </c>
      <c r="BI26" s="933">
        <f t="shared" ca="1" si="101"/>
        <v>6.9924078542304507E-2</v>
      </c>
      <c r="BJ26" s="933">
        <f t="shared" ca="1" si="101"/>
        <v>6.9924078542304507E-2</v>
      </c>
      <c r="BK26" s="933">
        <f t="shared" ca="1" si="101"/>
        <v>6.9924078542304507E-2</v>
      </c>
      <c r="BL26" s="933">
        <f t="shared" ca="1" si="101"/>
        <v>6.9924078542304507E-2</v>
      </c>
      <c r="BM26" s="933">
        <f t="shared" ca="1" si="101"/>
        <v>6.9924078542304507E-2</v>
      </c>
      <c r="BN26" s="933">
        <f t="shared" ca="1" si="101"/>
        <v>6.9924078542304507E-2</v>
      </c>
      <c r="BO26" s="933">
        <f t="shared" ca="1" si="101"/>
        <v>6.9924078542304507E-2</v>
      </c>
      <c r="BP26" s="933">
        <f t="shared" ca="1" si="101"/>
        <v>6.9924078542304507E-2</v>
      </c>
      <c r="BQ26" s="933">
        <f t="shared" ca="1" si="101"/>
        <v>6.9924078542304507E-2</v>
      </c>
      <c r="BR26" s="933">
        <f t="shared" ca="1" si="101"/>
        <v>6.9924078542304507E-2</v>
      </c>
      <c r="BS26" s="933">
        <f t="shared" ca="1" si="101"/>
        <v>6.9924078542304507E-2</v>
      </c>
      <c r="BT26" s="933">
        <f t="shared" ca="1" si="101"/>
        <v>6.9924078542304507E-2</v>
      </c>
      <c r="BU26" s="933">
        <f t="shared" ca="1" si="101"/>
        <v>6.9924078542304507E-2</v>
      </c>
      <c r="BV26" s="933">
        <f t="shared" ca="1" si="101"/>
        <v>6.9924078542304507E-2</v>
      </c>
      <c r="BW26" s="933">
        <f t="shared" ca="1" si="101"/>
        <v>6.9924078542304507E-2</v>
      </c>
      <c r="BX26" s="933">
        <f t="shared" ca="1" si="101"/>
        <v>6.9924078542304507E-2</v>
      </c>
      <c r="BY26" s="933">
        <f t="shared" ca="1" si="101"/>
        <v>6.9924078542304507E-2</v>
      </c>
      <c r="BZ26" s="933">
        <f t="shared" ca="1" si="101"/>
        <v>6.9924078542304507E-2</v>
      </c>
      <c r="CA26" s="933">
        <f t="shared" ca="1" si="101"/>
        <v>6.9924078542304507E-2</v>
      </c>
      <c r="CB26" s="933">
        <f t="shared" ca="1" si="101"/>
        <v>6.9924078542304507E-2</v>
      </c>
      <c r="CC26" s="933">
        <f t="shared" ca="1" si="101"/>
        <v>6.9924078542304507E-2</v>
      </c>
      <c r="CD26" s="933">
        <f t="shared" ca="1" si="101"/>
        <v>6.9924078542304507E-2</v>
      </c>
      <c r="CE26" s="933">
        <f t="shared" ca="1" si="101"/>
        <v>6.9924078542304507E-2</v>
      </c>
      <c r="CF26" s="933">
        <f t="shared" ca="1" si="101"/>
        <v>6.9924078542304507E-2</v>
      </c>
      <c r="CG26" s="933">
        <f t="shared" ca="1" si="101"/>
        <v>6.9924078542304507E-2</v>
      </c>
      <c r="CH26" s="140"/>
      <c r="CI26" s="140"/>
      <c r="CJ26" s="140"/>
      <c r="CK26" s="140"/>
      <c r="CL26" s="140"/>
      <c r="CM26" s="140"/>
      <c r="CN26" s="140"/>
      <c r="CO26" s="140"/>
      <c r="CP26" s="140"/>
      <c r="CQ26" s="140"/>
      <c r="CR26" s="140"/>
      <c r="CS26" s="140"/>
      <c r="CT26" s="140"/>
      <c r="CU26" s="140"/>
      <c r="CV26" s="140"/>
      <c r="CW26" s="140"/>
      <c r="CX26" s="140"/>
      <c r="CY26" s="140"/>
      <c r="CZ26" s="140"/>
      <c r="DA26" s="140"/>
      <c r="DB26" s="140"/>
      <c r="DC26" s="140"/>
      <c r="DD26" s="140"/>
      <c r="DE26" s="140"/>
      <c r="DF26" s="140"/>
      <c r="DG26" s="140"/>
      <c r="DH26" s="140"/>
      <c r="DI26" s="140"/>
      <c r="DJ26" s="140"/>
      <c r="DK26" s="140"/>
      <c r="DL26" s="140"/>
      <c r="DM26" s="140"/>
      <c r="DN26" s="140"/>
      <c r="DO26" s="140"/>
      <c r="DP26" s="140"/>
      <c r="DQ26" s="140"/>
      <c r="DR26" s="140"/>
      <c r="DS26" s="140"/>
      <c r="DT26" s="140"/>
      <c r="DU26" s="140"/>
      <c r="DV26" s="140"/>
      <c r="DW26" s="140"/>
      <c r="DX26" s="140"/>
      <c r="DY26" s="140"/>
      <c r="DZ26" s="140"/>
      <c r="EA26" s="140"/>
      <c r="EB26" s="140"/>
      <c r="EC26" s="140"/>
      <c r="ED26" s="140"/>
      <c r="EE26" s="140"/>
      <c r="EF26" s="140"/>
      <c r="EG26" s="140"/>
      <c r="EH26" s="140"/>
      <c r="EI26" s="140"/>
      <c r="EJ26" s="140"/>
      <c r="EK26" s="140"/>
      <c r="EL26" s="140"/>
      <c r="EM26" s="140"/>
      <c r="EN26" s="140"/>
      <c r="EO26" s="140"/>
      <c r="EP26" s="140"/>
      <c r="EQ26" s="140"/>
    </row>
    <row r="27" spans="1:147" s="10" customFormat="1">
      <c r="B27" s="6" t="s">
        <v>219</v>
      </c>
      <c r="C27" s="206"/>
      <c r="I27" s="142"/>
      <c r="J27" s="142"/>
      <c r="K27" s="142"/>
      <c r="L27" s="233"/>
      <c r="M27" s="233"/>
      <c r="N27" s="233"/>
      <c r="O27" s="233"/>
      <c r="P27" s="233"/>
      <c r="Q27" s="142"/>
      <c r="R27" s="10" t="s">
        <v>264</v>
      </c>
      <c r="S27" s="111"/>
      <c r="V27" s="176">
        <f t="shared" ref="V27:AD27" si="102">+V30/V7</f>
        <v>0.19536317944385001</v>
      </c>
      <c r="W27" s="176">
        <f t="shared" si="102"/>
        <v>0.19312570931655049</v>
      </c>
      <c r="X27" s="176">
        <f t="shared" si="102"/>
        <v>0.1926261698417136</v>
      </c>
      <c r="Y27" s="176">
        <f t="shared" si="102"/>
        <v>0.26851187086871486</v>
      </c>
      <c r="Z27" s="176">
        <f t="shared" si="102"/>
        <v>0.28821347784968676</v>
      </c>
      <c r="AA27" s="176">
        <f t="shared" si="102"/>
        <v>0.28337387405605596</v>
      </c>
      <c r="AB27" s="176">
        <f t="shared" si="102"/>
        <v>0.30745939594192107</v>
      </c>
      <c r="AC27" s="176">
        <f t="shared" si="102"/>
        <v>0.3085335565787638</v>
      </c>
      <c r="AD27" s="176">
        <f t="shared" si="102"/>
        <v>0.29745928303790947</v>
      </c>
      <c r="AE27" s="176">
        <f t="shared" ref="AE27:AH27" si="103">+AE30/AE7</f>
        <v>0.30380780780780781</v>
      </c>
      <c r="AF27" s="176">
        <f t="shared" si="103"/>
        <v>0.29728139768056699</v>
      </c>
      <c r="AG27" s="176">
        <f t="shared" si="103"/>
        <v>0.28543274846559935</v>
      </c>
      <c r="AH27" s="1637">
        <f t="shared" si="103"/>
        <v>0.28908703821649734</v>
      </c>
      <c r="AI27" s="176">
        <f t="shared" ref="AI27" si="104">+AI30/AI7</f>
        <v>0.28910349697832938</v>
      </c>
      <c r="AJ27" s="176">
        <f t="shared" ref="AJ27:AK27" si="105">+AJ30/AJ7</f>
        <v>0.28912122675085522</v>
      </c>
      <c r="AK27" s="176">
        <f t="shared" si="105"/>
        <v>0.28913879656295643</v>
      </c>
      <c r="AL27" s="177">
        <f t="shared" ref="AL27:CG27" si="106">AK27</f>
        <v>0.28913879656295643</v>
      </c>
      <c r="AM27" s="177">
        <f t="shared" si="106"/>
        <v>0.28913879656295643</v>
      </c>
      <c r="AN27" s="177">
        <f t="shared" si="106"/>
        <v>0.28913879656295643</v>
      </c>
      <c r="AO27" s="177">
        <f t="shared" si="106"/>
        <v>0.28913879656295643</v>
      </c>
      <c r="AP27" s="177">
        <f t="shared" si="106"/>
        <v>0.28913879656295643</v>
      </c>
      <c r="AQ27" s="177">
        <f t="shared" si="106"/>
        <v>0.28913879656295643</v>
      </c>
      <c r="AR27" s="177">
        <f t="shared" si="106"/>
        <v>0.28913879656295643</v>
      </c>
      <c r="AS27" s="932">
        <f>AR27</f>
        <v>0.28913879656295643</v>
      </c>
      <c r="AT27" s="932">
        <f t="shared" si="106"/>
        <v>0.28913879656295643</v>
      </c>
      <c r="AU27" s="932">
        <f t="shared" si="106"/>
        <v>0.28913879656295643</v>
      </c>
      <c r="AV27" s="932">
        <f t="shared" si="106"/>
        <v>0.28913879656295643</v>
      </c>
      <c r="AW27" s="932">
        <f t="shared" si="106"/>
        <v>0.28913879656295643</v>
      </c>
      <c r="AX27" s="933">
        <f t="shared" si="106"/>
        <v>0.28913879656295643</v>
      </c>
      <c r="AY27" s="933">
        <f t="shared" si="106"/>
        <v>0.28913879656295643</v>
      </c>
      <c r="AZ27" s="933">
        <f t="shared" si="106"/>
        <v>0.28913879656295643</v>
      </c>
      <c r="BA27" s="933">
        <f t="shared" si="106"/>
        <v>0.28913879656295643</v>
      </c>
      <c r="BB27" s="933">
        <f t="shared" si="106"/>
        <v>0.28913879656295643</v>
      </c>
      <c r="BC27" s="933">
        <f t="shared" si="106"/>
        <v>0.28913879656295643</v>
      </c>
      <c r="BD27" s="933">
        <f t="shared" si="106"/>
        <v>0.28913879656295643</v>
      </c>
      <c r="BE27" s="933">
        <f t="shared" si="106"/>
        <v>0.28913879656295643</v>
      </c>
      <c r="BF27" s="933">
        <f t="shared" si="106"/>
        <v>0.28913879656295643</v>
      </c>
      <c r="BG27" s="933">
        <f t="shared" si="106"/>
        <v>0.28913879656295643</v>
      </c>
      <c r="BH27" s="933">
        <f t="shared" si="106"/>
        <v>0.28913879656295643</v>
      </c>
      <c r="BI27" s="933">
        <f t="shared" si="106"/>
        <v>0.28913879656295643</v>
      </c>
      <c r="BJ27" s="933">
        <f t="shared" si="106"/>
        <v>0.28913879656295643</v>
      </c>
      <c r="BK27" s="933">
        <f t="shared" si="106"/>
        <v>0.28913879656295643</v>
      </c>
      <c r="BL27" s="933">
        <f t="shared" si="106"/>
        <v>0.28913879656295643</v>
      </c>
      <c r="BM27" s="933">
        <f t="shared" si="106"/>
        <v>0.28913879656295643</v>
      </c>
      <c r="BN27" s="933">
        <f t="shared" si="106"/>
        <v>0.28913879656295643</v>
      </c>
      <c r="BO27" s="933">
        <f t="shared" si="106"/>
        <v>0.28913879656295643</v>
      </c>
      <c r="BP27" s="933">
        <f t="shared" si="106"/>
        <v>0.28913879656295643</v>
      </c>
      <c r="BQ27" s="933">
        <f t="shared" si="106"/>
        <v>0.28913879656295643</v>
      </c>
      <c r="BR27" s="933">
        <f t="shared" si="106"/>
        <v>0.28913879656295643</v>
      </c>
      <c r="BS27" s="933">
        <f t="shared" si="106"/>
        <v>0.28913879656295643</v>
      </c>
      <c r="BT27" s="933">
        <f t="shared" si="106"/>
        <v>0.28913879656295643</v>
      </c>
      <c r="BU27" s="933">
        <f t="shared" si="106"/>
        <v>0.28913879656295643</v>
      </c>
      <c r="BV27" s="933">
        <f t="shared" si="106"/>
        <v>0.28913879656295643</v>
      </c>
      <c r="BW27" s="933">
        <f t="shared" si="106"/>
        <v>0.28913879656295643</v>
      </c>
      <c r="BX27" s="933">
        <f t="shared" si="106"/>
        <v>0.28913879656295643</v>
      </c>
      <c r="BY27" s="933">
        <f t="shared" si="106"/>
        <v>0.28913879656295643</v>
      </c>
      <c r="BZ27" s="933">
        <f t="shared" si="106"/>
        <v>0.28913879656295643</v>
      </c>
      <c r="CA27" s="933">
        <f t="shared" si="106"/>
        <v>0.28913879656295643</v>
      </c>
      <c r="CB27" s="933">
        <f t="shared" si="106"/>
        <v>0.28913879656295643</v>
      </c>
      <c r="CC27" s="933">
        <f t="shared" si="106"/>
        <v>0.28913879656295643</v>
      </c>
      <c r="CD27" s="933">
        <f t="shared" si="106"/>
        <v>0.28913879656295643</v>
      </c>
      <c r="CE27" s="933">
        <f t="shared" si="106"/>
        <v>0.28913879656295643</v>
      </c>
      <c r="CF27" s="933">
        <f t="shared" si="106"/>
        <v>0.28913879656295643</v>
      </c>
      <c r="CG27" s="933">
        <f t="shared" si="106"/>
        <v>0.28913879656295643</v>
      </c>
      <c r="CH27" s="280"/>
      <c r="CI27" s="280"/>
      <c r="CJ27" s="280"/>
      <c r="CK27" s="280"/>
      <c r="CL27" s="280"/>
      <c r="CM27" s="280"/>
      <c r="CN27" s="280"/>
      <c r="CO27" s="280"/>
      <c r="CP27" s="280"/>
      <c r="CQ27" s="280"/>
      <c r="CR27" s="280"/>
      <c r="CS27" s="280"/>
      <c r="CT27" s="280"/>
      <c r="CU27" s="280"/>
      <c r="CV27" s="280"/>
      <c r="CW27" s="280"/>
      <c r="CX27" s="280"/>
      <c r="CY27" s="280"/>
      <c r="CZ27" s="280"/>
      <c r="DA27" s="280"/>
      <c r="DB27" s="280"/>
      <c r="DC27" s="280"/>
      <c r="DD27" s="280"/>
      <c r="DE27" s="280"/>
      <c r="DF27" s="280"/>
      <c r="DG27" s="280"/>
      <c r="DH27" s="280"/>
      <c r="DI27" s="280"/>
      <c r="DJ27" s="280"/>
      <c r="DK27" s="280"/>
      <c r="DL27" s="280"/>
      <c r="DM27" s="280"/>
      <c r="DN27" s="280"/>
      <c r="DO27" s="280"/>
      <c r="DP27" s="280"/>
      <c r="DQ27" s="280"/>
      <c r="DR27" s="280"/>
      <c r="DS27" s="280"/>
      <c r="DT27" s="280"/>
      <c r="DU27" s="280"/>
      <c r="DV27" s="280"/>
      <c r="DW27" s="280"/>
      <c r="DX27" s="280"/>
      <c r="DY27" s="280"/>
      <c r="DZ27" s="280"/>
      <c r="EA27" s="280"/>
      <c r="EB27" s="280"/>
      <c r="EC27" s="280"/>
      <c r="ED27" s="280"/>
      <c r="EE27" s="280"/>
      <c r="EF27" s="280"/>
      <c r="EG27" s="280"/>
      <c r="EH27" s="280"/>
      <c r="EI27" s="280"/>
      <c r="EJ27" s="280"/>
      <c r="EK27" s="280"/>
      <c r="EL27" s="280"/>
      <c r="EM27" s="280"/>
      <c r="EN27" s="280"/>
      <c r="EO27" s="280"/>
      <c r="EP27" s="280"/>
      <c r="EQ27" s="280"/>
    </row>
    <row r="28" spans="1:147" s="10" customFormat="1">
      <c r="B28" s="6"/>
      <c r="C28" s="148"/>
      <c r="L28" s="111"/>
      <c r="M28" s="111"/>
      <c r="N28" s="111"/>
      <c r="O28" s="111"/>
      <c r="P28" s="111"/>
      <c r="R28" s="10" t="s">
        <v>265</v>
      </c>
      <c r="S28" s="111"/>
      <c r="V28" s="5">
        <f t="shared" ref="V28:AD28" si="107">V31/(V8+V13)</f>
        <v>0.64436824854686714</v>
      </c>
      <c r="W28" s="5">
        <f t="shared" si="107"/>
        <v>0.61736475043139261</v>
      </c>
      <c r="X28" s="5">
        <f t="shared" si="107"/>
        <v>0.58371279469048165</v>
      </c>
      <c r="Y28" s="5">
        <f t="shared" si="107"/>
        <v>0.54385736617516578</v>
      </c>
      <c r="Z28" s="5">
        <f t="shared" si="107"/>
        <v>0.5247983543356719</v>
      </c>
      <c r="AA28" s="5">
        <f t="shared" si="107"/>
        <v>0.49031033720361522</v>
      </c>
      <c r="AB28" s="5">
        <f t="shared" si="107"/>
        <v>0.37434041131032797</v>
      </c>
      <c r="AC28" s="5">
        <f t="shared" si="107"/>
        <v>0.34398540214289058</v>
      </c>
      <c r="AD28" s="5">
        <f t="shared" si="107"/>
        <v>0.36673346693386771</v>
      </c>
      <c r="AE28" s="5">
        <f t="shared" ref="AE28:AH28" si="108">AE31/(AE8+AE13)</f>
        <v>0.33112315498154982</v>
      </c>
      <c r="AF28" s="5">
        <f t="shared" si="108"/>
        <v>0.31718992482484509</v>
      </c>
      <c r="AG28" s="5">
        <f t="shared" si="108"/>
        <v>0.29088069345560669</v>
      </c>
      <c r="AH28" s="1638">
        <f t="shared" si="108"/>
        <v>0.25771802433707264</v>
      </c>
      <c r="AI28" s="5">
        <f t="shared" ref="AI28" ca="1" si="109">AI31/(AI8+AI13)</f>
        <v>0.25612662716882773</v>
      </c>
      <c r="AJ28" s="5">
        <f t="shared" ref="AJ28:AK28" ca="1" si="110">AJ31/(AJ8+AJ13)</f>
        <v>0.25402272948977739</v>
      </c>
      <c r="AK28" s="5">
        <f t="shared" ca="1" si="110"/>
        <v>0.2531316718316729</v>
      </c>
      <c r="AL28" s="177">
        <f t="shared" ref="AL28:CG28" ca="1" si="111">AK28</f>
        <v>0.2531316718316729</v>
      </c>
      <c r="AM28" s="177">
        <f t="shared" ca="1" si="111"/>
        <v>0.2531316718316729</v>
      </c>
      <c r="AN28" s="177">
        <f t="shared" ca="1" si="111"/>
        <v>0.2531316718316729</v>
      </c>
      <c r="AO28" s="177">
        <f t="shared" ca="1" si="111"/>
        <v>0.2531316718316729</v>
      </c>
      <c r="AP28" s="177">
        <f t="shared" ca="1" si="111"/>
        <v>0.2531316718316729</v>
      </c>
      <c r="AQ28" s="177">
        <f t="shared" ca="1" si="111"/>
        <v>0.2531316718316729</v>
      </c>
      <c r="AR28" s="177">
        <f t="shared" ca="1" si="111"/>
        <v>0.2531316718316729</v>
      </c>
      <c r="AS28" s="932">
        <f ca="1">AR28</f>
        <v>0.2531316718316729</v>
      </c>
      <c r="AT28" s="932">
        <f t="shared" ca="1" si="111"/>
        <v>0.2531316718316729</v>
      </c>
      <c r="AU28" s="932">
        <f t="shared" ca="1" si="111"/>
        <v>0.2531316718316729</v>
      </c>
      <c r="AV28" s="932">
        <f t="shared" ca="1" si="111"/>
        <v>0.2531316718316729</v>
      </c>
      <c r="AW28" s="932">
        <f t="shared" ca="1" si="111"/>
        <v>0.2531316718316729</v>
      </c>
      <c r="AX28" s="933">
        <f t="shared" ca="1" si="111"/>
        <v>0.2531316718316729</v>
      </c>
      <c r="AY28" s="933">
        <f t="shared" ca="1" si="111"/>
        <v>0.2531316718316729</v>
      </c>
      <c r="AZ28" s="933">
        <f t="shared" ca="1" si="111"/>
        <v>0.2531316718316729</v>
      </c>
      <c r="BA28" s="933">
        <f t="shared" ca="1" si="111"/>
        <v>0.2531316718316729</v>
      </c>
      <c r="BB28" s="933">
        <f t="shared" ca="1" si="111"/>
        <v>0.2531316718316729</v>
      </c>
      <c r="BC28" s="933">
        <f t="shared" ca="1" si="111"/>
        <v>0.2531316718316729</v>
      </c>
      <c r="BD28" s="933">
        <f t="shared" ca="1" si="111"/>
        <v>0.2531316718316729</v>
      </c>
      <c r="BE28" s="933">
        <f t="shared" ca="1" si="111"/>
        <v>0.2531316718316729</v>
      </c>
      <c r="BF28" s="933">
        <f t="shared" ca="1" si="111"/>
        <v>0.2531316718316729</v>
      </c>
      <c r="BG28" s="933">
        <f t="shared" ca="1" si="111"/>
        <v>0.2531316718316729</v>
      </c>
      <c r="BH28" s="933">
        <f t="shared" ca="1" si="111"/>
        <v>0.2531316718316729</v>
      </c>
      <c r="BI28" s="933">
        <f t="shared" ca="1" si="111"/>
        <v>0.2531316718316729</v>
      </c>
      <c r="BJ28" s="933">
        <f t="shared" ca="1" si="111"/>
        <v>0.2531316718316729</v>
      </c>
      <c r="BK28" s="933">
        <f t="shared" ca="1" si="111"/>
        <v>0.2531316718316729</v>
      </c>
      <c r="BL28" s="933">
        <f t="shared" ca="1" si="111"/>
        <v>0.2531316718316729</v>
      </c>
      <c r="BM28" s="933">
        <f t="shared" ca="1" si="111"/>
        <v>0.2531316718316729</v>
      </c>
      <c r="BN28" s="933">
        <f t="shared" ca="1" si="111"/>
        <v>0.2531316718316729</v>
      </c>
      <c r="BO28" s="933">
        <f t="shared" ca="1" si="111"/>
        <v>0.2531316718316729</v>
      </c>
      <c r="BP28" s="933">
        <f t="shared" ca="1" si="111"/>
        <v>0.2531316718316729</v>
      </c>
      <c r="BQ28" s="933">
        <f t="shared" ca="1" si="111"/>
        <v>0.2531316718316729</v>
      </c>
      <c r="BR28" s="933">
        <f t="shared" ca="1" si="111"/>
        <v>0.2531316718316729</v>
      </c>
      <c r="BS28" s="933">
        <f t="shared" ca="1" si="111"/>
        <v>0.2531316718316729</v>
      </c>
      <c r="BT28" s="933">
        <f t="shared" ca="1" si="111"/>
        <v>0.2531316718316729</v>
      </c>
      <c r="BU28" s="933">
        <f t="shared" ca="1" si="111"/>
        <v>0.2531316718316729</v>
      </c>
      <c r="BV28" s="933">
        <f t="shared" ca="1" si="111"/>
        <v>0.2531316718316729</v>
      </c>
      <c r="BW28" s="933">
        <f t="shared" ca="1" si="111"/>
        <v>0.2531316718316729</v>
      </c>
      <c r="BX28" s="933">
        <f t="shared" ca="1" si="111"/>
        <v>0.2531316718316729</v>
      </c>
      <c r="BY28" s="933">
        <f t="shared" ca="1" si="111"/>
        <v>0.2531316718316729</v>
      </c>
      <c r="BZ28" s="933">
        <f t="shared" ca="1" si="111"/>
        <v>0.2531316718316729</v>
      </c>
      <c r="CA28" s="933">
        <f t="shared" ca="1" si="111"/>
        <v>0.2531316718316729</v>
      </c>
      <c r="CB28" s="933">
        <f t="shared" ca="1" si="111"/>
        <v>0.2531316718316729</v>
      </c>
      <c r="CC28" s="933">
        <f t="shared" ca="1" si="111"/>
        <v>0.2531316718316729</v>
      </c>
      <c r="CD28" s="933">
        <f t="shared" ca="1" si="111"/>
        <v>0.2531316718316729</v>
      </c>
      <c r="CE28" s="933">
        <f t="shared" ca="1" si="111"/>
        <v>0.2531316718316729</v>
      </c>
      <c r="CF28" s="933">
        <f t="shared" ca="1" si="111"/>
        <v>0.2531316718316729</v>
      </c>
      <c r="CG28" s="933">
        <f t="shared" ca="1" si="111"/>
        <v>0.2531316718316729</v>
      </c>
      <c r="CH28" s="200"/>
      <c r="CI28" s="200"/>
      <c r="CJ28" s="200"/>
      <c r="CK28" s="200"/>
      <c r="CL28" s="200"/>
      <c r="CM28" s="200"/>
      <c r="CN28" s="200"/>
      <c r="CO28" s="200"/>
      <c r="CP28" s="200"/>
      <c r="CQ28" s="200"/>
      <c r="CR28" s="200"/>
      <c r="CS28" s="200"/>
      <c r="CT28" s="200"/>
      <c r="CU28" s="200"/>
      <c r="CV28" s="200"/>
      <c r="CW28" s="200"/>
      <c r="CX28" s="200"/>
      <c r="CY28" s="200"/>
      <c r="CZ28" s="200"/>
      <c r="DA28" s="200"/>
      <c r="DB28" s="200"/>
      <c r="DC28" s="200"/>
      <c r="DD28" s="200"/>
      <c r="DE28" s="200"/>
      <c r="DF28" s="200"/>
      <c r="DG28" s="200"/>
      <c r="DH28" s="200"/>
      <c r="DI28" s="200"/>
      <c r="DJ28" s="200"/>
      <c r="DK28" s="200"/>
      <c r="DL28" s="200"/>
      <c r="DM28" s="200"/>
      <c r="DN28" s="200"/>
      <c r="DO28" s="200"/>
      <c r="DP28" s="200"/>
      <c r="DQ28" s="200"/>
      <c r="DR28" s="200"/>
      <c r="DS28" s="200"/>
      <c r="DT28" s="200"/>
      <c r="DU28" s="200"/>
      <c r="DV28" s="200"/>
      <c r="DW28" s="200"/>
      <c r="DX28" s="200"/>
      <c r="DY28" s="200"/>
      <c r="DZ28" s="200"/>
      <c r="EA28" s="200"/>
      <c r="EB28" s="200"/>
      <c r="EC28" s="200"/>
      <c r="ED28" s="200"/>
      <c r="EE28" s="200"/>
      <c r="EF28" s="200"/>
      <c r="EG28" s="200"/>
      <c r="EH28" s="200"/>
      <c r="EI28" s="200"/>
      <c r="EJ28" s="200"/>
      <c r="EK28" s="200"/>
      <c r="EL28" s="200"/>
      <c r="EM28" s="200"/>
      <c r="EN28" s="200"/>
      <c r="EO28" s="200"/>
      <c r="EP28" s="200"/>
      <c r="EQ28" s="200"/>
    </row>
    <row r="29" spans="1:147" s="10" customFormat="1">
      <c r="B29" s="207" t="s">
        <v>221</v>
      </c>
      <c r="C29" s="208"/>
      <c r="L29" s="111"/>
      <c r="M29" s="111"/>
      <c r="N29" s="111"/>
      <c r="O29" s="111"/>
      <c r="P29" s="111"/>
      <c r="R29" s="182" t="s">
        <v>438</v>
      </c>
      <c r="S29" s="292"/>
      <c r="T29" s="131"/>
      <c r="U29" s="131"/>
      <c r="V29" s="166">
        <f t="shared" ref="V29:BG29" si="112">+V36/V15</f>
        <v>0.48259944949821831</v>
      </c>
      <c r="W29" s="166">
        <f t="shared" si="112"/>
        <v>0.46824601213326911</v>
      </c>
      <c r="X29" s="166">
        <f t="shared" si="112"/>
        <v>0.45166535565793908</v>
      </c>
      <c r="Y29" s="166">
        <f t="shared" si="112"/>
        <v>0.4466016446070421</v>
      </c>
      <c r="Z29" s="166">
        <f t="shared" si="112"/>
        <v>0.43586500335441075</v>
      </c>
      <c r="AA29" s="166">
        <f t="shared" si="112"/>
        <v>0.41436329361671448</v>
      </c>
      <c r="AB29" s="166">
        <f t="shared" si="112"/>
        <v>0.42497734770985091</v>
      </c>
      <c r="AC29" s="166">
        <f t="shared" si="112"/>
        <v>0.41196370286082706</v>
      </c>
      <c r="AD29" s="166">
        <f t="shared" si="112"/>
        <v>0.42507332531718117</v>
      </c>
      <c r="AE29" s="166">
        <f t="shared" ref="AE29:AH29" si="113">+AE36/AE15</f>
        <v>0.4188135345007824</v>
      </c>
      <c r="AF29" s="166">
        <f t="shared" si="113"/>
        <v>0.39192307100935836</v>
      </c>
      <c r="AG29" s="166">
        <f t="shared" si="113"/>
        <v>0.36333622159033124</v>
      </c>
      <c r="AH29" s="1635">
        <f t="shared" si="113"/>
        <v>0.35351489621527277</v>
      </c>
      <c r="AI29" s="166">
        <f t="shared" ref="AI29" ca="1" si="114">+AI36/AI15</f>
        <v>0.35762544950754815</v>
      </c>
      <c r="AJ29" s="166">
        <f t="shared" ref="AJ29:AK29" ca="1" si="115">+AJ36/AJ15</f>
        <v>0.35294270634624697</v>
      </c>
      <c r="AK29" s="166">
        <f t="shared" ca="1" si="115"/>
        <v>0.3523754945131406</v>
      </c>
      <c r="AL29" s="166">
        <f t="shared" ca="1" si="112"/>
        <v>0.35469775207496318</v>
      </c>
      <c r="AM29" s="166">
        <f t="shared" ca="1" si="112"/>
        <v>0.35469775207496318</v>
      </c>
      <c r="AN29" s="166">
        <f t="shared" ca="1" si="112"/>
        <v>0.35469775207496307</v>
      </c>
      <c r="AO29" s="166">
        <f t="shared" ca="1" si="112"/>
        <v>0.35469775207496312</v>
      </c>
      <c r="AP29" s="166">
        <f t="shared" ca="1" si="112"/>
        <v>0.35469775207496307</v>
      </c>
      <c r="AQ29" s="166">
        <f t="shared" ref="AQ29:AR29" ca="1" si="116">+AQ36/AQ15</f>
        <v>0.35469775207496318</v>
      </c>
      <c r="AR29" s="166">
        <f t="shared" ca="1" si="116"/>
        <v>0.35469775207496312</v>
      </c>
      <c r="AS29" s="166">
        <f t="shared" ca="1" si="112"/>
        <v>0.35469775207496318</v>
      </c>
      <c r="AT29" s="166">
        <f t="shared" ca="1" si="112"/>
        <v>0.35469775207496312</v>
      </c>
      <c r="AU29" s="166">
        <f t="shared" ca="1" si="112"/>
        <v>0.35469775207496312</v>
      </c>
      <c r="AV29" s="166">
        <f t="shared" ca="1" si="112"/>
        <v>0.35469775207496307</v>
      </c>
      <c r="AW29" s="166">
        <f t="shared" ca="1" si="112"/>
        <v>0.35469775207496318</v>
      </c>
      <c r="AX29" s="166">
        <f t="shared" ca="1" si="112"/>
        <v>0.35469775207496312</v>
      </c>
      <c r="AY29" s="166">
        <f t="shared" ca="1" si="112"/>
        <v>0.35469775207496318</v>
      </c>
      <c r="AZ29" s="166">
        <f t="shared" ca="1" si="112"/>
        <v>0.35469775207496312</v>
      </c>
      <c r="BA29" s="166">
        <f t="shared" ca="1" si="112"/>
        <v>0.35469775207496307</v>
      </c>
      <c r="BB29" s="166">
        <f t="shared" ca="1" si="112"/>
        <v>0.35469775207496318</v>
      </c>
      <c r="BC29" s="166">
        <f t="shared" ca="1" si="112"/>
        <v>0.35469775207496312</v>
      </c>
      <c r="BD29" s="166">
        <f t="shared" ca="1" si="112"/>
        <v>0.35469775207496307</v>
      </c>
      <c r="BE29" s="166">
        <f t="shared" ca="1" si="112"/>
        <v>0.35469775207496318</v>
      </c>
      <c r="BF29" s="166">
        <f t="shared" ca="1" si="112"/>
        <v>0.35469775207496318</v>
      </c>
      <c r="BG29" s="166">
        <f t="shared" ca="1" si="112"/>
        <v>0.35469775207496312</v>
      </c>
      <c r="BH29" s="166">
        <f t="shared" ref="BH29:CF29" ca="1" si="117">+BH36/BH15</f>
        <v>0.35469775207496312</v>
      </c>
      <c r="BI29" s="166">
        <f t="shared" ca="1" si="117"/>
        <v>0.35469775207496312</v>
      </c>
      <c r="BJ29" s="166">
        <f t="shared" ca="1" si="117"/>
        <v>0.35469775207496307</v>
      </c>
      <c r="BK29" s="166">
        <f t="shared" ca="1" si="117"/>
        <v>0.35469775207496312</v>
      </c>
      <c r="BL29" s="166">
        <f t="shared" ca="1" si="117"/>
        <v>0.35469775207496312</v>
      </c>
      <c r="BM29" s="166">
        <f t="shared" ca="1" si="117"/>
        <v>0.35469775207496312</v>
      </c>
      <c r="BN29" s="166">
        <f t="shared" ca="1" si="117"/>
        <v>0.35469775207496318</v>
      </c>
      <c r="BO29" s="166">
        <f t="shared" ca="1" si="117"/>
        <v>0.35469775207496318</v>
      </c>
      <c r="BP29" s="166">
        <f t="shared" ca="1" si="117"/>
        <v>0.35469775207496318</v>
      </c>
      <c r="BQ29" s="166">
        <f t="shared" ca="1" si="117"/>
        <v>0.35469775207496312</v>
      </c>
      <c r="BR29" s="166">
        <f t="shared" ca="1" si="117"/>
        <v>0.35469775207496312</v>
      </c>
      <c r="BS29" s="166">
        <f t="shared" ca="1" si="117"/>
        <v>0.35469775207496312</v>
      </c>
      <c r="BT29" s="166">
        <f t="shared" ca="1" si="117"/>
        <v>0.35469775207496318</v>
      </c>
      <c r="BU29" s="166">
        <f t="shared" ca="1" si="117"/>
        <v>0.35469775207496318</v>
      </c>
      <c r="BV29" s="166">
        <f t="shared" ca="1" si="117"/>
        <v>0.35469775207496318</v>
      </c>
      <c r="BW29" s="166">
        <f t="shared" ca="1" si="117"/>
        <v>0.35469775207496312</v>
      </c>
      <c r="BX29" s="166">
        <f t="shared" ca="1" si="117"/>
        <v>0.35469775207496318</v>
      </c>
      <c r="BY29" s="166">
        <f t="shared" ca="1" si="117"/>
        <v>0.35469775207496318</v>
      </c>
      <c r="BZ29" s="166">
        <f t="shared" ca="1" si="117"/>
        <v>0.35469775207496318</v>
      </c>
      <c r="CA29" s="166">
        <f t="shared" ca="1" si="117"/>
        <v>0.35469775207496318</v>
      </c>
      <c r="CB29" s="166">
        <f t="shared" ca="1" si="117"/>
        <v>0.35469775207496318</v>
      </c>
      <c r="CC29" s="166">
        <f t="shared" ca="1" si="117"/>
        <v>0.35469775207496318</v>
      </c>
      <c r="CD29" s="166">
        <f t="shared" ca="1" si="117"/>
        <v>0.35469775207496312</v>
      </c>
      <c r="CE29" s="166">
        <f t="shared" ca="1" si="117"/>
        <v>0.35469775207496312</v>
      </c>
      <c r="CF29" s="166">
        <f t="shared" ca="1" si="117"/>
        <v>0.35469775207496318</v>
      </c>
      <c r="CG29" s="166">
        <f t="shared" ref="CG29" ca="1" si="118">+CG36/CG15</f>
        <v>0.35469775207496318</v>
      </c>
      <c r="CH29" s="204"/>
      <c r="CI29" s="204"/>
      <c r="CJ29" s="204"/>
      <c r="CK29" s="204"/>
      <c r="CL29" s="204"/>
      <c r="CM29" s="204"/>
      <c r="CN29" s="204"/>
      <c r="CO29" s="204"/>
      <c r="CP29" s="204"/>
      <c r="CQ29" s="204"/>
      <c r="CR29" s="204"/>
      <c r="CS29" s="204"/>
      <c r="CT29" s="204"/>
      <c r="CU29" s="204"/>
      <c r="CV29" s="204"/>
      <c r="CW29" s="204"/>
      <c r="CX29" s="204"/>
      <c r="CY29" s="204"/>
      <c r="CZ29" s="204"/>
      <c r="DA29" s="204"/>
      <c r="DB29" s="204"/>
      <c r="DC29" s="204"/>
      <c r="DD29" s="204"/>
      <c r="DE29" s="204"/>
      <c r="DF29" s="204"/>
      <c r="DG29" s="204"/>
      <c r="DH29" s="204"/>
      <c r="DI29" s="204"/>
      <c r="DJ29" s="204"/>
      <c r="DK29" s="204"/>
      <c r="DL29" s="204"/>
      <c r="DM29" s="204"/>
      <c r="DN29" s="204"/>
      <c r="DO29" s="204"/>
      <c r="DP29" s="204"/>
      <c r="DQ29" s="204"/>
      <c r="DR29" s="204"/>
      <c r="DS29" s="204"/>
      <c r="DT29" s="204"/>
      <c r="DU29" s="204"/>
      <c r="DV29" s="204"/>
      <c r="DW29" s="204"/>
      <c r="DX29" s="204"/>
      <c r="DY29" s="204"/>
      <c r="DZ29" s="204"/>
      <c r="EA29" s="204"/>
      <c r="EB29" s="204"/>
      <c r="EC29" s="204"/>
      <c r="ED29" s="204"/>
      <c r="EE29" s="204"/>
      <c r="EF29" s="204"/>
      <c r="EG29" s="204"/>
      <c r="EH29" s="204"/>
      <c r="EI29" s="204"/>
      <c r="EJ29" s="204"/>
      <c r="EK29" s="204"/>
      <c r="EL29" s="204"/>
      <c r="EM29" s="204"/>
      <c r="EN29" s="204"/>
      <c r="EO29" s="204"/>
      <c r="EP29" s="204"/>
      <c r="EQ29" s="204"/>
    </row>
    <row r="30" spans="1:147" s="10" customFormat="1">
      <c r="B30" s="207" t="s">
        <v>222</v>
      </c>
      <c r="C30" s="208"/>
      <c r="F30" s="170" t="s">
        <v>743</v>
      </c>
      <c r="G30" s="171" t="s">
        <v>544</v>
      </c>
      <c r="H30" s="172" t="s">
        <v>414</v>
      </c>
      <c r="L30" s="111"/>
      <c r="M30" s="111"/>
      <c r="N30" s="111"/>
      <c r="O30" s="111"/>
      <c r="P30" s="111"/>
      <c r="R30" s="10" t="s">
        <v>267</v>
      </c>
      <c r="S30" s="111"/>
      <c r="V30" s="140">
        <f>MODEL!BJ1416</f>
        <v>49481</v>
      </c>
      <c r="W30" s="140">
        <f>MODEL!BN1416</f>
        <v>52412</v>
      </c>
      <c r="X30" s="140">
        <f>MODEL!BR1416</f>
        <v>57878</v>
      </c>
      <c r="Y30" s="140">
        <f>MODEL!BV1416</f>
        <v>86768</v>
      </c>
      <c r="Z30" s="140">
        <f>MODEL!BZ1416</f>
        <v>97217</v>
      </c>
      <c r="AA30" s="140">
        <f>MODEL!CD1416</f>
        <v>98091</v>
      </c>
      <c r="AB30" s="763">
        <f>MODEL!CH1416</f>
        <v>105707</v>
      </c>
      <c r="AC30" s="763">
        <f>MODEL!CL1416</f>
        <v>110563</v>
      </c>
      <c r="AD30" s="763">
        <f>MODEL!CP1416</f>
        <v>110825</v>
      </c>
      <c r="AE30" s="763">
        <f>MODEL!CT1416</f>
        <v>113814</v>
      </c>
      <c r="AF30" s="763">
        <f>MODEL!CX1416</f>
        <v>120247.64982921022</v>
      </c>
      <c r="AG30" s="763">
        <f>MODEL!DB1416</f>
        <v>138307.58000000002</v>
      </c>
      <c r="AH30" s="1631">
        <f>INDEX(MODEL!1416:1416,MATCH(AH$5,MODEL!$7:$7,0))</f>
        <v>145699</v>
      </c>
      <c r="AI30" s="763">
        <f>INDEX(MODEL!1416:1416,MATCH(AI$5,MODEL!$7:$7,0))</f>
        <v>151040.94160310889</v>
      </c>
      <c r="AJ30" s="763">
        <f>INDEX(MODEL!1416:1416,MATCH(AJ$5,MODEL!$7:$7,0))</f>
        <v>159626.09181955867</v>
      </c>
      <c r="AK30" s="763">
        <f>INDEX(MODEL!1416:1416,MATCH(AK$5,MODEL!$7:$7,0))</f>
        <v>167073.61060564267</v>
      </c>
      <c r="AL30" s="140">
        <f t="shared" ref="AL30:CF30" si="119">+AL22*AL19</f>
        <v>173756.55502986838</v>
      </c>
      <c r="AM30" s="140">
        <f t="shared" si="119"/>
        <v>178969.25168076446</v>
      </c>
      <c r="AN30" s="140">
        <f t="shared" si="119"/>
        <v>184338.32923118738</v>
      </c>
      <c r="AO30" s="140">
        <f t="shared" si="119"/>
        <v>189868.47910812302</v>
      </c>
      <c r="AP30" s="140">
        <f t="shared" si="119"/>
        <v>195564.5334813667</v>
      </c>
      <c r="AQ30" s="140">
        <f t="shared" ref="AQ30:AR30" si="120">+AQ22*AQ19</f>
        <v>201431.46948580773</v>
      </c>
      <c r="AR30" s="140">
        <f t="shared" si="120"/>
        <v>207474.41357038196</v>
      </c>
      <c r="AS30" s="140">
        <f t="shared" si="119"/>
        <v>213698.64597749343</v>
      </c>
      <c r="AT30" s="140">
        <f t="shared" si="119"/>
        <v>220109.60535681824</v>
      </c>
      <c r="AU30" s="140">
        <f t="shared" si="119"/>
        <v>226712.89351752275</v>
      </c>
      <c r="AV30" s="140">
        <f t="shared" si="119"/>
        <v>233514.28032304847</v>
      </c>
      <c r="AW30" s="140">
        <f t="shared" si="119"/>
        <v>240519.70873273996</v>
      </c>
      <c r="AX30" s="140">
        <f>+AX22*AX19</f>
        <v>247735.29999472215</v>
      </c>
      <c r="AY30" s="140">
        <f t="shared" si="119"/>
        <v>255167.35899456384</v>
      </c>
      <c r="AZ30" s="140">
        <f t="shared" si="119"/>
        <v>262822.37976440077</v>
      </c>
      <c r="BA30" s="140">
        <f t="shared" si="119"/>
        <v>270707.05115733278</v>
      </c>
      <c r="BB30" s="140">
        <f t="shared" si="119"/>
        <v>278828.26269205275</v>
      </c>
      <c r="BC30" s="140">
        <f t="shared" si="119"/>
        <v>287193.11057281442</v>
      </c>
      <c r="BD30" s="140">
        <f t="shared" si="119"/>
        <v>295808.90388999879</v>
      </c>
      <c r="BE30" s="140">
        <f t="shared" si="119"/>
        <v>304683.1710066988</v>
      </c>
      <c r="BF30" s="140">
        <f t="shared" si="119"/>
        <v>313823.66613689973</v>
      </c>
      <c r="BG30" s="140">
        <f t="shared" si="119"/>
        <v>323238.37612100667</v>
      </c>
      <c r="BH30" s="140">
        <f t="shared" si="119"/>
        <v>332935.52740463684</v>
      </c>
      <c r="BI30" s="140">
        <f t="shared" si="119"/>
        <v>342923.59322677593</v>
      </c>
      <c r="BJ30" s="140">
        <f t="shared" si="119"/>
        <v>353211.30102357926</v>
      </c>
      <c r="BK30" s="140">
        <f t="shared" si="119"/>
        <v>363807.64005428663</v>
      </c>
      <c r="BL30" s="140">
        <f t="shared" si="119"/>
        <v>374721.86925591528</v>
      </c>
      <c r="BM30" s="140">
        <f t="shared" si="119"/>
        <v>385963.52533359267</v>
      </c>
      <c r="BN30" s="140">
        <f t="shared" si="119"/>
        <v>397542.43109360052</v>
      </c>
      <c r="BO30" s="140">
        <f t="shared" si="119"/>
        <v>409468.70402640855</v>
      </c>
      <c r="BP30" s="140">
        <f t="shared" si="119"/>
        <v>421752.76514720079</v>
      </c>
      <c r="BQ30" s="140">
        <f t="shared" si="119"/>
        <v>434405.34810161684</v>
      </c>
      <c r="BR30" s="140">
        <f t="shared" si="119"/>
        <v>447437.50854466541</v>
      </c>
      <c r="BS30" s="140">
        <f t="shared" si="119"/>
        <v>460860.63380100543</v>
      </c>
      <c r="BT30" s="140">
        <f t="shared" si="119"/>
        <v>474686.45281503553</v>
      </c>
      <c r="BU30" s="140">
        <f t="shared" si="119"/>
        <v>488927.04639948666</v>
      </c>
      <c r="BV30" s="140">
        <f t="shared" si="119"/>
        <v>503594.85779147124</v>
      </c>
      <c r="BW30" s="140">
        <f t="shared" si="119"/>
        <v>518702.70352521545</v>
      </c>
      <c r="BX30" s="140">
        <f t="shared" si="119"/>
        <v>534263.78463097184</v>
      </c>
      <c r="BY30" s="140">
        <f t="shared" si="119"/>
        <v>550291.69816990104</v>
      </c>
      <c r="BZ30" s="140">
        <f t="shared" si="119"/>
        <v>566800.4491149981</v>
      </c>
      <c r="CA30" s="140">
        <f t="shared" si="119"/>
        <v>583804.46258844796</v>
      </c>
      <c r="CB30" s="140">
        <f t="shared" si="119"/>
        <v>601318.59646610147</v>
      </c>
      <c r="CC30" s="140">
        <f t="shared" si="119"/>
        <v>619358.15436008456</v>
      </c>
      <c r="CD30" s="140">
        <f t="shared" si="119"/>
        <v>637938.89899088698</v>
      </c>
      <c r="CE30" s="140">
        <f t="shared" si="119"/>
        <v>657077.06596061366</v>
      </c>
      <c r="CF30" s="140">
        <f t="shared" si="119"/>
        <v>676789.37793943216</v>
      </c>
      <c r="CG30" s="140">
        <f t="shared" ref="CG30" si="121">+CG22*CG19</f>
        <v>697093.05927761516</v>
      </c>
      <c r="CH30" s="204"/>
      <c r="CI30" s="204"/>
      <c r="CJ30" s="204"/>
      <c r="CK30" s="204"/>
      <c r="CL30" s="204"/>
      <c r="CM30" s="204"/>
      <c r="CN30" s="204"/>
      <c r="CO30" s="204"/>
      <c r="CP30" s="204"/>
      <c r="CQ30" s="204"/>
      <c r="CR30" s="204"/>
      <c r="CS30" s="204"/>
      <c r="CT30" s="204"/>
      <c r="CU30" s="204"/>
      <c r="CV30" s="204"/>
      <c r="CW30" s="204"/>
      <c r="CX30" s="204"/>
      <c r="CY30" s="204"/>
      <c r="CZ30" s="204"/>
      <c r="DA30" s="204"/>
      <c r="DB30" s="204"/>
      <c r="DC30" s="204"/>
      <c r="DD30" s="204"/>
      <c r="DE30" s="204"/>
      <c r="DF30" s="204"/>
      <c r="DG30" s="204"/>
      <c r="DH30" s="204"/>
      <c r="DI30" s="204"/>
      <c r="DJ30" s="204"/>
      <c r="DK30" s="204"/>
      <c r="DL30" s="204"/>
      <c r="DM30" s="204"/>
      <c r="DN30" s="204"/>
      <c r="DO30" s="204"/>
      <c r="DP30" s="204"/>
      <c r="DQ30" s="204"/>
      <c r="DR30" s="204"/>
      <c r="DS30" s="204"/>
      <c r="DT30" s="204"/>
      <c r="DU30" s="204"/>
      <c r="DV30" s="204"/>
      <c r="DW30" s="204"/>
      <c r="DX30" s="204"/>
      <c r="DY30" s="204"/>
      <c r="DZ30" s="204"/>
      <c r="EA30" s="204"/>
      <c r="EB30" s="204"/>
      <c r="EC30" s="204"/>
      <c r="ED30" s="204"/>
      <c r="EE30" s="204"/>
      <c r="EF30" s="204"/>
      <c r="EG30" s="204"/>
      <c r="EH30" s="204"/>
      <c r="EI30" s="204"/>
      <c r="EJ30" s="204"/>
      <c r="EK30" s="204"/>
      <c r="EL30" s="204"/>
      <c r="EM30" s="204"/>
      <c r="EN30" s="204"/>
      <c r="EO30" s="204"/>
      <c r="EP30" s="204"/>
      <c r="EQ30" s="204"/>
    </row>
    <row r="31" spans="1:147" s="10" customFormat="1">
      <c r="B31" s="183"/>
      <c r="C31" s="148"/>
      <c r="F31" s="174" t="s">
        <v>275</v>
      </c>
      <c r="G31" s="136">
        <f ca="1">S133</f>
        <v>74103.026516161422</v>
      </c>
      <c r="H31" s="175">
        <f ca="1">+G31/$C$8</f>
        <v>24.837447727992718</v>
      </c>
      <c r="L31" s="111"/>
      <c r="M31" s="111"/>
      <c r="N31" s="111"/>
      <c r="O31" s="111"/>
      <c r="P31" s="111"/>
      <c r="R31" s="10" t="s">
        <v>748</v>
      </c>
      <c r="S31" s="111"/>
      <c r="V31" s="140">
        <f t="shared" ref="V31:AA31" si="122">+V36-V30</f>
        <v>289784</v>
      </c>
      <c r="W31" s="140">
        <f t="shared" si="122"/>
        <v>309117</v>
      </c>
      <c r="X31" s="140">
        <f t="shared" si="122"/>
        <v>344059</v>
      </c>
      <c r="Y31" s="140">
        <f t="shared" si="122"/>
        <v>321814</v>
      </c>
      <c r="Z31" s="140">
        <f t="shared" si="122"/>
        <v>293896</v>
      </c>
      <c r="AA31" s="140">
        <f t="shared" si="122"/>
        <v>292729</v>
      </c>
      <c r="AB31" s="763">
        <f>MODEL!CH1417</f>
        <v>238578</v>
      </c>
      <c r="AC31" s="763">
        <f>MODEL!CL1417</f>
        <v>235264</v>
      </c>
      <c r="AD31" s="763">
        <f>MODEL!CP1417</f>
        <v>222345</v>
      </c>
      <c r="AE31" s="763">
        <f>MODEL!CT1417</f>
        <v>235463</v>
      </c>
      <c r="AF31" s="763">
        <f>MODEL!CX1417</f>
        <v>222398.35017078978</v>
      </c>
      <c r="AG31" s="763">
        <f>MODEL!DB1417</f>
        <v>216578.41999999998</v>
      </c>
      <c r="AH31" s="1631">
        <f>INDEX(MODEL!1417:1417,MATCH(AH$5,MODEL!$7:$7,0))</f>
        <v>204399</v>
      </c>
      <c r="AI31" s="763">
        <f>INDEX(MODEL!1417:1417,MATCH(AI$5,MODEL!$7:$7,0))</f>
        <v>207850.32425506512</v>
      </c>
      <c r="AJ31" s="763">
        <f>INDEX(MODEL!1417:1417,MATCH(AJ$5,MODEL!$7:$7,0))</f>
        <v>214499.40251562814</v>
      </c>
      <c r="AK31" s="763">
        <f>INDEX(MODEL!1417:1417,MATCH(AK$5,MODEL!$7:$7,0))</f>
        <v>222086.32330870361</v>
      </c>
      <c r="AL31" s="140">
        <f t="shared" ref="AL31:CF31" si="123">+AL23*AL20</f>
        <v>231931.70647069952</v>
      </c>
      <c r="AM31" s="140">
        <f t="shared" si="123"/>
        <v>238889.65766482049</v>
      </c>
      <c r="AN31" s="140">
        <f t="shared" si="123"/>
        <v>246056.34739476509</v>
      </c>
      <c r="AO31" s="140">
        <f t="shared" si="123"/>
        <v>253438.03781660806</v>
      </c>
      <c r="AP31" s="140">
        <f t="shared" si="123"/>
        <v>261041.17895110633</v>
      </c>
      <c r="AQ31" s="140">
        <f t="shared" ref="AQ31:AR31" si="124">+AQ23*AQ20</f>
        <v>268872.41431963956</v>
      </c>
      <c r="AR31" s="140">
        <f t="shared" si="124"/>
        <v>276938.58674922871</v>
      </c>
      <c r="AS31" s="140">
        <f t="shared" si="123"/>
        <v>285246.74435170559</v>
      </c>
      <c r="AT31" s="140">
        <f t="shared" si="123"/>
        <v>293804.14668225677</v>
      </c>
      <c r="AU31" s="140">
        <f t="shared" si="123"/>
        <v>302618.27108272444</v>
      </c>
      <c r="AV31" s="140">
        <f t="shared" si="123"/>
        <v>311696.81921520614</v>
      </c>
      <c r="AW31" s="140">
        <f t="shared" si="123"/>
        <v>321047.72379166237</v>
      </c>
      <c r="AX31" s="140">
        <f t="shared" si="123"/>
        <v>330679.1555054122</v>
      </c>
      <c r="AY31" s="140">
        <f t="shared" si="123"/>
        <v>340599.53017057461</v>
      </c>
      <c r="AZ31" s="140">
        <f t="shared" si="123"/>
        <v>350817.51607569191</v>
      </c>
      <c r="BA31" s="140">
        <f t="shared" si="123"/>
        <v>361342.0415579626</v>
      </c>
      <c r="BB31" s="140">
        <f t="shared" si="123"/>
        <v>372182.30280470155</v>
      </c>
      <c r="BC31" s="140">
        <f t="shared" si="123"/>
        <v>383347.77188884257</v>
      </c>
      <c r="BD31" s="140">
        <f t="shared" si="123"/>
        <v>394848.20504550787</v>
      </c>
      <c r="BE31" s="140">
        <f t="shared" si="123"/>
        <v>406693.65119687322</v>
      </c>
      <c r="BF31" s="140">
        <f t="shared" si="123"/>
        <v>418894.46073277941</v>
      </c>
      <c r="BG31" s="140">
        <f t="shared" si="123"/>
        <v>431461.29455476278</v>
      </c>
      <c r="BH31" s="140">
        <f t="shared" si="123"/>
        <v>444405.13339140569</v>
      </c>
      <c r="BI31" s="140">
        <f t="shared" si="123"/>
        <v>457737.28739314782</v>
      </c>
      <c r="BJ31" s="140">
        <f t="shared" si="123"/>
        <v>471469.40601494233</v>
      </c>
      <c r="BK31" s="140">
        <f t="shared" si="123"/>
        <v>485613.48819539062</v>
      </c>
      <c r="BL31" s="140">
        <f t="shared" si="123"/>
        <v>500181.89284125238</v>
      </c>
      <c r="BM31" s="140">
        <f t="shared" si="123"/>
        <v>515187.34962648991</v>
      </c>
      <c r="BN31" s="140">
        <f t="shared" si="123"/>
        <v>530642.97011528467</v>
      </c>
      <c r="BO31" s="140">
        <f t="shared" si="123"/>
        <v>546562.25921874319</v>
      </c>
      <c r="BP31" s="140">
        <f t="shared" si="123"/>
        <v>562959.12699530553</v>
      </c>
      <c r="BQ31" s="140">
        <f t="shared" si="123"/>
        <v>579847.90080516471</v>
      </c>
      <c r="BR31" s="140">
        <f t="shared" si="123"/>
        <v>597243.33782931964</v>
      </c>
      <c r="BS31" s="140">
        <f t="shared" si="123"/>
        <v>615160.63796419918</v>
      </c>
      <c r="BT31" s="140">
        <f t="shared" si="123"/>
        <v>633615.45710312529</v>
      </c>
      <c r="BU31" s="140">
        <f t="shared" si="123"/>
        <v>652623.92081621918</v>
      </c>
      <c r="BV31" s="140">
        <f t="shared" si="123"/>
        <v>672202.63844070572</v>
      </c>
      <c r="BW31" s="140">
        <f t="shared" si="123"/>
        <v>692368.71759392694</v>
      </c>
      <c r="BX31" s="140">
        <f t="shared" si="123"/>
        <v>713139.7791217448</v>
      </c>
      <c r="BY31" s="140">
        <f t="shared" si="123"/>
        <v>734533.97249539709</v>
      </c>
      <c r="BZ31" s="140">
        <f t="shared" si="123"/>
        <v>756569.99167025904</v>
      </c>
      <c r="CA31" s="140">
        <f t="shared" si="123"/>
        <v>779267.09142036678</v>
      </c>
      <c r="CB31" s="140">
        <f t="shared" si="123"/>
        <v>802645.10416297778</v>
      </c>
      <c r="CC31" s="140">
        <f t="shared" si="123"/>
        <v>826724.45728786709</v>
      </c>
      <c r="CD31" s="140">
        <f t="shared" si="123"/>
        <v>851526.19100650307</v>
      </c>
      <c r="CE31" s="140">
        <f t="shared" si="123"/>
        <v>877071.97673669818</v>
      </c>
      <c r="CF31" s="140">
        <f t="shared" si="123"/>
        <v>903384.13603879919</v>
      </c>
      <c r="CG31" s="140">
        <f t="shared" ref="CG31" si="125">+CG23*CG20</f>
        <v>930485.66011996323</v>
      </c>
      <c r="CH31" s="147"/>
      <c r="CI31" s="147"/>
      <c r="CJ31" s="147"/>
      <c r="CK31" s="147"/>
      <c r="CL31" s="147"/>
      <c r="CM31" s="147"/>
      <c r="CN31" s="147"/>
      <c r="CO31" s="147"/>
      <c r="CP31" s="147"/>
      <c r="CQ31" s="147"/>
      <c r="CR31" s="147"/>
      <c r="CS31" s="147"/>
      <c r="CT31" s="147"/>
      <c r="CU31" s="147"/>
      <c r="CV31" s="147"/>
      <c r="CW31" s="147"/>
      <c r="CX31" s="147"/>
      <c r="CY31" s="147"/>
      <c r="CZ31" s="147"/>
      <c r="DA31" s="147"/>
      <c r="DB31" s="147"/>
      <c r="DC31" s="147"/>
      <c r="DD31" s="147"/>
      <c r="DE31" s="147"/>
      <c r="DF31" s="147"/>
      <c r="DG31" s="147"/>
      <c r="DH31" s="147"/>
      <c r="DI31" s="147"/>
      <c r="DJ31" s="147"/>
      <c r="DK31" s="147"/>
      <c r="DL31" s="147"/>
      <c r="DM31" s="147"/>
      <c r="DN31" s="147"/>
      <c r="DO31" s="147"/>
      <c r="DP31" s="147"/>
      <c r="DQ31" s="147"/>
      <c r="DR31" s="147"/>
      <c r="DS31" s="147"/>
      <c r="DT31" s="147"/>
      <c r="DU31" s="147"/>
      <c r="DV31" s="147"/>
      <c r="DW31" s="147"/>
      <c r="DX31" s="147"/>
      <c r="DY31" s="147"/>
      <c r="DZ31" s="147"/>
      <c r="EA31" s="147"/>
      <c r="EB31" s="147"/>
      <c r="EC31" s="147"/>
      <c r="ED31" s="147"/>
      <c r="EE31" s="147"/>
      <c r="EF31" s="147"/>
      <c r="EG31" s="147"/>
      <c r="EH31" s="147"/>
      <c r="EI31" s="147"/>
      <c r="EJ31" s="147"/>
      <c r="EK31" s="147"/>
      <c r="EL31" s="147"/>
      <c r="EM31" s="147"/>
      <c r="EN31" s="147"/>
      <c r="EO31" s="147"/>
      <c r="EP31" s="147"/>
      <c r="EQ31" s="147"/>
    </row>
    <row r="32" spans="1:147" s="10" customFormat="1">
      <c r="B32" s="127" t="s">
        <v>269</v>
      </c>
      <c r="C32" s="148"/>
      <c r="F32" s="174" t="s">
        <v>283</v>
      </c>
      <c r="G32" s="179">
        <v>0.03</v>
      </c>
      <c r="H32" s="180"/>
      <c r="I32" s="142"/>
      <c r="J32" s="142"/>
      <c r="K32" s="142"/>
      <c r="L32" s="233"/>
      <c r="M32" s="233"/>
      <c r="N32" s="233"/>
      <c r="O32" s="233"/>
      <c r="P32" s="233"/>
      <c r="Q32" s="142"/>
      <c r="R32" s="10" t="s">
        <v>385</v>
      </c>
      <c r="S32" s="111"/>
      <c r="V32" s="140"/>
      <c r="W32" s="140"/>
      <c r="X32" s="140"/>
      <c r="Y32" s="140"/>
      <c r="Z32" s="140"/>
      <c r="AA32" s="763">
        <f>MODEL!CD1418</f>
        <v>325490</v>
      </c>
      <c r="AB32" s="763">
        <f>MODEL!CH1418</f>
        <v>344285</v>
      </c>
      <c r="AC32" s="763">
        <f>MODEL!CL1418</f>
        <v>345827</v>
      </c>
      <c r="AD32" s="763">
        <f>MODEL!CP1418</f>
        <v>333170</v>
      </c>
      <c r="AE32" s="763">
        <f>MODEL!CT1418</f>
        <v>349277</v>
      </c>
      <c r="AF32" s="763">
        <f>MODEL!CX1418</f>
        <v>342646</v>
      </c>
      <c r="AG32" s="763">
        <f>MODEL!DB1418</f>
        <v>354886</v>
      </c>
      <c r="AH32" s="1631">
        <f>INDEX(MODEL!1418:1418,MATCH(AH$5,MODEL!$7:$7,0))</f>
        <v>350098</v>
      </c>
      <c r="AI32" s="763">
        <f>INDEX(MODEL!1418:1418,MATCH(AI$5,MODEL!$7:$7,0))</f>
        <v>358891.26585817401</v>
      </c>
      <c r="AJ32" s="763">
        <f>INDEX(MODEL!1418:1418,MATCH(AJ$5,MODEL!$7:$7,0))</f>
        <v>374125.49433518678</v>
      </c>
      <c r="AK32" s="763">
        <f>INDEX(MODEL!1418:1418,MATCH(AK$5,MODEL!$7:$7,0))</f>
        <v>389159.93391434627</v>
      </c>
      <c r="AL32" s="140">
        <f t="shared" ref="AL32:CF32" si="126">SUM(AL30:AL31)</f>
        <v>405688.2615005679</v>
      </c>
      <c r="AM32" s="140">
        <f t="shared" si="126"/>
        <v>417858.90934558492</v>
      </c>
      <c r="AN32" s="140">
        <f t="shared" si="126"/>
        <v>430394.67662595247</v>
      </c>
      <c r="AO32" s="140">
        <f t="shared" si="126"/>
        <v>443306.51692473108</v>
      </c>
      <c r="AP32" s="140">
        <f t="shared" si="126"/>
        <v>456605.71243247302</v>
      </c>
      <c r="AQ32" s="140">
        <f t="shared" ref="AQ32:AR32" si="127">SUM(AQ30:AQ31)</f>
        <v>470303.88380544726</v>
      </c>
      <c r="AR32" s="140">
        <f t="shared" si="127"/>
        <v>484413.0003196107</v>
      </c>
      <c r="AS32" s="140">
        <f t="shared" si="126"/>
        <v>498945.39032919903</v>
      </c>
      <c r="AT32" s="140">
        <f t="shared" si="126"/>
        <v>513913.75203907501</v>
      </c>
      <c r="AU32" s="140">
        <f t="shared" si="126"/>
        <v>529331.16460024717</v>
      </c>
      <c r="AV32" s="140">
        <f t="shared" si="126"/>
        <v>545211.09953825455</v>
      </c>
      <c r="AW32" s="140">
        <f t="shared" si="126"/>
        <v>561567.43252440239</v>
      </c>
      <c r="AX32" s="140">
        <f t="shared" si="126"/>
        <v>578414.45550013438</v>
      </c>
      <c r="AY32" s="140">
        <f t="shared" si="126"/>
        <v>595766.88916513848</v>
      </c>
      <c r="AZ32" s="140">
        <f t="shared" si="126"/>
        <v>613639.89584009268</v>
      </c>
      <c r="BA32" s="140">
        <f t="shared" si="126"/>
        <v>632049.09271529538</v>
      </c>
      <c r="BB32" s="140">
        <f t="shared" si="126"/>
        <v>651010.56549675437</v>
      </c>
      <c r="BC32" s="140">
        <f t="shared" si="126"/>
        <v>670540.88246165705</v>
      </c>
      <c r="BD32" s="140">
        <f t="shared" si="126"/>
        <v>690657.10893550667</v>
      </c>
      <c r="BE32" s="140">
        <f t="shared" si="126"/>
        <v>711376.82220357202</v>
      </c>
      <c r="BF32" s="140">
        <f t="shared" si="126"/>
        <v>732718.1268696792</v>
      </c>
      <c r="BG32" s="140">
        <f t="shared" si="126"/>
        <v>754699.67067576945</v>
      </c>
      <c r="BH32" s="140">
        <f t="shared" si="126"/>
        <v>777340.66079604253</v>
      </c>
      <c r="BI32" s="140">
        <f t="shared" si="126"/>
        <v>800660.88061992382</v>
      </c>
      <c r="BJ32" s="140">
        <f t="shared" si="126"/>
        <v>824680.70703852153</v>
      </c>
      <c r="BK32" s="140">
        <f t="shared" si="126"/>
        <v>849421.12824967725</v>
      </c>
      <c r="BL32" s="140">
        <f t="shared" si="126"/>
        <v>874903.76209716767</v>
      </c>
      <c r="BM32" s="140">
        <f t="shared" si="126"/>
        <v>901150.87496008258</v>
      </c>
      <c r="BN32" s="140">
        <f t="shared" si="126"/>
        <v>928185.40120888525</v>
      </c>
      <c r="BO32" s="140">
        <f t="shared" si="126"/>
        <v>956030.9632451518</v>
      </c>
      <c r="BP32" s="140">
        <f t="shared" si="126"/>
        <v>984711.89214250632</v>
      </c>
      <c r="BQ32" s="140">
        <f t="shared" si="126"/>
        <v>1014253.2489067815</v>
      </c>
      <c r="BR32" s="140">
        <f t="shared" si="126"/>
        <v>1044680.8463739851</v>
      </c>
      <c r="BS32" s="140">
        <f t="shared" si="126"/>
        <v>1076021.2717652046</v>
      </c>
      <c r="BT32" s="140">
        <f t="shared" si="126"/>
        <v>1108301.9099181609</v>
      </c>
      <c r="BU32" s="140">
        <f t="shared" si="126"/>
        <v>1141550.9672157059</v>
      </c>
      <c r="BV32" s="140">
        <f t="shared" si="126"/>
        <v>1175797.4962321769</v>
      </c>
      <c r="BW32" s="140">
        <f t="shared" si="126"/>
        <v>1211071.4211191423</v>
      </c>
      <c r="BX32" s="140">
        <f t="shared" si="126"/>
        <v>1247403.5637527166</v>
      </c>
      <c r="BY32" s="140">
        <f t="shared" si="126"/>
        <v>1284825.6706652981</v>
      </c>
      <c r="BZ32" s="140">
        <f t="shared" si="126"/>
        <v>1323370.4407852571</v>
      </c>
      <c r="CA32" s="140">
        <f t="shared" si="126"/>
        <v>1363071.5540088147</v>
      </c>
      <c r="CB32" s="140">
        <f t="shared" si="126"/>
        <v>1403963.7006290792</v>
      </c>
      <c r="CC32" s="140">
        <f t="shared" si="126"/>
        <v>1446082.6116479516</v>
      </c>
      <c r="CD32" s="140">
        <f t="shared" si="126"/>
        <v>1489465.0899973901</v>
      </c>
      <c r="CE32" s="140">
        <f t="shared" si="126"/>
        <v>1534149.0426973118</v>
      </c>
      <c r="CF32" s="140">
        <f t="shared" si="126"/>
        <v>1580173.5139782312</v>
      </c>
      <c r="CG32" s="140">
        <f t="shared" ref="CG32" si="128">SUM(CG30:CG31)</f>
        <v>1627578.7193975784</v>
      </c>
      <c r="CH32" s="178"/>
      <c r="CI32" s="178"/>
      <c r="CJ32" s="178"/>
      <c r="CK32" s="178"/>
      <c r="CL32" s="178"/>
      <c r="CM32" s="178"/>
      <c r="CN32" s="178"/>
      <c r="CO32" s="178"/>
      <c r="CP32" s="178"/>
      <c r="CQ32" s="178"/>
      <c r="CR32" s="178"/>
      <c r="CS32" s="178"/>
      <c r="CT32" s="178"/>
      <c r="CU32" s="178"/>
      <c r="CV32" s="178"/>
      <c r="CW32" s="178"/>
      <c r="CX32" s="178"/>
      <c r="CY32" s="178"/>
      <c r="CZ32" s="178"/>
      <c r="DA32" s="178"/>
      <c r="DB32" s="178"/>
      <c r="DC32" s="178"/>
      <c r="DD32" s="178"/>
      <c r="DE32" s="178"/>
      <c r="DF32" s="178"/>
      <c r="DG32" s="178"/>
      <c r="DH32" s="178"/>
      <c r="DI32" s="178"/>
      <c r="DJ32" s="178"/>
      <c r="DK32" s="178"/>
      <c r="DL32" s="178"/>
      <c r="DM32" s="178"/>
      <c r="DN32" s="178"/>
      <c r="DO32" s="178"/>
      <c r="DP32" s="178"/>
      <c r="DQ32" s="178"/>
      <c r="DR32" s="178"/>
      <c r="DS32" s="178"/>
      <c r="DT32" s="178"/>
      <c r="DU32" s="178"/>
      <c r="DV32" s="178"/>
      <c r="DW32" s="178"/>
      <c r="DX32" s="178"/>
      <c r="DY32" s="178"/>
      <c r="DZ32" s="178"/>
      <c r="EA32" s="178"/>
      <c r="EB32" s="178"/>
      <c r="EC32" s="178"/>
      <c r="ED32" s="178"/>
      <c r="EE32" s="178"/>
      <c r="EF32" s="178"/>
      <c r="EG32" s="178"/>
      <c r="EH32" s="178"/>
      <c r="EI32" s="178"/>
      <c r="EJ32" s="178"/>
      <c r="EK32" s="178"/>
      <c r="EL32" s="178"/>
      <c r="EM32" s="178"/>
      <c r="EN32" s="178"/>
      <c r="EO32" s="178"/>
      <c r="EP32" s="178"/>
      <c r="EQ32" s="178"/>
    </row>
    <row r="33" spans="2:147" s="10" customFormat="1">
      <c r="B33" s="135" t="s">
        <v>357</v>
      </c>
      <c r="C33" s="700">
        <v>10</v>
      </c>
      <c r="F33" s="174" t="s">
        <v>289</v>
      </c>
      <c r="G33" s="181">
        <f>1/($C$15/100-G32)*((1+$C$15/100)^-10)</f>
        <v>8.041553000670822</v>
      </c>
      <c r="H33" s="180"/>
      <c r="I33" s="189"/>
      <c r="J33" s="189"/>
      <c r="K33" s="189"/>
      <c r="L33" s="225"/>
      <c r="M33" s="225"/>
      <c r="N33" s="225"/>
      <c r="O33" s="225"/>
      <c r="P33" s="225"/>
      <c r="Q33" s="189"/>
      <c r="R33" s="10" t="s">
        <v>1001</v>
      </c>
      <c r="S33" s="111"/>
      <c r="V33" s="140"/>
      <c r="W33" s="140"/>
      <c r="X33" s="140"/>
      <c r="Y33" s="140"/>
      <c r="Z33" s="140"/>
      <c r="AA33" s="140">
        <f t="shared" ref="AA33:AE33" si="129">AA34-AA32</f>
        <v>12090</v>
      </c>
      <c r="AB33" s="140">
        <f t="shared" si="129"/>
        <v>13821</v>
      </c>
      <c r="AC33" s="140">
        <f t="shared" si="129"/>
        <v>14210</v>
      </c>
      <c r="AD33" s="140">
        <f t="shared" si="129"/>
        <v>9328</v>
      </c>
      <c r="AE33" s="140">
        <f t="shared" si="129"/>
        <v>10165</v>
      </c>
      <c r="AF33" s="140">
        <f t="shared" ref="AF33:AG33" si="130">AF34-AF32</f>
        <v>6395</v>
      </c>
      <c r="AG33" s="140">
        <f t="shared" si="130"/>
        <v>6299</v>
      </c>
      <c r="AH33" s="1632">
        <f t="shared" ref="AH33" si="131">AH34-AH32</f>
        <v>19485</v>
      </c>
      <c r="AI33" s="140">
        <f t="shared" ref="AI33" ca="1" si="132">AI34-AI32</f>
        <v>20038.583913612703</v>
      </c>
      <c r="AJ33" s="140">
        <f t="shared" ref="AJ33:AK33" ca="1" si="133">AJ34-AJ32</f>
        <v>20978.32652507833</v>
      </c>
      <c r="AK33" s="140">
        <f t="shared" ca="1" si="133"/>
        <v>21859.640812428028</v>
      </c>
      <c r="AL33" s="140">
        <f t="shared" ref="AL33:CF33" ca="1" si="134">AL21*AL24</f>
        <v>22788.111630556818</v>
      </c>
      <c r="AM33" s="140">
        <f t="shared" ca="1" si="134"/>
        <v>23471.754979473524</v>
      </c>
      <c r="AN33" s="140">
        <f t="shared" ca="1" si="134"/>
        <v>24175.907628857731</v>
      </c>
      <c r="AO33" s="140">
        <f t="shared" ca="1" si="134"/>
        <v>24901.184857723463</v>
      </c>
      <c r="AP33" s="140">
        <f t="shared" ca="1" si="134"/>
        <v>25648.220403455169</v>
      </c>
      <c r="AQ33" s="140">
        <f t="shared" ref="AQ33:AR33" ca="1" si="135">AQ21*AQ24</f>
        <v>26417.667015558825</v>
      </c>
      <c r="AR33" s="140">
        <f t="shared" ca="1" si="135"/>
        <v>27210.197026025588</v>
      </c>
      <c r="AS33" s="140">
        <f t="shared" ca="1" si="134"/>
        <v>28026.502936806359</v>
      </c>
      <c r="AT33" s="140">
        <f t="shared" ca="1" si="134"/>
        <v>28867.298024910549</v>
      </c>
      <c r="AU33" s="140">
        <f t="shared" ca="1" si="134"/>
        <v>29733.316965657865</v>
      </c>
      <c r="AV33" s="140">
        <f t="shared" ca="1" si="134"/>
        <v>30625.316474627602</v>
      </c>
      <c r="AW33" s="140">
        <f t="shared" ca="1" si="134"/>
        <v>31544.075968866429</v>
      </c>
      <c r="AX33" s="140">
        <f t="shared" ca="1" si="134"/>
        <v>32490.398247932419</v>
      </c>
      <c r="AY33" s="140">
        <f t="shared" ca="1" si="134"/>
        <v>33465.110195370398</v>
      </c>
      <c r="AZ33" s="140">
        <f t="shared" ca="1" si="134"/>
        <v>34469.063501231511</v>
      </c>
      <c r="BA33" s="140">
        <f t="shared" ca="1" si="134"/>
        <v>35503.135406268462</v>
      </c>
      <c r="BB33" s="140">
        <f t="shared" ca="1" si="134"/>
        <v>36568.229468456513</v>
      </c>
      <c r="BC33" s="140">
        <f t="shared" ca="1" si="134"/>
        <v>37665.276352510213</v>
      </c>
      <c r="BD33" s="140">
        <f t="shared" ca="1" si="134"/>
        <v>38795.234643085518</v>
      </c>
      <c r="BE33" s="140">
        <f t="shared" ca="1" si="134"/>
        <v>39959.091682378086</v>
      </c>
      <c r="BF33" s="140">
        <f t="shared" ca="1" si="134"/>
        <v>41157.864432849434</v>
      </c>
      <c r="BG33" s="140">
        <f t="shared" ca="1" si="134"/>
        <v>42392.600365834915</v>
      </c>
      <c r="BH33" s="140">
        <f t="shared" ca="1" si="134"/>
        <v>43664.37837680996</v>
      </c>
      <c r="BI33" s="140">
        <f t="shared" ca="1" si="134"/>
        <v>44974.309728114255</v>
      </c>
      <c r="BJ33" s="140">
        <f t="shared" ca="1" si="134"/>
        <v>46323.539019957687</v>
      </c>
      <c r="BK33" s="140">
        <f t="shared" ca="1" si="134"/>
        <v>47713.245190556416</v>
      </c>
      <c r="BL33" s="140">
        <f t="shared" ca="1" si="134"/>
        <v>49144.642546273113</v>
      </c>
      <c r="BM33" s="140">
        <f t="shared" ca="1" si="134"/>
        <v>50618.981822661306</v>
      </c>
      <c r="BN33" s="140">
        <f t="shared" ca="1" si="134"/>
        <v>52137.551277341146</v>
      </c>
      <c r="BO33" s="140">
        <f t="shared" ca="1" si="134"/>
        <v>53701.677815661387</v>
      </c>
      <c r="BP33" s="140">
        <f t="shared" ca="1" si="134"/>
        <v>55312.728150131225</v>
      </c>
      <c r="BQ33" s="140">
        <f t="shared" ca="1" si="134"/>
        <v>56972.109994635168</v>
      </c>
      <c r="BR33" s="140">
        <f t="shared" ca="1" si="134"/>
        <v>58681.273294474224</v>
      </c>
      <c r="BS33" s="140">
        <f t="shared" ca="1" si="134"/>
        <v>60441.711493308452</v>
      </c>
      <c r="BT33" s="140">
        <f t="shared" ca="1" si="134"/>
        <v>62254.962838107705</v>
      </c>
      <c r="BU33" s="140">
        <f t="shared" ca="1" si="134"/>
        <v>64122.611723250942</v>
      </c>
      <c r="BV33" s="140">
        <f t="shared" ca="1" si="134"/>
        <v>66046.290074948469</v>
      </c>
      <c r="BW33" s="140">
        <f t="shared" ca="1" si="134"/>
        <v>68027.678777196925</v>
      </c>
      <c r="BX33" s="140">
        <f t="shared" ca="1" si="134"/>
        <v>70068.509140512848</v>
      </c>
      <c r="BY33" s="140">
        <f t="shared" ca="1" si="134"/>
        <v>72170.564414728229</v>
      </c>
      <c r="BZ33" s="140">
        <f t="shared" ca="1" si="134"/>
        <v>74335.681347170088</v>
      </c>
      <c r="CA33" s="140">
        <f t="shared" ca="1" si="134"/>
        <v>76565.751787585163</v>
      </c>
      <c r="CB33" s="140">
        <f t="shared" ca="1" si="134"/>
        <v>78862.724341212728</v>
      </c>
      <c r="CC33" s="140">
        <f t="shared" ca="1" si="134"/>
        <v>81228.606071449132</v>
      </c>
      <c r="CD33" s="140">
        <f t="shared" ca="1" si="134"/>
        <v>83665.464253592581</v>
      </c>
      <c r="CE33" s="140">
        <f t="shared" ca="1" si="134"/>
        <v>86175.428181200361</v>
      </c>
      <c r="CF33" s="140">
        <f t="shared" ca="1" si="134"/>
        <v>88760.691026636399</v>
      </c>
      <c r="CG33" s="140">
        <f t="shared" ref="CG33" ca="1" si="136">CG21*CG24</f>
        <v>91423.511757435481</v>
      </c>
      <c r="CH33" s="140"/>
      <c r="CI33" s="140"/>
      <c r="CJ33" s="140"/>
      <c r="CK33" s="140"/>
      <c r="CL33" s="140"/>
      <c r="CM33" s="140"/>
      <c r="CN33" s="140"/>
      <c r="CO33" s="140"/>
      <c r="CP33" s="140"/>
      <c r="CQ33" s="140"/>
      <c r="CR33" s="140"/>
      <c r="CS33" s="140"/>
      <c r="CT33" s="140"/>
      <c r="CU33" s="140"/>
      <c r="CV33" s="140"/>
      <c r="CW33" s="140"/>
      <c r="CX33" s="140"/>
      <c r="CY33" s="140"/>
      <c r="CZ33" s="140"/>
      <c r="DA33" s="140"/>
      <c r="DB33" s="140"/>
      <c r="DC33" s="140"/>
      <c r="DD33" s="140"/>
      <c r="DE33" s="140"/>
      <c r="DF33" s="140"/>
      <c r="DG33" s="140"/>
      <c r="DH33" s="140"/>
      <c r="DI33" s="140"/>
      <c r="DJ33" s="140"/>
      <c r="DK33" s="140"/>
      <c r="DL33" s="140"/>
      <c r="DM33" s="140"/>
      <c r="DN33" s="140"/>
      <c r="DO33" s="140"/>
      <c r="DP33" s="140"/>
      <c r="DQ33" s="140"/>
      <c r="DR33" s="140"/>
      <c r="DS33" s="140"/>
      <c r="DT33" s="140"/>
      <c r="DU33" s="140"/>
      <c r="DV33" s="140"/>
      <c r="DW33" s="140"/>
      <c r="DX33" s="140"/>
      <c r="DY33" s="140"/>
      <c r="DZ33" s="140"/>
      <c r="EA33" s="140"/>
      <c r="EB33" s="140"/>
      <c r="EC33" s="140"/>
      <c r="ED33" s="140"/>
      <c r="EE33" s="140"/>
      <c r="EF33" s="140"/>
      <c r="EG33" s="140"/>
      <c r="EH33" s="140"/>
      <c r="EI33" s="140"/>
      <c r="EJ33" s="140"/>
      <c r="EK33" s="140"/>
      <c r="EL33" s="140"/>
      <c r="EM33" s="140"/>
      <c r="EN33" s="140"/>
      <c r="EO33" s="140"/>
      <c r="EP33" s="140"/>
      <c r="EQ33" s="140"/>
    </row>
    <row r="34" spans="2:147" s="10" customFormat="1">
      <c r="B34" s="211" t="s">
        <v>333</v>
      </c>
      <c r="C34" s="697">
        <f ca="1">AVERAGE(AC38:AP38)</f>
        <v>0.12152497867944924</v>
      </c>
      <c r="F34" s="174" t="s">
        <v>274</v>
      </c>
      <c r="G34" s="136">
        <f>+G33*AC130</f>
        <v>28764.635083399531</v>
      </c>
      <c r="H34" s="175">
        <f>+G34/$C$8</f>
        <v>9.6411732946279347</v>
      </c>
      <c r="I34" s="142"/>
      <c r="J34" s="142"/>
      <c r="K34" s="142"/>
      <c r="L34" s="233"/>
      <c r="M34" s="233"/>
      <c r="N34" s="233"/>
      <c r="O34" s="233"/>
      <c r="P34" s="233"/>
      <c r="Q34" s="142"/>
      <c r="R34" s="10" t="s">
        <v>535</v>
      </c>
      <c r="S34" s="111"/>
      <c r="V34" s="140"/>
      <c r="W34" s="140"/>
      <c r="X34" s="140"/>
      <c r="Y34" s="140"/>
      <c r="Z34" s="140"/>
      <c r="AA34" s="763">
        <f>MODEL!CD1422</f>
        <v>337580</v>
      </c>
      <c r="AB34" s="763">
        <f>MODEL!CH1422</f>
        <v>358106</v>
      </c>
      <c r="AC34" s="763">
        <f>MODEL!CL1422</f>
        <v>360037</v>
      </c>
      <c r="AD34" s="763">
        <f>MODEL!CP1422</f>
        <v>342498</v>
      </c>
      <c r="AE34" s="763">
        <f>MODEL!CT1422</f>
        <v>359442</v>
      </c>
      <c r="AF34" s="763">
        <f>MODEL!CX1422</f>
        <v>349041</v>
      </c>
      <c r="AG34" s="763">
        <f>MODEL!DB1422</f>
        <v>361185</v>
      </c>
      <c r="AH34" s="1631">
        <f>INDEX(MODEL!1422:1422,MATCH(AH$5,MODEL!$7:$7,0))</f>
        <v>369583</v>
      </c>
      <c r="AI34" s="763">
        <f ca="1">INDEX(MODEL!1422:1422,MATCH(AI$5,MODEL!$7:$7,0))</f>
        <v>378929.84977178671</v>
      </c>
      <c r="AJ34" s="763">
        <f ca="1">INDEX(MODEL!1422:1422,MATCH(AJ$5,MODEL!$7:$7,0))</f>
        <v>395103.82086026511</v>
      </c>
      <c r="AK34" s="763">
        <f ca="1">INDEX(MODEL!1422:1422,MATCH(AK$5,MODEL!$7:$7,0))</f>
        <v>411019.5747267743</v>
      </c>
      <c r="AL34" s="140">
        <f t="shared" ref="AL34:CF34" ca="1" si="137">SUM(AL32:AL33)</f>
        <v>428476.37313112471</v>
      </c>
      <c r="AM34" s="140">
        <f t="shared" ca="1" si="137"/>
        <v>441330.66432505846</v>
      </c>
      <c r="AN34" s="140">
        <f t="shared" ca="1" si="137"/>
        <v>454570.58425481018</v>
      </c>
      <c r="AO34" s="140">
        <f t="shared" ca="1" si="137"/>
        <v>468207.70178245456</v>
      </c>
      <c r="AP34" s="140">
        <f t="shared" ca="1" si="137"/>
        <v>482253.93283592816</v>
      </c>
      <c r="AQ34" s="140">
        <f t="shared" ref="AQ34:AR34" ca="1" si="138">SUM(AQ32:AQ33)</f>
        <v>496721.55082100607</v>
      </c>
      <c r="AR34" s="140">
        <f t="shared" ca="1" si="138"/>
        <v>511623.19734563626</v>
      </c>
      <c r="AS34" s="140">
        <f t="shared" ca="1" si="137"/>
        <v>526971.89326600544</v>
      </c>
      <c r="AT34" s="140">
        <f t="shared" ca="1" si="137"/>
        <v>542781.05006398552</v>
      </c>
      <c r="AU34" s="140">
        <f t="shared" ca="1" si="137"/>
        <v>559064.48156590504</v>
      </c>
      <c r="AV34" s="140">
        <f t="shared" ca="1" si="137"/>
        <v>575836.41601288214</v>
      </c>
      <c r="AW34" s="140">
        <f t="shared" ca="1" si="137"/>
        <v>593111.50849326886</v>
      </c>
      <c r="AX34" s="140">
        <f t="shared" ca="1" si="137"/>
        <v>610904.85374806682</v>
      </c>
      <c r="AY34" s="140">
        <f t="shared" ca="1" si="137"/>
        <v>629231.99936050887</v>
      </c>
      <c r="AZ34" s="140">
        <f t="shared" ca="1" si="137"/>
        <v>648108.95934132417</v>
      </c>
      <c r="BA34" s="140">
        <f t="shared" ca="1" si="137"/>
        <v>667552.22812156379</v>
      </c>
      <c r="BB34" s="140">
        <f t="shared" ca="1" si="137"/>
        <v>687578.79496521084</v>
      </c>
      <c r="BC34" s="140">
        <f t="shared" ca="1" si="137"/>
        <v>708206.15881416725</v>
      </c>
      <c r="BD34" s="140">
        <f t="shared" ca="1" si="137"/>
        <v>729452.34357859218</v>
      </c>
      <c r="BE34" s="140">
        <f t="shared" ca="1" si="137"/>
        <v>751335.91388595011</v>
      </c>
      <c r="BF34" s="140">
        <f t="shared" ca="1" si="137"/>
        <v>773875.99130252865</v>
      </c>
      <c r="BG34" s="140">
        <f t="shared" ca="1" si="137"/>
        <v>797092.27104160434</v>
      </c>
      <c r="BH34" s="140">
        <f t="shared" ca="1" si="137"/>
        <v>821005.03917285253</v>
      </c>
      <c r="BI34" s="140">
        <f t="shared" ca="1" si="137"/>
        <v>845635.1903480381</v>
      </c>
      <c r="BJ34" s="140">
        <f t="shared" ca="1" si="137"/>
        <v>871004.24605847918</v>
      </c>
      <c r="BK34" s="140">
        <f t="shared" ca="1" si="137"/>
        <v>897134.37344023364</v>
      </c>
      <c r="BL34" s="140">
        <f t="shared" ca="1" si="137"/>
        <v>924048.40464344074</v>
      </c>
      <c r="BM34" s="140">
        <f t="shared" ca="1" si="137"/>
        <v>951769.85678274394</v>
      </c>
      <c r="BN34" s="140">
        <f t="shared" ca="1" si="137"/>
        <v>980322.95248622634</v>
      </c>
      <c r="BO34" s="140">
        <f t="shared" ca="1" si="137"/>
        <v>1009732.6410608132</v>
      </c>
      <c r="BP34" s="140">
        <f t="shared" ca="1" si="137"/>
        <v>1040024.6202926375</v>
      </c>
      <c r="BQ34" s="140">
        <f t="shared" ca="1" si="137"/>
        <v>1071225.3589014167</v>
      </c>
      <c r="BR34" s="140">
        <f t="shared" ca="1" si="137"/>
        <v>1103362.1196684593</v>
      </c>
      <c r="BS34" s="140">
        <f t="shared" ca="1" si="137"/>
        <v>1136462.983258513</v>
      </c>
      <c r="BT34" s="140">
        <f t="shared" ca="1" si="137"/>
        <v>1170556.8727562686</v>
      </c>
      <c r="BU34" s="140">
        <f t="shared" ca="1" si="137"/>
        <v>1205673.5789389568</v>
      </c>
      <c r="BV34" s="140">
        <f t="shared" ca="1" si="137"/>
        <v>1241843.7863071254</v>
      </c>
      <c r="BW34" s="140">
        <f t="shared" ca="1" si="137"/>
        <v>1279099.0998963392</v>
      </c>
      <c r="BX34" s="140">
        <f t="shared" ca="1" si="137"/>
        <v>1317472.0728932295</v>
      </c>
      <c r="BY34" s="140">
        <f t="shared" ca="1" si="137"/>
        <v>1356996.2350800263</v>
      </c>
      <c r="BZ34" s="140">
        <f t="shared" ca="1" si="137"/>
        <v>1397706.1221324273</v>
      </c>
      <c r="CA34" s="140">
        <f t="shared" ca="1" si="137"/>
        <v>1439637.3057963999</v>
      </c>
      <c r="CB34" s="140">
        <f t="shared" ca="1" si="137"/>
        <v>1482826.424970292</v>
      </c>
      <c r="CC34" s="140">
        <f t="shared" ca="1" si="137"/>
        <v>1527311.2177194008</v>
      </c>
      <c r="CD34" s="140">
        <f t="shared" ca="1" si="137"/>
        <v>1573130.5542509826</v>
      </c>
      <c r="CE34" s="140">
        <f t="shared" ca="1" si="137"/>
        <v>1620324.4708785121</v>
      </c>
      <c r="CF34" s="140">
        <f t="shared" ca="1" si="137"/>
        <v>1668934.2050048676</v>
      </c>
      <c r="CG34" s="140">
        <f t="shared" ref="CG34" ca="1" si="139">SUM(CG32:CG33)</f>
        <v>1719002.2311550139</v>
      </c>
      <c r="CH34" s="140"/>
      <c r="CI34" s="140"/>
      <c r="CJ34" s="140"/>
      <c r="CK34" s="140"/>
      <c r="CL34" s="140"/>
      <c r="CM34" s="140"/>
      <c r="CN34" s="140"/>
      <c r="CO34" s="140"/>
      <c r="CP34" s="140"/>
      <c r="CQ34" s="140"/>
      <c r="CR34" s="140"/>
      <c r="CS34" s="140"/>
      <c r="CT34" s="140"/>
      <c r="CU34" s="140"/>
      <c r="CV34" s="140"/>
      <c r="CW34" s="140"/>
      <c r="CX34" s="140"/>
      <c r="CY34" s="140"/>
      <c r="CZ34" s="140"/>
      <c r="DA34" s="140"/>
      <c r="DB34" s="140"/>
      <c r="DC34" s="140"/>
      <c r="DD34" s="140"/>
      <c r="DE34" s="140"/>
      <c r="DF34" s="140"/>
      <c r="DG34" s="140"/>
      <c r="DH34" s="140"/>
      <c r="DI34" s="140"/>
      <c r="DJ34" s="140"/>
      <c r="DK34" s="140"/>
      <c r="DL34" s="140"/>
      <c r="DM34" s="140"/>
      <c r="DN34" s="140"/>
      <c r="DO34" s="140"/>
      <c r="DP34" s="140"/>
      <c r="DQ34" s="140"/>
      <c r="DR34" s="140"/>
      <c r="DS34" s="140"/>
      <c r="DT34" s="140"/>
      <c r="DU34" s="140"/>
      <c r="DV34" s="140"/>
      <c r="DW34" s="140"/>
      <c r="DX34" s="140"/>
      <c r="DY34" s="140"/>
      <c r="DZ34" s="140"/>
      <c r="EA34" s="140"/>
      <c r="EB34" s="140"/>
      <c r="EC34" s="140"/>
      <c r="ED34" s="140"/>
      <c r="EE34" s="140"/>
      <c r="EF34" s="140"/>
      <c r="EG34" s="140"/>
      <c r="EH34" s="140"/>
      <c r="EI34" s="140"/>
      <c r="EJ34" s="140"/>
      <c r="EK34" s="140"/>
      <c r="EL34" s="140"/>
      <c r="EM34" s="140"/>
      <c r="EN34" s="140"/>
      <c r="EO34" s="140"/>
      <c r="EP34" s="140"/>
      <c r="EQ34" s="140"/>
    </row>
    <row r="35" spans="2:147" s="10" customFormat="1" ht="13.8" thickBot="1">
      <c r="B35" s="211" t="s">
        <v>335</v>
      </c>
      <c r="C35" s="698">
        <f ca="1">AVERAGE(AC16:AP16)</f>
        <v>4.0519499501668076E-2</v>
      </c>
      <c r="F35" s="186" t="s">
        <v>436</v>
      </c>
      <c r="G35" s="187">
        <f ca="1">+G34+G31</f>
        <v>102867.66159956096</v>
      </c>
      <c r="H35" s="188">
        <f ca="1">+G35/$C$8</f>
        <v>34.478621022620658</v>
      </c>
      <c r="I35" s="189"/>
      <c r="J35" s="189"/>
      <c r="K35" s="189"/>
      <c r="L35" s="225"/>
      <c r="M35" s="225"/>
      <c r="N35" s="225"/>
      <c r="O35" s="225"/>
      <c r="P35" s="225"/>
      <c r="Q35" s="189"/>
      <c r="R35" s="10" t="s">
        <v>988</v>
      </c>
      <c r="S35" s="111"/>
      <c r="V35" s="140"/>
      <c r="W35" s="140"/>
      <c r="X35" s="140"/>
      <c r="Y35" s="140"/>
      <c r="Z35" s="140"/>
      <c r="AA35" s="140">
        <f t="shared" ref="AA35:AE35" si="140">AA36-AA34</f>
        <v>53240</v>
      </c>
      <c r="AB35" s="140">
        <f t="shared" si="140"/>
        <v>58855</v>
      </c>
      <c r="AC35" s="140">
        <f t="shared" si="140"/>
        <v>69347</v>
      </c>
      <c r="AD35" s="140">
        <f t="shared" si="140"/>
        <v>73588</v>
      </c>
      <c r="AE35" s="140">
        <f t="shared" si="140"/>
        <v>95276</v>
      </c>
      <c r="AF35" s="140">
        <f t="shared" ref="AF35:AG35" si="141">AF36-AF34</f>
        <v>84286</v>
      </c>
      <c r="AG35" s="140">
        <f t="shared" si="141"/>
        <v>85397</v>
      </c>
      <c r="AH35" s="1632">
        <f t="shared" ref="AH35" si="142">AH36-AH34</f>
        <v>88964</v>
      </c>
      <c r="AI35" s="140">
        <f t="shared" ref="AI35" ca="1" si="143">AI36-AI34</f>
        <v>98128.138011657051</v>
      </c>
      <c r="AJ35" s="140">
        <f t="shared" ref="AJ35:AK35" ca="1" si="144">AJ36-AJ34</f>
        <v>97787.056521656923</v>
      </c>
      <c r="AK35" s="140">
        <f t="shared" ca="1" si="144"/>
        <v>101752.59673184669</v>
      </c>
      <c r="AL35" s="140">
        <f t="shared" ref="AL35:CF35" ca="1" si="145">AL26*AL15</f>
        <v>105209.21824224226</v>
      </c>
      <c r="AM35" s="140">
        <f t="shared" ca="1" si="145"/>
        <v>108365.49478950954</v>
      </c>
      <c r="AN35" s="140">
        <f t="shared" ca="1" si="145"/>
        <v>111616.45963319484</v>
      </c>
      <c r="AO35" s="140">
        <f t="shared" ca="1" si="145"/>
        <v>114964.95342219069</v>
      </c>
      <c r="AP35" s="140">
        <f t="shared" ca="1" si="145"/>
        <v>118413.90202485643</v>
      </c>
      <c r="AQ35" s="140">
        <f t="shared" ref="AQ35:AR35" ca="1" si="146">AQ26*AQ15</f>
        <v>121966.31908560212</v>
      </c>
      <c r="AR35" s="140">
        <f t="shared" ca="1" si="146"/>
        <v>125625.30865817016</v>
      </c>
      <c r="AS35" s="140">
        <f t="shared" ca="1" si="145"/>
        <v>129394.06791791528</v>
      </c>
      <c r="AT35" s="140">
        <f t="shared" ca="1" si="145"/>
        <v>133275.88995545276</v>
      </c>
      <c r="AU35" s="140">
        <f t="shared" ca="1" si="145"/>
        <v>137274.16665411633</v>
      </c>
      <c r="AV35" s="140">
        <f t="shared" ca="1" si="145"/>
        <v>141392.39165373982</v>
      </c>
      <c r="AW35" s="140">
        <f t="shared" ca="1" si="145"/>
        <v>145634.16340335205</v>
      </c>
      <c r="AX35" s="140">
        <f t="shared" ca="1" si="145"/>
        <v>150003.18830545258</v>
      </c>
      <c r="AY35" s="140">
        <f t="shared" ca="1" si="145"/>
        <v>154503.28395461617</v>
      </c>
      <c r="AZ35" s="140">
        <f t="shared" ca="1" si="145"/>
        <v>159138.38247325469</v>
      </c>
      <c r="BA35" s="140">
        <f t="shared" ca="1" si="145"/>
        <v>163912.53394745232</v>
      </c>
      <c r="BB35" s="140">
        <f t="shared" ca="1" si="145"/>
        <v>168829.90996587588</v>
      </c>
      <c r="BC35" s="140">
        <f t="shared" ca="1" si="145"/>
        <v>173894.80726485219</v>
      </c>
      <c r="BD35" s="140">
        <f t="shared" ca="1" si="145"/>
        <v>179111.65148279775</v>
      </c>
      <c r="BE35" s="140">
        <f t="shared" ca="1" si="145"/>
        <v>184485.00102728169</v>
      </c>
      <c r="BF35" s="140">
        <f t="shared" ca="1" si="145"/>
        <v>190019.55105810013</v>
      </c>
      <c r="BG35" s="140">
        <f t="shared" ca="1" si="145"/>
        <v>195720.13758984313</v>
      </c>
      <c r="BH35" s="140">
        <f t="shared" ca="1" si="145"/>
        <v>201591.74171753845</v>
      </c>
      <c r="BI35" s="140">
        <f t="shared" ca="1" si="145"/>
        <v>207639.49396906458</v>
      </c>
      <c r="BJ35" s="140">
        <f t="shared" ca="1" si="145"/>
        <v>213868.67878813652</v>
      </c>
      <c r="BK35" s="140">
        <f t="shared" ca="1" si="145"/>
        <v>220284.73915178064</v>
      </c>
      <c r="BL35" s="140">
        <f t="shared" ca="1" si="145"/>
        <v>226893.28132633408</v>
      </c>
      <c r="BM35" s="140">
        <f t="shared" ca="1" si="145"/>
        <v>233700.07976612408</v>
      </c>
      <c r="BN35" s="140">
        <f t="shared" ca="1" si="145"/>
        <v>240711.08215910781</v>
      </c>
      <c r="BO35" s="140">
        <f t="shared" ca="1" si="145"/>
        <v>247932.41462388105</v>
      </c>
      <c r="BP35" s="140">
        <f t="shared" ca="1" si="145"/>
        <v>255370.38706259747</v>
      </c>
      <c r="BQ35" s="140">
        <f t="shared" ca="1" si="145"/>
        <v>263031.49867447541</v>
      </c>
      <c r="BR35" s="140">
        <f t="shared" ca="1" si="145"/>
        <v>270922.44363470969</v>
      </c>
      <c r="BS35" s="140">
        <f t="shared" ca="1" si="145"/>
        <v>279050.116943751</v>
      </c>
      <c r="BT35" s="140">
        <f t="shared" ca="1" si="145"/>
        <v>287421.62045206351</v>
      </c>
      <c r="BU35" s="140">
        <f t="shared" ca="1" si="145"/>
        <v>296044.26906562544</v>
      </c>
      <c r="BV35" s="140">
        <f t="shared" ca="1" si="145"/>
        <v>304925.59713759419</v>
      </c>
      <c r="BW35" s="140">
        <f t="shared" ca="1" si="145"/>
        <v>314073.3650517221</v>
      </c>
      <c r="BX35" s="140">
        <f t="shared" ca="1" si="145"/>
        <v>323495.56600327371</v>
      </c>
      <c r="BY35" s="140">
        <f t="shared" ca="1" si="145"/>
        <v>333200.43298337195</v>
      </c>
      <c r="BZ35" s="140">
        <f t="shared" ca="1" si="145"/>
        <v>343196.44597287313</v>
      </c>
      <c r="CA35" s="140">
        <f t="shared" ca="1" si="145"/>
        <v>353492.33935205935</v>
      </c>
      <c r="CB35" s="140">
        <f t="shared" ca="1" si="145"/>
        <v>364097.10953262105</v>
      </c>
      <c r="CC35" s="140">
        <f t="shared" ca="1" si="145"/>
        <v>375020.02281859971</v>
      </c>
      <c r="CD35" s="140">
        <f t="shared" ca="1" si="145"/>
        <v>386270.62350315769</v>
      </c>
      <c r="CE35" s="140">
        <f t="shared" ca="1" si="145"/>
        <v>397858.74220825243</v>
      </c>
      <c r="CF35" s="140">
        <f t="shared" ca="1" si="145"/>
        <v>409794.50447450002</v>
      </c>
      <c r="CG35" s="140">
        <f t="shared" ref="CG35" ca="1" si="147">CG26*CG15</f>
        <v>422088.33960873506</v>
      </c>
      <c r="CH35" s="140"/>
      <c r="CI35" s="140"/>
      <c r="CJ35" s="140"/>
      <c r="CK35" s="140"/>
      <c r="CL35" s="140"/>
      <c r="CM35" s="140"/>
      <c r="CN35" s="140"/>
      <c r="CO35" s="140"/>
      <c r="CP35" s="140"/>
      <c r="CQ35" s="140"/>
      <c r="CR35" s="140"/>
      <c r="CS35" s="140"/>
      <c r="CT35" s="140"/>
      <c r="CU35" s="140"/>
      <c r="CV35" s="140"/>
      <c r="CW35" s="140"/>
      <c r="CX35" s="140"/>
      <c r="CY35" s="140"/>
      <c r="CZ35" s="140"/>
      <c r="DA35" s="140"/>
      <c r="DB35" s="140"/>
      <c r="DC35" s="140"/>
      <c r="DD35" s="140"/>
      <c r="DE35" s="140"/>
      <c r="DF35" s="140"/>
      <c r="DG35" s="140"/>
      <c r="DH35" s="140"/>
      <c r="DI35" s="140"/>
      <c r="DJ35" s="140"/>
      <c r="DK35" s="140"/>
      <c r="DL35" s="140"/>
      <c r="DM35" s="140"/>
      <c r="DN35" s="140"/>
      <c r="DO35" s="140"/>
      <c r="DP35" s="140"/>
      <c r="DQ35" s="140"/>
      <c r="DR35" s="140"/>
      <c r="DS35" s="140"/>
      <c r="DT35" s="140"/>
      <c r="DU35" s="140"/>
      <c r="DV35" s="140"/>
      <c r="DW35" s="140"/>
      <c r="DX35" s="140"/>
      <c r="DY35" s="140"/>
      <c r="DZ35" s="140"/>
      <c r="EA35" s="140"/>
      <c r="EB35" s="140"/>
      <c r="EC35" s="140"/>
      <c r="ED35" s="140"/>
      <c r="EE35" s="140"/>
      <c r="EF35" s="140"/>
      <c r="EG35" s="140"/>
      <c r="EH35" s="140"/>
      <c r="EI35" s="140"/>
      <c r="EJ35" s="140"/>
      <c r="EK35" s="140"/>
      <c r="EL35" s="140"/>
      <c r="EM35" s="140"/>
      <c r="EN35" s="140"/>
      <c r="EO35" s="140"/>
      <c r="EP35" s="140"/>
      <c r="EQ35" s="140"/>
    </row>
    <row r="36" spans="2:147" s="10" customFormat="1">
      <c r="B36" s="211" t="s">
        <v>336</v>
      </c>
      <c r="C36" s="698">
        <f ca="1">AVERAGE(AC29:AP29)</f>
        <v>0.3715040830168217</v>
      </c>
      <c r="F36" s="174" t="s">
        <v>158</v>
      </c>
      <c r="G36" s="191"/>
      <c r="H36" s="192">
        <f ca="1">ROUND(H35*(1+$C$15/100)-$C$6,1)</f>
        <v>35.700000000000003</v>
      </c>
      <c r="I36" s="142"/>
      <c r="J36" s="142"/>
      <c r="K36" s="142"/>
      <c r="L36" s="233"/>
      <c r="M36" s="233"/>
      <c r="N36" s="233"/>
      <c r="O36" s="233"/>
      <c r="P36" s="233"/>
      <c r="Q36" s="142"/>
      <c r="R36" s="113" t="s">
        <v>485</v>
      </c>
      <c r="S36" s="294"/>
      <c r="T36" s="168"/>
      <c r="U36" s="168"/>
      <c r="V36" s="169">
        <f>MODEL!BJ1407</f>
        <v>339265</v>
      </c>
      <c r="W36" s="169">
        <f>MODEL!BN1407</f>
        <v>361529</v>
      </c>
      <c r="X36" s="169">
        <f>MODEL!BR1407</f>
        <v>401937</v>
      </c>
      <c r="Y36" s="169">
        <f>MODEL!BV1407</f>
        <v>408582</v>
      </c>
      <c r="Z36" s="169">
        <f>MODEL!BZ1407</f>
        <v>391113</v>
      </c>
      <c r="AA36" s="963">
        <f>MODEL!CD1407</f>
        <v>390820</v>
      </c>
      <c r="AB36" s="765">
        <f>MODEL!CH1407</f>
        <v>416961</v>
      </c>
      <c r="AC36" s="765">
        <f>MODEL!CL1407</f>
        <v>429384</v>
      </c>
      <c r="AD36" s="765">
        <f>MODEL!CP1407</f>
        <v>416086</v>
      </c>
      <c r="AE36" s="765">
        <f>MODEL!CT1407</f>
        <v>454718</v>
      </c>
      <c r="AF36" s="765">
        <f>MODEL!CX1407</f>
        <v>433327</v>
      </c>
      <c r="AG36" s="765">
        <f>MODEL!DB1407</f>
        <v>446582</v>
      </c>
      <c r="AH36" s="1633">
        <f>INDEX(MODEL!1407:1407,MATCH(AH$5,MODEL!$7:$7,0))</f>
        <v>458547</v>
      </c>
      <c r="AI36" s="1623">
        <f ca="1">INDEX(MODEL!1407:1407,MATCH(AI$5,MODEL!$7:$7,0))</f>
        <v>477057.98778344376</v>
      </c>
      <c r="AJ36" s="1623">
        <f ca="1">INDEX(MODEL!1407:1407,MATCH(AJ$5,MODEL!$7:$7,0))</f>
        <v>492890.87738192204</v>
      </c>
      <c r="AK36" s="1623">
        <f ca="1">INDEX(MODEL!1407:1407,MATCH(AK$5,MODEL!$7:$7,0))</f>
        <v>512772.17145862099</v>
      </c>
      <c r="AL36" s="169">
        <f t="shared" ref="AL36:CF36" ca="1" si="148">SUM(AL34:AL35)</f>
        <v>533685.591373367</v>
      </c>
      <c r="AM36" s="169">
        <f t="shared" ca="1" si="148"/>
        <v>549696.15911456803</v>
      </c>
      <c r="AN36" s="169">
        <f t="shared" ca="1" si="148"/>
        <v>566187.04388800496</v>
      </c>
      <c r="AO36" s="169">
        <f t="shared" ca="1" si="148"/>
        <v>583172.65520464524</v>
      </c>
      <c r="AP36" s="169">
        <f t="shared" ca="1" si="148"/>
        <v>600667.83486078458</v>
      </c>
      <c r="AQ36" s="169">
        <f t="shared" ref="AQ36:AR36" ca="1" si="149">SUM(AQ34:AQ35)</f>
        <v>618687.86990660825</v>
      </c>
      <c r="AR36" s="169">
        <f t="shared" ca="1" si="149"/>
        <v>637248.50600380637</v>
      </c>
      <c r="AS36" s="169">
        <f t="shared" ca="1" si="148"/>
        <v>656365.96118392074</v>
      </c>
      <c r="AT36" s="169">
        <f t="shared" ca="1" si="148"/>
        <v>676056.94001943828</v>
      </c>
      <c r="AU36" s="169">
        <f t="shared" ca="1" si="148"/>
        <v>696338.64822002139</v>
      </c>
      <c r="AV36" s="169">
        <f t="shared" ca="1" si="148"/>
        <v>717228.80766662199</v>
      </c>
      <c r="AW36" s="169">
        <f t="shared" ca="1" si="148"/>
        <v>738745.67189662089</v>
      </c>
      <c r="AX36" s="169">
        <f t="shared" ca="1" si="148"/>
        <v>760908.0420535194</v>
      </c>
      <c r="AY36" s="169">
        <f t="shared" ca="1" si="148"/>
        <v>783735.28331512504</v>
      </c>
      <c r="AZ36" s="169">
        <f t="shared" ca="1" si="148"/>
        <v>807247.34181457886</v>
      </c>
      <c r="BA36" s="169">
        <f t="shared" ca="1" si="148"/>
        <v>831464.76206901611</v>
      </c>
      <c r="BB36" s="169">
        <f t="shared" ca="1" si="148"/>
        <v>856408.70493108674</v>
      </c>
      <c r="BC36" s="169">
        <f t="shared" ca="1" si="148"/>
        <v>882100.96607901948</v>
      </c>
      <c r="BD36" s="169">
        <f t="shared" ca="1" si="148"/>
        <v>908563.99506138987</v>
      </c>
      <c r="BE36" s="169">
        <f t="shared" ca="1" si="148"/>
        <v>935820.91491323174</v>
      </c>
      <c r="BF36" s="169">
        <f t="shared" ca="1" si="148"/>
        <v>963895.54236062872</v>
      </c>
      <c r="BG36" s="169">
        <f t="shared" ca="1" si="148"/>
        <v>992812.40863144747</v>
      </c>
      <c r="BH36" s="169">
        <f t="shared" ca="1" si="148"/>
        <v>1022596.780890391</v>
      </c>
      <c r="BI36" s="169">
        <f t="shared" ca="1" si="148"/>
        <v>1053274.6843171027</v>
      </c>
      <c r="BJ36" s="169">
        <f t="shared" ca="1" si="148"/>
        <v>1084872.9248466156</v>
      </c>
      <c r="BK36" s="169">
        <f t="shared" ca="1" si="148"/>
        <v>1117419.1125920143</v>
      </c>
      <c r="BL36" s="169">
        <f t="shared" ca="1" si="148"/>
        <v>1150941.6859697748</v>
      </c>
      <c r="BM36" s="169">
        <f t="shared" ca="1" si="148"/>
        <v>1185469.936548868</v>
      </c>
      <c r="BN36" s="169">
        <f t="shared" ca="1" si="148"/>
        <v>1221034.0346453341</v>
      </c>
      <c r="BO36" s="169">
        <f t="shared" ca="1" si="148"/>
        <v>1257665.0556846943</v>
      </c>
      <c r="BP36" s="169">
        <f t="shared" ca="1" si="148"/>
        <v>1295395.0073552351</v>
      </c>
      <c r="BQ36" s="169">
        <f t="shared" ca="1" si="148"/>
        <v>1334256.857575892</v>
      </c>
      <c r="BR36" s="169">
        <f t="shared" ca="1" si="148"/>
        <v>1374284.5633031689</v>
      </c>
      <c r="BS36" s="169">
        <f t="shared" ca="1" si="148"/>
        <v>1415513.100202264</v>
      </c>
      <c r="BT36" s="169">
        <f t="shared" ca="1" si="148"/>
        <v>1457978.493208332</v>
      </c>
      <c r="BU36" s="169">
        <f t="shared" ca="1" si="148"/>
        <v>1501717.8480045823</v>
      </c>
      <c r="BV36" s="169">
        <f t="shared" ca="1" si="148"/>
        <v>1546769.3834447195</v>
      </c>
      <c r="BW36" s="169">
        <f t="shared" ca="1" si="148"/>
        <v>1593172.4649480614</v>
      </c>
      <c r="BX36" s="169">
        <f t="shared" ca="1" si="148"/>
        <v>1640967.6388965033</v>
      </c>
      <c r="BY36" s="169">
        <f t="shared" ca="1" si="148"/>
        <v>1690196.6680633982</v>
      </c>
      <c r="BZ36" s="169">
        <f t="shared" ca="1" si="148"/>
        <v>1740902.5681053004</v>
      </c>
      <c r="CA36" s="169">
        <f t="shared" ca="1" si="148"/>
        <v>1793129.6451484594</v>
      </c>
      <c r="CB36" s="169">
        <f t="shared" ca="1" si="148"/>
        <v>1846923.534502913</v>
      </c>
      <c r="CC36" s="169">
        <f t="shared" ca="1" si="148"/>
        <v>1902331.2405380006</v>
      </c>
      <c r="CD36" s="169">
        <f t="shared" ca="1" si="148"/>
        <v>1959401.1777541402</v>
      </c>
      <c r="CE36" s="169">
        <f t="shared" ca="1" si="148"/>
        <v>2018183.2130867646</v>
      </c>
      <c r="CF36" s="169">
        <f t="shared" ca="1" si="148"/>
        <v>2078728.7094793676</v>
      </c>
      <c r="CG36" s="169">
        <f t="shared" ref="CG36" ca="1" si="150">SUM(CG34:CG35)</f>
        <v>2141090.5707637491</v>
      </c>
      <c r="CH36" s="204"/>
      <c r="CI36" s="204"/>
      <c r="CJ36" s="204"/>
      <c r="CK36" s="204"/>
      <c r="CL36" s="204"/>
      <c r="CM36" s="204"/>
      <c r="CN36" s="204"/>
      <c r="CO36" s="204"/>
      <c r="CP36" s="204"/>
      <c r="CQ36" s="204"/>
      <c r="CR36" s="204"/>
      <c r="CS36" s="204"/>
      <c r="CT36" s="204"/>
      <c r="CU36" s="204"/>
      <c r="CV36" s="204"/>
      <c r="CW36" s="204"/>
      <c r="CX36" s="204"/>
      <c r="CY36" s="204"/>
      <c r="CZ36" s="204"/>
      <c r="DA36" s="204"/>
      <c r="DB36" s="204"/>
      <c r="DC36" s="204"/>
      <c r="DD36" s="204"/>
      <c r="DE36" s="204"/>
      <c r="DF36" s="204"/>
      <c r="DG36" s="204"/>
      <c r="DH36" s="204"/>
      <c r="DI36" s="204"/>
      <c r="DJ36" s="204"/>
      <c r="DK36" s="204"/>
      <c r="DL36" s="204"/>
      <c r="DM36" s="204"/>
      <c r="DN36" s="204"/>
      <c r="DO36" s="204"/>
      <c r="DP36" s="204"/>
      <c r="DQ36" s="204"/>
      <c r="DR36" s="204"/>
      <c r="DS36" s="204"/>
      <c r="DT36" s="204"/>
      <c r="DU36" s="204"/>
      <c r="DV36" s="204"/>
      <c r="DW36" s="204"/>
      <c r="DX36" s="204"/>
      <c r="DY36" s="204"/>
      <c r="DZ36" s="204"/>
      <c r="EA36" s="204"/>
      <c r="EB36" s="204"/>
      <c r="EC36" s="204"/>
      <c r="ED36" s="204"/>
      <c r="EE36" s="204"/>
      <c r="EF36" s="204"/>
      <c r="EG36" s="204"/>
      <c r="EH36" s="204"/>
      <c r="EI36" s="204"/>
      <c r="EJ36" s="204"/>
      <c r="EK36" s="204"/>
      <c r="EL36" s="204"/>
      <c r="EM36" s="204"/>
      <c r="EN36" s="204"/>
      <c r="EO36" s="204"/>
      <c r="EP36" s="204"/>
      <c r="EQ36" s="204"/>
    </row>
    <row r="37" spans="2:147" s="10" customFormat="1">
      <c r="B37" s="211" t="s">
        <v>301</v>
      </c>
      <c r="C37" s="697">
        <f ca="1">AVERAGE(AC66:AP66)</f>
        <v>8.6296990443857462E-3</v>
      </c>
      <c r="F37" s="195" t="s">
        <v>156</v>
      </c>
      <c r="G37" s="196"/>
      <c r="H37" s="197">
        <f ca="1">(H36+$C$6)/$C$7-1</f>
        <v>-7.2614622057001199E-2</v>
      </c>
      <c r="I37" s="198"/>
      <c r="J37" s="198"/>
      <c r="K37" s="198"/>
      <c r="L37" s="262"/>
      <c r="M37" s="262"/>
      <c r="N37" s="262"/>
      <c r="O37" s="262"/>
      <c r="P37" s="262"/>
      <c r="Q37" s="198"/>
      <c r="R37" s="924" t="s">
        <v>700</v>
      </c>
      <c r="S37" s="295"/>
      <c r="T37" s="248"/>
      <c r="U37" s="248"/>
      <c r="V37" s="280"/>
      <c r="W37" s="281"/>
      <c r="X37" s="281"/>
      <c r="Y37" s="281"/>
      <c r="Z37" s="281"/>
      <c r="AA37" s="281"/>
      <c r="AB37" s="280"/>
      <c r="AC37" s="280"/>
      <c r="AD37" s="280"/>
      <c r="AE37" s="280"/>
      <c r="AF37" s="280"/>
      <c r="AG37" s="280"/>
      <c r="AH37" s="1639"/>
      <c r="AI37" s="280"/>
      <c r="AJ37" s="280"/>
      <c r="AK37" s="280"/>
      <c r="AL37" s="280"/>
      <c r="AM37" s="280"/>
      <c r="AN37" s="280"/>
      <c r="AO37" s="280"/>
      <c r="AP37" s="280"/>
      <c r="AQ37" s="280"/>
      <c r="AR37" s="280"/>
      <c r="AS37" s="280"/>
      <c r="AT37" s="280"/>
      <c r="AU37" s="280"/>
      <c r="AV37" s="280"/>
      <c r="AW37" s="280"/>
      <c r="AX37" s="280"/>
      <c r="AY37" s="280"/>
      <c r="AZ37" s="280"/>
      <c r="BA37" s="280"/>
      <c r="BB37" s="280"/>
      <c r="BC37" s="280"/>
      <c r="BD37" s="280"/>
      <c r="BE37" s="280"/>
      <c r="BF37" s="280"/>
      <c r="BG37" s="280"/>
      <c r="BH37" s="280"/>
      <c r="BI37" s="280"/>
      <c r="BJ37" s="280"/>
      <c r="BK37" s="280"/>
      <c r="BL37" s="280"/>
      <c r="BM37" s="280"/>
      <c r="BN37" s="280"/>
      <c r="BO37" s="280"/>
      <c r="BP37" s="280"/>
      <c r="BQ37" s="280"/>
      <c r="BR37" s="280"/>
      <c r="BS37" s="280"/>
      <c r="BT37" s="280"/>
      <c r="BU37" s="280"/>
      <c r="BV37" s="280"/>
      <c r="BW37" s="280"/>
      <c r="BX37" s="280"/>
      <c r="BY37" s="280"/>
      <c r="BZ37" s="280"/>
      <c r="CA37" s="280"/>
      <c r="CB37" s="280"/>
      <c r="CC37" s="280"/>
      <c r="CD37" s="280"/>
      <c r="CE37" s="280"/>
      <c r="CF37" s="280"/>
      <c r="CG37" s="280"/>
      <c r="CH37" s="204"/>
      <c r="CI37" s="204"/>
      <c r="CJ37" s="204"/>
      <c r="CK37" s="204"/>
      <c r="CL37" s="204"/>
      <c r="CM37" s="204"/>
      <c r="CN37" s="204"/>
      <c r="CO37" s="204"/>
      <c r="CP37" s="204"/>
      <c r="CQ37" s="204"/>
      <c r="CR37" s="204"/>
      <c r="CS37" s="204"/>
      <c r="CT37" s="204"/>
      <c r="CU37" s="204"/>
      <c r="CV37" s="204"/>
      <c r="CW37" s="204"/>
      <c r="CX37" s="204"/>
      <c r="CY37" s="204"/>
      <c r="CZ37" s="204"/>
      <c r="DA37" s="204"/>
      <c r="DB37" s="204"/>
      <c r="DC37" s="204"/>
      <c r="DD37" s="204"/>
      <c r="DE37" s="204"/>
      <c r="DF37" s="204"/>
      <c r="DG37" s="204"/>
      <c r="DH37" s="204"/>
      <c r="DI37" s="204"/>
      <c r="DJ37" s="204"/>
      <c r="DK37" s="204"/>
      <c r="DL37" s="204"/>
      <c r="DM37" s="204"/>
      <c r="DN37" s="204"/>
      <c r="DO37" s="204"/>
      <c r="DP37" s="204"/>
      <c r="DQ37" s="204"/>
      <c r="DR37" s="204"/>
      <c r="DS37" s="204"/>
      <c r="DT37" s="204"/>
      <c r="DU37" s="204"/>
      <c r="DV37" s="204"/>
      <c r="DW37" s="204"/>
      <c r="DX37" s="204"/>
      <c r="DY37" s="204"/>
      <c r="DZ37" s="204"/>
      <c r="EA37" s="204"/>
      <c r="EB37" s="204"/>
      <c r="EC37" s="204"/>
      <c r="ED37" s="204"/>
      <c r="EE37" s="204"/>
      <c r="EF37" s="204"/>
      <c r="EG37" s="204"/>
      <c r="EH37" s="204"/>
      <c r="EI37" s="204"/>
      <c r="EJ37" s="204"/>
      <c r="EK37" s="204"/>
      <c r="EL37" s="204"/>
      <c r="EM37" s="204"/>
      <c r="EN37" s="204"/>
      <c r="EO37" s="204"/>
      <c r="EP37" s="204"/>
      <c r="EQ37" s="204"/>
    </row>
    <row r="38" spans="2:147" s="10" customFormat="1">
      <c r="B38" s="211" t="s">
        <v>337</v>
      </c>
      <c r="C38" s="697">
        <f>AVERAGE(AC78:AP78)</f>
        <v>-1.0889131791052679E-3</v>
      </c>
      <c r="G38" s="111"/>
      <c r="H38" s="111"/>
      <c r="L38" s="111"/>
      <c r="M38" s="1556">
        <f>AVERAGE(AE38,AF38,AG38)</f>
        <v>0.12607103940741213</v>
      </c>
      <c r="N38" s="1555">
        <f ca="1">AVERAGE(AH38:AK38)</f>
        <v>0.12271051214477634</v>
      </c>
      <c r="O38" s="1555">
        <f ca="1">AVERAGE(AH38:AR38)</f>
        <v>0.12045615548009141</v>
      </c>
      <c r="P38" s="1555">
        <f ca="1">AL38</f>
        <v>0.11887280012476485</v>
      </c>
      <c r="R38" s="113" t="s">
        <v>749</v>
      </c>
      <c r="S38" s="294"/>
      <c r="T38" s="168"/>
      <c r="U38" s="168"/>
      <c r="V38" s="200">
        <f t="shared" ref="V38:BG38" si="151">+V39/V36</f>
        <v>8.482749473125728E-2</v>
      </c>
      <c r="W38" s="200">
        <f t="shared" si="151"/>
        <v>8.7893364017824299E-2</v>
      </c>
      <c r="X38" s="200">
        <f t="shared" si="151"/>
        <v>9.5850842296180738E-2</v>
      </c>
      <c r="Y38" s="200">
        <f t="shared" si="151"/>
        <v>9.610555531080664E-2</v>
      </c>
      <c r="Z38" s="200">
        <f t="shared" si="151"/>
        <v>0.10568812593802814</v>
      </c>
      <c r="AA38" s="200">
        <f t="shared" si="151"/>
        <v>0.11435187554372857</v>
      </c>
      <c r="AB38" s="200">
        <f t="shared" si="151"/>
        <v>0.11357177289962371</v>
      </c>
      <c r="AC38" s="200">
        <f t="shared" si="151"/>
        <v>0.11342295008663573</v>
      </c>
      <c r="AD38" s="200">
        <f t="shared" si="151"/>
        <v>0.12343361708877491</v>
      </c>
      <c r="AE38" s="200">
        <f t="shared" ref="AE38:AH38" si="152">+AE39/AE36</f>
        <v>0.12287175788070848</v>
      </c>
      <c r="AF38" s="200">
        <f t="shared" si="152"/>
        <v>0.13337271852434765</v>
      </c>
      <c r="AG38" s="200">
        <f t="shared" si="152"/>
        <v>0.12196864181718027</v>
      </c>
      <c r="AH38" s="1640">
        <f t="shared" si="152"/>
        <v>0.12034535173057506</v>
      </c>
      <c r="AI38" s="200">
        <f t="shared" ref="AI38" ca="1" si="153">+AI39/AI36</f>
        <v>0.12416047323567664</v>
      </c>
      <c r="AJ38" s="200">
        <f t="shared" ref="AJ38:AK38" ca="1" si="154">+AJ39/AJ36</f>
        <v>0.12397303500389423</v>
      </c>
      <c r="AK38" s="200">
        <f t="shared" ca="1" si="154"/>
        <v>0.12236318860895939</v>
      </c>
      <c r="AL38" s="200">
        <f t="shared" ca="1" si="151"/>
        <v>0.11887280012476485</v>
      </c>
      <c r="AM38" s="200">
        <f t="shared" ca="1" si="151"/>
        <v>0.11942778373366943</v>
      </c>
      <c r="AN38" s="200">
        <f t="shared" ca="1" si="151"/>
        <v>0.11950177307645943</v>
      </c>
      <c r="AO38" s="200">
        <f t="shared" ca="1" si="151"/>
        <v>0.11888611224291967</v>
      </c>
      <c r="AP38" s="200">
        <f t="shared" ca="1" si="151"/>
        <v>0.11874949835772365</v>
      </c>
      <c r="AQ38" s="200">
        <f t="shared" ref="AQ38:AR38" ca="1" si="155">+AQ39/AQ36</f>
        <v>0.11932113655644896</v>
      </c>
      <c r="AR38" s="200">
        <f t="shared" ca="1" si="155"/>
        <v>0.11941655760991393</v>
      </c>
      <c r="AS38" s="200">
        <f t="shared" ca="1" si="151"/>
        <v>0.11920719587601943</v>
      </c>
      <c r="AT38" s="200">
        <f t="shared" ca="1" si="151"/>
        <v>0.11915820245062865</v>
      </c>
      <c r="AU38" s="200">
        <f t="shared" ca="1" si="151"/>
        <v>0.11914673733860996</v>
      </c>
      <c r="AV38" s="200">
        <f t="shared" ca="1" si="151"/>
        <v>0.11914405435017729</v>
      </c>
      <c r="AW38" s="200">
        <f t="shared" ca="1" si="151"/>
        <v>0.11914342649526243</v>
      </c>
      <c r="AX38" s="200">
        <f t="shared" ca="1" si="151"/>
        <v>0.11910598759332429</v>
      </c>
      <c r="AY38" s="200">
        <f t="shared" ca="1" si="151"/>
        <v>0.11905995785445357</v>
      </c>
      <c r="AZ38" s="200">
        <f t="shared" ca="1" si="151"/>
        <v>0.11901194924930021</v>
      </c>
      <c r="BA38" s="200">
        <f t="shared" ca="1" si="151"/>
        <v>0.11896350885539052</v>
      </c>
      <c r="BB38" s="200">
        <f t="shared" ca="1" si="151"/>
        <v>0.11891499814638366</v>
      </c>
      <c r="BC38" s="200">
        <f t="shared" ca="1" si="151"/>
        <v>0.11886650143851674</v>
      </c>
      <c r="BD38" s="200">
        <f t="shared" ca="1" si="151"/>
        <v>0.11881803834419737</v>
      </c>
      <c r="BE38" s="200">
        <f t="shared" ca="1" si="151"/>
        <v>0.11876961339073257</v>
      </c>
      <c r="BF38" s="200">
        <f t="shared" ca="1" si="151"/>
        <v>0.11872122759325578</v>
      </c>
      <c r="BG38" s="200">
        <f t="shared" ca="1" si="151"/>
        <v>0.11867288115032992</v>
      </c>
      <c r="BH38" s="200">
        <f t="shared" ref="BH38:CF38" ca="1" si="156">+BH39/BH36</f>
        <v>0.11862457407097009</v>
      </c>
      <c r="BI38" s="200">
        <f t="shared" ca="1" si="156"/>
        <v>0.11857630632029818</v>
      </c>
      <c r="BJ38" s="200">
        <f t="shared" ca="1" si="156"/>
        <v>0.11852807785333165</v>
      </c>
      <c r="BK38" s="200">
        <f t="shared" ca="1" si="156"/>
        <v>0.11847988862281134</v>
      </c>
      <c r="BL38" s="200">
        <f t="shared" ca="1" si="156"/>
        <v>0.11843173858101243</v>
      </c>
      <c r="BM38" s="200">
        <f t="shared" ca="1" si="156"/>
        <v>0.11838362768016263</v>
      </c>
      <c r="BN38" s="200">
        <f t="shared" ca="1" si="156"/>
        <v>0.11833555587253836</v>
      </c>
      <c r="BO38" s="200">
        <f t="shared" ca="1" si="156"/>
        <v>0.11828752311048719</v>
      </c>
      <c r="BP38" s="200">
        <f t="shared" ca="1" si="156"/>
        <v>0.11823952934643267</v>
      </c>
      <c r="BQ38" s="200">
        <f t="shared" ca="1" si="156"/>
        <v>0.1181915745328751</v>
      </c>
      <c r="BR38" s="200">
        <f t="shared" ca="1" si="156"/>
        <v>0.11814365862239193</v>
      </c>
      <c r="BS38" s="200">
        <f t="shared" ca="1" si="156"/>
        <v>0.11809578156763771</v>
      </c>
      <c r="BT38" s="200">
        <f t="shared" ca="1" si="156"/>
        <v>0.1180479433213437</v>
      </c>
      <c r="BU38" s="200">
        <f t="shared" ca="1" si="156"/>
        <v>0.11800014383631782</v>
      </c>
      <c r="BV38" s="200">
        <f t="shared" ca="1" si="156"/>
        <v>0.11795238306544469</v>
      </c>
      <c r="BW38" s="200">
        <f t="shared" ca="1" si="156"/>
        <v>0.11790466096168498</v>
      </c>
      <c r="BX38" s="200">
        <f t="shared" ca="1" si="156"/>
        <v>0.1178569774780759</v>
      </c>
      <c r="BY38" s="200">
        <f t="shared" ca="1" si="156"/>
        <v>0.11780933256773056</v>
      </c>
      <c r="BZ38" s="200">
        <f t="shared" ca="1" si="156"/>
        <v>0.11776172618383796</v>
      </c>
      <c r="CA38" s="200">
        <f t="shared" ca="1" si="156"/>
        <v>0.11771415827966299</v>
      </c>
      <c r="CB38" s="200">
        <f t="shared" ca="1" si="156"/>
        <v>0.11766662880854595</v>
      </c>
      <c r="CC38" s="200">
        <f t="shared" ca="1" si="156"/>
        <v>0.11761913772390266</v>
      </c>
      <c r="CD38" s="200">
        <f t="shared" ca="1" si="156"/>
        <v>0.11757168497922442</v>
      </c>
      <c r="CE38" s="200">
        <f t="shared" ca="1" si="156"/>
        <v>0.11752427052807728</v>
      </c>
      <c r="CF38" s="200">
        <f t="shared" ca="1" si="156"/>
        <v>0.11747689432410267</v>
      </c>
      <c r="CG38" s="200">
        <f t="shared" ref="CG38" ca="1" si="157">+CG39/CG36</f>
        <v>0.11741161016497989</v>
      </c>
      <c r="CH38" s="204"/>
      <c r="CI38" s="204"/>
      <c r="CJ38" s="204"/>
      <c r="CK38" s="204"/>
      <c r="CL38" s="204"/>
      <c r="CM38" s="204"/>
      <c r="CN38" s="204"/>
      <c r="CO38" s="204"/>
      <c r="CP38" s="204"/>
      <c r="CQ38" s="204"/>
      <c r="CR38" s="204"/>
      <c r="CS38" s="204"/>
      <c r="CT38" s="204"/>
      <c r="CU38" s="204"/>
      <c r="CV38" s="204"/>
      <c r="CW38" s="204"/>
      <c r="CX38" s="204"/>
      <c r="CY38" s="204"/>
      <c r="CZ38" s="204"/>
      <c r="DA38" s="204"/>
      <c r="DB38" s="204"/>
      <c r="DC38" s="204"/>
      <c r="DD38" s="204"/>
      <c r="DE38" s="204"/>
      <c r="DF38" s="204"/>
      <c r="DG38" s="204"/>
      <c r="DH38" s="204"/>
      <c r="DI38" s="204"/>
      <c r="DJ38" s="204"/>
      <c r="DK38" s="204"/>
      <c r="DL38" s="204"/>
      <c r="DM38" s="204"/>
      <c r="DN38" s="204"/>
      <c r="DO38" s="204"/>
      <c r="DP38" s="204"/>
      <c r="DQ38" s="204"/>
      <c r="DR38" s="204"/>
      <c r="DS38" s="204"/>
      <c r="DT38" s="204"/>
      <c r="DU38" s="204"/>
      <c r="DV38" s="204"/>
      <c r="DW38" s="204"/>
      <c r="DX38" s="204"/>
      <c r="DY38" s="204"/>
      <c r="DZ38" s="204"/>
      <c r="EA38" s="204"/>
      <c r="EB38" s="204"/>
      <c r="EC38" s="204"/>
      <c r="ED38" s="204"/>
      <c r="EE38" s="204"/>
      <c r="EF38" s="204"/>
      <c r="EG38" s="204"/>
      <c r="EH38" s="204"/>
      <c r="EI38" s="204"/>
      <c r="EJ38" s="204"/>
      <c r="EK38" s="204"/>
      <c r="EL38" s="204"/>
      <c r="EM38" s="204"/>
      <c r="EN38" s="204"/>
      <c r="EO38" s="204"/>
      <c r="EP38" s="204"/>
      <c r="EQ38" s="204"/>
    </row>
    <row r="39" spans="2:147" s="10" customFormat="1">
      <c r="B39" s="211" t="s">
        <v>494</v>
      </c>
      <c r="C39" s="697">
        <f ca="1">AVERAGE(AC68:AP68)</f>
        <v>5.5511296875214505E-3</v>
      </c>
      <c r="D39" s="11"/>
      <c r="E39" s="17"/>
      <c r="F39" s="202" t="s">
        <v>276</v>
      </c>
      <c r="G39" s="171" t="s">
        <v>544</v>
      </c>
      <c r="H39" s="172" t="s">
        <v>414</v>
      </c>
      <c r="I39" s="17"/>
      <c r="J39" s="17"/>
      <c r="K39" s="17"/>
      <c r="L39" s="1547"/>
      <c r="M39" s="1547"/>
      <c r="N39" s="1547"/>
      <c r="O39" s="1547"/>
      <c r="P39" s="1547"/>
      <c r="Q39" s="17"/>
      <c r="R39" s="182" t="s">
        <v>751</v>
      </c>
      <c r="S39" s="296"/>
      <c r="T39" s="203"/>
      <c r="U39" s="203"/>
      <c r="V39" s="204">
        <f>MODEL!BJ1301</f>
        <v>28779</v>
      </c>
      <c r="W39" s="204">
        <f>MODEL!BN1301</f>
        <v>31776</v>
      </c>
      <c r="X39" s="204">
        <f>MODEL!BR1301</f>
        <v>38526</v>
      </c>
      <c r="Y39" s="204">
        <f>MODEL!BV1301</f>
        <v>39267</v>
      </c>
      <c r="Z39" s="204">
        <f>MODEL!BZ1301</f>
        <v>41336</v>
      </c>
      <c r="AA39" s="204">
        <f>MODEL!CD1301</f>
        <v>44691</v>
      </c>
      <c r="AB39" s="766">
        <f>MODEL!CH1301</f>
        <v>47355</v>
      </c>
      <c r="AC39" s="766">
        <f>MODEL!CL1301</f>
        <v>48702</v>
      </c>
      <c r="AD39" s="766">
        <f>MODEL!CP1301</f>
        <v>51359</v>
      </c>
      <c r="AE39" s="766">
        <f>MODEL!CT1301</f>
        <v>55872</v>
      </c>
      <c r="AF39" s="766">
        <f>MODEL!CX1301</f>
        <v>57794</v>
      </c>
      <c r="AG39" s="766">
        <f>MODEL!DB1301</f>
        <v>54469</v>
      </c>
      <c r="AH39" s="1641">
        <f>INDEX(MODEL!1301:1301,MATCH(AH$5,MODEL!$7:$7,0))</f>
        <v>55184</v>
      </c>
      <c r="AI39" s="766">
        <f ca="1">INDEX(MODEL!1301:1301,MATCH(AI$5,MODEL!$7:$7,0))</f>
        <v>59231.745524052021</v>
      </c>
      <c r="AJ39" s="766">
        <f ca="1">INDEX(MODEL!1301:1301,MATCH(AJ$5,MODEL!$7:$7,0))</f>
        <v>61105.177994769161</v>
      </c>
      <c r="AK39" s="766">
        <f ca="1">INDEX(MODEL!1301:1301,MATCH(AK$5,MODEL!$7:$7,0))</f>
        <v>62744.437929616906</v>
      </c>
      <c r="AL39" s="204">
        <f t="shared" ref="AL39:AQ39" ca="1" si="158">+AL41*AL42</f>
        <v>63440.700632793181</v>
      </c>
      <c r="AM39" s="204">
        <f t="shared" ca="1" si="158"/>
        <v>65648.994009963368</v>
      </c>
      <c r="AN39" s="204">
        <f t="shared" ca="1" si="158"/>
        <v>67660.355637535744</v>
      </c>
      <c r="AO39" s="204">
        <f t="shared" ca="1" si="158"/>
        <v>69331.129743660946</v>
      </c>
      <c r="AP39" s="204">
        <f t="shared" ca="1" si="158"/>
        <v>71329.00406933816</v>
      </c>
      <c r="AQ39" s="204">
        <f t="shared" ca="1" si="158"/>
        <v>73822.539810944931</v>
      </c>
      <c r="AR39" s="204">
        <f t="shared" ref="AR39" ca="1" si="159">+AR41*AR42</f>
        <v>76098.022929035127</v>
      </c>
      <c r="AS39" s="204">
        <f t="shared" ref="AS39:CD39" ca="1" si="160">+AS41*AS42</f>
        <v>78243.545701203402</v>
      </c>
      <c r="AT39" s="204">
        <f t="shared" ca="1" si="160"/>
        <v>80557.729726988735</v>
      </c>
      <c r="AU39" s="204">
        <f t="shared" ca="1" si="160"/>
        <v>82966.478018193608</v>
      </c>
      <c r="AV39" s="204">
        <f ca="1">+AV41*AV42</f>
        <v>85453.548042144859</v>
      </c>
      <c r="AW39" s="204">
        <f ca="1">+AW41*AW42</f>
        <v>88016.690658308304</v>
      </c>
      <c r="AX39" s="204">
        <f t="shared" ca="1" si="160"/>
        <v>90628.703816487163</v>
      </c>
      <c r="AY39" s="204">
        <f t="shared" ca="1" si="160"/>
        <v>93311.489800547017</v>
      </c>
      <c r="AZ39" s="204">
        <f t="shared" ca="1" si="160"/>
        <v>96072.079675669156</v>
      </c>
      <c r="BA39" s="204">
        <f t="shared" ca="1" si="160"/>
        <v>98913.965585342565</v>
      </c>
      <c r="BB39" s="204">
        <f t="shared" ca="1" si="160"/>
        <v>101839.83955942701</v>
      </c>
      <c r="BC39" s="204">
        <f t="shared" ca="1" si="160"/>
        <v>104852.25575334877</v>
      </c>
      <c r="BD39" s="204">
        <f t="shared" ca="1" si="160"/>
        <v>107953.79160336137</v>
      </c>
      <c r="BE39" s="204">
        <f t="shared" ca="1" si="160"/>
        <v>111147.08826720617</v>
      </c>
      <c r="BF39" s="204">
        <f t="shared" ca="1" si="160"/>
        <v>114434.86206072092</v>
      </c>
      <c r="BG39" s="204">
        <f t="shared" ca="1" si="160"/>
        <v>117819.90897409256</v>
      </c>
      <c r="BH39" s="204">
        <f t="shared" ca="1" si="160"/>
        <v>121305.10757946776</v>
      </c>
      <c r="BI39" s="204">
        <f t="shared" ca="1" si="160"/>
        <v>124893.42160700013</v>
      </c>
      <c r="BJ39" s="204">
        <f t="shared" ca="1" si="160"/>
        <v>128587.90249719127</v>
      </c>
      <c r="BK39" s="204">
        <f t="shared" ca="1" si="160"/>
        <v>132391.69200490252</v>
      </c>
      <c r="BL39" s="204">
        <f t="shared" ca="1" si="160"/>
        <v>136308.02487476208</v>
      </c>
      <c r="BM39" s="204">
        <f t="shared" ca="1" si="160"/>
        <v>140340.2315944272</v>
      </c>
      <c r="BN39" s="204">
        <f t="shared" ca="1" si="160"/>
        <v>144491.74122904387</v>
      </c>
      <c r="BO39" s="204">
        <f t="shared" ca="1" si="160"/>
        <v>148766.08433955544</v>
      </c>
      <c r="BP39" s="204">
        <f t="shared" ca="1" si="160"/>
        <v>153166.89598740169</v>
      </c>
      <c r="BQ39" s="204">
        <f t="shared" ca="1" si="160"/>
        <v>157697.91882818076</v>
      </c>
      <c r="BR39" s="204">
        <f t="shared" ca="1" si="160"/>
        <v>162363.00629691256</v>
      </c>
      <c r="BS39" s="204">
        <f t="shared" ca="1" si="160"/>
        <v>167166.12588761625</v>
      </c>
      <c r="BT39" s="204">
        <f t="shared" ca="1" si="160"/>
        <v>172111.36252999527</v>
      </c>
      <c r="BU39" s="204">
        <f t="shared" ca="1" si="160"/>
        <v>177202.92206610637</v>
      </c>
      <c r="BV39" s="204">
        <f t="shared" ca="1" si="160"/>
        <v>182445.13482997325</v>
      </c>
      <c r="BW39" s="204">
        <f t="shared" ca="1" si="160"/>
        <v>187842.45933319311</v>
      </c>
      <c r="BX39" s="204">
        <f t="shared" ca="1" si="160"/>
        <v>193399.48605967656</v>
      </c>
      <c r="BY39" s="204">
        <f t="shared" ca="1" si="160"/>
        <v>199120.94137275097</v>
      </c>
      <c r="BZ39" s="204">
        <f t="shared" ca="1" si="160"/>
        <v>205011.69153795671</v>
      </c>
      <c r="CA39" s="204">
        <f t="shared" ca="1" si="160"/>
        <v>211076.74686496166</v>
      </c>
      <c r="CB39" s="204">
        <f t="shared" ca="1" si="160"/>
        <v>217321.26597212197</v>
      </c>
      <c r="CC39" s="204">
        <f t="shared" ca="1" si="160"/>
        <v>223750.56017732169</v>
      </c>
      <c r="CD39" s="204">
        <f t="shared" ca="1" si="160"/>
        <v>230370.09801883108</v>
      </c>
      <c r="CE39" s="204">
        <f ca="1">+CE41*CE42</f>
        <v>237185.50991003314</v>
      </c>
      <c r="CF39" s="204">
        <f ca="1">+CF41*CF42</f>
        <v>244202.592931986</v>
      </c>
      <c r="CG39" s="204">
        <f ca="1">+CG41*CG42</f>
        <v>251388.89142242761</v>
      </c>
      <c r="CH39" s="204"/>
      <c r="CI39" s="204"/>
      <c r="CJ39" s="204"/>
      <c r="CK39" s="204"/>
      <c r="CL39" s="204"/>
      <c r="CM39" s="204"/>
      <c r="CN39" s="204"/>
      <c r="CO39" s="204"/>
      <c r="CP39" s="204"/>
      <c r="CQ39" s="204"/>
      <c r="CR39" s="204"/>
      <c r="CS39" s="204"/>
      <c r="CT39" s="204"/>
      <c r="CU39" s="204"/>
      <c r="CV39" s="204"/>
      <c r="CW39" s="204"/>
      <c r="CX39" s="204"/>
      <c r="CY39" s="204"/>
      <c r="CZ39" s="204"/>
      <c r="DA39" s="204"/>
      <c r="DB39" s="204"/>
      <c r="DC39" s="204"/>
      <c r="DD39" s="204"/>
      <c r="DE39" s="204"/>
      <c r="DF39" s="204"/>
      <c r="DG39" s="204"/>
      <c r="DH39" s="204"/>
      <c r="DI39" s="204"/>
      <c r="DJ39" s="204"/>
      <c r="DK39" s="204"/>
      <c r="DL39" s="204"/>
      <c r="DM39" s="204"/>
      <c r="DN39" s="204"/>
      <c r="DO39" s="204"/>
      <c r="DP39" s="204"/>
      <c r="DQ39" s="204"/>
      <c r="DR39" s="204"/>
      <c r="DS39" s="204"/>
      <c r="DT39" s="204"/>
      <c r="DU39" s="204"/>
      <c r="DV39" s="204"/>
      <c r="DW39" s="204"/>
      <c r="DX39" s="204"/>
      <c r="DY39" s="204"/>
      <c r="DZ39" s="204"/>
      <c r="EA39" s="204"/>
      <c r="EB39" s="204"/>
      <c r="EC39" s="204"/>
      <c r="ED39" s="204"/>
      <c r="EE39" s="204"/>
      <c r="EF39" s="204"/>
      <c r="EG39" s="204"/>
      <c r="EH39" s="204"/>
      <c r="EI39" s="204"/>
      <c r="EJ39" s="204"/>
      <c r="EK39" s="204"/>
      <c r="EL39" s="204"/>
      <c r="EM39" s="204"/>
      <c r="EN39" s="204"/>
      <c r="EO39" s="204"/>
      <c r="EP39" s="204"/>
      <c r="EQ39" s="204"/>
    </row>
    <row r="40" spans="2:147" s="10" customFormat="1">
      <c r="B40" s="214" t="s">
        <v>739</v>
      </c>
      <c r="C40" s="699">
        <f ca="1">AVERAGE(AC70:AP70)</f>
        <v>0.10090513290326224</v>
      </c>
      <c r="D40" s="83"/>
      <c r="E40" s="17"/>
      <c r="F40" s="205" t="s">
        <v>538</v>
      </c>
      <c r="G40" s="18">
        <f>AO95</f>
        <v>0.65</v>
      </c>
      <c r="H40" s="180"/>
      <c r="I40" s="216"/>
      <c r="J40" s="216"/>
      <c r="K40" s="216"/>
      <c r="L40" s="1548"/>
      <c r="M40" s="1548"/>
      <c r="N40" s="1548"/>
      <c r="O40" s="1548"/>
      <c r="P40" s="1548"/>
      <c r="Q40" s="216"/>
      <c r="R40" s="182" t="s">
        <v>597</v>
      </c>
      <c r="S40" s="292"/>
      <c r="T40" s="131"/>
      <c r="U40" s="131"/>
      <c r="V40" s="204">
        <f t="shared" ref="V40:BJ40" si="161">+V41-V39</f>
        <v>15891</v>
      </c>
      <c r="W40" s="204">
        <f t="shared" ref="W40:AB40" si="162">+W41-W39</f>
        <v>16560</v>
      </c>
      <c r="X40" s="204">
        <f t="shared" si="162"/>
        <v>18721</v>
      </c>
      <c r="Y40" s="204">
        <f t="shared" si="162"/>
        <v>18551</v>
      </c>
      <c r="Z40" s="204">
        <f>+Z41-Z39</f>
        <v>17623</v>
      </c>
      <c r="AA40" s="204">
        <f>+AA41-AA39</f>
        <v>14552</v>
      </c>
      <c r="AB40" s="204">
        <f t="shared" si="162"/>
        <v>13428</v>
      </c>
      <c r="AC40" s="204">
        <f t="shared" ref="AC40:AH40" si="163">+AC41-AC39</f>
        <v>12585</v>
      </c>
      <c r="AD40" s="204">
        <f t="shared" si="163"/>
        <v>12306</v>
      </c>
      <c r="AE40" s="204">
        <f t="shared" si="163"/>
        <v>10035</v>
      </c>
      <c r="AF40" s="204">
        <f t="shared" ref="AF40:AG40" si="164">+AF41-AF39</f>
        <v>11701</v>
      </c>
      <c r="AG40" s="204">
        <f t="shared" si="164"/>
        <v>15388</v>
      </c>
      <c r="AH40" s="1642">
        <f t="shared" si="163"/>
        <v>15944</v>
      </c>
      <c r="AI40" s="204">
        <f t="shared" ref="AI40" ca="1" si="165">+AI41-AI39</f>
        <v>15153.754880801731</v>
      </c>
      <c r="AJ40" s="204">
        <f t="shared" ref="AJ40:AK40" ca="1" si="166">+AJ41-AJ39</f>
        <v>15449.055223242955</v>
      </c>
      <c r="AK40" s="204">
        <f t="shared" ca="1" si="166"/>
        <v>15719.776609433145</v>
      </c>
      <c r="AL40" s="204">
        <f t="shared" ref="AL40:AQ40" ca="1" si="167">+AL41-AL39</f>
        <v>15860.17515819829</v>
      </c>
      <c r="AM40" s="204">
        <f t="shared" ca="1" si="167"/>
        <v>16412.248502490838</v>
      </c>
      <c r="AN40" s="204">
        <f t="shared" ca="1" si="167"/>
        <v>16915.088909383936</v>
      </c>
      <c r="AO40" s="204">
        <f t="shared" ca="1" si="167"/>
        <v>17332.782435915229</v>
      </c>
      <c r="AP40" s="204">
        <f t="shared" ca="1" si="167"/>
        <v>17832.251017334536</v>
      </c>
      <c r="AQ40" s="204">
        <f t="shared" ca="1" si="167"/>
        <v>18455.634952736233</v>
      </c>
      <c r="AR40" s="204">
        <f t="shared" ref="AR40" ca="1" si="168">+AR41-AR39</f>
        <v>19024.505732258782</v>
      </c>
      <c r="AS40" s="204">
        <f t="shared" ca="1" si="161"/>
        <v>19560.886425300851</v>
      </c>
      <c r="AT40" s="204">
        <f t="shared" ca="1" si="161"/>
        <v>20139.432431747176</v>
      </c>
      <c r="AU40" s="204">
        <f t="shared" ca="1" si="161"/>
        <v>20741.619504548391</v>
      </c>
      <c r="AV40" s="204">
        <f ca="1">+AV41-AV39</f>
        <v>21363.387010536215</v>
      </c>
      <c r="AW40" s="204">
        <f ca="1">+AW41-AW39</f>
        <v>22004.172664577069</v>
      </c>
      <c r="AX40" s="204">
        <f t="shared" ca="1" si="161"/>
        <v>22657.175954121791</v>
      </c>
      <c r="AY40" s="204">
        <f t="shared" ca="1" si="161"/>
        <v>23327.87245013674</v>
      </c>
      <c r="AZ40" s="204">
        <f t="shared" ca="1" si="161"/>
        <v>24018.019918917285</v>
      </c>
      <c r="BA40" s="204">
        <f t="shared" ca="1" si="161"/>
        <v>24728.491396335638</v>
      </c>
      <c r="BB40" s="204">
        <f t="shared" ca="1" si="161"/>
        <v>25459.959889856749</v>
      </c>
      <c r="BC40" s="204">
        <f t="shared" ca="1" si="161"/>
        <v>26213.063938337189</v>
      </c>
      <c r="BD40" s="204">
        <f t="shared" ca="1" si="161"/>
        <v>26988.447900840343</v>
      </c>
      <c r="BE40" s="204">
        <f t="shared" ca="1" si="161"/>
        <v>27786.772066801539</v>
      </c>
      <c r="BF40" s="204">
        <f t="shared" ca="1" si="161"/>
        <v>28608.715515180229</v>
      </c>
      <c r="BG40" s="204">
        <f t="shared" ca="1" si="161"/>
        <v>29454.977243523128</v>
      </c>
      <c r="BH40" s="204">
        <f t="shared" ca="1" si="161"/>
        <v>30326.276894866925</v>
      </c>
      <c r="BI40" s="204">
        <f t="shared" ca="1" si="161"/>
        <v>31223.355401750028</v>
      </c>
      <c r="BJ40" s="204">
        <f t="shared" ca="1" si="161"/>
        <v>32146.975624297804</v>
      </c>
      <c r="BK40" s="204">
        <f t="shared" ref="BK40:CD40" ca="1" si="169">+BK41-BK39</f>
        <v>33097.92300122563</v>
      </c>
      <c r="BL40" s="204">
        <f t="shared" ca="1" si="169"/>
        <v>34077.006218690512</v>
      </c>
      <c r="BM40" s="204">
        <f t="shared" ca="1" si="169"/>
        <v>35085.057898606785</v>
      </c>
      <c r="BN40" s="204">
        <f t="shared" ca="1" si="169"/>
        <v>36122.935307260952</v>
      </c>
      <c r="BO40" s="204">
        <f t="shared" ca="1" si="169"/>
        <v>37191.521084888867</v>
      </c>
      <c r="BP40" s="204">
        <f t="shared" ca="1" si="169"/>
        <v>38291.723996850429</v>
      </c>
      <c r="BQ40" s="204">
        <f t="shared" ca="1" si="169"/>
        <v>39424.47970704516</v>
      </c>
      <c r="BR40" s="204">
        <f t="shared" ca="1" si="169"/>
        <v>40590.75157422811</v>
      </c>
      <c r="BS40" s="204">
        <f t="shared" ca="1" si="169"/>
        <v>41791.531471904047</v>
      </c>
      <c r="BT40" s="204">
        <f t="shared" ca="1" si="169"/>
        <v>43027.840632498788</v>
      </c>
      <c r="BU40" s="204">
        <f t="shared" ca="1" si="169"/>
        <v>44300.730516526586</v>
      </c>
      <c r="BV40" s="204">
        <f t="shared" ca="1" si="169"/>
        <v>45611.283707493305</v>
      </c>
      <c r="BW40" s="204">
        <f t="shared" ca="1" si="169"/>
        <v>46960.614833298256</v>
      </c>
      <c r="BX40" s="204">
        <f t="shared" ca="1" si="169"/>
        <v>48349.871514919127</v>
      </c>
      <c r="BY40" s="204">
        <f t="shared" ca="1" si="169"/>
        <v>49780.235343187727</v>
      </c>
      <c r="BZ40" s="204">
        <f t="shared" ca="1" si="169"/>
        <v>51252.922884489148</v>
      </c>
      <c r="CA40" s="204">
        <f t="shared" ca="1" si="169"/>
        <v>52769.186716240394</v>
      </c>
      <c r="CB40" s="204">
        <f t="shared" ca="1" si="169"/>
        <v>54330.316493030463</v>
      </c>
      <c r="CC40" s="204">
        <f t="shared" ca="1" si="169"/>
        <v>55937.640044330416</v>
      </c>
      <c r="CD40" s="204">
        <f t="shared" ca="1" si="169"/>
        <v>57592.524504707748</v>
      </c>
      <c r="CE40" s="204">
        <f ca="1">+CE41-CE39</f>
        <v>59296.377477508271</v>
      </c>
      <c r="CF40" s="204">
        <f ca="1">+CF41-CF39</f>
        <v>61050.648232996493</v>
      </c>
      <c r="CG40" s="204">
        <f ca="1">+CG41-CG39</f>
        <v>62847.222855606873</v>
      </c>
      <c r="CH40" s="204"/>
      <c r="CI40" s="204"/>
      <c r="CJ40" s="204"/>
      <c r="CK40" s="204"/>
      <c r="CL40" s="204"/>
      <c r="CM40" s="204"/>
      <c r="CN40" s="204"/>
      <c r="CO40" s="204"/>
      <c r="CP40" s="204"/>
      <c r="CQ40" s="204"/>
      <c r="CR40" s="204"/>
      <c r="CS40" s="204"/>
      <c r="CT40" s="204"/>
      <c r="CU40" s="204"/>
      <c r="CV40" s="204"/>
      <c r="CW40" s="204"/>
      <c r="CX40" s="204"/>
      <c r="CY40" s="204"/>
      <c r="CZ40" s="204"/>
      <c r="DA40" s="204"/>
      <c r="DB40" s="204"/>
      <c r="DC40" s="204"/>
      <c r="DD40" s="204"/>
      <c r="DE40" s="204"/>
      <c r="DF40" s="204"/>
      <c r="DG40" s="204"/>
      <c r="DH40" s="204"/>
      <c r="DI40" s="204"/>
      <c r="DJ40" s="204"/>
      <c r="DK40" s="204"/>
      <c r="DL40" s="204"/>
      <c r="DM40" s="204"/>
      <c r="DN40" s="204"/>
      <c r="DO40" s="204"/>
      <c r="DP40" s="204"/>
      <c r="DQ40" s="204"/>
      <c r="DR40" s="204"/>
      <c r="DS40" s="204"/>
      <c r="DT40" s="204"/>
      <c r="DU40" s="204"/>
      <c r="DV40" s="204"/>
      <c r="DW40" s="204"/>
      <c r="DX40" s="204"/>
      <c r="DY40" s="204"/>
      <c r="DZ40" s="204"/>
      <c r="EA40" s="204"/>
      <c r="EB40" s="204"/>
      <c r="EC40" s="204"/>
      <c r="ED40" s="204"/>
      <c r="EE40" s="204"/>
      <c r="EF40" s="204"/>
      <c r="EG40" s="204"/>
      <c r="EH40" s="204"/>
      <c r="EI40" s="204"/>
      <c r="EJ40" s="204"/>
      <c r="EK40" s="204"/>
      <c r="EL40" s="204"/>
      <c r="EM40" s="204"/>
      <c r="EN40" s="204"/>
      <c r="EO40" s="204"/>
      <c r="EP40" s="204"/>
      <c r="EQ40" s="204"/>
    </row>
    <row r="41" spans="2:147" s="10" customFormat="1" ht="13.8" thickBot="1">
      <c r="B41" s="214"/>
      <c r="C41" s="215"/>
      <c r="D41" s="84"/>
      <c r="E41" s="17"/>
      <c r="F41" s="174" t="s">
        <v>275</v>
      </c>
      <c r="G41" s="136">
        <f ca="1">S140</f>
        <v>50595.825195367186</v>
      </c>
      <c r="H41" s="175">
        <f ca="1">+G41/$C$8</f>
        <v>16.958432369432536</v>
      </c>
      <c r="I41" s="216"/>
      <c r="J41" s="216"/>
      <c r="K41" s="216"/>
      <c r="L41" s="1548"/>
      <c r="M41" s="1548"/>
      <c r="N41" s="1548"/>
      <c r="O41" s="1548"/>
      <c r="P41" s="1548"/>
      <c r="Q41" s="216"/>
      <c r="R41" s="9" t="s">
        <v>418</v>
      </c>
      <c r="S41" s="111"/>
      <c r="V41" s="140">
        <f>MODEL!BJ1043</f>
        <v>44670</v>
      </c>
      <c r="W41" s="140">
        <f>MODEL!BN1043</f>
        <v>48336</v>
      </c>
      <c r="X41" s="140">
        <f>MODEL!BR1043</f>
        <v>57247</v>
      </c>
      <c r="Y41" s="140">
        <f>MODEL!BV1043</f>
        <v>57818</v>
      </c>
      <c r="Z41" s="140">
        <f>MODEL!BZ1043</f>
        <v>58959</v>
      </c>
      <c r="AA41" s="140">
        <f>MODEL!CD1043</f>
        <v>59243</v>
      </c>
      <c r="AB41" s="763">
        <f>MODEL!CH1043</f>
        <v>60783</v>
      </c>
      <c r="AC41" s="763">
        <f>MODEL!CL1043</f>
        <v>61287</v>
      </c>
      <c r="AD41" s="763">
        <f>MODEL!CP1043</f>
        <v>63665</v>
      </c>
      <c r="AE41" s="763">
        <f>MODEL!CT1043</f>
        <v>65907</v>
      </c>
      <c r="AF41" s="763">
        <f>MODEL!CX1043</f>
        <v>69495</v>
      </c>
      <c r="AG41" s="763">
        <f>MODEL!DB1043</f>
        <v>69857</v>
      </c>
      <c r="AH41" s="1631">
        <f>INDEX(MODEL!1043:1043,MATCH(AH$5,MODEL!$7:$7,0))</f>
        <v>71128</v>
      </c>
      <c r="AI41" s="763">
        <f ca="1">INDEX(MODEL!1043:1043,MATCH(AI$5,MODEL!$7:$7,0))</f>
        <v>74385.500404853752</v>
      </c>
      <c r="AJ41" s="763">
        <f ca="1">INDEX(MODEL!1043:1043,MATCH(AJ$5,MODEL!$7:$7,0))</f>
        <v>76554.233218012116</v>
      </c>
      <c r="AK41" s="763">
        <f ca="1">INDEX(MODEL!1043:1043,MATCH(AK$5,MODEL!$7:$7,0))</f>
        <v>78464.214539050052</v>
      </c>
      <c r="AL41" s="147">
        <f t="shared" ref="AL41:CD41" ca="1" si="170">AL90</f>
        <v>79300.875790991471</v>
      </c>
      <c r="AM41" s="147">
        <f t="shared" ca="1" si="170"/>
        <v>82061.242512454206</v>
      </c>
      <c r="AN41" s="147">
        <f t="shared" ca="1" si="170"/>
        <v>84575.44454691968</v>
      </c>
      <c r="AO41" s="147">
        <f ca="1">AO90</f>
        <v>86663.912179576175</v>
      </c>
      <c r="AP41" s="147">
        <f ca="1">AP90</f>
        <v>89161.255086672696</v>
      </c>
      <c r="AQ41" s="147">
        <f ca="1">AQ90</f>
        <v>92278.174763681163</v>
      </c>
      <c r="AR41" s="147">
        <f ca="1">AR90</f>
        <v>95122.528661293909</v>
      </c>
      <c r="AS41" s="147">
        <f t="shared" ca="1" si="170"/>
        <v>97804.432126504253</v>
      </c>
      <c r="AT41" s="147">
        <f t="shared" ca="1" si="170"/>
        <v>100697.16215873591</v>
      </c>
      <c r="AU41" s="147">
        <f t="shared" ca="1" si="170"/>
        <v>103708.097522742</v>
      </c>
      <c r="AV41" s="147">
        <f ca="1">AV90</f>
        <v>106816.93505268107</v>
      </c>
      <c r="AW41" s="147">
        <f ca="1">AW90</f>
        <v>110020.86332288537</v>
      </c>
      <c r="AX41" s="147">
        <f t="shared" ca="1" si="170"/>
        <v>113285.87977060895</v>
      </c>
      <c r="AY41" s="147">
        <f t="shared" ca="1" si="170"/>
        <v>116639.36225068376</v>
      </c>
      <c r="AZ41" s="147">
        <f t="shared" ca="1" si="170"/>
        <v>120090.09959458644</v>
      </c>
      <c r="BA41" s="147">
        <f t="shared" ca="1" si="170"/>
        <v>123642.4569816782</v>
      </c>
      <c r="BB41" s="147">
        <f t="shared" ca="1" si="170"/>
        <v>127299.79944928376</v>
      </c>
      <c r="BC41" s="147">
        <f t="shared" ca="1" si="170"/>
        <v>131065.31969168596</v>
      </c>
      <c r="BD41" s="147">
        <f t="shared" ca="1" si="170"/>
        <v>134942.23950420172</v>
      </c>
      <c r="BE41" s="147">
        <f t="shared" ca="1" si="170"/>
        <v>138933.86033400771</v>
      </c>
      <c r="BF41" s="147">
        <f t="shared" ca="1" si="170"/>
        <v>143043.57757590114</v>
      </c>
      <c r="BG41" s="147">
        <f t="shared" ca="1" si="170"/>
        <v>147274.88621761568</v>
      </c>
      <c r="BH41" s="147">
        <f t="shared" ca="1" si="170"/>
        <v>151631.38447433469</v>
      </c>
      <c r="BI41" s="147">
        <f t="shared" ca="1" si="170"/>
        <v>156116.77700875016</v>
      </c>
      <c r="BJ41" s="147">
        <f t="shared" ca="1" si="170"/>
        <v>160734.87812148908</v>
      </c>
      <c r="BK41" s="147">
        <f t="shared" ca="1" si="170"/>
        <v>165489.61500612815</v>
      </c>
      <c r="BL41" s="147">
        <f t="shared" ca="1" si="170"/>
        <v>170385.03109345259</v>
      </c>
      <c r="BM41" s="147">
        <f t="shared" ca="1" si="170"/>
        <v>175425.28949303398</v>
      </c>
      <c r="BN41" s="147">
        <f t="shared" ca="1" si="170"/>
        <v>180614.67653630482</v>
      </c>
      <c r="BO41" s="147">
        <f t="shared" ca="1" si="170"/>
        <v>185957.60542444431</v>
      </c>
      <c r="BP41" s="147">
        <f t="shared" ca="1" si="170"/>
        <v>191458.61998425212</v>
      </c>
      <c r="BQ41" s="147">
        <f t="shared" ca="1" si="170"/>
        <v>197122.39853522592</v>
      </c>
      <c r="BR41" s="147">
        <f t="shared" ca="1" si="170"/>
        <v>202953.75787114067</v>
      </c>
      <c r="BS41" s="147">
        <f t="shared" ca="1" si="170"/>
        <v>208957.65735952029</v>
      </c>
      <c r="BT41" s="147">
        <f t="shared" ca="1" si="170"/>
        <v>215139.20316249406</v>
      </c>
      <c r="BU41" s="147">
        <f t="shared" ca="1" si="170"/>
        <v>221503.65258263296</v>
      </c>
      <c r="BV41" s="147">
        <f t="shared" ca="1" si="170"/>
        <v>228056.41853746655</v>
      </c>
      <c r="BW41" s="147">
        <f t="shared" ca="1" si="170"/>
        <v>234803.07416649137</v>
      </c>
      <c r="BX41" s="147">
        <f t="shared" ca="1" si="170"/>
        <v>241749.35757459569</v>
      </c>
      <c r="BY41" s="147">
        <f t="shared" ca="1" si="170"/>
        <v>248901.17671593869</v>
      </c>
      <c r="BZ41" s="147">
        <f t="shared" ca="1" si="170"/>
        <v>256264.61442244585</v>
      </c>
      <c r="CA41" s="147">
        <f t="shared" ca="1" si="170"/>
        <v>263845.93358120206</v>
      </c>
      <c r="CB41" s="147">
        <f t="shared" ca="1" si="170"/>
        <v>271651.58246515243</v>
      </c>
      <c r="CC41" s="147">
        <f t="shared" ca="1" si="170"/>
        <v>279688.20022165211</v>
      </c>
      <c r="CD41" s="147">
        <f t="shared" ca="1" si="170"/>
        <v>287962.62252353883</v>
      </c>
      <c r="CE41" s="147">
        <f ca="1">CE90</f>
        <v>296481.88738754141</v>
      </c>
      <c r="CF41" s="147">
        <f ca="1">CF90</f>
        <v>305253.24116498249</v>
      </c>
      <c r="CG41" s="147">
        <f ca="1">CG90</f>
        <v>314236.11427803448</v>
      </c>
      <c r="CH41" s="204"/>
      <c r="CI41" s="204"/>
      <c r="CJ41" s="204"/>
      <c r="CK41" s="204"/>
      <c r="CL41" s="204"/>
      <c r="CM41" s="204"/>
      <c r="CN41" s="204"/>
      <c r="CO41" s="204"/>
      <c r="CP41" s="204"/>
      <c r="CQ41" s="204"/>
      <c r="CR41" s="204"/>
      <c r="CS41" s="204"/>
      <c r="CT41" s="204"/>
      <c r="CU41" s="204"/>
      <c r="CV41" s="204"/>
      <c r="CW41" s="204"/>
      <c r="CX41" s="204"/>
      <c r="CY41" s="204"/>
      <c r="CZ41" s="204"/>
      <c r="DA41" s="204"/>
      <c r="DB41" s="204"/>
      <c r="DC41" s="204"/>
      <c r="DD41" s="204"/>
      <c r="DE41" s="204"/>
      <c r="DF41" s="204"/>
      <c r="DG41" s="204"/>
      <c r="DH41" s="204"/>
      <c r="DI41" s="204"/>
      <c r="DJ41" s="204"/>
      <c r="DK41" s="204"/>
      <c r="DL41" s="204"/>
      <c r="DM41" s="204"/>
      <c r="DN41" s="204"/>
      <c r="DO41" s="204"/>
      <c r="DP41" s="204"/>
      <c r="DQ41" s="204"/>
      <c r="DR41" s="204"/>
      <c r="DS41" s="204"/>
      <c r="DT41" s="204"/>
      <c r="DU41" s="204"/>
      <c r="DV41" s="204"/>
      <c r="DW41" s="204"/>
      <c r="DX41" s="204"/>
      <c r="DY41" s="204"/>
      <c r="DZ41" s="204"/>
      <c r="EA41" s="204"/>
      <c r="EB41" s="204"/>
      <c r="EC41" s="204"/>
      <c r="ED41" s="204"/>
      <c r="EE41" s="204"/>
      <c r="EF41" s="204"/>
      <c r="EG41" s="204"/>
      <c r="EH41" s="204"/>
      <c r="EI41" s="204"/>
      <c r="EJ41" s="204"/>
      <c r="EK41" s="204"/>
      <c r="EL41" s="204"/>
      <c r="EM41" s="204"/>
      <c r="EN41" s="204"/>
      <c r="EO41" s="204"/>
      <c r="EP41" s="204"/>
      <c r="EQ41" s="204"/>
    </row>
    <row r="42" spans="2:147" s="10" customFormat="1" ht="13.8" thickBot="1">
      <c r="B42" s="761"/>
      <c r="C42" s="762"/>
      <c r="D42" s="84"/>
      <c r="E42" s="17"/>
      <c r="F42" s="174" t="s">
        <v>283</v>
      </c>
      <c r="G42" s="19">
        <f>G32</f>
        <v>0.03</v>
      </c>
      <c r="H42" s="180"/>
      <c r="I42" s="8"/>
      <c r="J42" s="8"/>
      <c r="K42" s="8"/>
      <c r="L42" s="1549"/>
      <c r="M42" s="1549"/>
      <c r="N42" s="1549"/>
      <c r="O42" s="1549"/>
      <c r="P42" s="1549"/>
      <c r="Q42" s="8"/>
      <c r="R42" s="9" t="s">
        <v>220</v>
      </c>
      <c r="S42" s="111"/>
      <c r="V42" s="5">
        <f t="shared" ref="V42:AB42" si="171">V39/V41</f>
        <v>0.64425789120214905</v>
      </c>
      <c r="W42" s="5">
        <f t="shared" si="171"/>
        <v>0.65739821251241315</v>
      </c>
      <c r="X42" s="5">
        <f t="shared" si="171"/>
        <v>0.67297849668978282</v>
      </c>
      <c r="Y42" s="5">
        <f t="shared" si="171"/>
        <v>0.67914836210176766</v>
      </c>
      <c r="Z42" s="5">
        <f t="shared" si="171"/>
        <v>0.7010973727505555</v>
      </c>
      <c r="AA42" s="5">
        <f>AA39/AA41</f>
        <v>0.75436760461151531</v>
      </c>
      <c r="AB42" s="5">
        <f t="shared" si="171"/>
        <v>0.77908296727703474</v>
      </c>
      <c r="AC42" s="5">
        <f t="shared" ref="AC42:AH42" si="172">AC39/AC41</f>
        <v>0.79465465759459597</v>
      </c>
      <c r="AD42" s="5">
        <f t="shared" si="172"/>
        <v>0.80670698185816381</v>
      </c>
      <c r="AE42" s="5">
        <f t="shared" si="172"/>
        <v>0.84773999726887883</v>
      </c>
      <c r="AF42" s="5">
        <f t="shared" ref="AF42:AG42" si="173">AF39/AF41</f>
        <v>0.83162817468882655</v>
      </c>
      <c r="AG42" s="5">
        <f t="shared" si="173"/>
        <v>0.77972143092317159</v>
      </c>
      <c r="AH42" s="1638">
        <f t="shared" si="172"/>
        <v>0.77584073782476659</v>
      </c>
      <c r="AI42" s="5">
        <f t="shared" ref="AI42" ca="1" si="174">AI39/AI41</f>
        <v>0.79628079668315399</v>
      </c>
      <c r="AJ42" s="5">
        <f t="shared" ref="AJ42:AK42" ca="1" si="175">AJ39/AJ41</f>
        <v>0.79819463178153793</v>
      </c>
      <c r="AK42" s="5">
        <f t="shared" ca="1" si="175"/>
        <v>0.79965673903981116</v>
      </c>
      <c r="AL42" s="1562">
        <v>0.8</v>
      </c>
      <c r="AM42" s="177">
        <f t="shared" ref="AM42:CG42" si="176">AL42</f>
        <v>0.8</v>
      </c>
      <c r="AN42" s="177">
        <f t="shared" si="176"/>
        <v>0.8</v>
      </c>
      <c r="AO42" s="177">
        <f t="shared" si="176"/>
        <v>0.8</v>
      </c>
      <c r="AP42" s="177">
        <f t="shared" si="176"/>
        <v>0.8</v>
      </c>
      <c r="AQ42" s="177">
        <f t="shared" si="176"/>
        <v>0.8</v>
      </c>
      <c r="AR42" s="177">
        <f t="shared" si="176"/>
        <v>0.8</v>
      </c>
      <c r="AS42" s="932">
        <f>AR42</f>
        <v>0.8</v>
      </c>
      <c r="AT42" s="932">
        <f t="shared" si="176"/>
        <v>0.8</v>
      </c>
      <c r="AU42" s="932">
        <f t="shared" si="176"/>
        <v>0.8</v>
      </c>
      <c r="AV42" s="932">
        <f t="shared" si="176"/>
        <v>0.8</v>
      </c>
      <c r="AW42" s="932">
        <f t="shared" si="176"/>
        <v>0.8</v>
      </c>
      <c r="AX42" s="933">
        <f t="shared" si="176"/>
        <v>0.8</v>
      </c>
      <c r="AY42" s="933">
        <f t="shared" si="176"/>
        <v>0.8</v>
      </c>
      <c r="AZ42" s="933">
        <f t="shared" si="176"/>
        <v>0.8</v>
      </c>
      <c r="BA42" s="933">
        <f t="shared" si="176"/>
        <v>0.8</v>
      </c>
      <c r="BB42" s="933">
        <f t="shared" si="176"/>
        <v>0.8</v>
      </c>
      <c r="BC42" s="933">
        <f t="shared" si="176"/>
        <v>0.8</v>
      </c>
      <c r="BD42" s="933">
        <f t="shared" si="176"/>
        <v>0.8</v>
      </c>
      <c r="BE42" s="933">
        <f t="shared" si="176"/>
        <v>0.8</v>
      </c>
      <c r="BF42" s="933">
        <f t="shared" si="176"/>
        <v>0.8</v>
      </c>
      <c r="BG42" s="933">
        <f t="shared" si="176"/>
        <v>0.8</v>
      </c>
      <c r="BH42" s="933">
        <f t="shared" si="176"/>
        <v>0.8</v>
      </c>
      <c r="BI42" s="933">
        <f t="shared" si="176"/>
        <v>0.8</v>
      </c>
      <c r="BJ42" s="933">
        <f t="shared" si="176"/>
        <v>0.8</v>
      </c>
      <c r="BK42" s="933">
        <f t="shared" si="176"/>
        <v>0.8</v>
      </c>
      <c r="BL42" s="933">
        <f t="shared" si="176"/>
        <v>0.8</v>
      </c>
      <c r="BM42" s="933">
        <f t="shared" si="176"/>
        <v>0.8</v>
      </c>
      <c r="BN42" s="933">
        <f t="shared" si="176"/>
        <v>0.8</v>
      </c>
      <c r="BO42" s="933">
        <f t="shared" si="176"/>
        <v>0.8</v>
      </c>
      <c r="BP42" s="933">
        <f t="shared" si="176"/>
        <v>0.8</v>
      </c>
      <c r="BQ42" s="933">
        <f t="shared" si="176"/>
        <v>0.8</v>
      </c>
      <c r="BR42" s="933">
        <f t="shared" si="176"/>
        <v>0.8</v>
      </c>
      <c r="BS42" s="933">
        <f t="shared" si="176"/>
        <v>0.8</v>
      </c>
      <c r="BT42" s="933">
        <f t="shared" si="176"/>
        <v>0.8</v>
      </c>
      <c r="BU42" s="933">
        <f t="shared" si="176"/>
        <v>0.8</v>
      </c>
      <c r="BV42" s="933">
        <f t="shared" si="176"/>
        <v>0.8</v>
      </c>
      <c r="BW42" s="933">
        <f t="shared" si="176"/>
        <v>0.8</v>
      </c>
      <c r="BX42" s="933">
        <f t="shared" si="176"/>
        <v>0.8</v>
      </c>
      <c r="BY42" s="933">
        <f t="shared" si="176"/>
        <v>0.8</v>
      </c>
      <c r="BZ42" s="933">
        <f t="shared" si="176"/>
        <v>0.8</v>
      </c>
      <c r="CA42" s="933">
        <f t="shared" si="176"/>
        <v>0.8</v>
      </c>
      <c r="CB42" s="933">
        <f t="shared" si="176"/>
        <v>0.8</v>
      </c>
      <c r="CC42" s="933">
        <f t="shared" si="176"/>
        <v>0.8</v>
      </c>
      <c r="CD42" s="933">
        <f t="shared" si="176"/>
        <v>0.8</v>
      </c>
      <c r="CE42" s="933">
        <f t="shared" si="176"/>
        <v>0.8</v>
      </c>
      <c r="CF42" s="933">
        <f t="shared" si="176"/>
        <v>0.8</v>
      </c>
      <c r="CG42" s="933">
        <f t="shared" si="176"/>
        <v>0.8</v>
      </c>
      <c r="CH42" s="169"/>
      <c r="CI42" s="169"/>
      <c r="CJ42" s="169"/>
      <c r="CK42" s="169"/>
      <c r="CL42" s="169"/>
      <c r="CM42" s="169"/>
      <c r="CN42" s="169"/>
      <c r="CO42" s="169"/>
      <c r="CP42" s="169"/>
      <c r="CQ42" s="169"/>
      <c r="CR42" s="169"/>
      <c r="CS42" s="169"/>
      <c r="CT42" s="169"/>
      <c r="CU42" s="169"/>
      <c r="CV42" s="169"/>
      <c r="CW42" s="169"/>
      <c r="CX42" s="169"/>
      <c r="CY42" s="169"/>
      <c r="CZ42" s="169"/>
      <c r="DA42" s="169"/>
      <c r="DB42" s="169"/>
      <c r="DC42" s="169"/>
      <c r="DD42" s="169"/>
      <c r="DE42" s="169"/>
      <c r="DF42" s="169"/>
      <c r="DG42" s="169"/>
      <c r="DH42" s="169"/>
      <c r="DI42" s="169"/>
      <c r="DJ42" s="169"/>
      <c r="DK42" s="169"/>
      <c r="DL42" s="169"/>
      <c r="DM42" s="169"/>
      <c r="DN42" s="169"/>
      <c r="DO42" s="169"/>
      <c r="DP42" s="169"/>
      <c r="DQ42" s="169"/>
      <c r="DR42" s="169"/>
      <c r="DS42" s="169"/>
      <c r="DT42" s="169"/>
      <c r="DU42" s="169"/>
      <c r="DV42" s="169"/>
      <c r="DW42" s="169"/>
      <c r="DX42" s="169"/>
      <c r="DY42" s="169"/>
      <c r="DZ42" s="169"/>
      <c r="EA42" s="169"/>
      <c r="EB42" s="169"/>
      <c r="EC42" s="169"/>
      <c r="ED42" s="169"/>
      <c r="EE42" s="169"/>
      <c r="EF42" s="169"/>
      <c r="EG42" s="169"/>
      <c r="EH42" s="169"/>
      <c r="EI42" s="169"/>
      <c r="EJ42" s="169"/>
      <c r="EK42" s="169"/>
      <c r="EL42" s="169"/>
      <c r="EM42" s="169"/>
      <c r="EN42" s="169"/>
      <c r="EO42" s="169"/>
      <c r="EP42" s="169"/>
      <c r="EQ42" s="169"/>
    </row>
    <row r="43" spans="2:147" s="10" customFormat="1">
      <c r="B43" s="127"/>
      <c r="C43" s="148"/>
      <c r="D43" s="85"/>
      <c r="E43" s="17"/>
      <c r="F43" s="174" t="s">
        <v>289</v>
      </c>
      <c r="G43" s="181">
        <f>S142</f>
        <v>8.041553000670822</v>
      </c>
      <c r="H43" s="180"/>
      <c r="I43" s="7"/>
      <c r="J43" s="7"/>
      <c r="K43" s="7"/>
      <c r="L43" s="1550"/>
      <c r="M43" s="1550"/>
      <c r="N43" s="1550"/>
      <c r="O43" s="1550"/>
      <c r="P43" s="1550"/>
      <c r="Q43" s="7"/>
      <c r="R43" s="9"/>
      <c r="S43" s="111"/>
      <c r="V43" s="140"/>
      <c r="W43" s="140"/>
      <c r="X43" s="140"/>
      <c r="Y43" s="140"/>
      <c r="Z43" s="140"/>
      <c r="AA43" s="140"/>
      <c r="AB43" s="140"/>
      <c r="AC43" s="140"/>
      <c r="AD43" s="140"/>
      <c r="AE43" s="140"/>
      <c r="AF43" s="140"/>
      <c r="AG43" s="140"/>
      <c r="AH43" s="1632"/>
      <c r="AI43" s="140"/>
      <c r="AJ43" s="140"/>
      <c r="AK43" s="140"/>
      <c r="AL43" s="140"/>
      <c r="AM43" s="140"/>
      <c r="AN43" s="140"/>
      <c r="AO43" s="140"/>
      <c r="AP43" s="140"/>
      <c r="AQ43" s="140"/>
      <c r="AR43" s="140"/>
      <c r="AS43" s="140"/>
      <c r="AT43" s="140"/>
      <c r="AU43" s="140"/>
      <c r="AV43" s="140"/>
      <c r="AW43" s="140"/>
      <c r="AX43" s="140"/>
      <c r="AY43" s="140"/>
      <c r="AZ43" s="140"/>
      <c r="BA43" s="140"/>
      <c r="BB43" s="140"/>
      <c r="BC43" s="140"/>
      <c r="BD43" s="140"/>
      <c r="BE43" s="140"/>
      <c r="BF43" s="140"/>
      <c r="BG43" s="140"/>
      <c r="BH43" s="140"/>
      <c r="BI43" s="140"/>
      <c r="BJ43" s="140"/>
      <c r="BK43" s="140"/>
      <c r="BL43" s="140"/>
      <c r="BM43" s="140"/>
      <c r="BN43" s="140"/>
      <c r="BO43" s="140"/>
      <c r="BP43" s="140"/>
      <c r="BQ43" s="140"/>
      <c r="BR43" s="140"/>
      <c r="BS43" s="140"/>
      <c r="BT43" s="140"/>
      <c r="BU43" s="140"/>
      <c r="BV43" s="140"/>
      <c r="BW43" s="140"/>
      <c r="BX43" s="140"/>
      <c r="BY43" s="140"/>
      <c r="BZ43" s="140"/>
      <c r="CA43" s="140"/>
      <c r="CB43" s="140"/>
      <c r="CC43" s="140"/>
      <c r="CD43" s="140"/>
      <c r="CE43" s="140"/>
      <c r="CF43" s="140"/>
      <c r="CG43" s="140"/>
      <c r="CH43" s="220"/>
      <c r="CI43" s="220"/>
      <c r="CJ43" s="220"/>
      <c r="CK43" s="220"/>
      <c r="CL43" s="220"/>
      <c r="CM43" s="220"/>
      <c r="CN43" s="220"/>
      <c r="CO43" s="220"/>
      <c r="CP43" s="220"/>
      <c r="CQ43" s="220"/>
      <c r="CR43" s="220"/>
      <c r="CS43" s="220"/>
      <c r="CT43" s="220"/>
      <c r="CU43" s="220"/>
      <c r="CV43" s="220"/>
      <c r="CW43" s="220"/>
      <c r="CX43" s="220"/>
      <c r="CY43" s="220"/>
      <c r="CZ43" s="220"/>
      <c r="DA43" s="220"/>
      <c r="DB43" s="220"/>
      <c r="DC43" s="220"/>
      <c r="DD43" s="220"/>
      <c r="DE43" s="220"/>
      <c r="DF43" s="220"/>
      <c r="DG43" s="220"/>
      <c r="DH43" s="220"/>
      <c r="DI43" s="220"/>
      <c r="DJ43" s="220"/>
      <c r="DK43" s="220"/>
      <c r="DL43" s="220"/>
      <c r="DM43" s="220"/>
      <c r="DN43" s="220"/>
      <c r="DO43" s="220"/>
      <c r="DP43" s="220"/>
      <c r="DQ43" s="220"/>
      <c r="DR43" s="220"/>
      <c r="DS43" s="220"/>
      <c r="DT43" s="220"/>
      <c r="DU43" s="220"/>
      <c r="DV43" s="220"/>
      <c r="DW43" s="220"/>
      <c r="DX43" s="220"/>
      <c r="DY43" s="220"/>
      <c r="DZ43" s="220"/>
      <c r="EA43" s="220"/>
      <c r="EB43" s="220"/>
      <c r="EC43" s="220"/>
      <c r="ED43" s="220"/>
      <c r="EE43" s="220"/>
      <c r="EF43" s="220"/>
      <c r="EG43" s="220"/>
      <c r="EH43" s="220"/>
      <c r="EI43" s="220"/>
      <c r="EJ43" s="220"/>
      <c r="EK43" s="220"/>
      <c r="EL43" s="220"/>
      <c r="EM43" s="220"/>
      <c r="EN43" s="220"/>
      <c r="EO43" s="220"/>
      <c r="EP43" s="220"/>
      <c r="EQ43" s="220"/>
    </row>
    <row r="44" spans="2:147" s="10" customFormat="1">
      <c r="B44" s="127" t="s">
        <v>235</v>
      </c>
      <c r="C44" s="148"/>
      <c r="D44" s="84"/>
      <c r="E44" s="17"/>
      <c r="F44" s="174" t="s">
        <v>274</v>
      </c>
      <c r="G44" s="136">
        <f>S143</f>
        <v>41976.906663501693</v>
      </c>
      <c r="H44" s="175">
        <f>+G44/$C$8</f>
        <v>14.069590326518822</v>
      </c>
      <c r="I44" s="221"/>
      <c r="J44" s="221"/>
      <c r="K44" s="221"/>
      <c r="L44" s="1551"/>
      <c r="M44" s="1551"/>
      <c r="N44" s="1551"/>
      <c r="O44" s="1551"/>
      <c r="P44" s="1551"/>
      <c r="Q44" s="221"/>
      <c r="R44" s="1271" t="s">
        <v>1180</v>
      </c>
      <c r="S44" s="111"/>
      <c r="V44" s="140"/>
      <c r="W44" s="140"/>
      <c r="X44" s="140"/>
      <c r="Y44" s="140"/>
      <c r="Z44" s="140"/>
      <c r="AA44" s="140"/>
      <c r="AB44" s="140"/>
      <c r="AC44" s="140">
        <f t="shared" ref="AC44:AI44" si="177">AVERAGE(AB15:AC15)</f>
        <v>1011711.5</v>
      </c>
      <c r="AD44" s="140">
        <f t="shared" si="177"/>
        <v>1010571.5</v>
      </c>
      <c r="AE44" s="140">
        <f t="shared" si="177"/>
        <v>1032293</v>
      </c>
      <c r="AF44" s="140">
        <f t="shared" si="177"/>
        <v>1095686</v>
      </c>
      <c r="AG44" s="140">
        <f t="shared" si="177"/>
        <v>1167379</v>
      </c>
      <c r="AH44" s="1632">
        <f t="shared" si="177"/>
        <v>1263111.5</v>
      </c>
      <c r="AI44" s="140">
        <f t="shared" ca="1" si="177"/>
        <v>1315533.9205290824</v>
      </c>
      <c r="AJ44" s="140">
        <f t="shared" ref="AJ44" ca="1" si="178">AVERAGE(AI15:AJ15)</f>
        <v>1365238.9701131557</v>
      </c>
      <c r="AK44" s="140">
        <f t="shared" ref="AK44" ca="1" si="179">AVERAGE(AJ15:AK15)</f>
        <v>1425852.4541241538</v>
      </c>
      <c r="AL44" s="140">
        <f ca="1">AVERAGE(AK15:AL15)</f>
        <v>1479903.7705507679</v>
      </c>
      <c r="AM44" s="140">
        <f t="shared" ref="AM44:CG44" ca="1" si="180">AVERAGE(AL15:AM15)</f>
        <v>1527190.0430016948</v>
      </c>
      <c r="AN44" s="140">
        <f t="shared" ca="1" si="180"/>
        <v>1573005.7442917458</v>
      </c>
      <c r="AO44" s="140">
        <f t="shared" ca="1" si="180"/>
        <v>1620195.9166204983</v>
      </c>
      <c r="AP44" s="140">
        <f t="shared" ca="1" si="180"/>
        <v>1668801.7941191134</v>
      </c>
      <c r="AQ44" s="140">
        <f t="shared" ca="1" si="180"/>
        <v>1718865.8479426869</v>
      </c>
      <c r="AR44" s="140">
        <f t="shared" ca="1" si="180"/>
        <v>1770431.8233809674</v>
      </c>
      <c r="AS44" s="140">
        <f t="shared" ca="1" si="180"/>
        <v>1823544.7780823964</v>
      </c>
      <c r="AT44" s="140">
        <f t="shared" ca="1" si="180"/>
        <v>1878251.1214248685</v>
      </c>
      <c r="AU44" s="140">
        <f t="shared" ca="1" si="180"/>
        <v>1934598.6550676147</v>
      </c>
      <c r="AV44" s="140">
        <f t="shared" ca="1" si="180"/>
        <v>1992636.614719643</v>
      </c>
      <c r="AW44" s="140">
        <f t="shared" ca="1" si="180"/>
        <v>2052415.7131612324</v>
      </c>
      <c r="AX44" s="140">
        <f t="shared" ca="1" si="180"/>
        <v>2113988.1845560693</v>
      </c>
      <c r="AY44" s="140">
        <f t="shared" ca="1" si="180"/>
        <v>2177407.8300927514</v>
      </c>
      <c r="AZ44" s="140">
        <f t="shared" ca="1" si="180"/>
        <v>2242730.0649955343</v>
      </c>
      <c r="BA44" s="140">
        <f t="shared" ca="1" si="180"/>
        <v>2310011.9669454005</v>
      </c>
      <c r="BB44" s="140">
        <f t="shared" ca="1" si="180"/>
        <v>2379312.325953762</v>
      </c>
      <c r="BC44" s="140">
        <f t="shared" ca="1" si="180"/>
        <v>2450691.6957323756</v>
      </c>
      <c r="BD44" s="140">
        <f t="shared" ca="1" si="180"/>
        <v>2524212.4466043469</v>
      </c>
      <c r="BE44" s="140">
        <f t="shared" ca="1" si="180"/>
        <v>2599938.8200024772</v>
      </c>
      <c r="BF44" s="140">
        <f t="shared" ca="1" si="180"/>
        <v>2677936.9846025514</v>
      </c>
      <c r="BG44" s="140">
        <f t="shared" ca="1" si="180"/>
        <v>2758275.0941406279</v>
      </c>
      <c r="BH44" s="140">
        <f t="shared" ca="1" si="180"/>
        <v>2841023.3469648468</v>
      </c>
      <c r="BI44" s="140">
        <f t="shared" ca="1" si="180"/>
        <v>2926254.0473737922</v>
      </c>
      <c r="BJ44" s="140">
        <f t="shared" ca="1" si="180"/>
        <v>3014041.6687950063</v>
      </c>
      <c r="BK44" s="140">
        <f t="shared" ca="1" si="180"/>
        <v>3104462.9188588564</v>
      </c>
      <c r="BL44" s="140">
        <f t="shared" ca="1" si="180"/>
        <v>3197596.8064246224</v>
      </c>
      <c r="BM44" s="140">
        <f t="shared" ca="1" si="180"/>
        <v>3293524.7106173611</v>
      </c>
      <c r="BN44" s="140">
        <f t="shared" ca="1" si="180"/>
        <v>3392330.4519358817</v>
      </c>
      <c r="BO44" s="140">
        <f t="shared" ca="1" si="180"/>
        <v>3494100.3654939584</v>
      </c>
      <c r="BP44" s="140">
        <f t="shared" ca="1" si="180"/>
        <v>3598923.3764587771</v>
      </c>
      <c r="BQ44" s="140">
        <f t="shared" ca="1" si="180"/>
        <v>3706891.0777525404</v>
      </c>
      <c r="BR44" s="140">
        <f t="shared" ca="1" si="180"/>
        <v>3818097.8100851169</v>
      </c>
      <c r="BS44" s="140">
        <f t="shared" ca="1" si="180"/>
        <v>3932640.7443876704</v>
      </c>
      <c r="BT44" s="140">
        <f t="shared" ca="1" si="180"/>
        <v>4050619.9667193005</v>
      </c>
      <c r="BU44" s="140">
        <f t="shared" ca="1" si="180"/>
        <v>4172138.5657208799</v>
      </c>
      <c r="BV44" s="140">
        <f t="shared" ca="1" si="180"/>
        <v>4297302.7226925064</v>
      </c>
      <c r="BW44" s="140">
        <f t="shared" ca="1" si="180"/>
        <v>4426221.804373282</v>
      </c>
      <c r="BX44" s="140">
        <f t="shared" ca="1" si="180"/>
        <v>4559008.4585044812</v>
      </c>
      <c r="BY44" s="140">
        <f t="shared" ca="1" si="180"/>
        <v>4695778.7122596148</v>
      </c>
      <c r="BZ44" s="140">
        <f t="shared" ca="1" si="180"/>
        <v>4836652.073627403</v>
      </c>
      <c r="CA44" s="140">
        <f t="shared" ca="1" si="180"/>
        <v>4981751.6358362259</v>
      </c>
      <c r="CB44" s="140">
        <f t="shared" ca="1" si="180"/>
        <v>5131204.1849113125</v>
      </c>
      <c r="CC44" s="140">
        <f t="shared" ca="1" si="180"/>
        <v>5285140.3104586517</v>
      </c>
      <c r="CD44" s="140">
        <f t="shared" ca="1" si="180"/>
        <v>5443694.5197724113</v>
      </c>
      <c r="CE44" s="140">
        <f t="shared" ca="1" si="180"/>
        <v>5607005.3553655837</v>
      </c>
      <c r="CF44" s="140">
        <f t="shared" ca="1" si="180"/>
        <v>5775215.5160265509</v>
      </c>
      <c r="CG44" s="140">
        <f t="shared" ca="1" si="180"/>
        <v>5948471.9815073479</v>
      </c>
      <c r="CH44" s="199"/>
      <c r="CI44" s="199"/>
      <c r="CJ44" s="199"/>
      <c r="CK44" s="199"/>
      <c r="CL44" s="199"/>
      <c r="CM44" s="199"/>
      <c r="CN44" s="199"/>
      <c r="CO44" s="199"/>
      <c r="CP44" s="199"/>
      <c r="CQ44" s="199"/>
      <c r="CR44" s="199"/>
      <c r="CS44" s="199"/>
      <c r="CT44" s="199"/>
      <c r="CU44" s="199"/>
      <c r="CV44" s="199"/>
      <c r="CW44" s="199"/>
      <c r="CX44" s="199"/>
      <c r="CY44" s="199"/>
      <c r="CZ44" s="199"/>
      <c r="DA44" s="199"/>
      <c r="DB44" s="199"/>
      <c r="DC44" s="199"/>
      <c r="DD44" s="199"/>
      <c r="DE44" s="199"/>
      <c r="DF44" s="199"/>
      <c r="DG44" s="199"/>
      <c r="DH44" s="199"/>
      <c r="DI44" s="199"/>
      <c r="DJ44" s="199"/>
      <c r="DK44" s="199"/>
      <c r="DL44" s="199"/>
      <c r="DM44" s="199"/>
      <c r="DN44" s="199"/>
      <c r="DO44" s="199"/>
      <c r="DP44" s="199"/>
      <c r="DQ44" s="199"/>
      <c r="DR44" s="199"/>
      <c r="DS44" s="199"/>
      <c r="DT44" s="199"/>
      <c r="DU44" s="199"/>
      <c r="DV44" s="199"/>
      <c r="DW44" s="199"/>
      <c r="DX44" s="199"/>
      <c r="DY44" s="199"/>
      <c r="DZ44" s="199"/>
      <c r="EA44" s="199"/>
      <c r="EB44" s="199"/>
      <c r="EC44" s="199"/>
      <c r="ED44" s="199"/>
      <c r="EE44" s="199"/>
      <c r="EF44" s="199"/>
      <c r="EG44" s="199"/>
      <c r="EH44" s="199"/>
      <c r="EI44" s="199"/>
      <c r="EJ44" s="199"/>
      <c r="EK44" s="199"/>
      <c r="EL44" s="199"/>
      <c r="EM44" s="199"/>
      <c r="EN44" s="199"/>
      <c r="EO44" s="199"/>
      <c r="EP44" s="199"/>
      <c r="EQ44" s="199"/>
    </row>
    <row r="45" spans="2:147" s="10" customFormat="1">
      <c r="B45" s="135" t="s">
        <v>357</v>
      </c>
      <c r="C45" s="700">
        <v>5</v>
      </c>
      <c r="D45" s="16"/>
      <c r="E45" s="17"/>
      <c r="F45" s="209" t="s">
        <v>288</v>
      </c>
      <c r="G45" s="151">
        <f ca="1">+G44+G41</f>
        <v>92572.731858868879</v>
      </c>
      <c r="H45" s="210">
        <f ca="1">+G45/$C$8</f>
        <v>31.028022695951357</v>
      </c>
      <c r="I45" s="142"/>
      <c r="J45" s="142"/>
      <c r="K45" s="142"/>
      <c r="L45" s="233"/>
      <c r="M45" s="233"/>
      <c r="N45" s="233"/>
      <c r="O45" s="233"/>
      <c r="P45" s="233"/>
      <c r="Q45" s="142"/>
      <c r="R45" s="1271" t="s">
        <v>259</v>
      </c>
      <c r="S45" s="111"/>
      <c r="V45" s="140"/>
      <c r="W45" s="140"/>
      <c r="X45" s="140"/>
      <c r="Y45" s="140"/>
      <c r="Z45" s="140"/>
      <c r="AA45" s="140"/>
      <c r="AB45" s="140"/>
      <c r="AC45" s="140">
        <f>+AC46-AC44</f>
        <v>40861.5</v>
      </c>
      <c r="AD45" s="140">
        <f t="shared" ref="AD45:AH45" si="181">+AD46-AD44</f>
        <v>25577.5</v>
      </c>
      <c r="AE45" s="140">
        <f t="shared" si="181"/>
        <v>3676</v>
      </c>
      <c r="AF45" s="140">
        <f t="shared" ref="AF45:AG45" si="182">+AF46-AF44</f>
        <v>18142</v>
      </c>
      <c r="AG45" s="140">
        <f t="shared" si="182"/>
        <v>4980</v>
      </c>
      <c r="AH45" s="1632">
        <f t="shared" si="181"/>
        <v>70503.5</v>
      </c>
      <c r="AI45" s="140">
        <f t="shared" ref="AI45" ca="1" si="183">+AI46-AI44</f>
        <v>44805.693386807339</v>
      </c>
      <c r="AJ45" s="140">
        <f t="shared" ref="AJ45:AK45" ca="1" si="184">+AJ46-AJ44</f>
        <v>50950.643721130211</v>
      </c>
      <c r="AK45" s="140">
        <f t="shared" ca="1" si="184"/>
        <v>53378.401962169679</v>
      </c>
      <c r="AL45" s="140">
        <f ca="1">+AK45/AK44*AL44</f>
        <v>55401.874227100823</v>
      </c>
      <c r="AM45" s="140">
        <f t="shared" ref="AM45:CG45" ca="1" si="185">+AL45/AL44*AM44</f>
        <v>57172.089406713276</v>
      </c>
      <c r="AN45" s="140">
        <f t="shared" ca="1" si="185"/>
        <v>58887.252088914676</v>
      </c>
      <c r="AO45" s="140">
        <f t="shared" ca="1" si="185"/>
        <v>60653.869651582121</v>
      </c>
      <c r="AP45" s="140">
        <f t="shared" ca="1" si="185"/>
        <v>62473.485741129589</v>
      </c>
      <c r="AQ45" s="140">
        <f t="shared" ca="1" si="185"/>
        <v>64347.690313363484</v>
      </c>
      <c r="AR45" s="140">
        <f t="shared" ca="1" si="185"/>
        <v>66278.12102276439</v>
      </c>
      <c r="AS45" s="140">
        <f t="shared" ca="1" si="185"/>
        <v>68266.464653447314</v>
      </c>
      <c r="AT45" s="140">
        <f t="shared" ca="1" si="185"/>
        <v>70314.458593050746</v>
      </c>
      <c r="AU45" s="140">
        <f t="shared" ca="1" si="185"/>
        <v>72423.892350842274</v>
      </c>
      <c r="AV45" s="140">
        <f t="shared" ca="1" si="185"/>
        <v>74596.609121367539</v>
      </c>
      <c r="AW45" s="140">
        <f t="shared" ca="1" si="185"/>
        <v>76834.507395008564</v>
      </c>
      <c r="AX45" s="140">
        <f t="shared" ca="1" si="185"/>
        <v>79139.542616858816</v>
      </c>
      <c r="AY45" s="140">
        <f t="shared" ca="1" si="185"/>
        <v>81513.728895364577</v>
      </c>
      <c r="AZ45" s="140">
        <f t="shared" ca="1" si="185"/>
        <v>83959.140762225536</v>
      </c>
      <c r="BA45" s="140">
        <f t="shared" ca="1" si="185"/>
        <v>86477.914985092299</v>
      </c>
      <c r="BB45" s="140">
        <f t="shared" ca="1" si="185"/>
        <v>89072.252434645052</v>
      </c>
      <c r="BC45" s="140">
        <f t="shared" ca="1" si="185"/>
        <v>91744.420007684443</v>
      </c>
      <c r="BD45" s="140">
        <f t="shared" ca="1" si="185"/>
        <v>94496.752607914968</v>
      </c>
      <c r="BE45" s="140">
        <f t="shared" ca="1" si="185"/>
        <v>97331.655186152406</v>
      </c>
      <c r="BF45" s="140">
        <f t="shared" ca="1" si="185"/>
        <v>100251.60484173699</v>
      </c>
      <c r="BG45" s="140">
        <f t="shared" ca="1" si="185"/>
        <v>103259.15298698909</v>
      </c>
      <c r="BH45" s="140">
        <f t="shared" ca="1" si="185"/>
        <v>106356.92757659877</v>
      </c>
      <c r="BI45" s="140">
        <f t="shared" ca="1" si="185"/>
        <v>109547.63540389673</v>
      </c>
      <c r="BJ45" s="140">
        <f t="shared" ca="1" si="185"/>
        <v>112834.06446601365</v>
      </c>
      <c r="BK45" s="140">
        <f t="shared" ca="1" si="185"/>
        <v>116219.08639999405</v>
      </c>
      <c r="BL45" s="140">
        <f t="shared" ca="1" si="185"/>
        <v>119705.65899199389</v>
      </c>
      <c r="BM45" s="140">
        <f t="shared" ca="1" si="185"/>
        <v>123296.8287617537</v>
      </c>
      <c r="BN45" s="140">
        <f t="shared" ca="1" si="185"/>
        <v>126995.73362460631</v>
      </c>
      <c r="BO45" s="140">
        <f t="shared" ca="1" si="185"/>
        <v>130805.6056333445</v>
      </c>
      <c r="BP45" s="140">
        <f t="shared" ca="1" si="185"/>
        <v>134729.77380234483</v>
      </c>
      <c r="BQ45" s="140">
        <f t="shared" ca="1" si="185"/>
        <v>138771.66701641519</v>
      </c>
      <c r="BR45" s="140">
        <f t="shared" ca="1" si="185"/>
        <v>142934.81702690764</v>
      </c>
      <c r="BS45" s="140">
        <f t="shared" ca="1" si="185"/>
        <v>147222.86153771487</v>
      </c>
      <c r="BT45" s="140">
        <f t="shared" ca="1" si="185"/>
        <v>151639.54738384631</v>
      </c>
      <c r="BU45" s="140">
        <f t="shared" ca="1" si="185"/>
        <v>156188.73380536173</v>
      </c>
      <c r="BV45" s="140">
        <f t="shared" ca="1" si="185"/>
        <v>160874.39581952259</v>
      </c>
      <c r="BW45" s="140">
        <f t="shared" ca="1" si="185"/>
        <v>165700.62769410826</v>
      </c>
      <c r="BX45" s="140">
        <f t="shared" ca="1" si="185"/>
        <v>170671.64652493154</v>
      </c>
      <c r="BY45" s="140">
        <f t="shared" ca="1" si="185"/>
        <v>175791.79592067946</v>
      </c>
      <c r="BZ45" s="140">
        <f t="shared" ca="1" si="185"/>
        <v>181065.54979829985</v>
      </c>
      <c r="CA45" s="140">
        <f t="shared" ca="1" si="185"/>
        <v>186497.51629224885</v>
      </c>
      <c r="CB45" s="140">
        <f t="shared" ca="1" si="185"/>
        <v>192092.44178101633</v>
      </c>
      <c r="CC45" s="140">
        <f t="shared" ca="1" si="185"/>
        <v>197855.2150344468</v>
      </c>
      <c r="CD45" s="140">
        <f t="shared" ca="1" si="185"/>
        <v>203790.87148548022</v>
      </c>
      <c r="CE45" s="140">
        <f t="shared" ca="1" si="185"/>
        <v>209904.59763004462</v>
      </c>
      <c r="CF45" s="140">
        <f t="shared" ca="1" si="185"/>
        <v>216201.73555894595</v>
      </c>
      <c r="CG45" s="140">
        <f t="shared" ca="1" si="185"/>
        <v>222687.78762571435</v>
      </c>
      <c r="CH45" s="137"/>
      <c r="CI45" s="137"/>
      <c r="CJ45" s="137"/>
      <c r="CK45" s="137"/>
      <c r="CL45" s="137"/>
      <c r="CM45" s="137"/>
      <c r="CN45" s="137"/>
      <c r="CO45" s="137"/>
      <c r="CP45" s="137"/>
      <c r="CQ45" s="137"/>
      <c r="CR45" s="137"/>
      <c r="CS45" s="137"/>
      <c r="CT45" s="137"/>
      <c r="CU45" s="137"/>
      <c r="CV45" s="137"/>
      <c r="CW45" s="137"/>
      <c r="CX45" s="137"/>
      <c r="CY45" s="137"/>
      <c r="CZ45" s="137"/>
      <c r="DA45" s="137"/>
      <c r="DB45" s="137"/>
      <c r="DC45" s="137"/>
      <c r="DD45" s="137"/>
      <c r="DE45" s="137"/>
      <c r="DF45" s="137"/>
      <c r="DG45" s="137"/>
      <c r="DH45" s="137"/>
      <c r="DI45" s="137"/>
      <c r="DJ45" s="137"/>
      <c r="DK45" s="137"/>
      <c r="DL45" s="137"/>
      <c r="DM45" s="137"/>
      <c r="DN45" s="137"/>
      <c r="DO45" s="137"/>
      <c r="DP45" s="137"/>
      <c r="DQ45" s="137"/>
      <c r="DR45" s="137"/>
      <c r="DS45" s="137"/>
      <c r="DT45" s="137"/>
      <c r="DU45" s="137"/>
      <c r="DV45" s="137"/>
      <c r="DW45" s="137"/>
      <c r="DX45" s="137"/>
      <c r="DY45" s="137"/>
      <c r="DZ45" s="137"/>
      <c r="EA45" s="137"/>
      <c r="EB45" s="137"/>
      <c r="EC45" s="137"/>
      <c r="ED45" s="137"/>
      <c r="EE45" s="137"/>
      <c r="EF45" s="137"/>
      <c r="EG45" s="137"/>
      <c r="EH45" s="137"/>
      <c r="EI45" s="137"/>
      <c r="EJ45" s="137"/>
      <c r="EK45" s="137"/>
      <c r="EL45" s="137"/>
      <c r="EM45" s="137"/>
      <c r="EN45" s="137"/>
      <c r="EO45" s="137"/>
      <c r="EP45" s="137"/>
      <c r="EQ45" s="137"/>
    </row>
    <row r="46" spans="2:147" s="10" customFormat="1">
      <c r="B46" s="211" t="s">
        <v>333</v>
      </c>
      <c r="C46" s="212">
        <f ca="1">AVERAGE(AS38:AW38)</f>
        <v>0.11915992330213954</v>
      </c>
      <c r="D46" s="84"/>
      <c r="E46" s="17"/>
      <c r="F46" s="205" t="s">
        <v>270</v>
      </c>
      <c r="G46" s="136">
        <f ca="1">S152</f>
        <v>12901.935424818634</v>
      </c>
      <c r="H46" s="175">
        <f ca="1">+G46/$C$8</f>
        <v>4.3244002542052975</v>
      </c>
      <c r="I46" s="4"/>
      <c r="J46" s="4"/>
      <c r="K46" s="4"/>
      <c r="L46" s="11"/>
      <c r="M46" s="11"/>
      <c r="N46" s="11"/>
      <c r="O46" s="11"/>
      <c r="P46" s="11"/>
      <c r="Q46" s="4"/>
      <c r="R46" s="10" t="s">
        <v>164</v>
      </c>
      <c r="S46" s="111"/>
      <c r="V46" s="140">
        <f>MODEL!BJ465</f>
        <v>675304</v>
      </c>
      <c r="W46" s="140">
        <f>MODEL!BN465</f>
        <v>749334</v>
      </c>
      <c r="X46" s="140">
        <f>MODEL!BR465</f>
        <v>851036</v>
      </c>
      <c r="Y46" s="140">
        <f>MODEL!BV465</f>
        <v>907909</v>
      </c>
      <c r="Z46" s="140">
        <f>MODEL!BZ465</f>
        <v>919081.5</v>
      </c>
      <c r="AA46" s="140">
        <f>MODEL!CD465</f>
        <v>944113</v>
      </c>
      <c r="AB46" s="763">
        <f>MODEL!CH465</f>
        <v>980979</v>
      </c>
      <c r="AC46" s="763">
        <f>MODEL!CL465</f>
        <v>1052573</v>
      </c>
      <c r="AD46" s="763">
        <f>MODEL!CP465</f>
        <v>1036149</v>
      </c>
      <c r="AE46" s="763">
        <f>MODEL!CT465</f>
        <v>1035969</v>
      </c>
      <c r="AF46" s="763">
        <f>MODEL!CX465</f>
        <v>1113828</v>
      </c>
      <c r="AG46" s="763">
        <f>MODEL!DB465</f>
        <v>1172359</v>
      </c>
      <c r="AH46" s="1631">
        <f>INDEX(MODEL!465:465,MATCH(AH$5,MODEL!$7:$7,0))</f>
        <v>1333615</v>
      </c>
      <c r="AI46" s="763">
        <f ca="1">INDEX(MODEL!465:465,MATCH(AI$5,MODEL!$7:$7,0))</f>
        <v>1360339.6139158898</v>
      </c>
      <c r="AJ46" s="763">
        <f ca="1">INDEX(MODEL!465:465,MATCH(AJ$5,MODEL!$7:$7,0))</f>
        <v>1416189.6138342859</v>
      </c>
      <c r="AK46" s="763">
        <f ca="1">INDEX(MODEL!465:465,MATCH(AK$5,MODEL!$7:$7,0))</f>
        <v>1479230.8560863235</v>
      </c>
      <c r="AL46" s="140">
        <f ca="1">+AL44+AL45</f>
        <v>1535305.6447778686</v>
      </c>
      <c r="AM46" s="140">
        <f t="shared" ref="AM46:CG46" ca="1" si="186">+AM44+AM45</f>
        <v>1584362.1324084082</v>
      </c>
      <c r="AN46" s="140">
        <f t="shared" ca="1" si="186"/>
        <v>1631892.9963806605</v>
      </c>
      <c r="AO46" s="140">
        <f t="shared" ca="1" si="186"/>
        <v>1680849.7862720804</v>
      </c>
      <c r="AP46" s="140">
        <f t="shared" ca="1" si="186"/>
        <v>1731275.279860243</v>
      </c>
      <c r="AQ46" s="140">
        <f t="shared" ca="1" si="186"/>
        <v>1783213.5382560503</v>
      </c>
      <c r="AR46" s="140">
        <f t="shared" ca="1" si="186"/>
        <v>1836709.9444037317</v>
      </c>
      <c r="AS46" s="140">
        <f t="shared" ca="1" si="186"/>
        <v>1891811.2427358436</v>
      </c>
      <c r="AT46" s="140">
        <f t="shared" ca="1" si="186"/>
        <v>1948565.5800179192</v>
      </c>
      <c r="AU46" s="140">
        <f t="shared" ca="1" si="186"/>
        <v>2007022.547418457</v>
      </c>
      <c r="AV46" s="140">
        <f t="shared" ca="1" si="186"/>
        <v>2067233.2238410106</v>
      </c>
      <c r="AW46" s="140">
        <f t="shared" ca="1" si="186"/>
        <v>2129250.220556241</v>
      </c>
      <c r="AX46" s="140">
        <f t="shared" ca="1" si="186"/>
        <v>2193127.7271729279</v>
      </c>
      <c r="AY46" s="140">
        <f t="shared" ca="1" si="186"/>
        <v>2258921.5589881162</v>
      </c>
      <c r="AZ46" s="140">
        <f t="shared" ca="1" si="186"/>
        <v>2326689.20575776</v>
      </c>
      <c r="BA46" s="140">
        <f t="shared" ca="1" si="186"/>
        <v>2396489.8819304928</v>
      </c>
      <c r="BB46" s="140">
        <f t="shared" ca="1" si="186"/>
        <v>2468384.5783884069</v>
      </c>
      <c r="BC46" s="140">
        <f t="shared" ca="1" si="186"/>
        <v>2542436.1157400599</v>
      </c>
      <c r="BD46" s="140">
        <f t="shared" ca="1" si="186"/>
        <v>2618709.1992122619</v>
      </c>
      <c r="BE46" s="140">
        <f t="shared" ca="1" si="186"/>
        <v>2697270.4751886297</v>
      </c>
      <c r="BF46" s="140">
        <f t="shared" ca="1" si="186"/>
        <v>2778188.5894442885</v>
      </c>
      <c r="BG46" s="140">
        <f t="shared" ca="1" si="186"/>
        <v>2861534.2471276168</v>
      </c>
      <c r="BH46" s="140">
        <f t="shared" ca="1" si="186"/>
        <v>2947380.2745414455</v>
      </c>
      <c r="BI46" s="140">
        <f t="shared" ca="1" si="186"/>
        <v>3035801.6827776888</v>
      </c>
      <c r="BJ46" s="140">
        <f t="shared" ca="1" si="186"/>
        <v>3126875.7332610199</v>
      </c>
      <c r="BK46" s="140">
        <f t="shared" ca="1" si="186"/>
        <v>3220682.0052588503</v>
      </c>
      <c r="BL46" s="140">
        <f t="shared" ca="1" si="186"/>
        <v>3317302.4654166163</v>
      </c>
      <c r="BM46" s="140">
        <f t="shared" ca="1" si="186"/>
        <v>3416821.5393791148</v>
      </c>
      <c r="BN46" s="140">
        <f t="shared" ca="1" si="186"/>
        <v>3519326.1855604881</v>
      </c>
      <c r="BO46" s="140">
        <f t="shared" ca="1" si="186"/>
        <v>3624905.9711273029</v>
      </c>
      <c r="BP46" s="140">
        <f t="shared" ca="1" si="186"/>
        <v>3733653.1502611218</v>
      </c>
      <c r="BQ46" s="140">
        <f t="shared" ca="1" si="186"/>
        <v>3845662.7447689557</v>
      </c>
      <c r="BR46" s="140">
        <f t="shared" ca="1" si="186"/>
        <v>3961032.6271120245</v>
      </c>
      <c r="BS46" s="140">
        <f t="shared" ca="1" si="186"/>
        <v>4079863.6059253854</v>
      </c>
      <c r="BT46" s="140">
        <f t="shared" ca="1" si="186"/>
        <v>4202259.5141031472</v>
      </c>
      <c r="BU46" s="140">
        <f t="shared" ca="1" si="186"/>
        <v>4328327.2995262416</v>
      </c>
      <c r="BV46" s="140">
        <f t="shared" ca="1" si="186"/>
        <v>4458177.1185120288</v>
      </c>
      <c r="BW46" s="140">
        <f t="shared" ca="1" si="186"/>
        <v>4591922.4320673905</v>
      </c>
      <c r="BX46" s="140">
        <f t="shared" ca="1" si="186"/>
        <v>4729680.1050294125</v>
      </c>
      <c r="BY46" s="140">
        <f t="shared" ca="1" si="186"/>
        <v>4871570.5081802942</v>
      </c>
      <c r="BZ46" s="140">
        <f t="shared" ca="1" si="186"/>
        <v>5017717.6234257026</v>
      </c>
      <c r="CA46" s="140">
        <f t="shared" ca="1" si="186"/>
        <v>5168249.1521284748</v>
      </c>
      <c r="CB46" s="140">
        <f t="shared" ca="1" si="186"/>
        <v>5323296.6266923286</v>
      </c>
      <c r="CC46" s="140">
        <f t="shared" ca="1" si="186"/>
        <v>5482995.5254930984</v>
      </c>
      <c r="CD46" s="140">
        <f t="shared" ca="1" si="186"/>
        <v>5647485.3912578914</v>
      </c>
      <c r="CE46" s="140">
        <f t="shared" ca="1" si="186"/>
        <v>5816909.9529956281</v>
      </c>
      <c r="CF46" s="140">
        <f t="shared" ca="1" si="186"/>
        <v>5991417.2515854966</v>
      </c>
      <c r="CG46" s="140">
        <f t="shared" ca="1" si="186"/>
        <v>6171159.7691330621</v>
      </c>
      <c r="CH46" s="137"/>
      <c r="CI46" s="137"/>
      <c r="CJ46" s="137"/>
      <c r="CK46" s="137"/>
      <c r="CL46" s="137"/>
      <c r="CM46" s="137"/>
      <c r="CN46" s="137"/>
      <c r="CO46" s="137"/>
      <c r="CP46" s="137"/>
      <c r="CQ46" s="137"/>
      <c r="CR46" s="137"/>
      <c r="CS46" s="137"/>
      <c r="CT46" s="137"/>
      <c r="CU46" s="137"/>
      <c r="CV46" s="137"/>
      <c r="CW46" s="137"/>
      <c r="CX46" s="137"/>
      <c r="CY46" s="137"/>
      <c r="CZ46" s="137"/>
      <c r="DA46" s="137"/>
      <c r="DB46" s="137"/>
      <c r="DC46" s="137"/>
      <c r="DD46" s="137"/>
      <c r="DE46" s="137"/>
      <c r="DF46" s="137"/>
      <c r="DG46" s="137"/>
      <c r="DH46" s="137"/>
      <c r="DI46" s="137"/>
      <c r="DJ46" s="137"/>
      <c r="DK46" s="137"/>
      <c r="DL46" s="137"/>
      <c r="DM46" s="137"/>
      <c r="DN46" s="137"/>
      <c r="DO46" s="137"/>
      <c r="DP46" s="137"/>
      <c r="DQ46" s="137"/>
      <c r="DR46" s="137"/>
      <c r="DS46" s="137"/>
      <c r="DT46" s="137"/>
      <c r="DU46" s="137"/>
      <c r="DV46" s="137"/>
      <c r="DW46" s="137"/>
      <c r="DX46" s="137"/>
      <c r="DY46" s="137"/>
      <c r="DZ46" s="137"/>
      <c r="EA46" s="137"/>
      <c r="EB46" s="137"/>
      <c r="EC46" s="137"/>
      <c r="ED46" s="137"/>
      <c r="EE46" s="137"/>
      <c r="EF46" s="137"/>
      <c r="EG46" s="137"/>
      <c r="EH46" s="137"/>
      <c r="EI46" s="137"/>
      <c r="EJ46" s="137"/>
      <c r="EK46" s="137"/>
      <c r="EL46" s="137"/>
      <c r="EM46" s="137"/>
      <c r="EN46" s="137"/>
      <c r="EO46" s="137"/>
      <c r="EP46" s="137"/>
      <c r="EQ46" s="137"/>
    </row>
    <row r="47" spans="2:147" s="10" customFormat="1" ht="13.8" thickBot="1">
      <c r="B47" s="211" t="s">
        <v>335</v>
      </c>
      <c r="C47" s="206">
        <f ca="1">AVERAGE(AS16:AW16)</f>
        <v>3.0000000000000027E-2</v>
      </c>
      <c r="D47" s="15"/>
      <c r="E47" s="17"/>
      <c r="F47" s="186" t="s">
        <v>436</v>
      </c>
      <c r="G47" s="187">
        <f ca="1">+G46+G45</f>
        <v>105474.66728368751</v>
      </c>
      <c r="H47" s="188">
        <f ca="1">+G47/$C$8</f>
        <v>35.352422950156651</v>
      </c>
      <c r="I47" s="224"/>
      <c r="J47" s="224"/>
      <c r="K47" s="224"/>
      <c r="L47" s="1552"/>
      <c r="M47" s="1552"/>
      <c r="N47" s="1552"/>
      <c r="O47" s="1552"/>
      <c r="P47" s="1552"/>
      <c r="Q47" s="224"/>
      <c r="R47" s="10" t="s">
        <v>331</v>
      </c>
      <c r="S47" s="111"/>
      <c r="V47" s="140">
        <f>MODEL!BJ472</f>
        <v>42218</v>
      </c>
      <c r="W47" s="140">
        <f>MODEL!BN472</f>
        <v>45985</v>
      </c>
      <c r="X47" s="140">
        <f>MODEL!BR472</f>
        <v>51563</v>
      </c>
      <c r="Y47" s="140">
        <f>MODEL!BV472</f>
        <v>57141</v>
      </c>
      <c r="Z47" s="140">
        <f>MODEL!BZ472</f>
        <v>58264</v>
      </c>
      <c r="AA47" s="140">
        <f>MODEL!CD472</f>
        <v>59126</v>
      </c>
      <c r="AB47" s="763">
        <f>MODEL!CH472</f>
        <v>59496</v>
      </c>
      <c r="AC47" s="763">
        <f>MODEL!CL472</f>
        <v>60688</v>
      </c>
      <c r="AD47" s="763">
        <f>MODEL!CP472</f>
        <v>62356</v>
      </c>
      <c r="AE47" s="763">
        <f>MODEL!CT472</f>
        <v>62832</v>
      </c>
      <c r="AF47" s="763">
        <f>MODEL!CX472</f>
        <v>68154</v>
      </c>
      <c r="AG47" s="763">
        <f>MODEL!DB472</f>
        <v>70294</v>
      </c>
      <c r="AH47" s="1631">
        <f>INDEX(MODEL!472:472,MATCH(AH$5,MODEL!$7:$7,0))</f>
        <v>72298</v>
      </c>
      <c r="AI47" s="763">
        <f ca="1">INDEX(MODEL!472:472,MATCH(AI$5,MODEL!$7:$7,0))</f>
        <v>74968.165263124974</v>
      </c>
      <c r="AJ47" s="763">
        <f ca="1">INDEX(MODEL!472:472,MATCH(AJ$5,MODEL!$7:$7,0))</f>
        <v>77709.4583403375</v>
      </c>
      <c r="AK47" s="763">
        <f ca="1">INDEX(MODEL!472:472,MATCH(AK$5,MODEL!$7:$7,0))</f>
        <v>79596.877308516763</v>
      </c>
      <c r="AL47" s="140">
        <f t="shared" ref="AL47:AR47" ca="1" si="187">AVERAGE(AK41:AL41)</f>
        <v>78882.545165020769</v>
      </c>
      <c r="AM47" s="140">
        <f t="shared" ca="1" si="187"/>
        <v>80681.059151722846</v>
      </c>
      <c r="AN47" s="140">
        <f t="shared" ca="1" si="187"/>
        <v>83318.343529686943</v>
      </c>
      <c r="AO47" s="140">
        <f t="shared" ca="1" si="187"/>
        <v>85619.67836324792</v>
      </c>
      <c r="AP47" s="140">
        <f t="shared" ca="1" si="187"/>
        <v>87912.583633124435</v>
      </c>
      <c r="AQ47" s="140">
        <f t="shared" ca="1" si="187"/>
        <v>90719.71492517693</v>
      </c>
      <c r="AR47" s="140">
        <f t="shared" ca="1" si="187"/>
        <v>93700.351712487536</v>
      </c>
      <c r="AS47" s="140">
        <f ca="1">AVERAGE(AR41:AS41)</f>
        <v>96463.480393899081</v>
      </c>
      <c r="AT47" s="140">
        <f t="shared" ref="AT47:CG47" ca="1" si="188">AVERAGE(AS41:AT41)</f>
        <v>99250.797142620082</v>
      </c>
      <c r="AU47" s="140">
        <f t="shared" ca="1" si="188"/>
        <v>102202.62984073895</v>
      </c>
      <c r="AV47" s="140">
        <f t="shared" ca="1" si="188"/>
        <v>105262.51628771154</v>
      </c>
      <c r="AW47" s="140">
        <f t="shared" ca="1" si="188"/>
        <v>108418.89918778322</v>
      </c>
      <c r="AX47" s="140">
        <f t="shared" ca="1" si="188"/>
        <v>111653.37154674716</v>
      </c>
      <c r="AY47" s="140">
        <f t="shared" ca="1" si="188"/>
        <v>114962.62101064635</v>
      </c>
      <c r="AZ47" s="140">
        <f t="shared" ca="1" si="188"/>
        <v>118364.73092263509</v>
      </c>
      <c r="BA47" s="140">
        <f t="shared" ca="1" si="188"/>
        <v>121866.27828813232</v>
      </c>
      <c r="BB47" s="140">
        <f t="shared" ca="1" si="188"/>
        <v>125471.12821548097</v>
      </c>
      <c r="BC47" s="140">
        <f t="shared" ca="1" si="188"/>
        <v>129182.55957048485</v>
      </c>
      <c r="BD47" s="140">
        <f t="shared" ca="1" si="188"/>
        <v>133003.77959794382</v>
      </c>
      <c r="BE47" s="140">
        <f t="shared" ca="1" si="188"/>
        <v>136938.04991910473</v>
      </c>
      <c r="BF47" s="140">
        <f t="shared" ca="1" si="188"/>
        <v>140988.71895495441</v>
      </c>
      <c r="BG47" s="140">
        <f t="shared" ca="1" si="188"/>
        <v>145159.23189675843</v>
      </c>
      <c r="BH47" s="140">
        <f t="shared" ca="1" si="188"/>
        <v>149453.13534597517</v>
      </c>
      <c r="BI47" s="140">
        <f t="shared" ca="1" si="188"/>
        <v>153874.08074154242</v>
      </c>
      <c r="BJ47" s="140">
        <f t="shared" ca="1" si="188"/>
        <v>158425.8275651196</v>
      </c>
      <c r="BK47" s="140">
        <f t="shared" ca="1" si="188"/>
        <v>163112.24656380861</v>
      </c>
      <c r="BL47" s="140">
        <f t="shared" ca="1" si="188"/>
        <v>167937.32304979037</v>
      </c>
      <c r="BM47" s="140">
        <f t="shared" ca="1" si="188"/>
        <v>172905.1602932433</v>
      </c>
      <c r="BN47" s="140">
        <f t="shared" ca="1" si="188"/>
        <v>178019.98301466939</v>
      </c>
      <c r="BO47" s="140">
        <f t="shared" ca="1" si="188"/>
        <v>183286.14098037456</v>
      </c>
      <c r="BP47" s="140">
        <f t="shared" ca="1" si="188"/>
        <v>188708.11270434823</v>
      </c>
      <c r="BQ47" s="140">
        <f t="shared" ca="1" si="188"/>
        <v>194290.50925973902</v>
      </c>
      <c r="BR47" s="140">
        <f t="shared" ca="1" si="188"/>
        <v>200038.07820318331</v>
      </c>
      <c r="BS47" s="140">
        <f t="shared" ca="1" si="188"/>
        <v>205955.70761533047</v>
      </c>
      <c r="BT47" s="140">
        <f t="shared" ca="1" si="188"/>
        <v>212048.43026100716</v>
      </c>
      <c r="BU47" s="140">
        <f t="shared" ca="1" si="188"/>
        <v>218321.42787256351</v>
      </c>
      <c r="BV47" s="140">
        <f t="shared" ca="1" si="188"/>
        <v>224780.03556004976</v>
      </c>
      <c r="BW47" s="140">
        <f t="shared" ca="1" si="188"/>
        <v>231429.74635197897</v>
      </c>
      <c r="BX47" s="140">
        <f t="shared" ca="1" si="188"/>
        <v>238276.21587054353</v>
      </c>
      <c r="BY47" s="140">
        <f t="shared" ca="1" si="188"/>
        <v>245325.26714526719</v>
      </c>
      <c r="BZ47" s="140">
        <f t="shared" ca="1" si="188"/>
        <v>252582.89556919227</v>
      </c>
      <c r="CA47" s="140">
        <f t="shared" ca="1" si="188"/>
        <v>260055.27400182397</v>
      </c>
      <c r="CB47" s="140">
        <f t="shared" ca="1" si="188"/>
        <v>267748.75802317727</v>
      </c>
      <c r="CC47" s="140">
        <f t="shared" ca="1" si="188"/>
        <v>275669.89134340227</v>
      </c>
      <c r="CD47" s="140">
        <f t="shared" ca="1" si="188"/>
        <v>283825.41137259547</v>
      </c>
      <c r="CE47" s="140">
        <f t="shared" ca="1" si="188"/>
        <v>292222.25495554012</v>
      </c>
      <c r="CF47" s="140">
        <f t="shared" ca="1" si="188"/>
        <v>300867.56427626195</v>
      </c>
      <c r="CG47" s="140">
        <f t="shared" ca="1" si="188"/>
        <v>309744.67772150849</v>
      </c>
      <c r="CH47" s="137"/>
      <c r="CI47" s="137"/>
      <c r="CJ47" s="137"/>
      <c r="CK47" s="137"/>
      <c r="CL47" s="137"/>
      <c r="CM47" s="137"/>
      <c r="CN47" s="137"/>
      <c r="CO47" s="137"/>
      <c r="CP47" s="137"/>
      <c r="CQ47" s="137"/>
      <c r="CR47" s="137"/>
      <c r="CS47" s="137"/>
      <c r="CT47" s="137"/>
      <c r="CU47" s="137"/>
      <c r="CV47" s="137"/>
      <c r="CW47" s="137"/>
      <c r="CX47" s="137"/>
      <c r="CY47" s="137"/>
      <c r="CZ47" s="137"/>
      <c r="DA47" s="137"/>
      <c r="DB47" s="137"/>
      <c r="DC47" s="137"/>
      <c r="DD47" s="137"/>
      <c r="DE47" s="137"/>
      <c r="DF47" s="137"/>
      <c r="DG47" s="137"/>
      <c r="DH47" s="137"/>
      <c r="DI47" s="137"/>
      <c r="DJ47" s="137"/>
      <c r="DK47" s="137"/>
      <c r="DL47" s="137"/>
      <c r="DM47" s="137"/>
      <c r="DN47" s="137"/>
      <c r="DO47" s="137"/>
      <c r="DP47" s="137"/>
      <c r="DQ47" s="137"/>
      <c r="DR47" s="137"/>
      <c r="DS47" s="137"/>
      <c r="DT47" s="137"/>
      <c r="DU47" s="137"/>
      <c r="DV47" s="137"/>
      <c r="DW47" s="137"/>
      <c r="DX47" s="137"/>
      <c r="DY47" s="137"/>
      <c r="DZ47" s="137"/>
      <c r="EA47" s="137"/>
      <c r="EB47" s="137"/>
      <c r="EC47" s="137"/>
      <c r="ED47" s="137"/>
      <c r="EE47" s="137"/>
      <c r="EF47" s="137"/>
      <c r="EG47" s="137"/>
      <c r="EH47" s="137"/>
      <c r="EI47" s="137"/>
      <c r="EJ47" s="137"/>
      <c r="EK47" s="137"/>
      <c r="EL47" s="137"/>
      <c r="EM47" s="137"/>
      <c r="EN47" s="137"/>
      <c r="EO47" s="137"/>
      <c r="EP47" s="137"/>
      <c r="EQ47" s="137"/>
    </row>
    <row r="48" spans="2:147" s="10" customFormat="1">
      <c r="B48" s="211" t="s">
        <v>494</v>
      </c>
      <c r="C48" s="212">
        <f ca="1">AVERAGE(AS68:AW68)</f>
        <v>5.8849485506653086E-3</v>
      </c>
      <c r="D48" s="86"/>
      <c r="E48" s="17"/>
      <c r="F48" s="174" t="s">
        <v>334</v>
      </c>
      <c r="G48" s="191"/>
      <c r="H48" s="175">
        <f ca="1">ROUND(H47*(1+$C$15/100)-$C$6,1)</f>
        <v>36.6</v>
      </c>
      <c r="I48" s="224"/>
      <c r="J48" s="224"/>
      <c r="K48" s="224"/>
      <c r="L48" s="1552"/>
      <c r="M48" s="1552"/>
      <c r="N48" s="1552"/>
      <c r="O48" s="1552"/>
      <c r="P48" s="1552"/>
      <c r="Q48" s="224"/>
      <c r="S48" s="111"/>
      <c r="AH48" s="1626"/>
      <c r="CH48" s="137"/>
      <c r="CI48" s="137"/>
      <c r="CJ48" s="137"/>
      <c r="CK48" s="137"/>
      <c r="CL48" s="137"/>
      <c r="CM48" s="137"/>
      <c r="CN48" s="137"/>
      <c r="CO48" s="137"/>
      <c r="CP48" s="137"/>
      <c r="CQ48" s="137"/>
      <c r="CR48" s="137"/>
      <c r="CS48" s="137"/>
      <c r="CT48" s="137"/>
      <c r="CU48" s="137"/>
      <c r="CV48" s="137"/>
      <c r="CW48" s="137"/>
      <c r="CX48" s="137"/>
      <c r="CY48" s="137"/>
      <c r="CZ48" s="137"/>
      <c r="DA48" s="137"/>
      <c r="DB48" s="137"/>
      <c r="DC48" s="137"/>
      <c r="DD48" s="137"/>
      <c r="DE48" s="137"/>
      <c r="DF48" s="137"/>
      <c r="DG48" s="137"/>
      <c r="DH48" s="137"/>
      <c r="DI48" s="137"/>
      <c r="DJ48" s="137"/>
      <c r="DK48" s="137"/>
      <c r="DL48" s="137"/>
      <c r="DM48" s="137"/>
      <c r="DN48" s="137"/>
      <c r="DO48" s="137"/>
      <c r="DP48" s="137"/>
      <c r="DQ48" s="137"/>
      <c r="DR48" s="137"/>
      <c r="DS48" s="137"/>
      <c r="DT48" s="137"/>
      <c r="DU48" s="137"/>
      <c r="DV48" s="137"/>
      <c r="DW48" s="137"/>
      <c r="DX48" s="137"/>
      <c r="DY48" s="137"/>
      <c r="DZ48" s="137"/>
      <c r="EA48" s="137"/>
      <c r="EB48" s="137"/>
      <c r="EC48" s="137"/>
      <c r="ED48" s="137"/>
      <c r="EE48" s="137"/>
      <c r="EF48" s="137"/>
      <c r="EG48" s="137"/>
      <c r="EH48" s="137"/>
      <c r="EI48" s="137"/>
      <c r="EJ48" s="137"/>
      <c r="EK48" s="137"/>
      <c r="EL48" s="137"/>
      <c r="EM48" s="137"/>
      <c r="EN48" s="137"/>
      <c r="EO48" s="137"/>
      <c r="EP48" s="137"/>
      <c r="EQ48" s="137"/>
    </row>
    <row r="49" spans="2:147" s="10" customFormat="1">
      <c r="B49" s="214" t="s">
        <v>739</v>
      </c>
      <c r="C49" s="215">
        <f ca="1">AVERAGE(AS70:AW70)</f>
        <v>0.11553331488526367</v>
      </c>
      <c r="D49" s="12"/>
      <c r="E49" s="17"/>
      <c r="F49" s="195" t="s">
        <v>156</v>
      </c>
      <c r="G49" s="196"/>
      <c r="H49" s="197">
        <f ca="1">(H48+$C$6)/$C$7-1</f>
        <v>-5.0309789343246591E-2</v>
      </c>
      <c r="I49" s="189"/>
      <c r="J49" s="189"/>
      <c r="K49" s="189"/>
      <c r="L49" s="225"/>
      <c r="M49" s="225"/>
      <c r="N49" s="225"/>
      <c r="O49" s="225"/>
      <c r="P49" s="225"/>
      <c r="Q49" s="189"/>
      <c r="R49" s="10" t="s">
        <v>313</v>
      </c>
      <c r="S49" s="111"/>
      <c r="V49" s="140">
        <f t="shared" ref="V49:AB49" si="189">V51-V50</f>
        <v>17175</v>
      </c>
      <c r="W49" s="140">
        <f t="shared" si="189"/>
        <v>18295</v>
      </c>
      <c r="X49" s="140">
        <f t="shared" si="189"/>
        <v>19033</v>
      </c>
      <c r="Y49" s="140">
        <f t="shared" si="189"/>
        <v>19076</v>
      </c>
      <c r="Z49" s="140">
        <f t="shared" si="189"/>
        <v>19148</v>
      </c>
      <c r="AA49" s="140">
        <f>AA51-AA50</f>
        <v>19114</v>
      </c>
      <c r="AB49" s="140">
        <f t="shared" si="189"/>
        <v>18910</v>
      </c>
      <c r="AC49" s="140">
        <f t="shared" ref="AC49:AH49" si="190">AC51-AC50</f>
        <v>17674</v>
      </c>
      <c r="AD49" s="140">
        <f t="shared" si="190"/>
        <v>17337</v>
      </c>
      <c r="AE49" s="140">
        <f t="shared" si="190"/>
        <v>18407</v>
      </c>
      <c r="AF49" s="140">
        <f t="shared" ref="AF49:AG49" si="191">AF51-AF50</f>
        <v>20797</v>
      </c>
      <c r="AG49" s="140">
        <f t="shared" si="191"/>
        <v>20687</v>
      </c>
      <c r="AH49" s="1632">
        <f t="shared" si="190"/>
        <v>21804</v>
      </c>
      <c r="AI49" s="140">
        <f t="shared" ref="AI49" ca="1" si="192">AI51-AI50</f>
        <v>22564.024998886249</v>
      </c>
      <c r="AJ49" s="140">
        <f t="shared" ref="AJ49:AK49" ca="1" si="193">AJ51-AJ50</f>
        <v>23323.35629582177</v>
      </c>
      <c r="AK49" s="140">
        <f t="shared" ca="1" si="193"/>
        <v>24221.023422020538</v>
      </c>
      <c r="AL49" s="204">
        <f t="shared" ref="AL49:AP49" ca="1" si="194">+AL$46*AL62</f>
        <v>25332.543138834833</v>
      </c>
      <c r="AM49" s="204">
        <f ca="1">+AM$46*AM62</f>
        <v>26300.411397979577</v>
      </c>
      <c r="AN49" s="204">
        <f t="shared" ca="1" si="194"/>
        <v>26926.234440280899</v>
      </c>
      <c r="AO49" s="204">
        <f t="shared" ca="1" si="194"/>
        <v>27565.936494862122</v>
      </c>
      <c r="AP49" s="204">
        <f t="shared" ca="1" si="194"/>
        <v>28219.787061721963</v>
      </c>
      <c r="AQ49" s="204">
        <f t="shared" ref="AQ49:AR49" ca="1" si="195">+AQ$46*AQ62</f>
        <v>28888.059319748019</v>
      </c>
      <c r="AR49" s="204">
        <f t="shared" ca="1" si="195"/>
        <v>29571.030104900088</v>
      </c>
      <c r="CH49" s="137"/>
      <c r="CI49" s="137"/>
      <c r="CJ49" s="137"/>
      <c r="CK49" s="137"/>
      <c r="CL49" s="137"/>
      <c r="CM49" s="137"/>
      <c r="CN49" s="137"/>
      <c r="CO49" s="137"/>
      <c r="CP49" s="137"/>
      <c r="CQ49" s="137"/>
      <c r="CR49" s="137"/>
      <c r="CS49" s="137"/>
      <c r="CT49" s="137"/>
      <c r="CU49" s="137"/>
      <c r="CV49" s="137"/>
      <c r="CW49" s="137"/>
      <c r="CX49" s="137"/>
      <c r="CY49" s="137"/>
      <c r="CZ49" s="137"/>
      <c r="DA49" s="137"/>
      <c r="DB49" s="137"/>
      <c r="DC49" s="137"/>
      <c r="DD49" s="137"/>
      <c r="DE49" s="137"/>
      <c r="DF49" s="137"/>
      <c r="DG49" s="137"/>
      <c r="DH49" s="137"/>
      <c r="DI49" s="137"/>
      <c r="DJ49" s="137"/>
      <c r="DK49" s="137"/>
      <c r="DL49" s="137"/>
      <c r="DM49" s="137"/>
      <c r="DN49" s="137"/>
      <c r="DO49" s="137"/>
      <c r="DP49" s="137"/>
      <c r="DQ49" s="137"/>
      <c r="DR49" s="137"/>
      <c r="DS49" s="137"/>
      <c r="DT49" s="137"/>
      <c r="DU49" s="137"/>
      <c r="DV49" s="137"/>
      <c r="DW49" s="137"/>
      <c r="DX49" s="137"/>
      <c r="DY49" s="137"/>
      <c r="DZ49" s="137"/>
      <c r="EA49" s="137"/>
      <c r="EB49" s="137"/>
      <c r="EC49" s="137"/>
      <c r="ED49" s="137"/>
      <c r="EE49" s="137"/>
      <c r="EF49" s="137"/>
      <c r="EG49" s="137"/>
      <c r="EH49" s="137"/>
      <c r="EI49" s="137"/>
      <c r="EJ49" s="137"/>
      <c r="EK49" s="137"/>
      <c r="EL49" s="137"/>
      <c r="EM49" s="137"/>
      <c r="EN49" s="137"/>
      <c r="EO49" s="137"/>
      <c r="EP49" s="137"/>
      <c r="EQ49" s="137"/>
    </row>
    <row r="50" spans="2:147" s="10" customFormat="1" ht="13.8" thickBot="1">
      <c r="B50" s="135"/>
      <c r="C50" s="148"/>
      <c r="D50" s="86"/>
      <c r="E50" s="17"/>
      <c r="G50" s="111"/>
      <c r="H50" s="111"/>
      <c r="I50" s="118"/>
      <c r="J50" s="118"/>
      <c r="K50" s="118"/>
      <c r="L50" s="1553"/>
      <c r="M50" s="1553"/>
      <c r="N50" s="1553"/>
      <c r="O50" s="1553"/>
      <c r="P50" s="1553"/>
      <c r="Q50" s="118"/>
      <c r="R50" s="10" t="s">
        <v>314</v>
      </c>
      <c r="S50" s="111"/>
      <c r="V50" s="204">
        <f>MODEL!BJ25</f>
        <v>1216</v>
      </c>
      <c r="W50" s="204">
        <f>MODEL!BN25</f>
        <v>1283</v>
      </c>
      <c r="X50" s="204">
        <f>MODEL!BR25</f>
        <v>1504</v>
      </c>
      <c r="Y50" s="204">
        <f>MODEL!BV25</f>
        <v>1518</v>
      </c>
      <c r="Z50" s="204">
        <f>MODEL!BZ25</f>
        <v>668</v>
      </c>
      <c r="AA50" s="204">
        <f>MODEL!CD25</f>
        <v>253</v>
      </c>
      <c r="AB50" s="766">
        <f>MODEL!CH25</f>
        <v>119</v>
      </c>
      <c r="AC50" s="766">
        <f>MODEL!CL25</f>
        <v>78</v>
      </c>
      <c r="AD50" s="766">
        <f>MODEL!CP25</f>
        <v>110</v>
      </c>
      <c r="AE50" s="766">
        <f>MODEL!CT25</f>
        <v>140</v>
      </c>
      <c r="AF50" s="766">
        <f>MODEL!CX25</f>
        <v>108</v>
      </c>
      <c r="AG50" s="766">
        <f>MODEL!DB25</f>
        <v>122</v>
      </c>
      <c r="AH50" s="1631">
        <f>INDEX(MODEL!25:25,MATCH(AH$5,MODEL!$7:$7,0))</f>
        <v>95</v>
      </c>
      <c r="AI50" s="763">
        <f>INDEX(MODEL!25:25,MATCH(AI$5,MODEL!$7:$7,0))</f>
        <v>99.474900000000005</v>
      </c>
      <c r="AJ50" s="763">
        <f>INDEX(MODEL!25:25,MATCH(AJ$5,MODEL!$7:$7,0))</f>
        <v>101.47434549</v>
      </c>
      <c r="AK50" s="763">
        <f>INDEX(MODEL!25:25,MATCH(AK$5,MODEL!$7:$7,0))</f>
        <v>103.51397983434902</v>
      </c>
      <c r="AL50" s="204">
        <f t="shared" ref="AL50:AR50" si="196">AK50*(1+AL74)</f>
        <v>105.584259431036</v>
      </c>
      <c r="AM50" s="204">
        <f t="shared" si="196"/>
        <v>107.69594461965673</v>
      </c>
      <c r="AN50" s="204">
        <f t="shared" si="196"/>
        <v>109.84986351204986</v>
      </c>
      <c r="AO50" s="204">
        <f t="shared" si="196"/>
        <v>112.04686078229086</v>
      </c>
      <c r="AP50" s="204">
        <f t="shared" si="196"/>
        <v>114.28779799793668</v>
      </c>
      <c r="AQ50" s="204">
        <f t="shared" si="196"/>
        <v>116.57355395789541</v>
      </c>
      <c r="AR50" s="204">
        <f t="shared" si="196"/>
        <v>118.90502503705332</v>
      </c>
      <c r="CH50" s="137"/>
      <c r="CI50" s="137"/>
      <c r="CJ50" s="137"/>
      <c r="CK50" s="137"/>
      <c r="CL50" s="137"/>
      <c r="CM50" s="137"/>
      <c r="CN50" s="137"/>
      <c r="CO50" s="137"/>
      <c r="CP50" s="137"/>
      <c r="CQ50" s="137"/>
      <c r="CR50" s="137"/>
      <c r="CS50" s="137"/>
      <c r="CT50" s="137"/>
      <c r="CU50" s="137"/>
      <c r="CV50" s="137"/>
      <c r="CW50" s="137"/>
      <c r="CX50" s="137"/>
      <c r="CY50" s="137"/>
      <c r="CZ50" s="137"/>
      <c r="DA50" s="137"/>
      <c r="DB50" s="137"/>
      <c r="DC50" s="137"/>
      <c r="DD50" s="137"/>
      <c r="DE50" s="137"/>
      <c r="DF50" s="137"/>
      <c r="DG50" s="137"/>
      <c r="DH50" s="137"/>
      <c r="DI50" s="137"/>
      <c r="DJ50" s="137"/>
      <c r="DK50" s="137"/>
      <c r="DL50" s="137"/>
      <c r="DM50" s="137"/>
      <c r="DN50" s="137"/>
      <c r="DO50" s="137"/>
      <c r="DP50" s="137"/>
      <c r="DQ50" s="137"/>
      <c r="DR50" s="137"/>
      <c r="DS50" s="137"/>
      <c r="DT50" s="137"/>
      <c r="DU50" s="137"/>
      <c r="DV50" s="137"/>
      <c r="DW50" s="137"/>
      <c r="DX50" s="137"/>
      <c r="DY50" s="137"/>
      <c r="DZ50" s="137"/>
      <c r="EA50" s="137"/>
      <c r="EB50" s="137"/>
      <c r="EC50" s="137"/>
      <c r="ED50" s="137"/>
      <c r="EE50" s="137"/>
      <c r="EF50" s="137"/>
      <c r="EG50" s="137"/>
      <c r="EH50" s="137"/>
      <c r="EI50" s="137"/>
      <c r="EJ50" s="137"/>
      <c r="EK50" s="137"/>
      <c r="EL50" s="137"/>
      <c r="EM50" s="137"/>
      <c r="EN50" s="137"/>
      <c r="EO50" s="137"/>
      <c r="EP50" s="137"/>
      <c r="EQ50" s="137"/>
    </row>
    <row r="51" spans="2:147" s="10" customFormat="1" ht="15.6">
      <c r="B51" s="127" t="s">
        <v>542</v>
      </c>
      <c r="C51" s="148"/>
      <c r="D51" s="12"/>
      <c r="E51" s="17"/>
      <c r="F51" s="1301" t="s">
        <v>1219</v>
      </c>
      <c r="G51" s="1304" t="s">
        <v>1259</v>
      </c>
      <c r="I51" s="198"/>
      <c r="J51" s="198"/>
      <c r="K51" s="198"/>
      <c r="L51" s="262"/>
      <c r="M51" s="262"/>
      <c r="N51" s="262"/>
      <c r="O51" s="262"/>
      <c r="P51" s="262"/>
      <c r="Q51" s="198"/>
      <c r="R51" s="10" t="s">
        <v>12</v>
      </c>
      <c r="S51" s="292"/>
      <c r="T51" s="131"/>
      <c r="U51" s="131"/>
      <c r="V51" s="204">
        <f>MODEL!BJ26</f>
        <v>18391</v>
      </c>
      <c r="W51" s="204">
        <f>MODEL!BN26</f>
        <v>19578</v>
      </c>
      <c r="X51" s="204">
        <f>MODEL!BR26</f>
        <v>20537</v>
      </c>
      <c r="Y51" s="204">
        <f>MODEL!BV26</f>
        <v>20594</v>
      </c>
      <c r="Z51" s="204">
        <f>MODEL!BZ26</f>
        <v>19816</v>
      </c>
      <c r="AA51" s="204">
        <f>MODEL!CD26</f>
        <v>19367</v>
      </c>
      <c r="AB51" s="766">
        <f>MODEL!CH26</f>
        <v>19029</v>
      </c>
      <c r="AC51" s="766">
        <f>MODEL!CL26</f>
        <v>17752</v>
      </c>
      <c r="AD51" s="766">
        <f>MODEL!CP26</f>
        <v>17447</v>
      </c>
      <c r="AE51" s="766">
        <f>MODEL!CT26</f>
        <v>18547</v>
      </c>
      <c r="AF51" s="766">
        <f>MODEL!CX26</f>
        <v>20905</v>
      </c>
      <c r="AG51" s="766">
        <f>MODEL!DB26</f>
        <v>20809</v>
      </c>
      <c r="AH51" s="1631">
        <f>INDEX(MODEL!26:26,MATCH(AH$5,MODEL!$7:$7,0))</f>
        <v>21899</v>
      </c>
      <c r="AI51" s="763">
        <f ca="1">INDEX(MODEL!26:26,MATCH(AI$5,MODEL!$7:$7,0))</f>
        <v>22663.49989888625</v>
      </c>
      <c r="AJ51" s="763">
        <f ca="1">INDEX(MODEL!26:26,MATCH(AJ$5,MODEL!$7:$7,0))</f>
        <v>23424.830641311772</v>
      </c>
      <c r="AK51" s="763">
        <f ca="1">INDEX(MODEL!26:26,MATCH(AK$5,MODEL!$7:$7,0))</f>
        <v>24324.537401854886</v>
      </c>
      <c r="AL51" s="204">
        <f t="shared" ref="AL51:AP51" ca="1" si="197">SUM(AL49:AL50)</f>
        <v>25438.127398265868</v>
      </c>
      <c r="AM51" s="204">
        <f t="shared" ca="1" si="197"/>
        <v>26408.107342599233</v>
      </c>
      <c r="AN51" s="204">
        <f t="shared" ca="1" si="197"/>
        <v>27036.084303792948</v>
      </c>
      <c r="AO51" s="204">
        <f t="shared" ca="1" si="197"/>
        <v>27677.983355644414</v>
      </c>
      <c r="AP51" s="204">
        <f t="shared" ca="1" si="197"/>
        <v>28334.074859719902</v>
      </c>
      <c r="AQ51" s="204">
        <f t="shared" ref="AQ51:AR51" ca="1" si="198">SUM(AQ49:AQ50)</f>
        <v>29004.632873705916</v>
      </c>
      <c r="AR51" s="204">
        <f t="shared" ca="1" si="198"/>
        <v>29689.935129937141</v>
      </c>
      <c r="AS51" s="204"/>
      <c r="AT51" s="204"/>
      <c r="AU51" s="204"/>
      <c r="AV51" s="204"/>
      <c r="AW51" s="204"/>
      <c r="AX51" s="204"/>
      <c r="AY51" s="204"/>
      <c r="AZ51" s="204"/>
      <c r="BA51" s="204"/>
      <c r="BB51" s="204"/>
      <c r="BC51" s="204"/>
      <c r="BD51" s="204"/>
      <c r="BE51" s="204"/>
      <c r="BF51" s="204"/>
      <c r="BG51" s="204"/>
      <c r="BH51" s="204"/>
      <c r="BI51" s="204"/>
      <c r="BJ51" s="204"/>
      <c r="BK51" s="204"/>
      <c r="BL51" s="204"/>
      <c r="BM51" s="204"/>
      <c r="BN51" s="204"/>
      <c r="BO51" s="204"/>
      <c r="BP51" s="204"/>
      <c r="BQ51" s="204"/>
      <c r="BR51" s="204"/>
      <c r="BS51" s="204"/>
      <c r="BT51" s="204"/>
      <c r="BU51" s="204"/>
      <c r="BV51" s="204"/>
      <c r="BW51" s="204"/>
      <c r="BX51" s="204"/>
      <c r="BY51" s="204"/>
      <c r="BZ51" s="204"/>
      <c r="CA51" s="204"/>
      <c r="CB51" s="204"/>
      <c r="CC51" s="204"/>
      <c r="CD51" s="204"/>
      <c r="CE51" s="204"/>
      <c r="CF51" s="204"/>
      <c r="CG51" s="204"/>
      <c r="CH51" s="226"/>
      <c r="CI51" s="226"/>
      <c r="CJ51" s="226"/>
      <c r="CK51" s="226"/>
      <c r="CL51" s="226"/>
      <c r="CM51" s="226"/>
      <c r="CN51" s="226"/>
      <c r="CO51" s="226"/>
      <c r="CP51" s="226"/>
      <c r="CQ51" s="226"/>
      <c r="CR51" s="226"/>
      <c r="CS51" s="226"/>
      <c r="CT51" s="226"/>
      <c r="CU51" s="226"/>
      <c r="CV51" s="226"/>
      <c r="CW51" s="226"/>
      <c r="CX51" s="226"/>
      <c r="CY51" s="226"/>
      <c r="CZ51" s="226"/>
      <c r="DA51" s="226"/>
      <c r="DB51" s="226"/>
      <c r="DC51" s="226"/>
      <c r="DD51" s="226"/>
      <c r="DE51" s="226"/>
      <c r="DF51" s="226"/>
      <c r="DG51" s="226"/>
      <c r="DH51" s="226"/>
      <c r="DI51" s="226"/>
      <c r="DJ51" s="226"/>
      <c r="DK51" s="226"/>
      <c r="DL51" s="226"/>
      <c r="DM51" s="226"/>
      <c r="DN51" s="226"/>
      <c r="DO51" s="226"/>
      <c r="DP51" s="226"/>
      <c r="DQ51" s="226"/>
      <c r="DR51" s="226"/>
      <c r="DS51" s="226"/>
      <c r="DT51" s="226"/>
      <c r="DU51" s="226"/>
      <c r="DV51" s="226"/>
      <c r="DW51" s="226"/>
      <c r="DX51" s="226"/>
      <c r="DY51" s="226"/>
      <c r="DZ51" s="226"/>
      <c r="EA51" s="226"/>
      <c r="EB51" s="226"/>
      <c r="EC51" s="226"/>
      <c r="ED51" s="226"/>
      <c r="EE51" s="226"/>
      <c r="EF51" s="226"/>
      <c r="EG51" s="226"/>
      <c r="EH51" s="226"/>
      <c r="EI51" s="226"/>
      <c r="EJ51" s="226"/>
      <c r="EK51" s="226"/>
      <c r="EL51" s="226"/>
      <c r="EM51" s="226"/>
      <c r="EN51" s="226"/>
      <c r="EO51" s="226"/>
      <c r="EP51" s="226"/>
      <c r="EQ51" s="226"/>
    </row>
    <row r="52" spans="2:147" s="10" customFormat="1" ht="15.6">
      <c r="B52" s="135" t="s">
        <v>357</v>
      </c>
      <c r="C52" s="700">
        <v>35</v>
      </c>
      <c r="E52" s="17"/>
      <c r="F52" s="1302" t="s">
        <v>1220</v>
      </c>
      <c r="G52" s="1305" t="s">
        <v>1208</v>
      </c>
      <c r="L52" s="111"/>
      <c r="M52" s="111"/>
      <c r="N52" s="111"/>
      <c r="O52" s="111"/>
      <c r="P52" s="111"/>
      <c r="R52" s="10" t="s">
        <v>238</v>
      </c>
      <c r="S52" s="292"/>
      <c r="T52" s="131"/>
      <c r="U52" s="131"/>
      <c r="V52" s="204">
        <f>-MODEL!BJ31</f>
        <v>8257</v>
      </c>
      <c r="W52" s="204">
        <f>-MODEL!BN31</f>
        <v>8760</v>
      </c>
      <c r="X52" s="204">
        <f>-MODEL!BR31</f>
        <v>9378</v>
      </c>
      <c r="Y52" s="204">
        <f>-MODEL!BV31</f>
        <v>10439</v>
      </c>
      <c r="Z52" s="204">
        <f>-MODEL!BZ31</f>
        <v>8967</v>
      </c>
      <c r="AA52" s="204">
        <f>-MODEL!CD31</f>
        <v>9401</v>
      </c>
      <c r="AB52" s="766">
        <f>-MODEL!CH31</f>
        <v>9071</v>
      </c>
      <c r="AC52" s="766">
        <f>-MODEL!CL31</f>
        <v>9383</v>
      </c>
      <c r="AD52" s="766">
        <f>-MODEL!CP31</f>
        <v>9051</v>
      </c>
      <c r="AE52" s="766">
        <f>-MODEL!CT31</f>
        <v>9579</v>
      </c>
      <c r="AF52" s="766">
        <f>-MODEL!CX31</f>
        <v>10139</v>
      </c>
      <c r="AG52" s="766">
        <f>-MODEL!DB31</f>
        <v>10741</v>
      </c>
      <c r="AH52" s="1641">
        <f>-INDEX(MODEL!31:31,MATCH(AH$5,MODEL!$7:$7,0))</f>
        <v>12880</v>
      </c>
      <c r="AI52" s="766">
        <f>-INDEX(MODEL!31:31,MATCH(AI$5,MODEL!$7:$7,0))</f>
        <v>11375.429220663427</v>
      </c>
      <c r="AJ52" s="766">
        <f>-INDEX(MODEL!31:31,MATCH(AJ$5,MODEL!$7:$7,0))</f>
        <v>11257.572697625954</v>
      </c>
      <c r="AK52" s="766">
        <f>-INDEX(MODEL!31:31,MATCH(AK$5,MODEL!$7:$7,0))</f>
        <v>11314.288742693803</v>
      </c>
      <c r="AL52" s="204">
        <f t="shared" ref="AL52:AR52" si="199">AK52*(1+AL76)</f>
        <v>11597.145961261147</v>
      </c>
      <c r="AM52" s="204">
        <f t="shared" si="199"/>
        <v>11887.074610292675</v>
      </c>
      <c r="AN52" s="204">
        <f t="shared" si="199"/>
        <v>12181.086289011568</v>
      </c>
      <c r="AO52" s="204">
        <f t="shared" si="199"/>
        <v>12424.708014791799</v>
      </c>
      <c r="AP52" s="204">
        <f t="shared" si="199"/>
        <v>12673.202175087636</v>
      </c>
      <c r="AQ52" s="204">
        <f t="shared" si="199"/>
        <v>12926.666218589389</v>
      </c>
      <c r="AR52" s="204">
        <f t="shared" si="199"/>
        <v>13185.199542961178</v>
      </c>
      <c r="AS52" s="204"/>
      <c r="AT52" s="204"/>
      <c r="AU52" s="204"/>
      <c r="AV52" s="204"/>
      <c r="AW52" s="204"/>
      <c r="AX52" s="204"/>
      <c r="AY52" s="204"/>
      <c r="AZ52" s="204"/>
      <c r="BA52" s="204"/>
      <c r="BB52" s="204"/>
      <c r="BC52" s="204"/>
      <c r="BD52" s="204"/>
      <c r="BE52" s="204"/>
      <c r="BF52" s="204"/>
      <c r="BG52" s="204"/>
      <c r="BH52" s="204"/>
      <c r="BI52" s="204"/>
      <c r="BJ52" s="204"/>
      <c r="BK52" s="204"/>
      <c r="BL52" s="204"/>
      <c r="BM52" s="204"/>
      <c r="BN52" s="204"/>
      <c r="BO52" s="204"/>
      <c r="BP52" s="204"/>
      <c r="BQ52" s="204"/>
      <c r="BR52" s="204"/>
      <c r="BS52" s="204"/>
      <c r="BT52" s="204"/>
      <c r="BU52" s="204"/>
      <c r="BV52" s="204"/>
      <c r="BW52" s="204"/>
      <c r="BX52" s="204"/>
      <c r="BY52" s="204"/>
      <c r="BZ52" s="204"/>
      <c r="CA52" s="204"/>
      <c r="CB52" s="204"/>
      <c r="CC52" s="204"/>
      <c r="CD52" s="204"/>
      <c r="CE52" s="204"/>
      <c r="CF52" s="204"/>
      <c r="CG52" s="204"/>
      <c r="CH52" s="226"/>
      <c r="CI52" s="226"/>
      <c r="CJ52" s="226"/>
      <c r="CK52" s="226"/>
      <c r="CL52" s="226"/>
      <c r="CM52" s="226"/>
      <c r="CN52" s="226"/>
      <c r="CO52" s="226"/>
      <c r="CP52" s="226"/>
      <c r="CQ52" s="226"/>
      <c r="CR52" s="226"/>
      <c r="CS52" s="226"/>
      <c r="CT52" s="226"/>
      <c r="CU52" s="226"/>
      <c r="CV52" s="226"/>
      <c r="CW52" s="226"/>
      <c r="CX52" s="226"/>
      <c r="CY52" s="226"/>
      <c r="CZ52" s="226"/>
      <c r="DA52" s="226"/>
      <c r="DB52" s="226"/>
      <c r="DC52" s="226"/>
      <c r="DD52" s="226"/>
      <c r="DE52" s="226"/>
      <c r="DF52" s="226"/>
      <c r="DG52" s="226"/>
      <c r="DH52" s="226"/>
      <c r="DI52" s="226"/>
      <c r="DJ52" s="226"/>
      <c r="DK52" s="226"/>
      <c r="DL52" s="226"/>
      <c r="DM52" s="226"/>
      <c r="DN52" s="226"/>
      <c r="DO52" s="226"/>
      <c r="DP52" s="226"/>
      <c r="DQ52" s="226"/>
      <c r="DR52" s="226"/>
      <c r="DS52" s="226"/>
      <c r="DT52" s="226"/>
      <c r="DU52" s="226"/>
      <c r="DV52" s="226"/>
      <c r="DW52" s="226"/>
      <c r="DX52" s="226"/>
      <c r="DY52" s="226"/>
      <c r="DZ52" s="226"/>
      <c r="EA52" s="226"/>
      <c r="EB52" s="226"/>
      <c r="EC52" s="226"/>
      <c r="ED52" s="226"/>
      <c r="EE52" s="226"/>
      <c r="EF52" s="226"/>
      <c r="EG52" s="226"/>
      <c r="EH52" s="226"/>
      <c r="EI52" s="226"/>
      <c r="EJ52" s="226"/>
      <c r="EK52" s="226"/>
      <c r="EL52" s="226"/>
      <c r="EM52" s="226"/>
      <c r="EN52" s="226"/>
      <c r="EO52" s="226"/>
      <c r="EP52" s="226"/>
      <c r="EQ52" s="226"/>
    </row>
    <row r="53" spans="2:147" s="10" customFormat="1" ht="16.2" thickBot="1">
      <c r="B53" s="211" t="s">
        <v>333</v>
      </c>
      <c r="C53" s="697">
        <f ca="1">AVERAGE(AX38:CF38)</f>
        <v>0.1182893840529939</v>
      </c>
      <c r="E53" s="17"/>
      <c r="F53" s="1303" t="s">
        <v>1221</v>
      </c>
      <c r="G53" s="1306" t="s">
        <v>1209</v>
      </c>
      <c r="I53" s="173"/>
      <c r="J53" s="173"/>
      <c r="K53" s="173"/>
      <c r="L53" s="124"/>
      <c r="M53" s="124"/>
      <c r="N53" s="124"/>
      <c r="O53" s="124"/>
      <c r="P53" s="124"/>
      <c r="Q53" s="173"/>
      <c r="R53" s="10" t="s">
        <v>448</v>
      </c>
      <c r="S53" s="292"/>
      <c r="T53" s="131"/>
      <c r="U53" s="131"/>
      <c r="V53" s="204">
        <f>MODEL!BJ32</f>
        <v>10134</v>
      </c>
      <c r="W53" s="204">
        <f>MODEL!BN32</f>
        <v>10818</v>
      </c>
      <c r="X53" s="204">
        <f>MODEL!BR32</f>
        <v>11159</v>
      </c>
      <c r="Y53" s="204">
        <f>MODEL!BV32</f>
        <v>10155</v>
      </c>
      <c r="Z53" s="204">
        <f>MODEL!BZ32</f>
        <v>10849</v>
      </c>
      <c r="AA53" s="204">
        <f>MODEL!CD32</f>
        <v>9966</v>
      </c>
      <c r="AB53" s="766">
        <f>MODEL!CH32</f>
        <v>9958</v>
      </c>
      <c r="AC53" s="766">
        <f>MODEL!CL32</f>
        <v>8369</v>
      </c>
      <c r="AD53" s="766">
        <f>MODEL!CP32</f>
        <v>8396</v>
      </c>
      <c r="AE53" s="766">
        <f>MODEL!CT32</f>
        <v>8968</v>
      </c>
      <c r="AF53" s="766">
        <f>MODEL!CX32</f>
        <v>10766</v>
      </c>
      <c r="AG53" s="766">
        <f>MODEL!DB32</f>
        <v>10068</v>
      </c>
      <c r="AH53" s="1631">
        <f>INDEX(MODEL!32:32,MATCH(AH$5,MODEL!$7:$7,0))</f>
        <v>9019</v>
      </c>
      <c r="AI53" s="763">
        <f ca="1">INDEX(MODEL!32:32,MATCH(AI$5,MODEL!$7:$7,0))</f>
        <v>11288.070678222823</v>
      </c>
      <c r="AJ53" s="763">
        <f ca="1">INDEX(MODEL!32:32,MATCH(AJ$5,MODEL!$7:$7,0))</f>
        <v>12167.257943685818</v>
      </c>
      <c r="AK53" s="763">
        <f ca="1">INDEX(MODEL!32:32,MATCH(AK$5,MODEL!$7:$7,0))</f>
        <v>13010.248659161083</v>
      </c>
      <c r="AL53" s="204">
        <f t="shared" ref="AL53:AP53" ca="1" si="200">AL51-AL52</f>
        <v>13840.981437004721</v>
      </c>
      <c r="AM53" s="204">
        <f t="shared" ca="1" si="200"/>
        <v>14521.032732306558</v>
      </c>
      <c r="AN53" s="204">
        <f t="shared" ca="1" si="200"/>
        <v>14854.99801478138</v>
      </c>
      <c r="AO53" s="204">
        <f t="shared" ca="1" si="200"/>
        <v>15253.275340852615</v>
      </c>
      <c r="AP53" s="204">
        <f t="shared" ca="1" si="200"/>
        <v>15660.872684632266</v>
      </c>
      <c r="AQ53" s="204">
        <f t="shared" ref="AQ53:AR53" ca="1" si="201">AQ51-AQ52</f>
        <v>16077.966655116526</v>
      </c>
      <c r="AR53" s="204">
        <f t="shared" ca="1" si="201"/>
        <v>16504.735586975963</v>
      </c>
      <c r="AS53" s="204"/>
      <c r="AT53" s="204"/>
      <c r="AU53" s="204"/>
      <c r="AV53" s="204"/>
      <c r="AW53" s="204"/>
      <c r="AX53" s="204"/>
      <c r="AY53" s="204"/>
      <c r="AZ53" s="204"/>
      <c r="BA53" s="204"/>
      <c r="BB53" s="204"/>
      <c r="BC53" s="204"/>
      <c r="BD53" s="204"/>
      <c r="BE53" s="204"/>
      <c r="BF53" s="204"/>
      <c r="BG53" s="204"/>
      <c r="BH53" s="204"/>
      <c r="BI53" s="204"/>
      <c r="BJ53" s="204"/>
      <c r="BK53" s="204"/>
      <c r="BL53" s="204"/>
      <c r="BM53" s="204"/>
      <c r="BN53" s="204"/>
      <c r="BO53" s="204"/>
      <c r="BP53" s="204"/>
      <c r="BQ53" s="204"/>
      <c r="BR53" s="204"/>
      <c r="BS53" s="204"/>
      <c r="BT53" s="204"/>
      <c r="BU53" s="204"/>
      <c r="BV53" s="204"/>
      <c r="BW53" s="204"/>
      <c r="BX53" s="204"/>
      <c r="BY53" s="204"/>
      <c r="BZ53" s="204"/>
      <c r="CA53" s="204"/>
      <c r="CB53" s="204"/>
      <c r="CC53" s="204"/>
      <c r="CD53" s="204"/>
      <c r="CE53" s="204"/>
      <c r="CF53" s="204"/>
      <c r="CG53" s="204"/>
      <c r="CH53" s="137"/>
      <c r="CI53" s="137"/>
      <c r="CJ53" s="137"/>
      <c r="CK53" s="137"/>
      <c r="CL53" s="137"/>
      <c r="CM53" s="137"/>
      <c r="CN53" s="137"/>
      <c r="CO53" s="137"/>
      <c r="CP53" s="137"/>
      <c r="CQ53" s="137"/>
      <c r="CR53" s="137"/>
      <c r="CS53" s="137"/>
      <c r="CT53" s="137"/>
      <c r="CU53" s="137"/>
      <c r="CV53" s="137"/>
      <c r="CW53" s="137"/>
      <c r="CX53" s="137"/>
      <c r="CY53" s="137"/>
      <c r="CZ53" s="137"/>
      <c r="DA53" s="137"/>
      <c r="DB53" s="137"/>
      <c r="DC53" s="137"/>
      <c r="DD53" s="137"/>
      <c r="DE53" s="137"/>
      <c r="DF53" s="137"/>
      <c r="DG53" s="137"/>
      <c r="DH53" s="137"/>
      <c r="DI53" s="137"/>
      <c r="DJ53" s="137"/>
      <c r="DK53" s="137"/>
      <c r="DL53" s="137"/>
      <c r="DM53" s="137"/>
      <c r="DN53" s="137"/>
      <c r="DO53" s="137"/>
      <c r="DP53" s="137"/>
      <c r="DQ53" s="137"/>
      <c r="DR53" s="137"/>
      <c r="DS53" s="137"/>
      <c r="DT53" s="137"/>
      <c r="DU53" s="137"/>
      <c r="DV53" s="137"/>
      <c r="DW53" s="137"/>
      <c r="DX53" s="137"/>
      <c r="DY53" s="137"/>
      <c r="DZ53" s="137"/>
      <c r="EA53" s="137"/>
      <c r="EB53" s="137"/>
      <c r="EC53" s="137"/>
      <c r="ED53" s="137"/>
      <c r="EE53" s="137"/>
      <c r="EF53" s="137"/>
      <c r="EG53" s="137"/>
      <c r="EH53" s="137"/>
      <c r="EI53" s="137"/>
      <c r="EJ53" s="137"/>
      <c r="EK53" s="137"/>
      <c r="EL53" s="137"/>
      <c r="EM53" s="137"/>
      <c r="EN53" s="137"/>
      <c r="EO53" s="137"/>
      <c r="EP53" s="137"/>
      <c r="EQ53" s="137"/>
    </row>
    <row r="54" spans="2:147" s="10" customFormat="1">
      <c r="B54" s="211" t="s">
        <v>335</v>
      </c>
      <c r="C54" s="698">
        <f ca="1">AVERAGE(AX16:CF16)</f>
        <v>3.000000000000002E-2</v>
      </c>
      <c r="E54" s="17"/>
      <c r="F54" s="17"/>
      <c r="G54" s="17"/>
      <c r="H54" s="17"/>
      <c r="I54" s="142"/>
      <c r="J54" s="142"/>
      <c r="K54" s="142"/>
      <c r="L54" s="233"/>
      <c r="M54" s="233"/>
      <c r="N54" s="233"/>
      <c r="O54" s="233"/>
      <c r="P54" s="233"/>
      <c r="Q54" s="142"/>
      <c r="R54" s="182" t="s">
        <v>490</v>
      </c>
      <c r="S54" s="296"/>
      <c r="T54" s="203"/>
      <c r="U54" s="203"/>
      <c r="V54" s="204">
        <f>-MODEL!BJ33</f>
        <v>1197</v>
      </c>
      <c r="W54" s="204">
        <f>-MODEL!BN33</f>
        <v>989</v>
      </c>
      <c r="X54" s="204">
        <f>-MODEL!BR33</f>
        <v>1205</v>
      </c>
      <c r="Y54" s="204">
        <f>-MODEL!BV33</f>
        <v>1956</v>
      </c>
      <c r="Z54" s="204">
        <f>-MODEL!BZ33</f>
        <v>1199</v>
      </c>
      <c r="AA54" s="204">
        <f>-MODEL!CD33</f>
        <v>688</v>
      </c>
      <c r="AB54" s="766">
        <f>-MODEL!CH33</f>
        <v>795</v>
      </c>
      <c r="AC54" s="766">
        <f>-MODEL!CL33</f>
        <v>2738</v>
      </c>
      <c r="AD54" s="766">
        <f>-MODEL!CP33</f>
        <v>-567</v>
      </c>
      <c r="AE54" s="766">
        <f>-MODEL!CT33</f>
        <v>-232</v>
      </c>
      <c r="AF54" s="766">
        <f>-MODEL!CX33</f>
        <v>245</v>
      </c>
      <c r="AG54" s="766">
        <f>-MODEL!DB33</f>
        <v>406</v>
      </c>
      <c r="AH54" s="1641">
        <f>-INDEX(MODEL!33:33,MATCH(AH$5,MODEL!$7:$7,0))</f>
        <v>441</v>
      </c>
      <c r="AI54" s="766">
        <f>-INDEX(MODEL!33:33,MATCH(AI$5,MODEL!$7:$7,0))</f>
        <v>553.53940151358358</v>
      </c>
      <c r="AJ54" s="766">
        <f>-INDEX(MODEL!33:33,MATCH(AJ$5,MODEL!$7:$7,0))</f>
        <v>799.04874714688481</v>
      </c>
      <c r="AK54" s="766">
        <f>-INDEX(MODEL!33:33,MATCH(AK$5,MODEL!$7:$7,0))</f>
        <v>926.46021679081628</v>
      </c>
      <c r="AL54" s="204">
        <f t="shared" ref="AL54:AR54" si="202">-AL79*AL8</f>
        <v>923.28901109893457</v>
      </c>
      <c r="AM54" s="204">
        <f t="shared" si="202"/>
        <v>950.98768143190262</v>
      </c>
      <c r="AN54" s="204">
        <f t="shared" si="202"/>
        <v>979.51731187485973</v>
      </c>
      <c r="AO54" s="204">
        <f t="shared" si="202"/>
        <v>2824.9279274470955</v>
      </c>
      <c r="AP54" s="204">
        <f t="shared" si="202"/>
        <v>2909.6757652705087</v>
      </c>
      <c r="AQ54" s="204">
        <f t="shared" si="202"/>
        <v>1070.3450136530801</v>
      </c>
      <c r="AR54" s="204">
        <f t="shared" si="202"/>
        <v>1102.4553640626723</v>
      </c>
      <c r="AS54" s="204"/>
      <c r="AT54" s="204"/>
      <c r="AU54" s="204"/>
      <c r="AV54" s="204"/>
      <c r="AW54" s="204"/>
      <c r="AX54" s="204"/>
      <c r="AY54" s="204"/>
      <c r="AZ54" s="204"/>
      <c r="BA54" s="204"/>
      <c r="BB54" s="204"/>
      <c r="BC54" s="204"/>
      <c r="BD54" s="204"/>
      <c r="BE54" s="204"/>
      <c r="BF54" s="204"/>
      <c r="BG54" s="204"/>
      <c r="BH54" s="204"/>
      <c r="BI54" s="204"/>
      <c r="BJ54" s="204"/>
      <c r="BK54" s="204"/>
      <c r="BL54" s="204"/>
      <c r="BM54" s="204"/>
      <c r="BN54" s="204"/>
      <c r="BO54" s="204"/>
      <c r="BP54" s="204"/>
      <c r="BQ54" s="204"/>
      <c r="BR54" s="204"/>
      <c r="BS54" s="204"/>
      <c r="BT54" s="204"/>
      <c r="BU54" s="204"/>
      <c r="BV54" s="204"/>
      <c r="BW54" s="204"/>
      <c r="BX54" s="204"/>
      <c r="BY54" s="204"/>
      <c r="BZ54" s="204"/>
      <c r="CA54" s="204"/>
      <c r="CB54" s="204"/>
      <c r="CC54" s="204"/>
      <c r="CD54" s="204"/>
      <c r="CE54" s="204"/>
      <c r="CF54" s="204"/>
      <c r="CG54" s="204"/>
      <c r="CH54" s="137"/>
      <c r="CI54" s="137"/>
      <c r="CJ54" s="137"/>
      <c r="CK54" s="137"/>
      <c r="CL54" s="137"/>
      <c r="CM54" s="137"/>
      <c r="CN54" s="137"/>
      <c r="CO54" s="137"/>
      <c r="CP54" s="137"/>
      <c r="CQ54" s="137"/>
      <c r="CR54" s="137"/>
      <c r="CS54" s="137"/>
      <c r="CT54" s="137"/>
      <c r="CU54" s="137"/>
      <c r="CV54" s="137"/>
      <c r="CW54" s="137"/>
      <c r="CX54" s="137"/>
      <c r="CY54" s="137"/>
      <c r="CZ54" s="137"/>
      <c r="DA54" s="137"/>
      <c r="DB54" s="137"/>
      <c r="DC54" s="137"/>
      <c r="DD54" s="137"/>
      <c r="DE54" s="137"/>
      <c r="DF54" s="137"/>
      <c r="DG54" s="137"/>
      <c r="DH54" s="137"/>
      <c r="DI54" s="137"/>
      <c r="DJ54" s="137"/>
      <c r="DK54" s="137"/>
      <c r="DL54" s="137"/>
      <c r="DM54" s="137"/>
      <c r="DN54" s="137"/>
      <c r="DO54" s="137"/>
      <c r="DP54" s="137"/>
      <c r="DQ54" s="137"/>
      <c r="DR54" s="137"/>
      <c r="DS54" s="137"/>
      <c r="DT54" s="137"/>
      <c r="DU54" s="137"/>
      <c r="DV54" s="137"/>
      <c r="DW54" s="137"/>
      <c r="DX54" s="137"/>
      <c r="DY54" s="137"/>
      <c r="DZ54" s="137"/>
      <c r="EA54" s="137"/>
      <c r="EB54" s="137"/>
      <c r="EC54" s="137"/>
      <c r="ED54" s="137"/>
      <c r="EE54" s="137"/>
      <c r="EF54" s="137"/>
      <c r="EG54" s="137"/>
      <c r="EH54" s="137"/>
      <c r="EI54" s="137"/>
      <c r="EJ54" s="137"/>
      <c r="EK54" s="137"/>
      <c r="EL54" s="137"/>
      <c r="EM54" s="137"/>
      <c r="EN54" s="137"/>
      <c r="EO54" s="137"/>
      <c r="EP54" s="137"/>
      <c r="EQ54" s="137"/>
    </row>
    <row r="55" spans="2:147" s="10" customFormat="1">
      <c r="B55" s="211" t="s">
        <v>494</v>
      </c>
      <c r="C55" s="697">
        <f ca="1">AVERAGE(AX68:CF68)</f>
        <v>5.0173959540334868E-3</v>
      </c>
      <c r="E55" s="17"/>
      <c r="F55" s="17"/>
      <c r="G55" s="17"/>
      <c r="H55" s="17"/>
      <c r="L55" s="111"/>
      <c r="M55" s="111"/>
      <c r="N55" s="111"/>
      <c r="O55" s="111"/>
      <c r="P55" s="111"/>
      <c r="R55" s="10" t="s">
        <v>708</v>
      </c>
      <c r="S55" s="292"/>
      <c r="T55" s="131"/>
      <c r="U55" s="131"/>
      <c r="V55" s="204">
        <f>MODEL!BJ34</f>
        <v>8937</v>
      </c>
      <c r="W55" s="204">
        <f>MODEL!BN34</f>
        <v>9829</v>
      </c>
      <c r="X55" s="204">
        <f>MODEL!BR34</f>
        <v>9954</v>
      </c>
      <c r="Y55" s="204">
        <f>MODEL!BV34</f>
        <v>8199</v>
      </c>
      <c r="Z55" s="204">
        <f>MODEL!BZ34</f>
        <v>9650</v>
      </c>
      <c r="AA55" s="204">
        <f>MODEL!CD34</f>
        <v>9278</v>
      </c>
      <c r="AB55" s="766">
        <f>MODEL!CH34</f>
        <v>9163</v>
      </c>
      <c r="AC55" s="766">
        <f>MODEL!CL34</f>
        <v>5631</v>
      </c>
      <c r="AD55" s="766">
        <f>MODEL!CP34</f>
        <v>8963</v>
      </c>
      <c r="AE55" s="766">
        <f>MODEL!CT34</f>
        <v>9200</v>
      </c>
      <c r="AF55" s="766">
        <f>MODEL!CX34</f>
        <v>10521</v>
      </c>
      <c r="AG55" s="766">
        <f>MODEL!DB34</f>
        <v>9662</v>
      </c>
      <c r="AH55" s="1631">
        <f>INDEX(MODEL!34:34,MATCH(AH$5,MODEL!$7:$7,0))</f>
        <v>8578</v>
      </c>
      <c r="AI55" s="763">
        <f ca="1">INDEX(MODEL!34:34,MATCH(AI$5,MODEL!$7:$7,0))</f>
        <v>10734.531276709238</v>
      </c>
      <c r="AJ55" s="763">
        <f ca="1">INDEX(MODEL!34:34,MATCH(AJ$5,MODEL!$7:$7,0))</f>
        <v>11368.209196538934</v>
      </c>
      <c r="AK55" s="763">
        <f ca="1">INDEX(MODEL!34:34,MATCH(AK$5,MODEL!$7:$7,0))</f>
        <v>12083.788442370267</v>
      </c>
      <c r="AL55" s="204">
        <f t="shared" ref="AL55:AP55" ca="1" si="203">AL53-AL54</f>
        <v>12917.692425905787</v>
      </c>
      <c r="AM55" s="204">
        <f t="shared" ca="1" si="203"/>
        <v>13570.045050874654</v>
      </c>
      <c r="AN55" s="204">
        <f t="shared" ca="1" si="203"/>
        <v>13875.480702906521</v>
      </c>
      <c r="AO55" s="204">
        <f t="shared" ca="1" si="203"/>
        <v>12428.34741340552</v>
      </c>
      <c r="AP55" s="204">
        <f t="shared" ca="1" si="203"/>
        <v>12751.196919361757</v>
      </c>
      <c r="AQ55" s="204">
        <f t="shared" ref="AQ55:AR55" ca="1" si="204">AQ53-AQ54</f>
        <v>15007.621641463447</v>
      </c>
      <c r="AR55" s="204">
        <f t="shared" ca="1" si="204"/>
        <v>15402.28022291329</v>
      </c>
      <c r="AS55" s="204"/>
      <c r="AT55" s="204"/>
      <c r="AU55" s="204"/>
      <c r="AV55" s="204"/>
      <c r="AW55" s="204"/>
      <c r="AX55" s="204"/>
      <c r="AY55" s="204"/>
      <c r="AZ55" s="204"/>
      <c r="BA55" s="204"/>
      <c r="BB55" s="204"/>
      <c r="BC55" s="204"/>
      <c r="BD55" s="204"/>
      <c r="BE55" s="204"/>
      <c r="BF55" s="204"/>
      <c r="BG55" s="204"/>
      <c r="BH55" s="204"/>
      <c r="BI55" s="204"/>
      <c r="BJ55" s="204"/>
      <c r="BK55" s="204"/>
      <c r="BL55" s="204"/>
      <c r="BM55" s="204"/>
      <c r="BN55" s="204"/>
      <c r="BO55" s="204"/>
      <c r="BP55" s="204"/>
      <c r="BQ55" s="204"/>
      <c r="BR55" s="204"/>
      <c r="BS55" s="204"/>
      <c r="BT55" s="204"/>
      <c r="BU55" s="204"/>
      <c r="BV55" s="204"/>
      <c r="BW55" s="204"/>
      <c r="BX55" s="204"/>
      <c r="BY55" s="204"/>
      <c r="BZ55" s="204"/>
      <c r="CA55" s="204"/>
      <c r="CB55" s="204"/>
      <c r="CC55" s="204"/>
      <c r="CD55" s="204"/>
      <c r="CE55" s="204"/>
      <c r="CF55" s="204"/>
      <c r="CG55" s="204"/>
      <c r="CH55" s="137"/>
      <c r="CI55" s="137"/>
      <c r="CJ55" s="137"/>
      <c r="CK55" s="137"/>
      <c r="CL55" s="137"/>
      <c r="CM55" s="137"/>
      <c r="CN55" s="137"/>
      <c r="CO55" s="137"/>
      <c r="CP55" s="137"/>
      <c r="CQ55" s="137"/>
      <c r="CR55" s="137"/>
      <c r="CS55" s="137"/>
      <c r="CT55" s="137"/>
      <c r="CU55" s="137"/>
      <c r="CV55" s="137"/>
      <c r="CW55" s="137"/>
      <c r="CX55" s="137"/>
      <c r="CY55" s="137"/>
      <c r="CZ55" s="137"/>
      <c r="DA55" s="137"/>
      <c r="DB55" s="137"/>
      <c r="DC55" s="137"/>
      <c r="DD55" s="137"/>
      <c r="DE55" s="137"/>
      <c r="DF55" s="137"/>
      <c r="DG55" s="137"/>
      <c r="DH55" s="137"/>
      <c r="DI55" s="137"/>
      <c r="DJ55" s="137"/>
      <c r="DK55" s="137"/>
      <c r="DL55" s="137"/>
      <c r="DM55" s="137"/>
      <c r="DN55" s="137"/>
      <c r="DO55" s="137"/>
      <c r="DP55" s="137"/>
      <c r="DQ55" s="137"/>
      <c r="DR55" s="137"/>
      <c r="DS55" s="137"/>
      <c r="DT55" s="137"/>
      <c r="DU55" s="137"/>
      <c r="DV55" s="137"/>
      <c r="DW55" s="137"/>
      <c r="DX55" s="137"/>
      <c r="DY55" s="137"/>
      <c r="DZ55" s="137"/>
      <c r="EA55" s="137"/>
      <c r="EB55" s="137"/>
      <c r="EC55" s="137"/>
      <c r="ED55" s="137"/>
      <c r="EE55" s="137"/>
      <c r="EF55" s="137"/>
      <c r="EG55" s="137"/>
      <c r="EH55" s="137"/>
      <c r="EI55" s="137"/>
      <c r="EJ55" s="137"/>
      <c r="EK55" s="137"/>
      <c r="EL55" s="137"/>
      <c r="EM55" s="137"/>
      <c r="EN55" s="137"/>
      <c r="EO55" s="137"/>
      <c r="EP55" s="137"/>
      <c r="EQ55" s="137"/>
    </row>
    <row r="56" spans="2:147" s="10" customFormat="1">
      <c r="B56" s="214" t="s">
        <v>739</v>
      </c>
      <c r="C56" s="699">
        <f ca="1">AVERAGE(AX70:CF70)</f>
        <v>9.9191638906172594E-2</v>
      </c>
      <c r="D56" s="11"/>
      <c r="E56" s="17"/>
      <c r="G56" s="111"/>
      <c r="H56" s="111"/>
      <c r="L56" s="111"/>
      <c r="M56" s="111"/>
      <c r="N56" s="111"/>
      <c r="O56" s="111"/>
      <c r="P56" s="111"/>
      <c r="R56" s="10" t="s">
        <v>493</v>
      </c>
      <c r="S56" s="292"/>
      <c r="T56" s="131"/>
      <c r="U56" s="131"/>
      <c r="V56" s="204">
        <f>-MODEL!BJ35</f>
        <v>2435</v>
      </c>
      <c r="W56" s="204">
        <f>-MODEL!BN35</f>
        <v>2700</v>
      </c>
      <c r="X56" s="204">
        <f>-MODEL!BR35</f>
        <v>2724</v>
      </c>
      <c r="Y56" s="204">
        <f>-MODEL!BV35</f>
        <v>2299</v>
      </c>
      <c r="Z56" s="204">
        <f>-MODEL!BZ35</f>
        <v>2826</v>
      </c>
      <c r="AA56" s="204">
        <f>-MODEL!CD35</f>
        <v>2775</v>
      </c>
      <c r="AB56" s="766">
        <f>-MODEL!CH35</f>
        <v>2678</v>
      </c>
      <c r="AC56" s="766">
        <f>-MODEL!CL35</f>
        <v>1872</v>
      </c>
      <c r="AD56" s="766">
        <f>-MODEL!CP35</f>
        <v>2764</v>
      </c>
      <c r="AE56" s="766">
        <f>-MODEL!CT35</f>
        <v>2685</v>
      </c>
      <c r="AF56" s="766">
        <f>-MODEL!CX35</f>
        <v>3080</v>
      </c>
      <c r="AG56" s="766">
        <f>-MODEL!DB35</f>
        <v>2902</v>
      </c>
      <c r="AH56" s="1641">
        <f>-INDEX(MODEL!35:35,MATCH(AH$5,MODEL!$7:$7,0))</f>
        <v>2750</v>
      </c>
      <c r="AI56" s="766">
        <f ca="1">-INDEX(MODEL!35:35,MATCH(AI$5,MODEL!$7:$7,0))</f>
        <v>3166.6867266292256</v>
      </c>
      <c r="AJ56" s="766">
        <f ca="1">-INDEX(MODEL!35:35,MATCH(AJ$5,MODEL!$7:$7,0))</f>
        <v>3353.6217129789848</v>
      </c>
      <c r="AK56" s="766">
        <f ca="1">-INDEX(MODEL!35:35,MATCH(AK$5,MODEL!$7:$7,0))</f>
        <v>3564.7175904992273</v>
      </c>
      <c r="AL56" s="204">
        <f t="shared" ref="AL56:AP56" ca="1" si="205">AL55*AL80</f>
        <v>3810.7192656422071</v>
      </c>
      <c r="AM56" s="204">
        <f t="shared" ca="1" si="205"/>
        <v>4003.1632900080226</v>
      </c>
      <c r="AN56" s="204">
        <f t="shared" ca="1" si="205"/>
        <v>4093.2668073574237</v>
      </c>
      <c r="AO56" s="204">
        <f t="shared" ca="1" si="205"/>
        <v>3666.3624869546279</v>
      </c>
      <c r="AP56" s="204">
        <f t="shared" ca="1" si="205"/>
        <v>3761.603091211718</v>
      </c>
      <c r="AQ56" s="204">
        <f t="shared" ref="AQ56:AR56" ca="1" si="206">AQ55*AQ80</f>
        <v>4427.248384231717</v>
      </c>
      <c r="AR56" s="204">
        <f t="shared" ca="1" si="206"/>
        <v>4543.6726657594209</v>
      </c>
      <c r="AS56" s="204"/>
      <c r="AT56" s="204"/>
      <c r="AU56" s="204"/>
      <c r="AV56" s="204"/>
      <c r="AW56" s="204"/>
      <c r="AX56" s="204"/>
      <c r="AY56" s="204"/>
      <c r="AZ56" s="204"/>
      <c r="BA56" s="204"/>
      <c r="BB56" s="204"/>
      <c r="BC56" s="204"/>
      <c r="BD56" s="204"/>
      <c r="BE56" s="204"/>
      <c r="BF56" s="204"/>
      <c r="BG56" s="204"/>
      <c r="BH56" s="204"/>
      <c r="BI56" s="204"/>
      <c r="BJ56" s="204"/>
      <c r="BK56" s="204"/>
      <c r="BL56" s="204"/>
      <c r="BM56" s="204"/>
      <c r="BN56" s="204"/>
      <c r="BO56" s="204"/>
      <c r="BP56" s="204"/>
      <c r="BQ56" s="204"/>
      <c r="BR56" s="204"/>
      <c r="BS56" s="204"/>
      <c r="BT56" s="204"/>
      <c r="BU56" s="204"/>
      <c r="BV56" s="204"/>
      <c r="BW56" s="204"/>
      <c r="BX56" s="204"/>
      <c r="BY56" s="204"/>
      <c r="BZ56" s="204"/>
      <c r="CA56" s="204"/>
      <c r="CB56" s="204"/>
      <c r="CC56" s="204"/>
      <c r="CD56" s="204"/>
      <c r="CE56" s="204"/>
      <c r="CF56" s="204"/>
      <c r="CG56" s="204"/>
      <c r="CH56" s="137"/>
      <c r="CI56" s="137"/>
      <c r="CJ56" s="137"/>
      <c r="CK56" s="137"/>
      <c r="CL56" s="137"/>
      <c r="CM56" s="137"/>
      <c r="CN56" s="137"/>
      <c r="CO56" s="137"/>
      <c r="CP56" s="137"/>
      <c r="CQ56" s="137"/>
      <c r="CR56" s="137"/>
      <c r="CS56" s="137"/>
      <c r="CT56" s="137"/>
      <c r="CU56" s="137"/>
      <c r="CV56" s="137"/>
      <c r="CW56" s="137"/>
      <c r="CX56" s="137"/>
      <c r="CY56" s="137"/>
      <c r="CZ56" s="137"/>
      <c r="DA56" s="137"/>
      <c r="DB56" s="137"/>
      <c r="DC56" s="137"/>
      <c r="DD56" s="137"/>
      <c r="DE56" s="137"/>
      <c r="DF56" s="137"/>
      <c r="DG56" s="137"/>
      <c r="DH56" s="137"/>
      <c r="DI56" s="137"/>
      <c r="DJ56" s="137"/>
      <c r="DK56" s="137"/>
      <c r="DL56" s="137"/>
      <c r="DM56" s="137"/>
      <c r="DN56" s="137"/>
      <c r="DO56" s="137"/>
      <c r="DP56" s="137"/>
      <c r="DQ56" s="137"/>
      <c r="DR56" s="137"/>
      <c r="DS56" s="137"/>
      <c r="DT56" s="137"/>
      <c r="DU56" s="137"/>
      <c r="DV56" s="137"/>
      <c r="DW56" s="137"/>
      <c r="DX56" s="137"/>
      <c r="DY56" s="137"/>
      <c r="DZ56" s="137"/>
      <c r="EA56" s="137"/>
      <c r="EB56" s="137"/>
      <c r="EC56" s="137"/>
      <c r="ED56" s="137"/>
      <c r="EE56" s="137"/>
      <c r="EF56" s="137"/>
      <c r="EG56" s="137"/>
      <c r="EH56" s="137"/>
      <c r="EI56" s="137"/>
      <c r="EJ56" s="137"/>
      <c r="EK56" s="137"/>
      <c r="EL56" s="137"/>
      <c r="EM56" s="137"/>
      <c r="EN56" s="137"/>
      <c r="EO56" s="137"/>
      <c r="EP56" s="137"/>
      <c r="EQ56" s="137"/>
    </row>
    <row r="57" spans="2:147" s="10" customFormat="1" ht="13.8" thickBot="1">
      <c r="B57" s="235"/>
      <c r="C57" s="236"/>
      <c r="D57" s="83"/>
      <c r="E57" s="17"/>
      <c r="F57" s="285" t="s">
        <v>322</v>
      </c>
      <c r="G57" s="286" t="s">
        <v>544</v>
      </c>
      <c r="H57" s="287" t="s">
        <v>414</v>
      </c>
      <c r="I57" s="142"/>
      <c r="J57" s="142"/>
      <c r="K57" s="142"/>
      <c r="L57" s="233"/>
      <c r="M57" s="233"/>
      <c r="N57" s="233"/>
      <c r="O57" s="233"/>
      <c r="P57" s="233"/>
      <c r="Q57" s="142"/>
      <c r="R57" s="10" t="s">
        <v>495</v>
      </c>
      <c r="S57" s="292"/>
      <c r="T57" s="131"/>
      <c r="U57" s="131"/>
      <c r="V57" s="204">
        <f>-MODEL!BJ36</f>
        <v>10</v>
      </c>
      <c r="W57" s="204">
        <f>-MODEL!BN36</f>
        <v>12</v>
      </c>
      <c r="X57" s="204">
        <f>-MODEL!BR36</f>
        <v>14</v>
      </c>
      <c r="Y57" s="204">
        <f>-MODEL!BV36</f>
        <v>11</v>
      </c>
      <c r="Z57" s="204">
        <f>-MODEL!BZ36</f>
        <v>15</v>
      </c>
      <c r="AA57" s="204">
        <f>-MODEL!CD36</f>
        <v>16</v>
      </c>
      <c r="AB57" s="766">
        <f>-MODEL!CH36</f>
        <v>15</v>
      </c>
      <c r="AC57" s="766">
        <f>-MODEL!CL36</f>
        <v>1</v>
      </c>
      <c r="AD57" s="766">
        <f>-MODEL!CP36</f>
        <v>1</v>
      </c>
      <c r="AE57" s="766">
        <f>-MODEL!CT36</f>
        <v>0</v>
      </c>
      <c r="AF57" s="766">
        <f>-MODEL!CX36</f>
        <v>28</v>
      </c>
      <c r="AG57" s="766">
        <f>-MODEL!DB36</f>
        <v>35</v>
      </c>
      <c r="AH57" s="1641">
        <f>-INDEX(MODEL!36:36,MATCH(AH$5,MODEL!$7:$7,0))</f>
        <v>41</v>
      </c>
      <c r="AI57" s="766">
        <f>-INDEX(MODEL!36:36,MATCH(AI$5,MODEL!$7:$7,0))</f>
        <v>40</v>
      </c>
      <c r="AJ57" s="766">
        <f>-INDEX(MODEL!36:36,MATCH(AJ$5,MODEL!$7:$7,0))</f>
        <v>40</v>
      </c>
      <c r="AK57" s="766">
        <f>-INDEX(MODEL!36:36,MATCH(AK$5,MODEL!$7:$7,0))</f>
        <v>40</v>
      </c>
      <c r="AL57" s="213">
        <f t="shared" ref="AL57:AR57" si="207">+AK57</f>
        <v>40</v>
      </c>
      <c r="AM57" s="213">
        <f t="shared" si="207"/>
        <v>40</v>
      </c>
      <c r="AN57" s="213">
        <f t="shared" si="207"/>
        <v>40</v>
      </c>
      <c r="AO57" s="213">
        <f t="shared" si="207"/>
        <v>40</v>
      </c>
      <c r="AP57" s="213">
        <f t="shared" si="207"/>
        <v>40</v>
      </c>
      <c r="AQ57" s="213">
        <f t="shared" si="207"/>
        <v>40</v>
      </c>
      <c r="AR57" s="213">
        <f t="shared" si="207"/>
        <v>40</v>
      </c>
      <c r="AS57" s="204"/>
      <c r="AT57" s="204"/>
      <c r="AU57" s="204"/>
      <c r="AV57" s="204"/>
      <c r="AW57" s="204"/>
      <c r="AX57" s="204"/>
      <c r="AY57" s="204"/>
      <c r="AZ57" s="204"/>
      <c r="BA57" s="204"/>
      <c r="BB57" s="204"/>
      <c r="BC57" s="204"/>
      <c r="BD57" s="204"/>
      <c r="BE57" s="204"/>
      <c r="BF57" s="204"/>
      <c r="BG57" s="204"/>
      <c r="BH57" s="204"/>
      <c r="BI57" s="204"/>
      <c r="BJ57" s="204"/>
      <c r="BK57" s="204"/>
      <c r="BL57" s="204"/>
      <c r="BM57" s="204"/>
      <c r="BN57" s="204"/>
      <c r="BO57" s="204"/>
      <c r="BP57" s="204"/>
      <c r="BQ57" s="204"/>
      <c r="BR57" s="204"/>
      <c r="BS57" s="204"/>
      <c r="BT57" s="204"/>
      <c r="BU57" s="204"/>
      <c r="BV57" s="204"/>
      <c r="BW57" s="204"/>
      <c r="BX57" s="204"/>
      <c r="BY57" s="204"/>
      <c r="BZ57" s="204"/>
      <c r="CA57" s="204"/>
      <c r="CB57" s="204"/>
      <c r="CC57" s="204"/>
      <c r="CD57" s="204"/>
      <c r="CE57" s="204"/>
      <c r="CF57" s="204"/>
      <c r="CG57" s="204"/>
      <c r="CH57" s="137"/>
      <c r="CI57" s="137"/>
      <c r="CJ57" s="137"/>
      <c r="CK57" s="137"/>
      <c r="CL57" s="137"/>
      <c r="CM57" s="137"/>
      <c r="CN57" s="137"/>
      <c r="CO57" s="137"/>
      <c r="CP57" s="137"/>
      <c r="CQ57" s="137"/>
      <c r="CR57" s="137"/>
      <c r="CS57" s="137"/>
      <c r="CT57" s="137"/>
      <c r="CU57" s="137"/>
      <c r="CV57" s="137"/>
      <c r="CW57" s="137"/>
      <c r="CX57" s="137"/>
      <c r="CY57" s="137"/>
      <c r="CZ57" s="137"/>
      <c r="DA57" s="137"/>
      <c r="DB57" s="137"/>
      <c r="DC57" s="137"/>
      <c r="DD57" s="137"/>
      <c r="DE57" s="137"/>
      <c r="DF57" s="137"/>
      <c r="DG57" s="137"/>
      <c r="DH57" s="137"/>
      <c r="DI57" s="137"/>
      <c r="DJ57" s="137"/>
      <c r="DK57" s="137"/>
      <c r="DL57" s="137"/>
      <c r="DM57" s="137"/>
      <c r="DN57" s="137"/>
      <c r="DO57" s="137"/>
      <c r="DP57" s="137"/>
      <c r="DQ57" s="137"/>
      <c r="DR57" s="137"/>
      <c r="DS57" s="137"/>
      <c r="DT57" s="137"/>
      <c r="DU57" s="137"/>
      <c r="DV57" s="137"/>
      <c r="DW57" s="137"/>
      <c r="DX57" s="137"/>
      <c r="DY57" s="137"/>
      <c r="DZ57" s="137"/>
      <c r="EA57" s="137"/>
      <c r="EB57" s="137"/>
      <c r="EC57" s="137"/>
      <c r="ED57" s="137"/>
      <c r="EE57" s="137"/>
      <c r="EF57" s="137"/>
      <c r="EG57" s="137"/>
      <c r="EH57" s="137"/>
      <c r="EI57" s="137"/>
      <c r="EJ57" s="137"/>
      <c r="EK57" s="137"/>
      <c r="EL57" s="137"/>
      <c r="EM57" s="137"/>
      <c r="EN57" s="137"/>
      <c r="EO57" s="137"/>
      <c r="EP57" s="137"/>
      <c r="EQ57" s="137"/>
    </row>
    <row r="58" spans="2:147" s="10" customFormat="1">
      <c r="C58" s="237"/>
      <c r="D58" s="84"/>
      <c r="E58" s="17"/>
      <c r="F58" s="174" t="s">
        <v>452</v>
      </c>
      <c r="G58" s="136">
        <f ca="1">G12</f>
        <v>98678.163417682197</v>
      </c>
      <c r="H58" s="175">
        <f ca="1">H12</f>
        <v>33.07440790217219</v>
      </c>
      <c r="I58" s="142"/>
      <c r="J58" s="142"/>
      <c r="K58" s="142"/>
      <c r="L58" s="233"/>
      <c r="M58" s="233"/>
      <c r="N58" s="233"/>
      <c r="O58" s="233"/>
      <c r="P58" s="233"/>
      <c r="Q58" s="142"/>
      <c r="R58" s="9" t="s">
        <v>124</v>
      </c>
      <c r="S58" s="292"/>
      <c r="T58" s="131"/>
      <c r="U58" s="131"/>
      <c r="V58" s="169">
        <f>MODEL!BJ37</f>
        <v>6492</v>
      </c>
      <c r="W58" s="169">
        <f>MODEL!BN37</f>
        <v>7117</v>
      </c>
      <c r="X58" s="169">
        <f>MODEL!BR37</f>
        <v>7216</v>
      </c>
      <c r="Y58" s="169">
        <f>MODEL!BV37</f>
        <v>5889</v>
      </c>
      <c r="Z58" s="169">
        <f>MODEL!BZ37</f>
        <v>6809</v>
      </c>
      <c r="AA58" s="169">
        <f>MODEL!CD37</f>
        <v>6487</v>
      </c>
      <c r="AB58" s="765">
        <f>MODEL!CH37</f>
        <v>6470</v>
      </c>
      <c r="AC58" s="765">
        <f>MODEL!CL37</f>
        <v>3758</v>
      </c>
      <c r="AD58" s="765">
        <f>MODEL!CP37</f>
        <v>6198</v>
      </c>
      <c r="AE58" s="765">
        <f>MODEL!CT37</f>
        <v>6515</v>
      </c>
      <c r="AF58" s="765">
        <f>MODEL!CX37</f>
        <v>7413</v>
      </c>
      <c r="AG58" s="765">
        <f>MODEL!DB37</f>
        <v>6725</v>
      </c>
      <c r="AH58" s="1633">
        <f>INDEX(MODEL!37:37,MATCH(AH$5,MODEL!$7:$7,0))</f>
        <v>5787</v>
      </c>
      <c r="AI58" s="1623">
        <f ca="1">INDEX(MODEL!37:37,MATCH(AI$5,MODEL!$7:$7,0))</f>
        <v>7527.8445500800126</v>
      </c>
      <c r="AJ58" s="1623">
        <f ca="1">INDEX(MODEL!37:37,MATCH(AJ$5,MODEL!$7:$7,0))</f>
        <v>7974.5874835599489</v>
      </c>
      <c r="AK58" s="1623">
        <f ca="1">INDEX(MODEL!37:37,MATCH(AK$5,MODEL!$7:$7,0))</f>
        <v>8479.0708518710398</v>
      </c>
      <c r="AL58" s="169">
        <f t="shared" ref="AL58:AP58" ca="1" si="208">AL55-AL56-AL57</f>
        <v>9066.9731602635802</v>
      </c>
      <c r="AM58" s="169">
        <f t="shared" ca="1" si="208"/>
        <v>9526.8817608666322</v>
      </c>
      <c r="AN58" s="169">
        <f t="shared" ca="1" si="208"/>
        <v>9742.2138955490973</v>
      </c>
      <c r="AO58" s="169">
        <f t="shared" ca="1" si="208"/>
        <v>8721.9849264508921</v>
      </c>
      <c r="AP58" s="169">
        <f t="shared" ca="1" si="208"/>
        <v>8949.5938281500385</v>
      </c>
      <c r="AQ58" s="169">
        <f t="shared" ref="AQ58:AR58" ca="1" si="209">AQ55-AQ56-AQ57</f>
        <v>10540.373257231731</v>
      </c>
      <c r="AR58" s="169">
        <f t="shared" ca="1" si="209"/>
        <v>10818.607557153869</v>
      </c>
      <c r="AS58" s="169">
        <f t="shared" ref="AS58:CD58" ca="1" si="210">+AS71*AS83</f>
        <v>11152.076967994932</v>
      </c>
      <c r="AT58" s="169">
        <f t="shared" ca="1" si="210"/>
        <v>11466.500840926814</v>
      </c>
      <c r="AU58" s="169">
        <f t="shared" ca="1" si="210"/>
        <v>11805.641824888111</v>
      </c>
      <c r="AV58" s="169">
        <f ca="1">+AV71*AV83</f>
        <v>12158.641092229045</v>
      </c>
      <c r="AW58" s="169">
        <f ca="1">+AW71*AW83</f>
        <v>12523.118318631663</v>
      </c>
      <c r="AX58" s="169">
        <f t="shared" ca="1" si="210"/>
        <v>12797.401880511226</v>
      </c>
      <c r="AY58" s="169">
        <f t="shared" ca="1" si="210"/>
        <v>13072.832443638399</v>
      </c>
      <c r="AZ58" s="169">
        <f t="shared" ca="1" si="210"/>
        <v>13352.375299778609</v>
      </c>
      <c r="BA58" s="169">
        <f t="shared" ca="1" si="210"/>
        <v>13636.783998708317</v>
      </c>
      <c r="BB58" s="169">
        <f t="shared" ca="1" si="210"/>
        <v>13926.281456682107</v>
      </c>
      <c r="BC58" s="169">
        <f t="shared" ca="1" si="210"/>
        <v>14220.962778361458</v>
      </c>
      <c r="BD58" s="169">
        <f t="shared" ca="1" si="210"/>
        <v>14520.891575942102</v>
      </c>
      <c r="BE58" s="169">
        <f t="shared" ca="1" si="210"/>
        <v>14826.122895583034</v>
      </c>
      <c r="BF58" s="169">
        <f t="shared" ca="1" si="210"/>
        <v>15136.708590842491</v>
      </c>
      <c r="BG58" s="169">
        <f t="shared" ca="1" si="210"/>
        <v>15452.698500175924</v>
      </c>
      <c r="BH58" s="169">
        <f t="shared" ca="1" si="210"/>
        <v>15774.140618904252</v>
      </c>
      <c r="BI58" s="169">
        <f t="shared" ca="1" si="210"/>
        <v>16101.081026463697</v>
      </c>
      <c r="BJ58" s="169">
        <f t="shared" ca="1" si="210"/>
        <v>16433.563749941415</v>
      </c>
      <c r="BK58" s="169">
        <f t="shared" ca="1" si="210"/>
        <v>16771.630606722869</v>
      </c>
      <c r="BL58" s="169">
        <f t="shared" ca="1" si="210"/>
        <v>17115.321036186575</v>
      </c>
      <c r="BM58" s="169">
        <f t="shared" ca="1" si="210"/>
        <v>17464.67192255695</v>
      </c>
      <c r="BN58" s="169">
        <f t="shared" ca="1" si="210"/>
        <v>17819.717409160174</v>
      </c>
      <c r="BO58" s="169">
        <f t="shared" ca="1" si="210"/>
        <v>18180.488703876021</v>
      </c>
      <c r="BP58" s="169">
        <f t="shared" ca="1" si="210"/>
        <v>18547.013875461842</v>
      </c>
      <c r="BQ58" s="169">
        <f t="shared" ca="1" si="210"/>
        <v>18919.317640386795</v>
      </c>
      <c r="BR58" s="169">
        <f t="shared" ca="1" si="210"/>
        <v>19297.421139794871</v>
      </c>
      <c r="BS58" s="169">
        <f t="shared" ca="1" si="210"/>
        <v>19681.341706199499</v>
      </c>
      <c r="BT58" s="169">
        <f t="shared" ca="1" si="210"/>
        <v>20071.092619497133</v>
      </c>
      <c r="BU58" s="169">
        <f t="shared" ca="1" si="210"/>
        <v>20466.682851871876</v>
      </c>
      <c r="BV58" s="169">
        <f t="shared" ca="1" si="210"/>
        <v>20868.116801147251</v>
      </c>
      <c r="BW58" s="169">
        <f t="shared" ca="1" si="210"/>
        <v>21275.39401212443</v>
      </c>
      <c r="BX58" s="169">
        <f t="shared" ca="1" si="210"/>
        <v>21688.508885429277</v>
      </c>
      <c r="BY58" s="169">
        <f t="shared" ca="1" si="210"/>
        <v>22107.450373372812</v>
      </c>
      <c r="BZ58" s="169">
        <f t="shared" ca="1" si="210"/>
        <v>22532.201662311087</v>
      </c>
      <c r="CA58" s="169">
        <f t="shared" ca="1" si="210"/>
        <v>22962.739840971732</v>
      </c>
      <c r="CB58" s="169">
        <f t="shared" ca="1" si="210"/>
        <v>23399.035554194477</v>
      </c>
      <c r="CC58" s="169">
        <f t="shared" ca="1" si="210"/>
        <v>23841.052641512561</v>
      </c>
      <c r="CD58" s="169">
        <f t="shared" ca="1" si="210"/>
        <v>24288.747759980903</v>
      </c>
      <c r="CE58" s="169">
        <f ca="1">+CE71*CE83</f>
        <v>24742.069990634915</v>
      </c>
      <c r="CF58" s="169">
        <f ca="1">+CF71*CF83</f>
        <v>25200.960427941038</v>
      </c>
      <c r="CG58" s="169">
        <f ca="1">+CG71*CG83</f>
        <v>25665.351751577022</v>
      </c>
      <c r="CH58" s="137"/>
      <c r="CI58" s="137"/>
      <c r="CJ58" s="137"/>
      <c r="CK58" s="137"/>
      <c r="CL58" s="137"/>
      <c r="CM58" s="137"/>
      <c r="CN58" s="137"/>
      <c r="CO58" s="137"/>
      <c r="CP58" s="137"/>
      <c r="CQ58" s="137"/>
      <c r="CR58" s="137"/>
      <c r="CS58" s="137"/>
      <c r="CT58" s="137"/>
      <c r="CU58" s="137"/>
      <c r="CV58" s="137"/>
      <c r="CW58" s="137"/>
      <c r="CX58" s="137"/>
      <c r="CY58" s="137"/>
      <c r="CZ58" s="137"/>
      <c r="DA58" s="137"/>
      <c r="DB58" s="137"/>
      <c r="DC58" s="137"/>
      <c r="DD58" s="137"/>
      <c r="DE58" s="137"/>
      <c r="DF58" s="137"/>
      <c r="DG58" s="137"/>
      <c r="DH58" s="137"/>
      <c r="DI58" s="137"/>
      <c r="DJ58" s="137"/>
      <c r="DK58" s="137"/>
      <c r="DL58" s="137"/>
      <c r="DM58" s="137"/>
      <c r="DN58" s="137"/>
      <c r="DO58" s="137"/>
      <c r="DP58" s="137"/>
      <c r="DQ58" s="137"/>
      <c r="DR58" s="137"/>
      <c r="DS58" s="137"/>
      <c r="DT58" s="137"/>
      <c r="DU58" s="137"/>
      <c r="DV58" s="137"/>
      <c r="DW58" s="137"/>
      <c r="DX58" s="137"/>
      <c r="DY58" s="137"/>
      <c r="DZ58" s="137"/>
      <c r="EA58" s="137"/>
      <c r="EB58" s="137"/>
      <c r="EC58" s="137"/>
      <c r="ED58" s="137"/>
      <c r="EE58" s="137"/>
      <c r="EF58" s="137"/>
      <c r="EG58" s="137"/>
      <c r="EH58" s="137"/>
      <c r="EI58" s="137"/>
      <c r="EJ58" s="137"/>
      <c r="EK58" s="137"/>
      <c r="EL58" s="137"/>
      <c r="EM58" s="137"/>
      <c r="EN58" s="137"/>
      <c r="EO58" s="137"/>
      <c r="EP58" s="137"/>
      <c r="EQ58" s="137"/>
    </row>
    <row r="59" spans="2:147" s="10" customFormat="1">
      <c r="B59" s="109"/>
      <c r="C59" s="238"/>
      <c r="D59" s="85"/>
      <c r="E59" s="17"/>
      <c r="F59" s="174" t="s">
        <v>743</v>
      </c>
      <c r="G59" s="136">
        <f ca="1">G35</f>
        <v>102867.66159956096</v>
      </c>
      <c r="H59" s="175">
        <f ca="1">H35</f>
        <v>34.478621022620658</v>
      </c>
      <c r="I59" s="142"/>
      <c r="J59" s="142"/>
      <c r="K59" s="142"/>
      <c r="L59" s="233"/>
      <c r="M59" s="233"/>
      <c r="N59" s="233"/>
      <c r="O59" s="233"/>
      <c r="P59" s="233"/>
      <c r="Q59" s="142"/>
      <c r="R59" s="182" t="s">
        <v>347</v>
      </c>
      <c r="S59" s="296"/>
      <c r="T59" s="203"/>
      <c r="U59" s="203"/>
      <c r="V59" s="204">
        <f t="shared" ref="V59:AB59" si="211">V60-V58</f>
        <v>-182</v>
      </c>
      <c r="W59" s="204">
        <f t="shared" si="211"/>
        <v>154</v>
      </c>
      <c r="X59" s="204">
        <f t="shared" si="211"/>
        <v>277</v>
      </c>
      <c r="Y59" s="204">
        <f t="shared" si="211"/>
        <v>-180</v>
      </c>
      <c r="Z59" s="204">
        <f t="shared" si="211"/>
        <v>-403</v>
      </c>
      <c r="AA59" s="204">
        <f ca="1">AA60-AA58</f>
        <v>-87</v>
      </c>
      <c r="AB59" s="204">
        <f t="shared" si="211"/>
        <v>-517</v>
      </c>
      <c r="AC59" s="204">
        <f t="shared" ref="AC59:AH59" si="212">AC60-AC58</f>
        <v>-181</v>
      </c>
      <c r="AD59" s="204">
        <f t="shared" si="212"/>
        <v>-36</v>
      </c>
      <c r="AE59" s="204">
        <f t="shared" si="212"/>
        <v>604</v>
      </c>
      <c r="AF59" s="204">
        <f t="shared" ref="AF59:AG59" si="213">AF60-AF58</f>
        <v>-307</v>
      </c>
      <c r="AG59" s="204">
        <f t="shared" si="213"/>
        <v>-190</v>
      </c>
      <c r="AH59" s="1642">
        <f t="shared" si="212"/>
        <v>104</v>
      </c>
      <c r="AI59" s="204">
        <f t="shared" ref="AI59" ca="1" si="214">AI60-AI58</f>
        <v>0</v>
      </c>
      <c r="AJ59" s="204">
        <f t="shared" ref="AJ59:AK59" ca="1" si="215">AJ60-AJ58</f>
        <v>0</v>
      </c>
      <c r="AK59" s="204">
        <f t="shared" ca="1" si="215"/>
        <v>0</v>
      </c>
      <c r="AL59" s="217">
        <v>0</v>
      </c>
      <c r="AM59" s="217">
        <v>0</v>
      </c>
      <c r="AN59" s="217">
        <v>0</v>
      </c>
      <c r="AO59" s="217">
        <v>0</v>
      </c>
      <c r="AP59" s="217">
        <v>0</v>
      </c>
      <c r="AQ59" s="217">
        <v>0</v>
      </c>
      <c r="AR59" s="217">
        <v>0</v>
      </c>
      <c r="AS59" s="218">
        <f>AP59</f>
        <v>0</v>
      </c>
      <c r="AT59" s="218">
        <f t="shared" ref="AT59:CG59" si="216">AS59</f>
        <v>0</v>
      </c>
      <c r="AU59" s="218">
        <f t="shared" si="216"/>
        <v>0</v>
      </c>
      <c r="AV59" s="218">
        <f t="shared" si="216"/>
        <v>0</v>
      </c>
      <c r="AW59" s="218">
        <f t="shared" si="216"/>
        <v>0</v>
      </c>
      <c r="AX59" s="219">
        <f t="shared" si="216"/>
        <v>0</v>
      </c>
      <c r="AY59" s="219">
        <f t="shared" si="216"/>
        <v>0</v>
      </c>
      <c r="AZ59" s="219">
        <f t="shared" si="216"/>
        <v>0</v>
      </c>
      <c r="BA59" s="219">
        <f t="shared" si="216"/>
        <v>0</v>
      </c>
      <c r="BB59" s="219">
        <f t="shared" si="216"/>
        <v>0</v>
      </c>
      <c r="BC59" s="219">
        <f t="shared" si="216"/>
        <v>0</v>
      </c>
      <c r="BD59" s="219">
        <f t="shared" si="216"/>
        <v>0</v>
      </c>
      <c r="BE59" s="219">
        <f t="shared" si="216"/>
        <v>0</v>
      </c>
      <c r="BF59" s="219">
        <f t="shared" si="216"/>
        <v>0</v>
      </c>
      <c r="BG59" s="219">
        <f t="shared" si="216"/>
        <v>0</v>
      </c>
      <c r="BH59" s="219">
        <f t="shared" si="216"/>
        <v>0</v>
      </c>
      <c r="BI59" s="219">
        <f t="shared" si="216"/>
        <v>0</v>
      </c>
      <c r="BJ59" s="219">
        <f t="shared" si="216"/>
        <v>0</v>
      </c>
      <c r="BK59" s="219">
        <f t="shared" si="216"/>
        <v>0</v>
      </c>
      <c r="BL59" s="219">
        <f t="shared" si="216"/>
        <v>0</v>
      </c>
      <c r="BM59" s="219">
        <f t="shared" si="216"/>
        <v>0</v>
      </c>
      <c r="BN59" s="219">
        <f t="shared" si="216"/>
        <v>0</v>
      </c>
      <c r="BO59" s="219">
        <f t="shared" si="216"/>
        <v>0</v>
      </c>
      <c r="BP59" s="219">
        <f t="shared" si="216"/>
        <v>0</v>
      </c>
      <c r="BQ59" s="219">
        <f t="shared" si="216"/>
        <v>0</v>
      </c>
      <c r="BR59" s="219">
        <f t="shared" si="216"/>
        <v>0</v>
      </c>
      <c r="BS59" s="219">
        <f t="shared" si="216"/>
        <v>0</v>
      </c>
      <c r="BT59" s="219">
        <f t="shared" si="216"/>
        <v>0</v>
      </c>
      <c r="BU59" s="219">
        <f t="shared" si="216"/>
        <v>0</v>
      </c>
      <c r="BV59" s="219">
        <f t="shared" si="216"/>
        <v>0</v>
      </c>
      <c r="BW59" s="219">
        <f t="shared" si="216"/>
        <v>0</v>
      </c>
      <c r="BX59" s="219">
        <f t="shared" si="216"/>
        <v>0</v>
      </c>
      <c r="BY59" s="219">
        <f t="shared" si="216"/>
        <v>0</v>
      </c>
      <c r="BZ59" s="219">
        <f t="shared" si="216"/>
        <v>0</v>
      </c>
      <c r="CA59" s="219">
        <f t="shared" si="216"/>
        <v>0</v>
      </c>
      <c r="CB59" s="219">
        <f t="shared" si="216"/>
        <v>0</v>
      </c>
      <c r="CC59" s="219">
        <f t="shared" si="216"/>
        <v>0</v>
      </c>
      <c r="CD59" s="219">
        <f t="shared" si="216"/>
        <v>0</v>
      </c>
      <c r="CE59" s="219">
        <f t="shared" si="216"/>
        <v>0</v>
      </c>
      <c r="CF59" s="219">
        <f t="shared" si="216"/>
        <v>0</v>
      </c>
      <c r="CG59" s="219">
        <f t="shared" si="216"/>
        <v>0</v>
      </c>
      <c r="CH59" s="137"/>
      <c r="CI59" s="137"/>
      <c r="CJ59" s="137"/>
      <c r="CK59" s="137"/>
      <c r="CL59" s="137"/>
      <c r="CM59" s="137"/>
      <c r="CN59" s="137"/>
      <c r="CO59" s="137"/>
      <c r="CP59" s="137"/>
      <c r="CQ59" s="137"/>
      <c r="CR59" s="137"/>
      <c r="CS59" s="137"/>
      <c r="CT59" s="137"/>
      <c r="CU59" s="137"/>
      <c r="CV59" s="137"/>
      <c r="CW59" s="137"/>
      <c r="CX59" s="137"/>
      <c r="CY59" s="137"/>
      <c r="CZ59" s="137"/>
      <c r="DA59" s="137"/>
      <c r="DB59" s="137"/>
      <c r="DC59" s="137"/>
      <c r="DD59" s="137"/>
      <c r="DE59" s="137"/>
      <c r="DF59" s="137"/>
      <c r="DG59" s="137"/>
      <c r="DH59" s="137"/>
      <c r="DI59" s="137"/>
      <c r="DJ59" s="137"/>
      <c r="DK59" s="137"/>
      <c r="DL59" s="137"/>
      <c r="DM59" s="137"/>
      <c r="DN59" s="137"/>
      <c r="DO59" s="137"/>
      <c r="DP59" s="137"/>
      <c r="DQ59" s="137"/>
      <c r="DR59" s="137"/>
      <c r="DS59" s="137"/>
      <c r="DT59" s="137"/>
      <c r="DU59" s="137"/>
      <c r="DV59" s="137"/>
      <c r="DW59" s="137"/>
      <c r="DX59" s="137"/>
      <c r="DY59" s="137"/>
      <c r="DZ59" s="137"/>
      <c r="EA59" s="137"/>
      <c r="EB59" s="137"/>
      <c r="EC59" s="137"/>
      <c r="ED59" s="137"/>
      <c r="EE59" s="137"/>
      <c r="EF59" s="137"/>
      <c r="EG59" s="137"/>
      <c r="EH59" s="137"/>
      <c r="EI59" s="137"/>
      <c r="EJ59" s="137"/>
      <c r="EK59" s="137"/>
      <c r="EL59" s="137"/>
      <c r="EM59" s="137"/>
      <c r="EN59" s="137"/>
      <c r="EO59" s="137"/>
      <c r="EP59" s="137"/>
      <c r="EQ59" s="137"/>
    </row>
    <row r="60" spans="2:147" s="10" customFormat="1">
      <c r="B60" s="3"/>
      <c r="C60" s="84"/>
      <c r="D60" s="85"/>
      <c r="E60" s="17"/>
      <c r="F60" s="174" t="s">
        <v>276</v>
      </c>
      <c r="G60" s="136">
        <f ca="1">G47</f>
        <v>105474.66728368751</v>
      </c>
      <c r="H60" s="175">
        <f ca="1">H47</f>
        <v>35.352422950156651</v>
      </c>
      <c r="I60" s="241"/>
      <c r="J60" s="241"/>
      <c r="K60" s="241"/>
      <c r="L60" s="240"/>
      <c r="M60" s="240"/>
      <c r="N60" s="240"/>
      <c r="O60" s="240"/>
      <c r="P60" s="240"/>
      <c r="Q60" s="241"/>
      <c r="R60" s="9" t="s">
        <v>233</v>
      </c>
      <c r="S60" s="292"/>
      <c r="T60" s="131"/>
      <c r="U60" s="131"/>
      <c r="V60" s="169">
        <f>MODEL!BJ41</f>
        <v>6310</v>
      </c>
      <c r="W60" s="169">
        <f>MODEL!BN41</f>
        <v>7271</v>
      </c>
      <c r="X60" s="169">
        <f>MODEL!BR41</f>
        <v>7493</v>
      </c>
      <c r="Y60" s="169">
        <f>MODEL!BV41</f>
        <v>5709</v>
      </c>
      <c r="Z60" s="169">
        <f>MODEL!BZ41</f>
        <v>6406</v>
      </c>
      <c r="AA60" s="169">
        <f ca="1">MODEL!CD41</f>
        <v>6400</v>
      </c>
      <c r="AB60" s="765">
        <f>MODEL!CH41</f>
        <v>5953</v>
      </c>
      <c r="AC60" s="765">
        <f>MODEL!CL41</f>
        <v>3577</v>
      </c>
      <c r="AD60" s="765">
        <f>MODEL!CP41</f>
        <v>6162</v>
      </c>
      <c r="AE60" s="765">
        <f>MODEL!CT41</f>
        <v>7119</v>
      </c>
      <c r="AF60" s="765">
        <f>MODEL!CX41</f>
        <v>7106</v>
      </c>
      <c r="AG60" s="765">
        <f>MODEL!DB41</f>
        <v>6535</v>
      </c>
      <c r="AH60" s="1633">
        <f>INDEX(MODEL!41:41,MATCH(AH$5,MODEL!$7:$7,0))</f>
        <v>5891</v>
      </c>
      <c r="AI60" s="1623">
        <f ca="1">INDEX(MODEL!41:41,MATCH(AI$5,MODEL!$7:$7,0))</f>
        <v>7527.8445500800126</v>
      </c>
      <c r="AJ60" s="1623">
        <f ca="1">INDEX(MODEL!41:41,MATCH(AJ$5,MODEL!$7:$7,0))</f>
        <v>7974.5874835599489</v>
      </c>
      <c r="AK60" s="1623">
        <f ca="1">INDEX(MODEL!41:41,MATCH(AK$5,MODEL!$7:$7,0))</f>
        <v>8479.0708518710398</v>
      </c>
      <c r="AL60" s="199">
        <f t="shared" ref="AL60:AQ60" ca="1" si="217">SUM(AL58:AL59)</f>
        <v>9066.9731602635802</v>
      </c>
      <c r="AM60" s="199">
        <f t="shared" ca="1" si="217"/>
        <v>9526.8817608666322</v>
      </c>
      <c r="AN60" s="199">
        <f t="shared" ca="1" si="217"/>
        <v>9742.2138955490973</v>
      </c>
      <c r="AO60" s="199">
        <f t="shared" ca="1" si="217"/>
        <v>8721.9849264508921</v>
      </c>
      <c r="AP60" s="199">
        <f t="shared" ca="1" si="217"/>
        <v>8949.5938281500385</v>
      </c>
      <c r="AQ60" s="199">
        <f t="shared" ca="1" si="217"/>
        <v>10540.373257231731</v>
      </c>
      <c r="AR60" s="199">
        <f t="shared" ref="AR60" ca="1" si="218">SUM(AR58:AR59)</f>
        <v>10818.607557153869</v>
      </c>
      <c r="AS60" s="199">
        <f t="shared" ref="AS60:CD60" ca="1" si="219">SUM(AS58:AS59)</f>
        <v>11152.076967994932</v>
      </c>
      <c r="AT60" s="199">
        <f t="shared" ca="1" si="219"/>
        <v>11466.500840926814</v>
      </c>
      <c r="AU60" s="199">
        <f t="shared" ca="1" si="219"/>
        <v>11805.641824888111</v>
      </c>
      <c r="AV60" s="199">
        <f ca="1">SUM(AV58:AV59)</f>
        <v>12158.641092229045</v>
      </c>
      <c r="AW60" s="199">
        <f ca="1">SUM(AW58:AW59)</f>
        <v>12523.118318631663</v>
      </c>
      <c r="AX60" s="199">
        <f t="shared" ca="1" si="219"/>
        <v>12797.401880511226</v>
      </c>
      <c r="AY60" s="199">
        <f t="shared" ca="1" si="219"/>
        <v>13072.832443638399</v>
      </c>
      <c r="AZ60" s="199">
        <f t="shared" ca="1" si="219"/>
        <v>13352.375299778609</v>
      </c>
      <c r="BA60" s="199">
        <f t="shared" ca="1" si="219"/>
        <v>13636.783998708317</v>
      </c>
      <c r="BB60" s="199">
        <f t="shared" ca="1" si="219"/>
        <v>13926.281456682107</v>
      </c>
      <c r="BC60" s="199">
        <f t="shared" ca="1" si="219"/>
        <v>14220.962778361458</v>
      </c>
      <c r="BD60" s="199">
        <f t="shared" ca="1" si="219"/>
        <v>14520.891575942102</v>
      </c>
      <c r="BE60" s="199">
        <f t="shared" ca="1" si="219"/>
        <v>14826.122895583034</v>
      </c>
      <c r="BF60" s="199">
        <f t="shared" ca="1" si="219"/>
        <v>15136.708590842491</v>
      </c>
      <c r="BG60" s="199">
        <f t="shared" ca="1" si="219"/>
        <v>15452.698500175924</v>
      </c>
      <c r="BH60" s="199">
        <f t="shared" ca="1" si="219"/>
        <v>15774.140618904252</v>
      </c>
      <c r="BI60" s="199">
        <f t="shared" ca="1" si="219"/>
        <v>16101.081026463697</v>
      </c>
      <c r="BJ60" s="199">
        <f t="shared" ca="1" si="219"/>
        <v>16433.563749941415</v>
      </c>
      <c r="BK60" s="199">
        <f t="shared" ca="1" si="219"/>
        <v>16771.630606722869</v>
      </c>
      <c r="BL60" s="199">
        <f t="shared" ca="1" si="219"/>
        <v>17115.321036186575</v>
      </c>
      <c r="BM60" s="199">
        <f t="shared" ca="1" si="219"/>
        <v>17464.67192255695</v>
      </c>
      <c r="BN60" s="199">
        <f t="shared" ca="1" si="219"/>
        <v>17819.717409160174</v>
      </c>
      <c r="BO60" s="199">
        <f t="shared" ca="1" si="219"/>
        <v>18180.488703876021</v>
      </c>
      <c r="BP60" s="199">
        <f t="shared" ca="1" si="219"/>
        <v>18547.013875461842</v>
      </c>
      <c r="BQ60" s="199">
        <f t="shared" ca="1" si="219"/>
        <v>18919.317640386795</v>
      </c>
      <c r="BR60" s="199">
        <f t="shared" ca="1" si="219"/>
        <v>19297.421139794871</v>
      </c>
      <c r="BS60" s="199">
        <f t="shared" ca="1" si="219"/>
        <v>19681.341706199499</v>
      </c>
      <c r="BT60" s="199">
        <f t="shared" ca="1" si="219"/>
        <v>20071.092619497133</v>
      </c>
      <c r="BU60" s="199">
        <f t="shared" ca="1" si="219"/>
        <v>20466.682851871876</v>
      </c>
      <c r="BV60" s="199">
        <f t="shared" ca="1" si="219"/>
        <v>20868.116801147251</v>
      </c>
      <c r="BW60" s="199">
        <f t="shared" ca="1" si="219"/>
        <v>21275.39401212443</v>
      </c>
      <c r="BX60" s="199">
        <f t="shared" ca="1" si="219"/>
        <v>21688.508885429277</v>
      </c>
      <c r="BY60" s="199">
        <f t="shared" ca="1" si="219"/>
        <v>22107.450373372812</v>
      </c>
      <c r="BZ60" s="199">
        <f t="shared" ca="1" si="219"/>
        <v>22532.201662311087</v>
      </c>
      <c r="CA60" s="199">
        <f t="shared" ca="1" si="219"/>
        <v>22962.739840971732</v>
      </c>
      <c r="CB60" s="199">
        <f t="shared" ca="1" si="219"/>
        <v>23399.035554194477</v>
      </c>
      <c r="CC60" s="199">
        <f t="shared" ca="1" si="219"/>
        <v>23841.052641512561</v>
      </c>
      <c r="CD60" s="199">
        <f t="shared" ca="1" si="219"/>
        <v>24288.747759980903</v>
      </c>
      <c r="CE60" s="199">
        <f ca="1">SUM(CE58:CE59)</f>
        <v>24742.069990634915</v>
      </c>
      <c r="CF60" s="199">
        <f ca="1">SUM(CF58:CF59)</f>
        <v>25200.960427941038</v>
      </c>
      <c r="CG60" s="199">
        <f ca="1">SUM(CG58:CG59)</f>
        <v>25665.351751577022</v>
      </c>
      <c r="CH60" s="137"/>
      <c r="CI60" s="137"/>
      <c r="CJ60" s="137"/>
      <c r="CK60" s="137"/>
      <c r="CL60" s="137"/>
      <c r="CM60" s="137"/>
      <c r="CN60" s="137"/>
      <c r="CO60" s="137"/>
      <c r="CP60" s="137"/>
      <c r="CQ60" s="137"/>
      <c r="CR60" s="137"/>
      <c r="CS60" s="137"/>
      <c r="CT60" s="137"/>
      <c r="CU60" s="137"/>
      <c r="CV60" s="137"/>
      <c r="CW60" s="137"/>
      <c r="CX60" s="137"/>
      <c r="CY60" s="137"/>
      <c r="CZ60" s="137"/>
      <c r="DA60" s="137"/>
      <c r="DB60" s="137"/>
      <c r="DC60" s="137"/>
      <c r="DD60" s="137"/>
      <c r="DE60" s="137"/>
      <c r="DF60" s="137"/>
      <c r="DG60" s="137"/>
      <c r="DH60" s="137"/>
      <c r="DI60" s="137"/>
      <c r="DJ60" s="137"/>
      <c r="DK60" s="137"/>
      <c r="DL60" s="137"/>
      <c r="DM60" s="137"/>
      <c r="DN60" s="137"/>
      <c r="DO60" s="137"/>
      <c r="DP60" s="137"/>
      <c r="DQ60" s="137"/>
      <c r="DR60" s="137"/>
      <c r="DS60" s="137"/>
      <c r="DT60" s="137"/>
      <c r="DU60" s="137"/>
      <c r="DV60" s="137"/>
      <c r="DW60" s="137"/>
      <c r="DX60" s="137"/>
      <c r="DY60" s="137"/>
      <c r="DZ60" s="137"/>
      <c r="EA60" s="137"/>
      <c r="EB60" s="137"/>
      <c r="EC60" s="137"/>
      <c r="ED60" s="137"/>
      <c r="EE60" s="137"/>
      <c r="EF60" s="137"/>
      <c r="EG60" s="137"/>
      <c r="EH60" s="137"/>
      <c r="EI60" s="137"/>
      <c r="EJ60" s="137"/>
      <c r="EK60" s="137"/>
      <c r="EL60" s="137"/>
      <c r="EM60" s="137"/>
      <c r="EN60" s="137"/>
      <c r="EO60" s="137"/>
      <c r="EP60" s="137"/>
      <c r="EQ60" s="137"/>
    </row>
    <row r="61" spans="2:147" s="10" customFormat="1" ht="13.8" thickBot="1">
      <c r="B61" s="3"/>
      <c r="C61" s="84"/>
      <c r="D61" s="85"/>
      <c r="E61" s="17"/>
      <c r="F61" s="186" t="s">
        <v>323</v>
      </c>
      <c r="G61" s="187">
        <f ca="1">AVERAGE(G58:G60)</f>
        <v>102340.16410031023</v>
      </c>
      <c r="H61" s="188">
        <f ca="1">AVERAGE(H58:H60)</f>
        <v>34.301817291649833</v>
      </c>
      <c r="I61" s="142"/>
      <c r="J61" s="142"/>
      <c r="K61" s="142"/>
      <c r="L61" s="233"/>
      <c r="M61" s="233"/>
      <c r="N61" s="233"/>
      <c r="O61" s="233"/>
      <c r="P61" s="233"/>
      <c r="Q61" s="142"/>
      <c r="R61" s="9"/>
      <c r="S61" s="292"/>
      <c r="T61" s="131"/>
      <c r="U61" s="131"/>
      <c r="V61" s="131"/>
      <c r="W61" s="131"/>
      <c r="X61" s="131"/>
      <c r="Y61" s="131"/>
      <c r="Z61" s="131"/>
      <c r="AA61" s="131"/>
      <c r="AB61" s="131"/>
      <c r="AC61" s="131"/>
      <c r="AD61" s="131"/>
      <c r="AE61" s="131"/>
      <c r="AF61" s="131"/>
      <c r="AG61" s="131"/>
      <c r="AH61" s="1630"/>
      <c r="AI61" s="131"/>
      <c r="AJ61" s="131"/>
      <c r="AK61" s="131"/>
      <c r="AL61" s="199"/>
      <c r="AM61" s="131"/>
      <c r="AN61" s="131"/>
      <c r="AO61" s="131"/>
      <c r="AP61" s="131"/>
      <c r="AQ61" s="131"/>
      <c r="AR61" s="131"/>
      <c r="AS61" s="137"/>
      <c r="AT61" s="137"/>
      <c r="AU61" s="137"/>
      <c r="AV61" s="137"/>
      <c r="AW61" s="137"/>
      <c r="AX61" s="137"/>
      <c r="AY61" s="137"/>
      <c r="AZ61" s="137"/>
      <c r="BA61" s="137"/>
      <c r="BB61" s="137"/>
      <c r="BC61" s="137"/>
      <c r="BD61" s="137"/>
      <c r="BE61" s="137"/>
      <c r="BF61" s="137"/>
      <c r="BG61" s="137"/>
      <c r="BH61" s="137"/>
      <c r="BI61" s="137"/>
      <c r="BJ61" s="137"/>
      <c r="BK61" s="137"/>
      <c r="BL61" s="137"/>
      <c r="BM61" s="137"/>
      <c r="BN61" s="137"/>
      <c r="BO61" s="137"/>
      <c r="BP61" s="137"/>
      <c r="BQ61" s="137"/>
      <c r="BR61" s="137"/>
      <c r="BS61" s="137"/>
      <c r="BT61" s="137"/>
      <c r="BU61" s="137"/>
      <c r="BV61" s="137"/>
      <c r="BW61" s="137"/>
      <c r="BX61" s="137"/>
      <c r="BY61" s="137"/>
      <c r="BZ61" s="137"/>
      <c r="CA61" s="137"/>
      <c r="CB61" s="137"/>
      <c r="CC61" s="137"/>
      <c r="CD61" s="137"/>
      <c r="CE61" s="137"/>
      <c r="CF61" s="137"/>
      <c r="CG61" s="137"/>
      <c r="CH61" s="137"/>
      <c r="CI61" s="137"/>
      <c r="CJ61" s="137"/>
      <c r="CK61" s="137"/>
      <c r="CL61" s="137"/>
      <c r="CM61" s="137"/>
      <c r="CN61" s="137"/>
      <c r="CO61" s="137"/>
      <c r="CP61" s="137"/>
      <c r="CQ61" s="137"/>
      <c r="CR61" s="137"/>
      <c r="CS61" s="137"/>
      <c r="CT61" s="137"/>
      <c r="CU61" s="137"/>
      <c r="CV61" s="137"/>
      <c r="CW61" s="137"/>
      <c r="CX61" s="137"/>
      <c r="CY61" s="137"/>
      <c r="CZ61" s="137"/>
      <c r="DA61" s="137"/>
      <c r="DB61" s="137"/>
      <c r="DC61" s="137"/>
      <c r="DD61" s="137"/>
      <c r="DE61" s="137"/>
      <c r="DF61" s="137"/>
      <c r="DG61" s="137"/>
      <c r="DH61" s="137"/>
      <c r="DI61" s="137"/>
      <c r="DJ61" s="137"/>
      <c r="DK61" s="137"/>
      <c r="DL61" s="137"/>
      <c r="DM61" s="137"/>
      <c r="DN61" s="137"/>
      <c r="DO61" s="137"/>
      <c r="DP61" s="137"/>
      <c r="DQ61" s="137"/>
      <c r="DR61" s="137"/>
      <c r="DS61" s="137"/>
      <c r="DT61" s="137"/>
      <c r="DU61" s="137"/>
      <c r="DV61" s="137"/>
      <c r="DW61" s="137"/>
      <c r="DX61" s="137"/>
      <c r="DY61" s="137"/>
      <c r="DZ61" s="137"/>
      <c r="EA61" s="137"/>
      <c r="EB61" s="137"/>
      <c r="EC61" s="137"/>
      <c r="ED61" s="137"/>
      <c r="EE61" s="137"/>
      <c r="EF61" s="137"/>
      <c r="EG61" s="137"/>
      <c r="EH61" s="137"/>
      <c r="EI61" s="137"/>
      <c r="EJ61" s="137"/>
      <c r="EK61" s="137"/>
      <c r="EL61" s="137"/>
      <c r="EM61" s="137"/>
      <c r="EN61" s="137"/>
      <c r="EO61" s="137"/>
      <c r="EP61" s="137"/>
      <c r="EQ61" s="137"/>
    </row>
    <row r="62" spans="2:147" s="109" customFormat="1" ht="13.8" thickBot="1">
      <c r="B62" s="3"/>
      <c r="C62" s="84"/>
      <c r="D62" s="242"/>
      <c r="E62" s="243"/>
      <c r="F62" s="288" t="s">
        <v>158</v>
      </c>
      <c r="G62" s="191"/>
      <c r="H62" s="192">
        <f ca="1">ROUND(H61*(1+$C$15/100)-$C$6,1)</f>
        <v>35.5</v>
      </c>
      <c r="I62" s="142"/>
      <c r="J62" s="142"/>
      <c r="K62" s="142"/>
      <c r="L62" s="233"/>
      <c r="M62" s="1556">
        <f>AVERAGE(AE62,AF62,AG62)</f>
        <v>1.8028389689736284E-2</v>
      </c>
      <c r="N62" s="1555">
        <f ca="1">AVERAGE(AH62:AK62)</f>
        <v>1.6444939066347725E-2</v>
      </c>
      <c r="O62" s="1555">
        <f ca="1">AVERAGE(AH62:AR62)</f>
        <v>1.6398159660490082E-2</v>
      </c>
      <c r="P62" s="1555">
        <f>AL62</f>
        <v>1.6500000000000001E-2</v>
      </c>
      <c r="Q62" s="142"/>
      <c r="R62" s="182" t="s">
        <v>315</v>
      </c>
      <c r="S62" s="292"/>
      <c r="T62" s="965">
        <f ca="1">AVERAGE(AH62:AR62)</f>
        <v>1.6398159660490082E-2</v>
      </c>
      <c r="U62" s="131"/>
      <c r="V62" s="222">
        <f t="shared" ref="V62:W67" si="220">V49/V$46</f>
        <v>2.5432990179237794E-2</v>
      </c>
      <c r="W62" s="222">
        <f t="shared" si="220"/>
        <v>2.4415013865646026E-2</v>
      </c>
      <c r="X62" s="222">
        <f t="shared" ref="X62:X67" si="221">X49/X$46</f>
        <v>2.2364506319356645E-2</v>
      </c>
      <c r="Y62" s="222">
        <f t="shared" ref="Y62:Z67" si="222">Y49/Y$46</f>
        <v>2.1010916292271583E-2</v>
      </c>
      <c r="Z62" s="222">
        <f t="shared" si="222"/>
        <v>2.0833843353391401E-2</v>
      </c>
      <c r="AA62" s="222">
        <f t="shared" ref="AA62:AA67" si="223">AA49/AA$46</f>
        <v>2.0245457905992185E-2</v>
      </c>
      <c r="AB62" s="222">
        <f t="shared" ref="AB62:AC67" si="224">AB49/AB$46</f>
        <v>1.9276661376033535E-2</v>
      </c>
      <c r="AC62" s="222">
        <f t="shared" si="224"/>
        <v>1.6791234432196152E-2</v>
      </c>
      <c r="AD62" s="222">
        <f t="shared" ref="AD62:AD67" si="225">AD49/AD$46</f>
        <v>1.6732149526757251E-2</v>
      </c>
      <c r="AE62" s="222">
        <f t="shared" ref="AE62:AF67" si="226">AE49/AE$46</f>
        <v>1.7767906182520905E-2</v>
      </c>
      <c r="AF62" s="222">
        <f t="shared" si="226"/>
        <v>1.867164409585681E-2</v>
      </c>
      <c r="AG62" s="222">
        <f t="shared" ref="AG62" si="227">AG49/AG$46</f>
        <v>1.7645618790831135E-2</v>
      </c>
      <c r="AH62" s="1643">
        <f t="shared" ref="AH62:AH67" si="228">AH49/AH$46</f>
        <v>1.6349546158374043E-2</v>
      </c>
      <c r="AI62" s="222">
        <f t="shared" ref="AI62" ca="1" si="229">AI49/AI$46</f>
        <v>1.6587052797744511E-2</v>
      </c>
      <c r="AJ62" s="222">
        <f t="shared" ref="AJ62:AK62" ca="1" si="230">AJ49/AJ$46</f>
        <v>1.6469091474745789E-2</v>
      </c>
      <c r="AK62" s="222">
        <f t="shared" ca="1" si="230"/>
        <v>1.6374065834526556E-2</v>
      </c>
      <c r="AL62" s="1312">
        <v>1.6500000000000001E-2</v>
      </c>
      <c r="AM62" s="558">
        <v>1.66E-2</v>
      </c>
      <c r="AN62" s="558">
        <f t="shared" ref="AN62" si="231">+AM62-0.01%</f>
        <v>1.6500000000000001E-2</v>
      </c>
      <c r="AO62" s="558">
        <f t="shared" ref="AO62" si="232">+AN62-0.01%</f>
        <v>1.6400000000000001E-2</v>
      </c>
      <c r="AP62" s="558">
        <f t="shared" ref="AP62" si="233">+AO62-0.01%</f>
        <v>1.6300000000000002E-2</v>
      </c>
      <c r="AQ62" s="558">
        <f t="shared" ref="AQ62:AR62" si="234">+AP62-0.01%</f>
        <v>1.6200000000000003E-2</v>
      </c>
      <c r="AR62" s="558">
        <f t="shared" si="234"/>
        <v>1.6100000000000003E-2</v>
      </c>
      <c r="AS62" s="137"/>
      <c r="AT62" s="137"/>
      <c r="AU62" s="137"/>
      <c r="AV62" s="137"/>
      <c r="AW62" s="137"/>
      <c r="AX62" s="137"/>
      <c r="AY62" s="137"/>
      <c r="AZ62" s="137"/>
      <c r="BA62" s="137"/>
      <c r="BB62" s="137"/>
      <c r="BC62" s="137"/>
      <c r="BD62" s="137"/>
      <c r="BE62" s="137"/>
      <c r="BF62" s="137"/>
      <c r="BG62" s="137"/>
      <c r="BH62" s="137"/>
      <c r="BI62" s="137"/>
      <c r="BJ62" s="137"/>
      <c r="BK62" s="137"/>
      <c r="BL62" s="137"/>
      <c r="BM62" s="137"/>
      <c r="BN62" s="137"/>
      <c r="BO62" s="137"/>
      <c r="BP62" s="137"/>
      <c r="BQ62" s="137"/>
      <c r="BR62" s="137"/>
      <c r="BS62" s="137"/>
      <c r="BT62" s="137"/>
      <c r="BU62" s="137"/>
      <c r="BV62" s="137"/>
      <c r="BW62" s="137"/>
      <c r="BX62" s="137"/>
      <c r="BY62" s="137"/>
      <c r="BZ62" s="137"/>
      <c r="CA62" s="137"/>
      <c r="CB62" s="137"/>
      <c r="CC62" s="137"/>
      <c r="CD62" s="137"/>
      <c r="CE62" s="137"/>
      <c r="CF62" s="137"/>
      <c r="CG62" s="137"/>
      <c r="CH62" s="140"/>
      <c r="CI62" s="140"/>
      <c r="CJ62" s="140"/>
      <c r="CK62" s="140"/>
      <c r="CL62" s="140"/>
      <c r="CM62" s="140"/>
      <c r="CN62" s="140"/>
      <c r="CO62" s="140"/>
      <c r="CP62" s="140"/>
      <c r="CQ62" s="140"/>
      <c r="CR62" s="140"/>
      <c r="CS62" s="140"/>
      <c r="CT62" s="140"/>
      <c r="CU62" s="140"/>
      <c r="CV62" s="140"/>
      <c r="CW62" s="140"/>
      <c r="CX62" s="140"/>
      <c r="CY62" s="140"/>
      <c r="CZ62" s="140"/>
      <c r="DA62" s="140"/>
      <c r="DB62" s="140"/>
      <c r="DC62" s="140"/>
      <c r="DD62" s="140"/>
      <c r="DE62" s="140"/>
      <c r="DF62" s="140"/>
      <c r="DG62" s="140"/>
      <c r="DH62" s="140"/>
      <c r="DI62" s="140"/>
      <c r="DJ62" s="140"/>
      <c r="DK62" s="140"/>
      <c r="DL62" s="140"/>
      <c r="DM62" s="140"/>
      <c r="DN62" s="140"/>
      <c r="DO62" s="140"/>
      <c r="DP62" s="140"/>
      <c r="DQ62" s="140"/>
      <c r="DR62" s="140"/>
      <c r="DS62" s="140"/>
      <c r="DT62" s="140"/>
      <c r="DU62" s="140"/>
      <c r="DV62" s="140"/>
      <c r="DW62" s="140"/>
      <c r="DX62" s="140"/>
      <c r="DY62" s="140"/>
      <c r="DZ62" s="140"/>
      <c r="EA62" s="140"/>
      <c r="EB62" s="140"/>
      <c r="EC62" s="140"/>
      <c r="ED62" s="140"/>
      <c r="EE62" s="140"/>
      <c r="EF62" s="140"/>
      <c r="EG62" s="140"/>
      <c r="EH62" s="140"/>
      <c r="EI62" s="140"/>
      <c r="EJ62" s="140"/>
      <c r="EK62" s="140"/>
      <c r="EL62" s="140"/>
      <c r="EM62" s="140"/>
      <c r="EN62" s="140"/>
      <c r="EO62" s="140"/>
      <c r="EP62" s="140"/>
      <c r="EQ62" s="140"/>
    </row>
    <row r="63" spans="2:147" s="10" customFormat="1">
      <c r="B63" s="3"/>
      <c r="C63" s="84"/>
      <c r="D63" s="85"/>
      <c r="E63" s="17"/>
      <c r="F63" s="195" t="s">
        <v>156</v>
      </c>
      <c r="G63" s="196"/>
      <c r="H63" s="197">
        <f ca="1">(H62+$C$6)/$C$7-1</f>
        <v>-7.7571251548946729E-2</v>
      </c>
      <c r="I63" s="142"/>
      <c r="J63" s="142"/>
      <c r="K63" s="142"/>
      <c r="L63" s="233"/>
      <c r="M63" s="233"/>
      <c r="N63" s="233"/>
      <c r="O63" s="233"/>
      <c r="P63" s="233"/>
      <c r="Q63" s="142"/>
      <c r="R63" s="182" t="s">
        <v>316</v>
      </c>
      <c r="S63" s="292"/>
      <c r="T63" s="131"/>
      <c r="U63" s="131"/>
      <c r="V63" s="222">
        <f t="shared" si="220"/>
        <v>1.8006705128357006E-3</v>
      </c>
      <c r="W63" s="222">
        <f t="shared" si="220"/>
        <v>1.7121870888015223E-3</v>
      </c>
      <c r="X63" s="222">
        <f t="shared" si="221"/>
        <v>1.7672577893297111E-3</v>
      </c>
      <c r="Y63" s="222">
        <f t="shared" si="222"/>
        <v>1.6719737330503387E-3</v>
      </c>
      <c r="Z63" s="222">
        <f t="shared" si="222"/>
        <v>7.2681258408530689E-4</v>
      </c>
      <c r="AA63" s="222">
        <f t="shared" si="223"/>
        <v>2.6797639689316851E-4</v>
      </c>
      <c r="AB63" s="222">
        <f t="shared" si="224"/>
        <v>1.2130738782379643E-4</v>
      </c>
      <c r="AC63" s="222">
        <f t="shared" si="224"/>
        <v>7.4104123894494728E-5</v>
      </c>
      <c r="AD63" s="222">
        <f t="shared" si="225"/>
        <v>1.061623376560707E-4</v>
      </c>
      <c r="AE63" s="222">
        <f t="shared" si="226"/>
        <v>1.3513917887504357E-4</v>
      </c>
      <c r="AF63" s="222">
        <f t="shared" si="226"/>
        <v>9.6962906301511538E-5</v>
      </c>
      <c r="AG63" s="222">
        <f t="shared" ref="AG63" si="235">AG50/AG$46</f>
        <v>1.0406368697642957E-4</v>
      </c>
      <c r="AH63" s="1643">
        <f t="shared" si="228"/>
        <v>7.1234951616471024E-5</v>
      </c>
      <c r="AI63" s="222">
        <f t="shared" ref="AI63" ca="1" si="236">AI50/AI$46</f>
        <v>7.3125048320581045E-5</v>
      </c>
      <c r="AJ63" s="222">
        <f t="shared" ref="AJ63:AK63" ca="1" si="237">AJ50/AJ$46</f>
        <v>7.165307844283762E-5</v>
      </c>
      <c r="AK63" s="222">
        <f t="shared" ca="1" si="237"/>
        <v>6.9978245389107973E-5</v>
      </c>
      <c r="AL63" s="222">
        <f t="shared" ref="AL63:AN64" ca="1" si="238">AL50/AL$46</f>
        <v>6.8770840379677082E-5</v>
      </c>
      <c r="AM63" s="222">
        <f t="shared" ca="1" si="238"/>
        <v>6.7974323809384928E-5</v>
      </c>
      <c r="AN63" s="222">
        <f t="shared" ca="1" si="238"/>
        <v>6.7314378918031676E-5</v>
      </c>
      <c r="AO63" s="222">
        <f t="shared" ref="AO63:AP67" ca="1" si="239">AO50/AO$46</f>
        <v>6.66608412586333E-5</v>
      </c>
      <c r="AP63" s="222">
        <f t="shared" ca="1" si="239"/>
        <v>6.6013648625054335E-5</v>
      </c>
      <c r="AQ63" s="222">
        <f t="shared" ref="AQ63:AR63" ca="1" si="240">AQ50/AQ$46</f>
        <v>6.5372739415102345E-5</v>
      </c>
      <c r="AR63" s="222">
        <f t="shared" ca="1" si="240"/>
        <v>6.4738052624664462E-5</v>
      </c>
      <c r="AS63" s="137"/>
      <c r="AT63" s="137"/>
      <c r="AU63" s="137"/>
      <c r="AV63" s="137"/>
      <c r="AW63" s="137"/>
      <c r="AX63" s="137"/>
      <c r="AY63" s="137"/>
      <c r="AZ63" s="137"/>
      <c r="BA63" s="137"/>
      <c r="BB63" s="137"/>
      <c r="BC63" s="137"/>
      <c r="BD63" s="137"/>
      <c r="BE63" s="137"/>
      <c r="BF63" s="137"/>
      <c r="BG63" s="137"/>
      <c r="BH63" s="137"/>
      <c r="BI63" s="137"/>
      <c r="BJ63" s="137"/>
      <c r="BK63" s="137"/>
      <c r="BL63" s="137"/>
      <c r="BM63" s="137"/>
      <c r="BN63" s="137"/>
      <c r="BO63" s="137"/>
      <c r="BP63" s="137"/>
      <c r="BQ63" s="137"/>
      <c r="BR63" s="137"/>
      <c r="BS63" s="137"/>
      <c r="BT63" s="137"/>
      <c r="BU63" s="137"/>
      <c r="BV63" s="137"/>
      <c r="BW63" s="137"/>
      <c r="BX63" s="137"/>
      <c r="BY63" s="137"/>
      <c r="BZ63" s="137"/>
      <c r="CA63" s="137"/>
      <c r="CB63" s="137"/>
      <c r="CC63" s="137"/>
      <c r="CD63" s="137"/>
      <c r="CE63" s="137"/>
      <c r="CF63" s="137"/>
      <c r="CG63" s="137"/>
      <c r="CH63" s="140"/>
      <c r="CI63" s="140"/>
      <c r="CJ63" s="140"/>
      <c r="CK63" s="140"/>
      <c r="CL63" s="140"/>
      <c r="CM63" s="140"/>
      <c r="CN63" s="140"/>
      <c r="CO63" s="140"/>
      <c r="CP63" s="140"/>
      <c r="CQ63" s="140"/>
      <c r="CR63" s="140"/>
      <c r="CS63" s="140"/>
      <c r="CT63" s="140"/>
      <c r="CU63" s="140"/>
      <c r="CV63" s="140"/>
      <c r="CW63" s="140"/>
      <c r="CX63" s="140"/>
      <c r="CY63" s="140"/>
      <c r="CZ63" s="140"/>
      <c r="DA63" s="140"/>
      <c r="DB63" s="140"/>
      <c r="DC63" s="140"/>
      <c r="DD63" s="140"/>
      <c r="DE63" s="140"/>
      <c r="DF63" s="140"/>
      <c r="DG63" s="140"/>
      <c r="DH63" s="140"/>
      <c r="DI63" s="140"/>
      <c r="DJ63" s="140"/>
      <c r="DK63" s="140"/>
      <c r="DL63" s="140"/>
      <c r="DM63" s="140"/>
      <c r="DN63" s="140"/>
      <c r="DO63" s="140"/>
      <c r="DP63" s="140"/>
      <c r="DQ63" s="140"/>
      <c r="DR63" s="140"/>
      <c r="DS63" s="140"/>
      <c r="DT63" s="140"/>
      <c r="DU63" s="140"/>
      <c r="DV63" s="140"/>
      <c r="DW63" s="140"/>
      <c r="DX63" s="140"/>
      <c r="DY63" s="140"/>
      <c r="DZ63" s="140"/>
      <c r="EA63" s="140"/>
      <c r="EB63" s="140"/>
      <c r="EC63" s="140"/>
      <c r="ED63" s="140"/>
      <c r="EE63" s="140"/>
      <c r="EF63" s="140"/>
      <c r="EG63" s="140"/>
      <c r="EH63" s="140"/>
      <c r="EI63" s="140"/>
      <c r="EJ63" s="140"/>
      <c r="EK63" s="140"/>
      <c r="EL63" s="140"/>
      <c r="EM63" s="140"/>
      <c r="EN63" s="140"/>
      <c r="EO63" s="140"/>
      <c r="EP63" s="140"/>
      <c r="EQ63" s="140"/>
    </row>
    <row r="64" spans="2:147" s="10" customFormat="1">
      <c r="B64" s="3"/>
      <c r="C64" s="84"/>
      <c r="D64" s="85"/>
      <c r="E64" s="17"/>
      <c r="G64" s="111"/>
      <c r="H64" s="111"/>
      <c r="I64" s="142"/>
      <c r="J64" s="142"/>
      <c r="K64" s="142"/>
      <c r="L64" s="233"/>
      <c r="M64" s="1556">
        <f>AVERAGE(AE64,AF64,AG64)</f>
        <v>1.8140444947120613E-2</v>
      </c>
      <c r="N64" s="1555">
        <f ca="1">AVERAGE(AH64:AK64)</f>
        <v>1.6516436897289974E-2</v>
      </c>
      <c r="O64" s="1555">
        <f ca="1">AVERAGE(AH64:AR64)</f>
        <v>1.6466599310380952E-2</v>
      </c>
      <c r="P64" s="1555">
        <f ca="1">AL64</f>
        <v>1.6568770840379676E-2</v>
      </c>
      <c r="Q64" s="142"/>
      <c r="R64" s="182" t="s">
        <v>348</v>
      </c>
      <c r="S64" s="296"/>
      <c r="T64" s="203"/>
      <c r="U64" s="203"/>
      <c r="V64" s="222">
        <f t="shared" si="220"/>
        <v>2.7233660692073496E-2</v>
      </c>
      <c r="W64" s="222">
        <f t="shared" si="220"/>
        <v>2.6127200954447549E-2</v>
      </c>
      <c r="X64" s="222">
        <f t="shared" si="221"/>
        <v>2.4131764108686355E-2</v>
      </c>
      <c r="Y64" s="222">
        <f t="shared" si="222"/>
        <v>2.2682890025321922E-2</v>
      </c>
      <c r="Z64" s="222">
        <f t="shared" si="222"/>
        <v>2.1560655937476709E-2</v>
      </c>
      <c r="AA64" s="222">
        <f t="shared" si="223"/>
        <v>2.0513434302885353E-2</v>
      </c>
      <c r="AB64" s="222">
        <f t="shared" si="224"/>
        <v>1.939796876385733E-2</v>
      </c>
      <c r="AC64" s="222">
        <f t="shared" si="224"/>
        <v>1.6865338556090646E-2</v>
      </c>
      <c r="AD64" s="222">
        <f t="shared" si="225"/>
        <v>1.6838311864413324E-2</v>
      </c>
      <c r="AE64" s="222">
        <f t="shared" si="226"/>
        <v>1.7903045361395951E-2</v>
      </c>
      <c r="AF64" s="222">
        <f t="shared" si="226"/>
        <v>1.8768607002158322E-2</v>
      </c>
      <c r="AG64" s="222">
        <f t="shared" ref="AG64" si="241">AG51/AG$46</f>
        <v>1.7749682477807567E-2</v>
      </c>
      <c r="AH64" s="1643">
        <f t="shared" si="228"/>
        <v>1.6420781109990516E-2</v>
      </c>
      <c r="AI64" s="222">
        <f t="shared" ref="AI64" ca="1" si="242">AI51/AI$46</f>
        <v>1.6660177846065095E-2</v>
      </c>
      <c r="AJ64" s="222">
        <f t="shared" ref="AJ64:AK64" ca="1" si="243">AJ51/AJ$46</f>
        <v>1.654074455318863E-2</v>
      </c>
      <c r="AK64" s="222">
        <f t="shared" ca="1" si="243"/>
        <v>1.6444044079915662E-2</v>
      </c>
      <c r="AL64" s="222">
        <f t="shared" ca="1" si="238"/>
        <v>1.6568770840379676E-2</v>
      </c>
      <c r="AM64" s="222">
        <f t="shared" ca="1" si="238"/>
        <v>1.6667974323809384E-2</v>
      </c>
      <c r="AN64" s="222">
        <f t="shared" ca="1" si="238"/>
        <v>1.6567314378918032E-2</v>
      </c>
      <c r="AO64" s="222">
        <f t="shared" ca="1" si="239"/>
        <v>1.6466660841258637E-2</v>
      </c>
      <c r="AP64" s="222">
        <f t="shared" ca="1" si="239"/>
        <v>1.6366013648625059E-2</v>
      </c>
      <c r="AQ64" s="222">
        <f t="shared" ref="AQ64:AR64" ca="1" si="244">AQ51/AQ$46</f>
        <v>1.6265372739415106E-2</v>
      </c>
      <c r="AR64" s="222">
        <f t="shared" ca="1" si="244"/>
        <v>1.616473805262467E-2</v>
      </c>
      <c r="AS64" s="137"/>
      <c r="AT64" s="137"/>
      <c r="AU64" s="137"/>
      <c r="AV64" s="137"/>
      <c r="AW64" s="137"/>
      <c r="AX64" s="137"/>
      <c r="AY64" s="137"/>
      <c r="AZ64" s="137"/>
      <c r="BA64" s="137"/>
      <c r="BB64" s="137"/>
      <c r="BC64" s="137"/>
      <c r="BD64" s="137"/>
      <c r="BE64" s="137"/>
      <c r="BF64" s="137"/>
      <c r="BG64" s="137"/>
      <c r="BH64" s="137"/>
      <c r="BI64" s="137"/>
      <c r="BJ64" s="137"/>
      <c r="BK64" s="137"/>
      <c r="BL64" s="137"/>
      <c r="BM64" s="137"/>
      <c r="BN64" s="137"/>
      <c r="BO64" s="137"/>
      <c r="BP64" s="137"/>
      <c r="BQ64" s="137"/>
      <c r="BR64" s="137"/>
      <c r="BS64" s="137"/>
      <c r="BT64" s="137"/>
      <c r="BU64" s="137"/>
      <c r="BV64" s="137"/>
      <c r="BW64" s="137"/>
      <c r="BX64" s="137"/>
      <c r="BY64" s="137"/>
      <c r="BZ64" s="137"/>
      <c r="CA64" s="137"/>
      <c r="CB64" s="137"/>
      <c r="CC64" s="137"/>
      <c r="CD64" s="137"/>
      <c r="CE64" s="137"/>
      <c r="CF64" s="137"/>
      <c r="CG64" s="137"/>
      <c r="CH64" s="140"/>
      <c r="CI64" s="140"/>
      <c r="CJ64" s="140"/>
      <c r="CK64" s="140"/>
      <c r="CL64" s="140"/>
      <c r="CM64" s="140"/>
      <c r="CN64" s="140"/>
      <c r="CO64" s="140"/>
      <c r="CP64" s="140"/>
      <c r="CQ64" s="140"/>
      <c r="CR64" s="140"/>
      <c r="CS64" s="140"/>
      <c r="CT64" s="140"/>
      <c r="CU64" s="140"/>
      <c r="CV64" s="140"/>
      <c r="CW64" s="140"/>
      <c r="CX64" s="140"/>
      <c r="CY64" s="140"/>
      <c r="CZ64" s="140"/>
      <c r="DA64" s="140"/>
      <c r="DB64" s="140"/>
      <c r="DC64" s="140"/>
      <c r="DD64" s="140"/>
      <c r="DE64" s="140"/>
      <c r="DF64" s="140"/>
      <c r="DG64" s="140"/>
      <c r="DH64" s="140"/>
      <c r="DI64" s="140"/>
      <c r="DJ64" s="140"/>
      <c r="DK64" s="140"/>
      <c r="DL64" s="140"/>
      <c r="DM64" s="140"/>
      <c r="DN64" s="140"/>
      <c r="DO64" s="140"/>
      <c r="DP64" s="140"/>
      <c r="DQ64" s="140"/>
      <c r="DR64" s="140"/>
      <c r="DS64" s="140"/>
      <c r="DT64" s="140"/>
      <c r="DU64" s="140"/>
      <c r="DV64" s="140"/>
      <c r="DW64" s="140"/>
      <c r="DX64" s="140"/>
      <c r="DY64" s="140"/>
      <c r="DZ64" s="140"/>
      <c r="EA64" s="140"/>
      <c r="EB64" s="140"/>
      <c r="EC64" s="140"/>
      <c r="ED64" s="140"/>
      <c r="EE64" s="140"/>
      <c r="EF64" s="140"/>
      <c r="EG64" s="140"/>
      <c r="EH64" s="140"/>
      <c r="EI64" s="140"/>
      <c r="EJ64" s="140"/>
      <c r="EK64" s="140"/>
      <c r="EL64" s="140"/>
      <c r="EM64" s="140"/>
      <c r="EN64" s="140"/>
      <c r="EO64" s="140"/>
      <c r="EP64" s="140"/>
      <c r="EQ64" s="140"/>
    </row>
    <row r="65" spans="2:147" s="10" customFormat="1">
      <c r="B65" s="3"/>
      <c r="C65" s="84"/>
      <c r="D65" s="85"/>
      <c r="E65" s="17"/>
      <c r="G65" s="111"/>
      <c r="H65" s="111"/>
      <c r="I65" s="142"/>
      <c r="J65" s="142"/>
      <c r="K65" s="142"/>
      <c r="L65" s="233"/>
      <c r="M65" s="233"/>
      <c r="N65" s="233"/>
      <c r="O65" s="233"/>
      <c r="P65" s="233"/>
      <c r="Q65" s="142"/>
      <c r="R65" s="182" t="s">
        <v>349</v>
      </c>
      <c r="S65" s="296"/>
      <c r="T65" s="203"/>
      <c r="U65" s="203"/>
      <c r="V65" s="222">
        <f t="shared" si="220"/>
        <v>1.2227085875398339E-2</v>
      </c>
      <c r="W65" s="222">
        <f t="shared" si="220"/>
        <v>1.1690381058379841E-2</v>
      </c>
      <c r="X65" s="222">
        <f t="shared" si="221"/>
        <v>1.1019510337988052E-2</v>
      </c>
      <c r="Y65" s="222">
        <f t="shared" si="222"/>
        <v>1.1497848352643272E-2</v>
      </c>
      <c r="Z65" s="222">
        <f t="shared" si="222"/>
        <v>9.7564797028337532E-3</v>
      </c>
      <c r="AA65" s="222">
        <f t="shared" si="223"/>
        <v>9.9574944948327155E-3</v>
      </c>
      <c r="AB65" s="222">
        <f t="shared" si="224"/>
        <v>9.2468849995769528E-3</v>
      </c>
      <c r="AC65" s="222">
        <f t="shared" si="224"/>
        <v>8.9143460833595381E-3</v>
      </c>
      <c r="AD65" s="222">
        <f t="shared" si="225"/>
        <v>8.7352301647735994E-3</v>
      </c>
      <c r="AE65" s="222">
        <f t="shared" si="226"/>
        <v>9.2464156746003019E-3</v>
      </c>
      <c r="AF65" s="222">
        <f t="shared" si="226"/>
        <v>9.102841731398385E-3</v>
      </c>
      <c r="AG65" s="222">
        <f t="shared" ref="AG65" si="245">AG52/AG$46</f>
        <v>9.161869359129755E-3</v>
      </c>
      <c r="AH65" s="1643">
        <f t="shared" si="228"/>
        <v>9.657959756001545E-3</v>
      </c>
      <c r="AI65" s="222">
        <f t="shared" ref="AI65" ca="1" si="246">AI52/AI$46</f>
        <v>8.3621980160659901E-3</v>
      </c>
      <c r="AJ65" s="222">
        <f t="shared" ref="AJ65:AK65" ca="1" si="247">AJ52/AJ$46</f>
        <v>7.9491987426362019E-3</v>
      </c>
      <c r="AK65" s="222">
        <f t="shared" ca="1" si="247"/>
        <v>7.64876469155639E-3</v>
      </c>
      <c r="AL65" s="222">
        <f t="shared" ref="AL65:AN67" ca="1" si="248">AL52/AL$46</f>
        <v>7.5536398896905296E-3</v>
      </c>
      <c r="AM65" s="222">
        <f t="shared" ca="1" si="248"/>
        <v>7.5027510233553665E-3</v>
      </c>
      <c r="AN65" s="222">
        <f t="shared" ca="1" si="248"/>
        <v>7.4643903221765957E-3</v>
      </c>
      <c r="AO65" s="222">
        <f t="shared" ca="1" si="239"/>
        <v>7.3919205132234236E-3</v>
      </c>
      <c r="AP65" s="222">
        <f t="shared" ca="1" si="239"/>
        <v>7.3201542946484391E-3</v>
      </c>
      <c r="AQ65" s="222">
        <f t="shared" ref="AQ65:AR65" ca="1" si="249">AQ52/AQ$46</f>
        <v>7.2490848354770949E-3</v>
      </c>
      <c r="AR65" s="222">
        <f t="shared" ca="1" si="249"/>
        <v>7.1787053710549885E-3</v>
      </c>
      <c r="AS65" s="137"/>
      <c r="AT65" s="137"/>
      <c r="AU65" s="137"/>
      <c r="AV65" s="137"/>
      <c r="AW65" s="137"/>
      <c r="AX65" s="137"/>
      <c r="AY65" s="137"/>
      <c r="AZ65" s="137"/>
      <c r="BA65" s="137"/>
      <c r="BB65" s="137"/>
      <c r="BC65" s="137"/>
      <c r="BD65" s="137"/>
      <c r="BE65" s="137"/>
      <c r="BF65" s="137"/>
      <c r="BG65" s="137"/>
      <c r="BH65" s="137"/>
      <c r="BI65" s="137"/>
      <c r="BJ65" s="137"/>
      <c r="BK65" s="137"/>
      <c r="BL65" s="137"/>
      <c r="BM65" s="137"/>
      <c r="BN65" s="137"/>
      <c r="BO65" s="137"/>
      <c r="BP65" s="137"/>
      <c r="BQ65" s="137"/>
      <c r="BR65" s="137"/>
      <c r="BS65" s="137"/>
      <c r="BT65" s="137"/>
      <c r="BU65" s="137"/>
      <c r="BV65" s="137"/>
      <c r="BW65" s="137"/>
      <c r="BX65" s="137"/>
      <c r="BY65" s="137"/>
      <c r="BZ65" s="137"/>
      <c r="CA65" s="137"/>
      <c r="CB65" s="137"/>
      <c r="CC65" s="137"/>
      <c r="CD65" s="137"/>
      <c r="CE65" s="137"/>
      <c r="CF65" s="137"/>
      <c r="CG65" s="137"/>
      <c r="CH65" s="140"/>
      <c r="CI65" s="140"/>
      <c r="CJ65" s="140"/>
      <c r="CK65" s="140"/>
      <c r="CL65" s="140"/>
      <c r="CM65" s="140"/>
      <c r="CN65" s="140"/>
      <c r="CO65" s="140"/>
      <c r="CP65" s="140"/>
      <c r="CQ65" s="140"/>
      <c r="CR65" s="140"/>
      <c r="CS65" s="140"/>
      <c r="CT65" s="140"/>
      <c r="CU65" s="140"/>
      <c r="CV65" s="140"/>
      <c r="CW65" s="140"/>
      <c r="CX65" s="140"/>
      <c r="CY65" s="140"/>
      <c r="CZ65" s="140"/>
      <c r="DA65" s="140"/>
      <c r="DB65" s="140"/>
      <c r="DC65" s="140"/>
      <c r="DD65" s="140"/>
      <c r="DE65" s="140"/>
      <c r="DF65" s="140"/>
      <c r="DG65" s="140"/>
      <c r="DH65" s="140"/>
      <c r="DI65" s="140"/>
      <c r="DJ65" s="140"/>
      <c r="DK65" s="140"/>
      <c r="DL65" s="140"/>
      <c r="DM65" s="140"/>
      <c r="DN65" s="140"/>
      <c r="DO65" s="140"/>
      <c r="DP65" s="140"/>
      <c r="DQ65" s="140"/>
      <c r="DR65" s="140"/>
      <c r="DS65" s="140"/>
      <c r="DT65" s="140"/>
      <c r="DU65" s="140"/>
      <c r="DV65" s="140"/>
      <c r="DW65" s="140"/>
      <c r="DX65" s="140"/>
      <c r="DY65" s="140"/>
      <c r="DZ65" s="140"/>
      <c r="EA65" s="140"/>
      <c r="EB65" s="140"/>
      <c r="EC65" s="140"/>
      <c r="ED65" s="140"/>
      <c r="EE65" s="140"/>
      <c r="EF65" s="140"/>
      <c r="EG65" s="140"/>
      <c r="EH65" s="140"/>
      <c r="EI65" s="140"/>
      <c r="EJ65" s="140"/>
      <c r="EK65" s="140"/>
      <c r="EL65" s="140"/>
      <c r="EM65" s="140"/>
      <c r="EN65" s="140"/>
      <c r="EO65" s="140"/>
      <c r="EP65" s="140"/>
      <c r="EQ65" s="140"/>
    </row>
    <row r="66" spans="2:147" s="10" customFormat="1">
      <c r="B66" s="3"/>
      <c r="C66" s="84"/>
      <c r="D66" s="85"/>
      <c r="E66" s="17"/>
      <c r="G66" s="111"/>
      <c r="H66" s="111"/>
      <c r="I66" s="142"/>
      <c r="J66" s="142"/>
      <c r="K66" s="142"/>
      <c r="L66" s="233"/>
      <c r="M66" s="233"/>
      <c r="N66" s="233"/>
      <c r="O66" s="233"/>
      <c r="P66" s="233"/>
      <c r="Q66" s="142"/>
      <c r="R66" s="113" t="s">
        <v>146</v>
      </c>
      <c r="S66" s="294"/>
      <c r="T66" s="168"/>
      <c r="U66" s="168"/>
      <c r="V66" s="200">
        <f t="shared" si="220"/>
        <v>1.5006574816675156E-2</v>
      </c>
      <c r="W66" s="200">
        <f t="shared" si="220"/>
        <v>1.4436819896067708E-2</v>
      </c>
      <c r="X66" s="200">
        <f t="shared" si="221"/>
        <v>1.3112253770698301E-2</v>
      </c>
      <c r="Y66" s="200">
        <f t="shared" si="222"/>
        <v>1.118504167267865E-2</v>
      </c>
      <c r="Z66" s="200">
        <f t="shared" si="222"/>
        <v>1.1804176234642956E-2</v>
      </c>
      <c r="AA66" s="200">
        <f t="shared" si="223"/>
        <v>1.0555939808052637E-2</v>
      </c>
      <c r="AB66" s="200">
        <f t="shared" si="224"/>
        <v>1.0151083764280377E-2</v>
      </c>
      <c r="AC66" s="200">
        <f t="shared" si="224"/>
        <v>7.9509924727311082E-3</v>
      </c>
      <c r="AD66" s="200">
        <f t="shared" si="225"/>
        <v>8.1030816996397245E-3</v>
      </c>
      <c r="AE66" s="200">
        <f t="shared" si="226"/>
        <v>8.6566296867956471E-3</v>
      </c>
      <c r="AF66" s="200">
        <f t="shared" si="226"/>
        <v>9.6657652707599385E-3</v>
      </c>
      <c r="AG66" s="200">
        <f t="shared" ref="AG66" si="250">AG53/AG$46</f>
        <v>8.5878131186778103E-3</v>
      </c>
      <c r="AH66" s="1640">
        <f t="shared" si="228"/>
        <v>6.7628213539889697E-3</v>
      </c>
      <c r="AI66" s="200">
        <f t="shared" ref="AI66" ca="1" si="251">AI53/AI$46</f>
        <v>8.2979798299991046E-3</v>
      </c>
      <c r="AJ66" s="200">
        <f t="shared" ref="AJ66:AK66" ca="1" si="252">AJ53/AJ$46</f>
        <v>8.5915458105524263E-3</v>
      </c>
      <c r="AK66" s="200">
        <f t="shared" ca="1" si="252"/>
        <v>8.7952793883592732E-3</v>
      </c>
      <c r="AL66" s="200">
        <f t="shared" ca="1" si="248"/>
        <v>9.0151309506891469E-3</v>
      </c>
      <c r="AM66" s="200">
        <f t="shared" ca="1" si="248"/>
        <v>9.1652233004540177E-3</v>
      </c>
      <c r="AN66" s="200">
        <f t="shared" ca="1" si="248"/>
        <v>9.1029240567414363E-3</v>
      </c>
      <c r="AO66" s="200">
        <f t="shared" ca="1" si="239"/>
        <v>9.0747403280352114E-3</v>
      </c>
      <c r="AP66" s="200">
        <f t="shared" ca="1" si="239"/>
        <v>9.0458593539766187E-3</v>
      </c>
      <c r="AQ66" s="200">
        <f t="shared" ref="AQ66:AR66" ca="1" si="253">AQ53/AQ$46</f>
        <v>9.0162879039380108E-3</v>
      </c>
      <c r="AR66" s="200">
        <f t="shared" ca="1" si="253"/>
        <v>8.9860326815696806E-3</v>
      </c>
      <c r="AS66" s="137"/>
      <c r="AT66" s="137"/>
      <c r="AU66" s="137"/>
      <c r="AV66" s="137"/>
      <c r="AW66" s="137"/>
      <c r="AX66" s="137"/>
      <c r="AY66" s="137"/>
      <c r="AZ66" s="137"/>
      <c r="BA66" s="137"/>
      <c r="BB66" s="137"/>
      <c r="BC66" s="137"/>
      <c r="BD66" s="137"/>
      <c r="BE66" s="137"/>
      <c r="BF66" s="137"/>
      <c r="BG66" s="137"/>
      <c r="BH66" s="137"/>
      <c r="BI66" s="137"/>
      <c r="BJ66" s="137"/>
      <c r="BK66" s="137"/>
      <c r="BL66" s="137"/>
      <c r="BM66" s="137"/>
      <c r="BN66" s="137"/>
      <c r="BO66" s="137"/>
      <c r="BP66" s="137"/>
      <c r="BQ66" s="137"/>
      <c r="BR66" s="137"/>
      <c r="BS66" s="137"/>
      <c r="BT66" s="137"/>
      <c r="BU66" s="137"/>
      <c r="BV66" s="137"/>
      <c r="BW66" s="137"/>
      <c r="BX66" s="137"/>
      <c r="BY66" s="137"/>
      <c r="BZ66" s="137"/>
      <c r="CA66" s="137"/>
      <c r="CB66" s="137"/>
      <c r="CC66" s="137"/>
      <c r="CD66" s="137"/>
      <c r="CE66" s="137"/>
      <c r="CF66" s="137"/>
      <c r="CG66" s="137"/>
      <c r="CH66" s="140"/>
      <c r="CI66" s="140"/>
      <c r="CJ66" s="140"/>
      <c r="CK66" s="140"/>
      <c r="CL66" s="140"/>
      <c r="CM66" s="140"/>
      <c r="CN66" s="140"/>
      <c r="CO66" s="140"/>
      <c r="CP66" s="140"/>
      <c r="CQ66" s="140"/>
      <c r="CR66" s="140"/>
      <c r="CS66" s="140"/>
      <c r="CT66" s="140"/>
      <c r="CU66" s="140"/>
      <c r="CV66" s="140"/>
      <c r="CW66" s="140"/>
      <c r="CX66" s="140"/>
      <c r="CY66" s="140"/>
      <c r="CZ66" s="140"/>
      <c r="DA66" s="140"/>
      <c r="DB66" s="140"/>
      <c r="DC66" s="140"/>
      <c r="DD66" s="140"/>
      <c r="DE66" s="140"/>
      <c r="DF66" s="140"/>
      <c r="DG66" s="140"/>
      <c r="DH66" s="140"/>
      <c r="DI66" s="140"/>
      <c r="DJ66" s="140"/>
      <c r="DK66" s="140"/>
      <c r="DL66" s="140"/>
      <c r="DM66" s="140"/>
      <c r="DN66" s="140"/>
      <c r="DO66" s="140"/>
      <c r="DP66" s="140"/>
      <c r="DQ66" s="140"/>
      <c r="DR66" s="140"/>
      <c r="DS66" s="140"/>
      <c r="DT66" s="140"/>
      <c r="DU66" s="140"/>
      <c r="DV66" s="140"/>
      <c r="DW66" s="140"/>
      <c r="DX66" s="140"/>
      <c r="DY66" s="140"/>
      <c r="DZ66" s="140"/>
      <c r="EA66" s="140"/>
      <c r="EB66" s="140"/>
      <c r="EC66" s="140"/>
      <c r="ED66" s="140"/>
      <c r="EE66" s="140"/>
      <c r="EF66" s="140"/>
      <c r="EG66" s="140"/>
      <c r="EH66" s="140"/>
      <c r="EI66" s="140"/>
      <c r="EJ66" s="140"/>
      <c r="EK66" s="140"/>
      <c r="EL66" s="140"/>
      <c r="EM66" s="140"/>
      <c r="EN66" s="140"/>
      <c r="EO66" s="140"/>
      <c r="EP66" s="140"/>
      <c r="EQ66" s="140"/>
    </row>
    <row r="67" spans="2:147" s="10" customFormat="1">
      <c r="B67" s="3"/>
      <c r="C67" s="84"/>
      <c r="D67" s="85"/>
      <c r="E67" s="17"/>
      <c r="F67" s="170" t="s">
        <v>129</v>
      </c>
      <c r="G67" s="171"/>
      <c r="H67" s="172"/>
      <c r="I67" s="142"/>
      <c r="J67" s="142"/>
      <c r="K67" s="142"/>
      <c r="L67" s="233"/>
      <c r="M67" s="233"/>
      <c r="N67" s="233"/>
      <c r="O67" s="233"/>
      <c r="P67" s="233"/>
      <c r="Q67" s="142"/>
      <c r="R67" s="182" t="s">
        <v>147</v>
      </c>
      <c r="S67" s="296"/>
      <c r="T67" s="203"/>
      <c r="U67" s="203"/>
      <c r="V67" s="222">
        <f t="shared" si="220"/>
        <v>1.7725350360726429E-3</v>
      </c>
      <c r="W67" s="222">
        <f t="shared" si="220"/>
        <v>1.3198386834175414E-3</v>
      </c>
      <c r="X67" s="222">
        <f t="shared" si="221"/>
        <v>1.4159213006265305E-3</v>
      </c>
      <c r="Y67" s="222">
        <f t="shared" si="222"/>
        <v>2.1544009366577486E-3</v>
      </c>
      <c r="Z67" s="222">
        <f t="shared" si="222"/>
        <v>1.3045633058656931E-3</v>
      </c>
      <c r="AA67" s="222">
        <f t="shared" si="223"/>
        <v>7.2872632831027639E-4</v>
      </c>
      <c r="AB67" s="222">
        <f t="shared" si="224"/>
        <v>8.1041490184805183E-4</v>
      </c>
      <c r="AC67" s="222">
        <f t="shared" si="224"/>
        <v>2.6012447592708536E-3</v>
      </c>
      <c r="AD67" s="222">
        <f t="shared" si="225"/>
        <v>-5.4721859500901898E-4</v>
      </c>
      <c r="AE67" s="222">
        <f t="shared" si="226"/>
        <v>-2.2394492499292932E-4</v>
      </c>
      <c r="AF67" s="222">
        <f t="shared" si="226"/>
        <v>2.1996214855435489E-4</v>
      </c>
      <c r="AG67" s="222">
        <f t="shared" ref="AG67" si="254">AG54/AG$46</f>
        <v>3.46310302560905E-4</v>
      </c>
      <c r="AH67" s="1643">
        <f t="shared" si="228"/>
        <v>3.3068014381961813E-4</v>
      </c>
      <c r="AI67" s="222">
        <f t="shared" ref="AI67" ca="1" si="255">AI54/AI$46</f>
        <v>4.0691265317206965E-4</v>
      </c>
      <c r="AJ67" s="222">
        <f t="shared" ref="AJ67:AK67" ca="1" si="256">AJ54/AJ$46</f>
        <v>5.6422440846991327E-4</v>
      </c>
      <c r="AK67" s="222">
        <f t="shared" ca="1" si="256"/>
        <v>6.2631212226197015E-4</v>
      </c>
      <c r="AL67" s="222">
        <f t="shared" ca="1" si="248"/>
        <v>6.0137146908784925E-4</v>
      </c>
      <c r="AM67" s="222">
        <f t="shared" ca="1" si="248"/>
        <v>6.0023378619021562E-4</v>
      </c>
      <c r="AN67" s="222">
        <f t="shared" ca="1" si="248"/>
        <v>6.0023378619021562E-4</v>
      </c>
      <c r="AO67" s="222">
        <f t="shared" ca="1" si="239"/>
        <v>1.6806546013326037E-3</v>
      </c>
      <c r="AP67" s="222">
        <f t="shared" ca="1" si="239"/>
        <v>1.6806546013326037E-3</v>
      </c>
      <c r="AQ67" s="222">
        <f t="shared" ref="AQ67:AR67" ca="1" si="257">AQ54/AQ$46</f>
        <v>6.0023378619021562E-4</v>
      </c>
      <c r="AR67" s="222">
        <f t="shared" ca="1" si="257"/>
        <v>6.0023378619021562E-4</v>
      </c>
      <c r="AS67" s="137"/>
      <c r="AT67" s="137"/>
      <c r="AU67" s="137"/>
      <c r="AV67" s="137"/>
      <c r="AW67" s="137"/>
      <c r="AX67" s="137"/>
      <c r="AY67" s="137"/>
      <c r="AZ67" s="137"/>
      <c r="BA67" s="137"/>
      <c r="BB67" s="137"/>
      <c r="BC67" s="137"/>
      <c r="BD67" s="137"/>
      <c r="BE67" s="137"/>
      <c r="BF67" s="137"/>
      <c r="BG67" s="137"/>
      <c r="BH67" s="137"/>
      <c r="BI67" s="137"/>
      <c r="BJ67" s="137"/>
      <c r="BK67" s="137"/>
      <c r="BL67" s="137"/>
      <c r="BM67" s="137"/>
      <c r="BN67" s="137"/>
      <c r="BO67" s="137"/>
      <c r="BP67" s="137"/>
      <c r="BQ67" s="137"/>
      <c r="BR67" s="137"/>
      <c r="BS67" s="137"/>
      <c r="BT67" s="137"/>
      <c r="BU67" s="137"/>
      <c r="BV67" s="137"/>
      <c r="BW67" s="137"/>
      <c r="BX67" s="137"/>
      <c r="BY67" s="137"/>
      <c r="BZ67" s="137"/>
      <c r="CA67" s="137"/>
      <c r="CB67" s="137"/>
      <c r="CC67" s="137"/>
      <c r="CD67" s="137"/>
      <c r="CE67" s="137"/>
      <c r="CF67" s="137"/>
      <c r="CG67" s="137"/>
      <c r="CH67" s="140"/>
      <c r="CI67" s="140"/>
      <c r="CJ67" s="140"/>
      <c r="CK67" s="140"/>
      <c r="CL67" s="140"/>
      <c r="CM67" s="140"/>
      <c r="CN67" s="140"/>
      <c r="CO67" s="140"/>
      <c r="CP67" s="140"/>
      <c r="CQ67" s="140"/>
      <c r="CR67" s="140"/>
      <c r="CS67" s="140"/>
      <c r="CT67" s="140"/>
      <c r="CU67" s="140"/>
      <c r="CV67" s="140"/>
      <c r="CW67" s="140"/>
      <c r="CX67" s="140"/>
      <c r="CY67" s="140"/>
      <c r="CZ67" s="140"/>
      <c r="DA67" s="140"/>
      <c r="DB67" s="140"/>
      <c r="DC67" s="140"/>
      <c r="DD67" s="140"/>
      <c r="DE67" s="140"/>
      <c r="DF67" s="140"/>
      <c r="DG67" s="140"/>
      <c r="DH67" s="140"/>
      <c r="DI67" s="140"/>
      <c r="DJ67" s="140"/>
      <c r="DK67" s="140"/>
      <c r="DL67" s="140"/>
      <c r="DM67" s="140"/>
      <c r="DN67" s="140"/>
      <c r="DO67" s="140"/>
      <c r="DP67" s="140"/>
      <c r="DQ67" s="140"/>
      <c r="DR67" s="140"/>
      <c r="DS67" s="140"/>
      <c r="DT67" s="140"/>
      <c r="DU67" s="140"/>
      <c r="DV67" s="140"/>
      <c r="DW67" s="140"/>
      <c r="DX67" s="140"/>
      <c r="DY67" s="140"/>
      <c r="DZ67" s="140"/>
      <c r="EA67" s="140"/>
      <c r="EB67" s="140"/>
      <c r="EC67" s="140"/>
      <c r="ED67" s="140"/>
      <c r="EE67" s="140"/>
      <c r="EF67" s="140"/>
      <c r="EG67" s="140"/>
      <c r="EH67" s="140"/>
      <c r="EI67" s="140"/>
      <c r="EJ67" s="140"/>
      <c r="EK67" s="140"/>
      <c r="EL67" s="140"/>
      <c r="EM67" s="140"/>
      <c r="EN67" s="140"/>
      <c r="EO67" s="140"/>
      <c r="EP67" s="140"/>
      <c r="EQ67" s="140"/>
    </row>
    <row r="68" spans="2:147" s="10" customFormat="1">
      <c r="B68" s="3"/>
      <c r="C68" s="84"/>
      <c r="D68" s="85"/>
      <c r="E68" s="17"/>
      <c r="F68" s="174" t="s">
        <v>17</v>
      </c>
      <c r="G68" s="233"/>
      <c r="H68" s="310">
        <f>AVERAGE(AB70:AD70)</f>
        <v>9.0022365648831093E-2</v>
      </c>
      <c r="I68" s="142"/>
      <c r="J68" s="142"/>
      <c r="K68" s="142"/>
      <c r="L68" s="233"/>
      <c r="M68" s="233"/>
      <c r="N68" s="233"/>
      <c r="O68" s="233"/>
      <c r="P68" s="233"/>
      <c r="Q68" s="142"/>
      <c r="R68" s="9" t="s">
        <v>130</v>
      </c>
      <c r="S68" s="292"/>
      <c r="T68" s="131"/>
      <c r="U68" s="131"/>
      <c r="V68" s="200">
        <f t="shared" ref="V68:BJ68" si="258">V58/V$46</f>
        <v>9.6134481655669145E-3</v>
      </c>
      <c r="W68" s="200">
        <f t="shared" ref="W68:AB68" si="259">W58/W$46</f>
        <v>9.4977673507407913E-3</v>
      </c>
      <c r="X68" s="200">
        <f t="shared" si="259"/>
        <v>8.4790772658265932E-3</v>
      </c>
      <c r="Y68" s="200">
        <f t="shared" si="259"/>
        <v>6.4863328813790809E-3</v>
      </c>
      <c r="Z68" s="200">
        <f>Z58/Z$46</f>
        <v>7.4084833608336152E-3</v>
      </c>
      <c r="AA68" s="200">
        <f>AA58/AA$46</f>
        <v>6.8709995519604114E-3</v>
      </c>
      <c r="AB68" s="200">
        <f t="shared" si="259"/>
        <v>6.5954520942854023E-3</v>
      </c>
      <c r="AC68" s="200">
        <f t="shared" ref="AC68:AH68" si="260">AC58/AC$46</f>
        <v>3.5702986871219383E-3</v>
      </c>
      <c r="AD68" s="200">
        <f t="shared" si="260"/>
        <v>5.9817651708393288E-3</v>
      </c>
      <c r="AE68" s="200">
        <f t="shared" si="260"/>
        <v>6.2887982169350628E-3</v>
      </c>
      <c r="AF68" s="200">
        <f t="shared" ref="AF68:AG68" si="261">AF58/AF$46</f>
        <v>6.6554261519731952E-3</v>
      </c>
      <c r="AG68" s="200">
        <f t="shared" si="261"/>
        <v>5.7362974993154826E-3</v>
      </c>
      <c r="AH68" s="1640">
        <f t="shared" si="260"/>
        <v>4.3393333158370292E-3</v>
      </c>
      <c r="AI68" s="200">
        <f t="shared" ref="AI68" ca="1" si="262">AI58/AI$46</f>
        <v>5.5337979377151781E-3</v>
      </c>
      <c r="AJ68" s="200">
        <f t="shared" ref="AJ68:AK68" ca="1" si="263">AJ58/AJ$46</f>
        <v>5.6310167831050677E-3</v>
      </c>
      <c r="AK68" s="200">
        <f t="shared" ca="1" si="263"/>
        <v>5.7320808425430966E-3</v>
      </c>
      <c r="AL68" s="200">
        <f t="shared" ref="AL68:AQ68" ca="1" si="264">AL58/AL$46</f>
        <v>5.9056469902938509E-3</v>
      </c>
      <c r="AM68" s="200">
        <f t="shared" ca="1" si="264"/>
        <v>6.0130708541895677E-3</v>
      </c>
      <c r="AN68" s="200">
        <f t="shared" ca="1" si="264"/>
        <v>5.9698852297032584E-3</v>
      </c>
      <c r="AO68" s="200">
        <f t="shared" ca="1" si="264"/>
        <v>5.1890329508832494E-3</v>
      </c>
      <c r="AP68" s="200">
        <f t="shared" ca="1" si="264"/>
        <v>5.1693649948450103E-3</v>
      </c>
      <c r="AQ68" s="200">
        <f t="shared" ca="1" si="264"/>
        <v>5.9108867396442154E-3</v>
      </c>
      <c r="AR68" s="200">
        <f t="shared" ref="AR68" ca="1" si="265">AR58/AR$46</f>
        <v>5.8902101500114736E-3</v>
      </c>
      <c r="AS68" s="200">
        <f t="shared" ca="1" si="258"/>
        <v>5.8949205481342581E-3</v>
      </c>
      <c r="AT68" s="200">
        <f t="shared" ca="1" si="258"/>
        <v>5.8845855425719712E-3</v>
      </c>
      <c r="AU68" s="200">
        <f t="shared" ca="1" si="258"/>
        <v>5.8821670140543156E-3</v>
      </c>
      <c r="AV68" s="200">
        <f ca="1">AV58/AV$46</f>
        <v>5.881601046270799E-3</v>
      </c>
      <c r="AW68" s="200">
        <f ca="1">AW58/AW$46</f>
        <v>5.8814686022952006E-3</v>
      </c>
      <c r="AX68" s="200">
        <f t="shared" ca="1" si="258"/>
        <v>5.8352287110098409E-3</v>
      </c>
      <c r="AY68" s="200">
        <f t="shared" ca="1" si="258"/>
        <v>5.7872007071792138E-3</v>
      </c>
      <c r="AZ68" s="200">
        <f t="shared" ca="1" si="258"/>
        <v>5.7387876587625224E-3</v>
      </c>
      <c r="BA68" s="200">
        <f t="shared" ca="1" si="258"/>
        <v>5.6903156994442235E-3</v>
      </c>
      <c r="BB68" s="200">
        <f t="shared" ca="1" si="258"/>
        <v>5.641860502051301E-3</v>
      </c>
      <c r="BC68" s="200">
        <f t="shared" ca="1" si="258"/>
        <v>5.5934395717242942E-3</v>
      </c>
      <c r="BD68" s="200">
        <f t="shared" ca="1" si="258"/>
        <v>5.5450569235828686E-3</v>
      </c>
      <c r="BE68" s="200">
        <f t="shared" ca="1" si="258"/>
        <v>5.4967134486378086E-3</v>
      </c>
      <c r="BF68" s="200">
        <f t="shared" ca="1" si="258"/>
        <v>5.4484093154634379E-3</v>
      </c>
      <c r="BG68" s="200">
        <f t="shared" ca="1" si="258"/>
        <v>5.4001445258560887E-3</v>
      </c>
      <c r="BH68" s="200">
        <f t="shared" ca="1" si="258"/>
        <v>5.3519190432114831E-3</v>
      </c>
      <c r="BI68" s="200">
        <f t="shared" ca="1" si="258"/>
        <v>5.3037328221425773E-3</v>
      </c>
      <c r="BJ68" s="200">
        <f t="shared" ca="1" si="258"/>
        <v>5.2555858153028826E-3</v>
      </c>
      <c r="BK68" s="200">
        <f t="shared" ref="BK68:CD68" ca="1" si="266">BK58/BK$46</f>
        <v>5.2074779749560875E-3</v>
      </c>
      <c r="BL68" s="200">
        <f t="shared" ca="1" si="266"/>
        <v>5.1594092533365299E-3</v>
      </c>
      <c r="BM68" s="200">
        <f t="shared" ca="1" si="266"/>
        <v>5.111379602731763E-3</v>
      </c>
      <c r="BN68" s="200">
        <f t="shared" ca="1" si="266"/>
        <v>5.063388975501344E-3</v>
      </c>
      <c r="BO68" s="200">
        <f t="shared" ca="1" si="266"/>
        <v>5.0154373240810174E-3</v>
      </c>
      <c r="BP68" s="200">
        <f t="shared" ca="1" si="266"/>
        <v>4.9675246009835469E-3</v>
      </c>
      <c r="BQ68" s="200">
        <f t="shared" ca="1" si="266"/>
        <v>4.919650758798781E-3</v>
      </c>
      <c r="BR68" s="200">
        <f t="shared" ca="1" si="266"/>
        <v>4.8718157501935434E-3</v>
      </c>
      <c r="BS68" s="200">
        <f t="shared" ca="1" si="266"/>
        <v>4.8240195279115024E-3</v>
      </c>
      <c r="BT68" s="200">
        <f t="shared" ca="1" si="266"/>
        <v>4.7762620447730098E-3</v>
      </c>
      <c r="BU68" s="200">
        <f t="shared" ca="1" si="266"/>
        <v>4.7285432536749387E-3</v>
      </c>
      <c r="BV68" s="200">
        <f t="shared" ca="1" si="266"/>
        <v>4.6808631075905393E-3</v>
      </c>
      <c r="BW68" s="200">
        <f t="shared" ca="1" si="266"/>
        <v>4.6332215595692788E-3</v>
      </c>
      <c r="BX68" s="200">
        <f t="shared" ca="1" si="266"/>
        <v>4.5856185627366867E-3</v>
      </c>
      <c r="BY68" s="200">
        <f t="shared" ca="1" si="266"/>
        <v>4.5380540702942094E-3</v>
      </c>
      <c r="BZ68" s="200">
        <f t="shared" ca="1" si="266"/>
        <v>4.4905280355190397E-3</v>
      </c>
      <c r="CA68" s="200">
        <f t="shared" ca="1" si="266"/>
        <v>4.4430404117639785E-3</v>
      </c>
      <c r="CB68" s="200">
        <f t="shared" ca="1" si="266"/>
        <v>4.3955911524572785E-3</v>
      </c>
      <c r="CC68" s="200">
        <f t="shared" ca="1" si="266"/>
        <v>4.3481802111024846E-3</v>
      </c>
      <c r="CD68" s="200">
        <f t="shared" ca="1" si="266"/>
        <v>4.3008075412782881E-3</v>
      </c>
      <c r="CE68" s="200">
        <f ca="1">CE58/CE$46</f>
        <v>4.2534730966383777E-3</v>
      </c>
      <c r="CF68" s="200">
        <f ca="1">CF58/CF$46</f>
        <v>4.2061768309112771E-3</v>
      </c>
      <c r="CG68" s="200">
        <f ca="1">CG58/CG$46</f>
        <v>4.1589186979002074E-3</v>
      </c>
      <c r="CH68" s="140"/>
      <c r="CI68" s="140"/>
      <c r="CJ68" s="140"/>
      <c r="CK68" s="140"/>
      <c r="CL68" s="140"/>
      <c r="CM68" s="140"/>
      <c r="CN68" s="140"/>
      <c r="CO68" s="140"/>
      <c r="CP68" s="140"/>
      <c r="CQ68" s="140"/>
      <c r="CR68" s="140"/>
      <c r="CS68" s="140"/>
      <c r="CT68" s="140"/>
      <c r="CU68" s="140"/>
      <c r="CV68" s="140"/>
      <c r="CW68" s="140"/>
      <c r="CX68" s="140"/>
      <c r="CY68" s="140"/>
      <c r="CZ68" s="140"/>
      <c r="DA68" s="140"/>
      <c r="DB68" s="140"/>
      <c r="DC68" s="140"/>
      <c r="DD68" s="140"/>
      <c r="DE68" s="140"/>
      <c r="DF68" s="140"/>
      <c r="DG68" s="140"/>
      <c r="DH68" s="140"/>
      <c r="DI68" s="140"/>
      <c r="DJ68" s="140"/>
      <c r="DK68" s="140"/>
      <c r="DL68" s="140"/>
      <c r="DM68" s="140"/>
      <c r="DN68" s="140"/>
      <c r="DO68" s="140"/>
      <c r="DP68" s="140"/>
      <c r="DQ68" s="140"/>
      <c r="DR68" s="140"/>
      <c r="DS68" s="140"/>
      <c r="DT68" s="140"/>
      <c r="DU68" s="140"/>
      <c r="DV68" s="140"/>
      <c r="DW68" s="140"/>
      <c r="DX68" s="140"/>
      <c r="DY68" s="140"/>
      <c r="DZ68" s="140"/>
      <c r="EA68" s="140"/>
      <c r="EB68" s="140"/>
      <c r="EC68" s="140"/>
      <c r="ED68" s="140"/>
      <c r="EE68" s="140"/>
      <c r="EF68" s="140"/>
      <c r="EG68" s="140"/>
      <c r="EH68" s="140"/>
      <c r="EI68" s="140"/>
      <c r="EJ68" s="140"/>
      <c r="EK68" s="140"/>
      <c r="EL68" s="140"/>
      <c r="EM68" s="140"/>
      <c r="EN68" s="140"/>
      <c r="EO68" s="140"/>
      <c r="EP68" s="140"/>
      <c r="EQ68" s="140"/>
    </row>
    <row r="69" spans="2:147" s="10" customFormat="1" ht="13.8" thickBot="1">
      <c r="B69" s="3"/>
      <c r="C69" s="84"/>
      <c r="D69" s="85"/>
      <c r="E69" s="17"/>
      <c r="F69" s="174" t="s">
        <v>18</v>
      </c>
      <c r="G69" s="111"/>
      <c r="H69" s="308">
        <f ca="1">AVERAGE(AB70:AM70)</f>
        <v>0.10006842359192136</v>
      </c>
      <c r="I69" s="142"/>
      <c r="J69" s="142"/>
      <c r="K69" s="142"/>
      <c r="L69" s="233"/>
      <c r="M69" s="233"/>
      <c r="N69" s="233"/>
      <c r="O69" s="233"/>
      <c r="P69" s="233"/>
      <c r="Q69" s="142"/>
      <c r="R69" s="10" t="s">
        <v>709</v>
      </c>
      <c r="S69" s="292"/>
      <c r="T69" s="131"/>
      <c r="U69" s="131"/>
      <c r="V69" s="621">
        <f>+V70/V68</f>
        <v>15.995641669430102</v>
      </c>
      <c r="W69" s="621">
        <f t="shared" ref="W69:AN69" si="267">+W70/W68</f>
        <v>16.295183211916928</v>
      </c>
      <c r="X69" s="621">
        <f t="shared" si="267"/>
        <v>16.504780559703665</v>
      </c>
      <c r="Y69" s="621">
        <f t="shared" si="267"/>
        <v>15.888923890026426</v>
      </c>
      <c r="Z69" s="621">
        <f>+Z70/Z68</f>
        <v>15.774431896196621</v>
      </c>
      <c r="AA69" s="621">
        <f>+AA70/AA68</f>
        <v>15.967814497852046</v>
      </c>
      <c r="AB69" s="621">
        <f t="shared" si="267"/>
        <v>16.488150463896734</v>
      </c>
      <c r="AC69" s="621">
        <f t="shared" ref="AC69:AH69" si="268">+AC70/AC68</f>
        <v>17.344005404692854</v>
      </c>
      <c r="AD69" s="621">
        <f t="shared" si="268"/>
        <v>16.616668804926551</v>
      </c>
      <c r="AE69" s="621">
        <f t="shared" si="268"/>
        <v>16.487920168067227</v>
      </c>
      <c r="AF69" s="621">
        <f t="shared" ref="AF69:AG69" si="269">+AF70/AF68</f>
        <v>16.342811867241835</v>
      </c>
      <c r="AG69" s="621">
        <f t="shared" si="269"/>
        <v>16.677938373118618</v>
      </c>
      <c r="AH69" s="1644">
        <f t="shared" si="268"/>
        <v>18.446084262358575</v>
      </c>
      <c r="AI69" s="621">
        <f t="shared" ref="AI69" ca="1" si="270">+AI70/AI68</f>
        <v>18.145563642131815</v>
      </c>
      <c r="AJ69" s="621">
        <f t="shared" ref="AJ69:AK69" ca="1" si="271">+AJ70/AJ68</f>
        <v>18.224160148329961</v>
      </c>
      <c r="AK69" s="621">
        <f t="shared" ca="1" si="271"/>
        <v>18.584031259829935</v>
      </c>
      <c r="AL69" s="621">
        <f t="shared" ca="1" si="267"/>
        <v>19.463185950276308</v>
      </c>
      <c r="AM69" s="621">
        <f t="shared" ca="1" si="267"/>
        <v>19.637349200250007</v>
      </c>
      <c r="AN69" s="621">
        <f t="shared" ca="1" si="267"/>
        <v>19.58623908310425</v>
      </c>
      <c r="AO69" s="621">
        <f ca="1">+AO70/AO68</f>
        <v>19.63158258012777</v>
      </c>
      <c r="AP69" s="621">
        <f ca="1">+AP70/AP68</f>
        <v>19.693145262175172</v>
      </c>
      <c r="AQ69" s="621">
        <f ca="1">+AQ70/AQ68</f>
        <v>19.656295654442861</v>
      </c>
      <c r="AR69" s="621">
        <f ca="1">+AR70/AR68</f>
        <v>19.601953576861032</v>
      </c>
      <c r="AS69" s="200"/>
      <c r="AT69" s="200"/>
      <c r="AU69" s="200"/>
      <c r="AV69" s="200"/>
      <c r="AW69" s="200"/>
      <c r="AX69" s="200"/>
      <c r="AY69" s="200"/>
      <c r="AZ69" s="200"/>
      <c r="BA69" s="200"/>
      <c r="BB69" s="200"/>
      <c r="BC69" s="200"/>
      <c r="BD69" s="200"/>
      <c r="BE69" s="200"/>
      <c r="BF69" s="200"/>
      <c r="BG69" s="200"/>
      <c r="BH69" s="200"/>
      <c r="BI69" s="200"/>
      <c r="BJ69" s="200"/>
      <c r="BK69" s="200"/>
      <c r="BL69" s="200"/>
      <c r="BM69" s="200"/>
      <c r="BN69" s="200"/>
      <c r="BO69" s="200"/>
      <c r="BP69" s="200"/>
      <c r="BQ69" s="200"/>
      <c r="BR69" s="200"/>
      <c r="BS69" s="200"/>
      <c r="BT69" s="200"/>
      <c r="BU69" s="200"/>
      <c r="BV69" s="200"/>
      <c r="BW69" s="200"/>
      <c r="BX69" s="200"/>
      <c r="BY69" s="200"/>
      <c r="BZ69" s="200"/>
      <c r="CA69" s="200"/>
      <c r="CB69" s="200"/>
      <c r="CC69" s="200"/>
      <c r="CD69" s="200"/>
      <c r="CE69" s="200"/>
      <c r="CF69" s="200"/>
      <c r="CG69" s="200"/>
      <c r="CH69" s="147"/>
      <c r="CI69" s="147"/>
      <c r="CJ69" s="147"/>
      <c r="CK69" s="147"/>
      <c r="CL69" s="147"/>
      <c r="CM69" s="147"/>
      <c r="CN69" s="147"/>
      <c r="CO69" s="147"/>
      <c r="CP69" s="147"/>
      <c r="CQ69" s="147"/>
      <c r="CR69" s="147"/>
      <c r="CS69" s="147"/>
      <c r="CT69" s="147"/>
      <c r="CU69" s="147"/>
      <c r="CV69" s="147"/>
      <c r="CW69" s="147"/>
      <c r="CX69" s="147"/>
      <c r="CY69" s="147"/>
      <c r="CZ69" s="147"/>
      <c r="DA69" s="147"/>
      <c r="DB69" s="147"/>
      <c r="DC69" s="147"/>
      <c r="DD69" s="147"/>
      <c r="DE69" s="147"/>
      <c r="DF69" s="147"/>
      <c r="DG69" s="147"/>
      <c r="DH69" s="147"/>
      <c r="DI69" s="147"/>
      <c r="DJ69" s="147"/>
      <c r="DK69" s="147"/>
      <c r="DL69" s="147"/>
      <c r="DM69" s="147"/>
      <c r="DN69" s="147"/>
      <c r="DO69" s="147"/>
      <c r="DP69" s="147"/>
      <c r="DQ69" s="147"/>
      <c r="DR69" s="147"/>
      <c r="DS69" s="147"/>
      <c r="DT69" s="147"/>
      <c r="DU69" s="147"/>
      <c r="DV69" s="147"/>
      <c r="DW69" s="147"/>
      <c r="DX69" s="147"/>
      <c r="DY69" s="147"/>
      <c r="DZ69" s="147"/>
      <c r="EA69" s="147"/>
      <c r="EB69" s="147"/>
      <c r="EC69" s="147"/>
      <c r="ED69" s="147"/>
      <c r="EE69" s="147"/>
      <c r="EF69" s="147"/>
      <c r="EG69" s="147"/>
      <c r="EH69" s="147"/>
      <c r="EI69" s="147"/>
      <c r="EJ69" s="147"/>
      <c r="EK69" s="147"/>
      <c r="EL69" s="147"/>
      <c r="EM69" s="147"/>
      <c r="EN69" s="147"/>
      <c r="EO69" s="147"/>
      <c r="EP69" s="147"/>
      <c r="EQ69" s="147"/>
    </row>
    <row r="70" spans="2:147" s="10" customFormat="1" ht="13.8" thickBot="1">
      <c r="B70" s="3"/>
      <c r="C70" s="84"/>
      <c r="D70" s="85"/>
      <c r="E70" s="17"/>
      <c r="F70" s="195" t="s">
        <v>19</v>
      </c>
      <c r="G70" s="307"/>
      <c r="H70" s="309">
        <f ca="1">AVERAGE(AB70:AP70)</f>
        <v>0.10142791114357813</v>
      </c>
      <c r="I70" s="142"/>
      <c r="J70" s="142"/>
      <c r="K70" s="142"/>
      <c r="L70" s="233"/>
      <c r="M70" s="233"/>
      <c r="N70" s="233"/>
      <c r="O70" s="233"/>
      <c r="P70" s="233"/>
      <c r="Q70" s="142"/>
      <c r="R70" s="9" t="s">
        <v>729</v>
      </c>
      <c r="S70" s="10" t="s">
        <v>486</v>
      </c>
      <c r="T70" s="305">
        <f ca="1">AVERAGE(AH70:AR70)</f>
        <v>0.10680637607496779</v>
      </c>
      <c r="U70" s="131"/>
      <c r="V70" s="226">
        <f t="shared" ref="V70:BH70" si="272">+V58/V47</f>
        <v>0.15377327206404851</v>
      </c>
      <c r="W70" s="226">
        <f t="shared" si="272"/>
        <v>0.15476785908448407</v>
      </c>
      <c r="X70" s="226">
        <f t="shared" si="272"/>
        <v>0.13994530962124005</v>
      </c>
      <c r="Y70" s="226">
        <f t="shared" si="272"/>
        <v>0.10306084947760802</v>
      </c>
      <c r="Z70" s="226">
        <f>+Z58/Z47</f>
        <v>0.11686461622957572</v>
      </c>
      <c r="AA70" s="226">
        <f>+AA58/AA47</f>
        <v>0.10971484626052837</v>
      </c>
      <c r="AB70" s="226">
        <f t="shared" si="272"/>
        <v>0.10874680650800053</v>
      </c>
      <c r="AC70" s="226">
        <f t="shared" ref="AC70:AH70" si="273">+AC58/AC47</f>
        <v>6.1923279725810701E-2</v>
      </c>
      <c r="AD70" s="226">
        <f t="shared" si="273"/>
        <v>9.9397010712682018E-2</v>
      </c>
      <c r="AE70" s="226">
        <f t="shared" si="273"/>
        <v>0.10368920295390884</v>
      </c>
      <c r="AF70" s="226">
        <f t="shared" ref="AF70:AG70" si="274">+AF58/AF47</f>
        <v>0.10876837749801919</v>
      </c>
      <c r="AG70" s="226">
        <f t="shared" si="274"/>
        <v>9.5669616183458053E-2</v>
      </c>
      <c r="AH70" s="1645">
        <f t="shared" si="273"/>
        <v>8.004370798638967E-2</v>
      </c>
      <c r="AI70" s="226">
        <f t="shared" ref="AI70" ca="1" si="275">+AI58/AI47</f>
        <v>0.10041388266150855</v>
      </c>
      <c r="AJ70" s="226">
        <f t="shared" ref="AJ70:AK70" ca="1" si="276">+AJ58/AJ47</f>
        <v>0.10262055165324055</v>
      </c>
      <c r="AK70" s="226">
        <f t="shared" ca="1" si="276"/>
        <v>0.10652516956169322</v>
      </c>
      <c r="AL70" s="226">
        <f t="shared" ca="1" si="272"/>
        <v>0.11494270552877885</v>
      </c>
      <c r="AM70" s="226">
        <f t="shared" ca="1" si="272"/>
        <v>0.11808077212956614</v>
      </c>
      <c r="AN70" s="226">
        <f t="shared" ca="1" si="272"/>
        <v>0.11692759940766075</v>
      </c>
      <c r="AO70" s="226">
        <f ca="1">+AO58/AO47</f>
        <v>0.1018689288862686</v>
      </c>
      <c r="AP70" s="226">
        <f ca="1">+AP58/AP47</f>
        <v>0.10180105575668619</v>
      </c>
      <c r="AQ70" s="226">
        <f ca="1">+AQ58/AQ47</f>
        <v>0.11618613733437252</v>
      </c>
      <c r="AR70" s="226">
        <f ca="1">+AR58/AR47</f>
        <v>0.11545962591848055</v>
      </c>
      <c r="AS70" s="226">
        <f ca="1">+AS58/AS47</f>
        <v>0.11560931579968428</v>
      </c>
      <c r="AT70" s="226">
        <f t="shared" ca="1" si="272"/>
        <v>0.11553056671625352</v>
      </c>
      <c r="AU70" s="226">
        <f t="shared" ca="1" si="272"/>
        <v>0.11551211395719162</v>
      </c>
      <c r="AV70" s="226">
        <f ca="1">+AV58/AV47</f>
        <v>0.11550779442699356</v>
      </c>
      <c r="AW70" s="226">
        <f ca="1">+AW58/AW47</f>
        <v>0.11550678352619526</v>
      </c>
      <c r="AX70" s="226">
        <f t="shared" ca="1" si="272"/>
        <v>0.11461724534805647</v>
      </c>
      <c r="AY70" s="226">
        <f t="shared" ca="1" si="272"/>
        <v>0.11371376477601151</v>
      </c>
      <c r="AZ70" s="226">
        <f t="shared" ca="1" si="272"/>
        <v>0.11280704307523763</v>
      </c>
      <c r="BA70" s="226">
        <f t="shared" ca="1" si="272"/>
        <v>0.11189956885748521</v>
      </c>
      <c r="BB70" s="226">
        <f t="shared" ca="1" si="272"/>
        <v>0.11099192025089198</v>
      </c>
      <c r="BC70" s="226">
        <f t="shared" ca="1" si="272"/>
        <v>0.11008423138265958</v>
      </c>
      <c r="BD70" s="226">
        <f t="shared" ca="1" si="272"/>
        <v>0.10917653332737762</v>
      </c>
      <c r="BE70" s="226">
        <f t="shared" ca="1" si="272"/>
        <v>0.10826883327418106</v>
      </c>
      <c r="BF70" s="226">
        <f t="shared" ca="1" si="272"/>
        <v>0.10736113288382056</v>
      </c>
      <c r="BG70" s="226">
        <f t="shared" ca="1" si="272"/>
        <v>0.10645343253928446</v>
      </c>
      <c r="BH70" s="226">
        <f t="shared" ca="1" si="272"/>
        <v>0.10554573232865305</v>
      </c>
      <c r="BI70" s="226">
        <f t="shared" ref="BI70:CD70" ca="1" si="277">+BI58/BI47</f>
        <v>0.104638032272038</v>
      </c>
      <c r="BJ70" s="226">
        <f t="shared" ca="1" si="277"/>
        <v>0.10373033237390877</v>
      </c>
      <c r="BK70" s="226">
        <f t="shared" ca="1" si="277"/>
        <v>0.10282263263513999</v>
      </c>
      <c r="BL70" s="226">
        <f t="shared" ca="1" si="277"/>
        <v>0.10191493305578173</v>
      </c>
      <c r="BM70" s="226">
        <f t="shared" ca="1" si="277"/>
        <v>0.10100723363569518</v>
      </c>
      <c r="BN70" s="226">
        <f t="shared" ca="1" si="277"/>
        <v>0.10009953437469868</v>
      </c>
      <c r="BO70" s="226">
        <f t="shared" ca="1" si="277"/>
        <v>9.9191835272600906E-2</v>
      </c>
      <c r="BP70" s="226">
        <f t="shared" ca="1" si="277"/>
        <v>9.828413632920871E-2</v>
      </c>
      <c r="BQ70" s="226">
        <f t="shared" ca="1" si="277"/>
        <v>9.7376437544328703E-2</v>
      </c>
      <c r="BR70" s="226">
        <f t="shared" ca="1" si="277"/>
        <v>9.646873891776761E-2</v>
      </c>
      <c r="BS70" s="226">
        <f t="shared" ca="1" si="277"/>
        <v>9.5561040449332529E-2</v>
      </c>
      <c r="BT70" s="226">
        <f t="shared" ca="1" si="277"/>
        <v>9.4653342138830893E-2</v>
      </c>
      <c r="BU70" s="226">
        <f t="shared" ca="1" si="277"/>
        <v>9.3745643986070354E-2</v>
      </c>
      <c r="BV70" s="226">
        <f t="shared" ca="1" si="277"/>
        <v>9.2837945990858942E-2</v>
      </c>
      <c r="BW70" s="226">
        <f t="shared" ca="1" si="277"/>
        <v>9.1930248153005004E-2</v>
      </c>
      <c r="BX70" s="226">
        <f t="shared" ca="1" si="277"/>
        <v>9.1022550472317124E-2</v>
      </c>
      <c r="BY70" s="226">
        <f t="shared" ca="1" si="277"/>
        <v>9.0114852948604274E-2</v>
      </c>
      <c r="BZ70" s="226">
        <f t="shared" ca="1" si="277"/>
        <v>8.9207155581675718E-2</v>
      </c>
      <c r="CA70" s="226">
        <f t="shared" ca="1" si="277"/>
        <v>8.8299458371340997E-2</v>
      </c>
      <c r="CB70" s="226">
        <f t="shared" ca="1" si="277"/>
        <v>8.7391761317410013E-2</v>
      </c>
      <c r="CC70" s="226">
        <f t="shared" ca="1" si="277"/>
        <v>8.648406441969296E-2</v>
      </c>
      <c r="CD70" s="226">
        <f t="shared" ca="1" si="277"/>
        <v>8.5576367678000254E-2</v>
      </c>
      <c r="CE70" s="226">
        <f ca="1">+CE58/CE47</f>
        <v>8.4668671092142767E-2</v>
      </c>
      <c r="CF70" s="226">
        <f ca="1">+CF58/CF47</f>
        <v>8.3760974661931539E-2</v>
      </c>
      <c r="CG70" s="226">
        <f ca="1">+CG58/CG47</f>
        <v>8.2859702192051049E-2</v>
      </c>
      <c r="CH70" s="244"/>
      <c r="CI70" s="244"/>
      <c r="CJ70" s="244"/>
      <c r="CK70" s="244"/>
      <c r="CL70" s="244"/>
      <c r="CM70" s="244"/>
      <c r="CN70" s="244"/>
      <c r="CO70" s="244"/>
      <c r="CP70" s="244"/>
      <c r="CQ70" s="244"/>
      <c r="CR70" s="244"/>
      <c r="CS70" s="244"/>
      <c r="CT70" s="244"/>
      <c r="CU70" s="244"/>
      <c r="CV70" s="244"/>
      <c r="CW70" s="244"/>
      <c r="CX70" s="244"/>
      <c r="CY70" s="244"/>
      <c r="CZ70" s="244"/>
      <c r="DA70" s="244"/>
      <c r="DB70" s="244"/>
      <c r="DC70" s="244"/>
      <c r="DD70" s="244"/>
      <c r="DE70" s="244"/>
      <c r="DF70" s="244"/>
      <c r="DG70" s="244"/>
      <c r="DH70" s="244"/>
      <c r="DI70" s="244"/>
      <c r="DJ70" s="244"/>
      <c r="DK70" s="244"/>
      <c r="DL70" s="244"/>
      <c r="DM70" s="244"/>
      <c r="DN70" s="244"/>
      <c r="DO70" s="244"/>
      <c r="DP70" s="244"/>
      <c r="DQ70" s="244"/>
      <c r="DR70" s="244"/>
      <c r="DS70" s="244"/>
      <c r="DT70" s="244"/>
      <c r="DU70" s="244"/>
      <c r="DV70" s="244"/>
      <c r="DW70" s="244"/>
      <c r="DX70" s="244"/>
      <c r="DY70" s="244"/>
      <c r="DZ70" s="244"/>
      <c r="EA70" s="244"/>
      <c r="EB70" s="244"/>
      <c r="EC70" s="244"/>
      <c r="ED70" s="244"/>
      <c r="EE70" s="244"/>
      <c r="EF70" s="244"/>
      <c r="EG70" s="244"/>
      <c r="EH70" s="244"/>
      <c r="EI70" s="244"/>
      <c r="EJ70" s="244"/>
      <c r="EK70" s="244"/>
      <c r="EL70" s="244"/>
      <c r="EM70" s="244"/>
      <c r="EN70" s="244"/>
      <c r="EO70" s="244"/>
      <c r="EP70" s="244"/>
      <c r="EQ70" s="244"/>
    </row>
    <row r="71" spans="2:147" s="10" customFormat="1" ht="13.8" thickBot="1">
      <c r="B71" s="3"/>
      <c r="C71" s="84"/>
      <c r="D71" s="85"/>
      <c r="E71" s="17"/>
      <c r="F71" s="232"/>
      <c r="G71" s="233"/>
      <c r="H71" s="233"/>
      <c r="I71" s="142"/>
      <c r="J71" s="142"/>
      <c r="K71" s="142"/>
      <c r="L71" s="233"/>
      <c r="M71" s="233"/>
      <c r="N71" s="233"/>
      <c r="O71" s="233"/>
      <c r="P71" s="233"/>
      <c r="Q71" s="142"/>
      <c r="R71" s="9" t="s">
        <v>148</v>
      </c>
      <c r="S71" s="292" t="s">
        <v>1003</v>
      </c>
      <c r="T71" s="305">
        <f ca="1">AVERAGE(AH70,AK70,AJ70)</f>
        <v>9.6396476400441133E-2</v>
      </c>
      <c r="U71" s="131"/>
      <c r="V71" s="226">
        <f t="shared" ref="V71:AN71" si="278">+V58/V83</f>
        <v>0.16109181141439205</v>
      </c>
      <c r="W71" s="226">
        <f t="shared" si="278"/>
        <v>0.15932393104992165</v>
      </c>
      <c r="X71" s="226">
        <f t="shared" si="278"/>
        <v>0.14928831512744126</v>
      </c>
      <c r="Y71" s="226">
        <f t="shared" si="278"/>
        <v>0.10287001938966234</v>
      </c>
      <c r="Z71" s="226">
        <f>+Z58/Z83</f>
        <v>0.11776609360406794</v>
      </c>
      <c r="AA71" s="226">
        <f>+AA58/AA83</f>
        <v>0.11002561101782594</v>
      </c>
      <c r="AB71" s="226">
        <f t="shared" si="278"/>
        <v>0.10921121482706818</v>
      </c>
      <c r="AC71" s="226">
        <f t="shared" ref="AC71:AH71" si="279">+AC58/AC83</f>
        <v>6.1826497540430715E-2</v>
      </c>
      <c r="AD71" s="226">
        <f t="shared" si="279"/>
        <v>0.10113074550883548</v>
      </c>
      <c r="AE71" s="226">
        <f t="shared" si="279"/>
        <v>0.10233252179376423</v>
      </c>
      <c r="AF71" s="226">
        <f t="shared" ref="AF71:AG71" si="280">+AF58/AF83</f>
        <v>0.11247667167372206</v>
      </c>
      <c r="AG71" s="226">
        <f t="shared" si="280"/>
        <v>9.6769551766314119E-2</v>
      </c>
      <c r="AH71" s="1645">
        <f t="shared" si="279"/>
        <v>8.2840660205849098E-2</v>
      </c>
      <c r="AI71" s="226">
        <f t="shared" ref="AI71" ca="1" si="281">+AI58/AI83</f>
        <v>0.10583517813069414</v>
      </c>
      <c r="AJ71" s="226">
        <f t="shared" ref="AJ71:AK71" ca="1" si="282">+AJ58/AJ83</f>
        <v>0.10720620873902996</v>
      </c>
      <c r="AK71" s="226">
        <f t="shared" ca="1" si="282"/>
        <v>0.11075900698690606</v>
      </c>
      <c r="AL71" s="226">
        <f t="shared" ca="1" si="278"/>
        <v>0.11555552060934901</v>
      </c>
      <c r="AM71" s="226">
        <f t="shared" ca="1" si="278"/>
        <v>0.12013589592599279</v>
      </c>
      <c r="AN71" s="226">
        <f t="shared" ca="1" si="278"/>
        <v>0.11871882020395376</v>
      </c>
      <c r="AO71" s="226">
        <f ca="1">+AO58/AO83</f>
        <v>0.10312668142834557</v>
      </c>
      <c r="AP71" s="226">
        <f ca="1">+AP58/AP83</f>
        <v>0.10326782628512773</v>
      </c>
      <c r="AQ71" s="226">
        <f ca="1">+AQ58/AQ83</f>
        <v>0.11821696819975838</v>
      </c>
      <c r="AR71" s="1213">
        <f ca="1">+AR58/AR83</f>
        <v>0.11723907180500341</v>
      </c>
      <c r="AS71" s="227">
        <f ca="1">AR71</f>
        <v>0.11723907180500341</v>
      </c>
      <c r="AT71" s="227">
        <f ca="1">AS71</f>
        <v>0.11723907180500341</v>
      </c>
      <c r="AU71" s="227">
        <f ca="1">AT71</f>
        <v>0.11723907180500341</v>
      </c>
      <c r="AV71" s="227">
        <f ca="1">AU71</f>
        <v>0.11723907180500341</v>
      </c>
      <c r="AW71" s="227">
        <f ca="1">AV71</f>
        <v>0.11723907180500341</v>
      </c>
      <c r="AX71" s="228">
        <f t="shared" ref="AX71:CG71" ca="1" si="283">IF(AW71&lt;=$C$15/100,$C$15/100,AW71-($AU71-$C$15/100)/$C$52)</f>
        <v>0.1163179554677176</v>
      </c>
      <c r="AY71" s="228">
        <f t="shared" ca="1" si="283"/>
        <v>0.11539683913043179</v>
      </c>
      <c r="AZ71" s="228">
        <f t="shared" ca="1" si="283"/>
        <v>0.11447572279314598</v>
      </c>
      <c r="BA71" s="228">
        <f t="shared" ca="1" si="283"/>
        <v>0.11355460645586017</v>
      </c>
      <c r="BB71" s="228">
        <f t="shared" ca="1" si="283"/>
        <v>0.11263349011857436</v>
      </c>
      <c r="BC71" s="228">
        <f t="shared" ca="1" si="283"/>
        <v>0.11171237378128855</v>
      </c>
      <c r="BD71" s="228">
        <f t="shared" ca="1" si="283"/>
        <v>0.11079125744400274</v>
      </c>
      <c r="BE71" s="228">
        <f t="shared" ca="1" si="283"/>
        <v>0.10987014110671693</v>
      </c>
      <c r="BF71" s="228">
        <f t="shared" ca="1" si="283"/>
        <v>0.10894902476943112</v>
      </c>
      <c r="BG71" s="228">
        <f t="shared" ca="1" si="283"/>
        <v>0.10802790843214531</v>
      </c>
      <c r="BH71" s="228">
        <f t="shared" ca="1" si="283"/>
        <v>0.1071067920948595</v>
      </c>
      <c r="BI71" s="228">
        <f t="shared" ca="1" si="283"/>
        <v>0.10618567575757369</v>
      </c>
      <c r="BJ71" s="228">
        <f t="shared" ca="1" si="283"/>
        <v>0.10526455942028788</v>
      </c>
      <c r="BK71" s="228">
        <f t="shared" ca="1" si="283"/>
        <v>0.10434344308300207</v>
      </c>
      <c r="BL71" s="228">
        <f t="shared" ca="1" si="283"/>
        <v>0.10342232674571626</v>
      </c>
      <c r="BM71" s="228">
        <f t="shared" ca="1" si="283"/>
        <v>0.10250121040843045</v>
      </c>
      <c r="BN71" s="228">
        <f t="shared" ca="1" si="283"/>
        <v>0.10158009407114464</v>
      </c>
      <c r="BO71" s="228">
        <f t="shared" ca="1" si="283"/>
        <v>0.10065897773385883</v>
      </c>
      <c r="BP71" s="228">
        <f t="shared" ca="1" si="283"/>
        <v>9.9737861396573022E-2</v>
      </c>
      <c r="BQ71" s="228">
        <f t="shared" ca="1" si="283"/>
        <v>9.8816745059287212E-2</v>
      </c>
      <c r="BR71" s="228">
        <f t="shared" ca="1" si="283"/>
        <v>9.7895628722001402E-2</v>
      </c>
      <c r="BS71" s="228">
        <f t="shared" ca="1" si="283"/>
        <v>9.6974512384715592E-2</v>
      </c>
      <c r="BT71" s="228">
        <f t="shared" ca="1" si="283"/>
        <v>9.6053396047429782E-2</v>
      </c>
      <c r="BU71" s="228">
        <f t="shared" ca="1" si="283"/>
        <v>9.5132279710143972E-2</v>
      </c>
      <c r="BV71" s="228">
        <f t="shared" ca="1" si="283"/>
        <v>9.4211163372858162E-2</v>
      </c>
      <c r="BW71" s="228">
        <f t="shared" ca="1" si="283"/>
        <v>9.3290047035572352E-2</v>
      </c>
      <c r="BX71" s="228">
        <f t="shared" ca="1" si="283"/>
        <v>9.2368930698286542E-2</v>
      </c>
      <c r="BY71" s="228">
        <f t="shared" ca="1" si="283"/>
        <v>9.1447814361000732E-2</v>
      </c>
      <c r="BZ71" s="228">
        <f t="shared" ca="1" si="283"/>
        <v>9.0526698023714922E-2</v>
      </c>
      <c r="CA71" s="228">
        <f t="shared" ca="1" si="283"/>
        <v>8.9605581686429112E-2</v>
      </c>
      <c r="CB71" s="228">
        <f t="shared" ca="1" si="283"/>
        <v>8.8684465349143302E-2</v>
      </c>
      <c r="CC71" s="228">
        <f t="shared" ca="1" si="283"/>
        <v>8.7763349011857492E-2</v>
      </c>
      <c r="CD71" s="228">
        <f t="shared" ca="1" si="283"/>
        <v>8.6842232674571682E-2</v>
      </c>
      <c r="CE71" s="228">
        <f t="shared" ca="1" si="283"/>
        <v>8.5921116337285872E-2</v>
      </c>
      <c r="CF71" s="228">
        <f t="shared" ca="1" si="283"/>
        <v>8.5000000000000062E-2</v>
      </c>
      <c r="CG71" s="228">
        <f t="shared" ca="1" si="283"/>
        <v>8.4078883662714252E-2</v>
      </c>
      <c r="CH71" s="131"/>
      <c r="CI71" s="131"/>
      <c r="CJ71" s="131"/>
      <c r="CK71" s="131"/>
      <c r="CL71" s="131"/>
      <c r="CM71" s="131"/>
      <c r="CN71" s="131"/>
      <c r="CO71" s="131"/>
      <c r="CP71" s="131"/>
      <c r="CQ71" s="131"/>
      <c r="CR71" s="131"/>
      <c r="CS71" s="131"/>
      <c r="CT71" s="131"/>
      <c r="CU71" s="131"/>
      <c r="CV71" s="131"/>
      <c r="CW71" s="131"/>
      <c r="CX71" s="131"/>
      <c r="CY71" s="131"/>
      <c r="CZ71" s="131"/>
      <c r="DA71" s="131"/>
      <c r="DB71" s="131"/>
      <c r="DC71" s="131"/>
      <c r="DD71" s="131"/>
      <c r="DE71" s="131"/>
      <c r="DF71" s="131"/>
      <c r="DG71" s="131"/>
      <c r="DH71" s="131"/>
      <c r="DI71" s="131"/>
      <c r="DJ71" s="131"/>
      <c r="DK71" s="131"/>
      <c r="DL71" s="131"/>
      <c r="DM71" s="131"/>
      <c r="DN71" s="131"/>
      <c r="DO71" s="131"/>
      <c r="DP71" s="131"/>
      <c r="DQ71" s="131"/>
      <c r="DR71" s="131"/>
      <c r="DS71" s="131"/>
      <c r="DT71" s="131"/>
      <c r="DU71" s="131"/>
      <c r="DV71" s="131"/>
      <c r="DW71" s="131"/>
      <c r="DX71" s="131"/>
      <c r="DY71" s="131"/>
      <c r="DZ71" s="131"/>
      <c r="EA71" s="131"/>
      <c r="EB71" s="131"/>
      <c r="EC71" s="131"/>
      <c r="ED71" s="131"/>
      <c r="EE71" s="131"/>
      <c r="EF71" s="131"/>
      <c r="EG71" s="131"/>
      <c r="EH71" s="131"/>
      <c r="EI71" s="131"/>
      <c r="EJ71" s="131"/>
      <c r="EK71" s="131"/>
      <c r="EL71" s="131"/>
      <c r="EM71" s="131"/>
      <c r="EN71" s="131"/>
      <c r="EO71" s="131"/>
      <c r="EP71" s="131"/>
      <c r="EQ71" s="131"/>
    </row>
    <row r="72" spans="2:147" s="10" customFormat="1">
      <c r="B72" s="3"/>
      <c r="C72" s="84"/>
      <c r="D72" s="85"/>
      <c r="E72" s="17"/>
      <c r="F72" s="232"/>
      <c r="G72" s="233"/>
      <c r="H72" s="233"/>
      <c r="I72" s="142"/>
      <c r="J72" s="142"/>
      <c r="K72" s="142"/>
      <c r="L72" s="233"/>
      <c r="M72" s="233"/>
      <c r="N72" s="233"/>
      <c r="O72" s="233"/>
      <c r="P72" s="233"/>
      <c r="Q72" s="142"/>
      <c r="R72" s="9"/>
      <c r="S72" s="292"/>
      <c r="T72" s="131"/>
      <c r="U72" s="131"/>
      <c r="V72" s="131"/>
      <c r="W72" s="131"/>
      <c r="X72" s="131"/>
      <c r="Y72" s="131"/>
      <c r="Z72" s="131"/>
      <c r="AA72" s="131"/>
      <c r="AB72" s="131"/>
      <c r="AC72" s="131"/>
      <c r="AD72" s="131"/>
      <c r="AE72" s="131"/>
      <c r="AF72" s="131"/>
      <c r="AG72" s="131"/>
      <c r="AH72" s="1630"/>
      <c r="AI72" s="131"/>
      <c r="AJ72" s="131"/>
      <c r="AK72" s="131"/>
      <c r="AL72" s="131"/>
      <c r="AM72" s="131"/>
      <c r="AN72" s="131"/>
      <c r="AO72" s="131"/>
      <c r="AP72" s="131"/>
      <c r="AQ72" s="131"/>
      <c r="AR72" s="131"/>
      <c r="AS72" s="137"/>
      <c r="AT72" s="137"/>
      <c r="AU72" s="137"/>
      <c r="AV72" s="137"/>
      <c r="AW72" s="137"/>
      <c r="AX72" s="137"/>
      <c r="AY72" s="137"/>
      <c r="AZ72" s="137"/>
      <c r="BA72" s="137"/>
      <c r="BB72" s="137"/>
      <c r="BC72" s="137"/>
      <c r="BD72" s="137"/>
      <c r="BE72" s="137"/>
      <c r="BF72" s="137"/>
      <c r="BG72" s="137"/>
      <c r="BH72" s="137"/>
      <c r="BI72" s="137"/>
      <c r="BJ72" s="137"/>
      <c r="BK72" s="137"/>
      <c r="BL72" s="137"/>
      <c r="BM72" s="137"/>
      <c r="BN72" s="137"/>
      <c r="BO72" s="137"/>
      <c r="BP72" s="137"/>
      <c r="BQ72" s="137"/>
      <c r="BR72" s="137"/>
      <c r="BS72" s="137"/>
      <c r="BT72" s="137"/>
      <c r="BU72" s="137"/>
      <c r="BV72" s="137"/>
      <c r="BW72" s="137"/>
      <c r="BX72" s="137"/>
      <c r="BY72" s="137"/>
      <c r="BZ72" s="137"/>
      <c r="CA72" s="137"/>
      <c r="CB72" s="137"/>
      <c r="CC72" s="137"/>
      <c r="CD72" s="137"/>
      <c r="CE72" s="137"/>
      <c r="CF72" s="137"/>
      <c r="CG72" s="137"/>
      <c r="CH72" s="247"/>
      <c r="CI72" s="247"/>
      <c r="CJ72" s="247"/>
      <c r="CK72" s="247"/>
      <c r="CL72" s="247"/>
      <c r="CM72" s="247"/>
      <c r="CN72" s="247"/>
      <c r="CO72" s="247"/>
      <c r="CP72" s="247"/>
      <c r="CQ72" s="247"/>
      <c r="CR72" s="247"/>
      <c r="CS72" s="247"/>
      <c r="CT72" s="247"/>
      <c r="CU72" s="247"/>
      <c r="CV72" s="247"/>
      <c r="CW72" s="247"/>
      <c r="CX72" s="247"/>
      <c r="CY72" s="247"/>
      <c r="CZ72" s="247"/>
      <c r="DA72" s="247"/>
      <c r="DB72" s="247"/>
      <c r="DC72" s="247"/>
      <c r="DD72" s="247"/>
      <c r="DE72" s="247"/>
      <c r="DF72" s="247"/>
      <c r="DG72" s="247"/>
      <c r="DH72" s="247"/>
      <c r="DI72" s="247"/>
      <c r="DJ72" s="247"/>
      <c r="DK72" s="247"/>
      <c r="DL72" s="247"/>
      <c r="DM72" s="247"/>
      <c r="DN72" s="247"/>
      <c r="DO72" s="247"/>
      <c r="DP72" s="247"/>
      <c r="DQ72" s="247"/>
      <c r="DR72" s="247"/>
      <c r="DS72" s="247"/>
      <c r="DT72" s="247"/>
      <c r="DU72" s="247"/>
      <c r="DV72" s="247"/>
      <c r="DW72" s="247"/>
      <c r="DX72" s="247"/>
      <c r="DY72" s="247"/>
      <c r="DZ72" s="247"/>
      <c r="EA72" s="247"/>
      <c r="EB72" s="247"/>
      <c r="EC72" s="247"/>
      <c r="ED72" s="247"/>
      <c r="EE72" s="247"/>
      <c r="EF72" s="247"/>
      <c r="EG72" s="247"/>
      <c r="EH72" s="247"/>
      <c r="EI72" s="247"/>
      <c r="EJ72" s="247"/>
      <c r="EK72" s="247"/>
      <c r="EL72" s="247"/>
      <c r="EM72" s="247"/>
      <c r="EN72" s="247"/>
      <c r="EO72" s="247"/>
      <c r="EP72" s="247"/>
      <c r="EQ72" s="247"/>
    </row>
    <row r="73" spans="2:147" s="10" customFormat="1">
      <c r="B73" s="3"/>
      <c r="C73" s="84"/>
      <c r="D73" s="85"/>
      <c r="E73" s="17"/>
      <c r="F73" s="232"/>
      <c r="G73" s="233"/>
      <c r="H73" s="233"/>
      <c r="I73" s="142"/>
      <c r="J73" s="142"/>
      <c r="K73" s="142"/>
      <c r="L73" s="233"/>
      <c r="M73" s="1556">
        <f>AVERAGE(AE73,AF73,AG73)</f>
        <v>6.2090132374340169E-2</v>
      </c>
      <c r="N73" s="1555">
        <f ca="1">AVERAGE(AH73:AK73)</f>
        <v>4.0248150586200793E-2</v>
      </c>
      <c r="O73" s="1555">
        <f ca="1">AVERAGE(AH73:AR73)</f>
        <v>3.3062276869396043E-2</v>
      </c>
      <c r="P73" s="1555">
        <f ca="1">AL73</f>
        <v>4.5890699886931952E-2</v>
      </c>
      <c r="Q73" s="142"/>
      <c r="R73" s="9" t="s">
        <v>317</v>
      </c>
      <c r="S73" s="292"/>
      <c r="T73" s="131"/>
      <c r="U73" s="131"/>
      <c r="V73" s="229"/>
      <c r="W73" s="229">
        <f t="shared" ref="W73:AR73" si="284">+W49/V49-1</f>
        <v>6.52110625909752E-2</v>
      </c>
      <c r="X73" s="229">
        <f t="shared" si="284"/>
        <v>4.0338890407215056E-2</v>
      </c>
      <c r="Y73" s="229">
        <f t="shared" si="284"/>
        <v>2.2592339620659541E-3</v>
      </c>
      <c r="Z73" s="229">
        <f t="shared" si="284"/>
        <v>3.7743761794926112E-3</v>
      </c>
      <c r="AA73" s="229">
        <f t="shared" si="284"/>
        <v>-1.7756423647378172E-3</v>
      </c>
      <c r="AB73" s="229">
        <f t="shared" si="284"/>
        <v>-1.0672805273621466E-2</v>
      </c>
      <c r="AC73" s="229">
        <f t="shared" si="284"/>
        <v>-6.5362242199894283E-2</v>
      </c>
      <c r="AD73" s="229">
        <f t="shared" si="284"/>
        <v>-1.9067556863188839E-2</v>
      </c>
      <c r="AE73" s="229">
        <f t="shared" ref="AE73:AI76" si="285">+AE49/AD49-1</f>
        <v>6.1717713560592857E-2</v>
      </c>
      <c r="AF73" s="229">
        <f t="shared" si="285"/>
        <v>0.12984190796979411</v>
      </c>
      <c r="AG73" s="229">
        <f t="shared" si="285"/>
        <v>-5.2892244073664552E-3</v>
      </c>
      <c r="AH73" s="1646">
        <f t="shared" si="285"/>
        <v>5.399526272538302E-2</v>
      </c>
      <c r="AI73" s="229">
        <f t="shared" ca="1" si="285"/>
        <v>3.4857136254184962E-2</v>
      </c>
      <c r="AJ73" s="229">
        <f t="shared" ref="AJ73:AJ76" ca="1" si="286">+AJ49/AI49-1</f>
        <v>3.3652298159260186E-2</v>
      </c>
      <c r="AK73" s="229">
        <f t="shared" ref="AK73:AK76" ca="1" si="287">+AK49/AJ49-1</f>
        <v>3.8487905205975004E-2</v>
      </c>
      <c r="AL73" s="229">
        <f t="shared" ca="1" si="284"/>
        <v>4.5890699886931952E-2</v>
      </c>
      <c r="AM73" s="229">
        <f t="shared" ca="1" si="284"/>
        <v>3.8206517752297886E-2</v>
      </c>
      <c r="AN73" s="229">
        <f t="shared" ca="1" si="284"/>
        <v>2.3795180722891551E-2</v>
      </c>
      <c r="AO73" s="229">
        <f t="shared" ca="1" si="284"/>
        <v>2.3757575757575866E-2</v>
      </c>
      <c r="AP73" s="229">
        <f t="shared" ca="1" si="284"/>
        <v>2.3719512195121917E-2</v>
      </c>
      <c r="AQ73" s="229">
        <f t="shared" ca="1" si="284"/>
        <v>2.3680981595092021E-2</v>
      </c>
      <c r="AR73" s="229">
        <f t="shared" ca="1" si="284"/>
        <v>2.3641975308642094E-2</v>
      </c>
      <c r="AS73" s="137"/>
      <c r="AT73" s="137"/>
      <c r="AU73" s="137"/>
      <c r="AV73" s="137"/>
      <c r="AW73" s="137"/>
      <c r="AX73" s="137"/>
      <c r="AY73" s="137"/>
      <c r="AZ73" s="137"/>
      <c r="BA73" s="137"/>
      <c r="BB73" s="137"/>
      <c r="BC73" s="137"/>
      <c r="BD73" s="137"/>
      <c r="BE73" s="137"/>
      <c r="BF73" s="137"/>
      <c r="BG73" s="137"/>
      <c r="BH73" s="137"/>
      <c r="BI73" s="137"/>
      <c r="BJ73" s="137"/>
      <c r="BK73" s="137"/>
      <c r="BL73" s="137"/>
      <c r="BM73" s="137"/>
      <c r="BN73" s="137"/>
      <c r="BO73" s="137"/>
      <c r="BP73" s="137"/>
      <c r="BQ73" s="137"/>
      <c r="BR73" s="137"/>
      <c r="BS73" s="137"/>
      <c r="BT73" s="137"/>
      <c r="BU73" s="137"/>
      <c r="BV73" s="137"/>
      <c r="BW73" s="137"/>
      <c r="BX73" s="137"/>
      <c r="BY73" s="137"/>
      <c r="BZ73" s="137"/>
      <c r="CA73" s="137"/>
      <c r="CB73" s="137"/>
      <c r="CC73" s="137"/>
      <c r="CD73" s="137"/>
      <c r="CE73" s="137"/>
      <c r="CF73" s="137"/>
      <c r="CG73" s="137"/>
      <c r="CH73" s="247"/>
      <c r="CI73" s="247"/>
      <c r="CJ73" s="247"/>
      <c r="CK73" s="247"/>
      <c r="CL73" s="247"/>
      <c r="CM73" s="247"/>
      <c r="CN73" s="247"/>
      <c r="CO73" s="247"/>
      <c r="CP73" s="247"/>
      <c r="CQ73" s="247"/>
      <c r="CR73" s="247"/>
      <c r="CS73" s="247"/>
      <c r="CT73" s="247"/>
      <c r="CU73" s="247"/>
      <c r="CV73" s="247"/>
      <c r="CW73" s="247"/>
      <c r="CX73" s="247"/>
      <c r="CY73" s="247"/>
      <c r="CZ73" s="247"/>
      <c r="DA73" s="247"/>
      <c r="DB73" s="247"/>
      <c r="DC73" s="247"/>
      <c r="DD73" s="247"/>
      <c r="DE73" s="247"/>
      <c r="DF73" s="247"/>
      <c r="DG73" s="247"/>
      <c r="DH73" s="247"/>
      <c r="DI73" s="247"/>
      <c r="DJ73" s="247"/>
      <c r="DK73" s="247"/>
      <c r="DL73" s="247"/>
      <c r="DM73" s="247"/>
      <c r="DN73" s="247"/>
      <c r="DO73" s="247"/>
      <c r="DP73" s="247"/>
      <c r="DQ73" s="247"/>
      <c r="DR73" s="247"/>
      <c r="DS73" s="247"/>
      <c r="DT73" s="247"/>
      <c r="DU73" s="247"/>
      <c r="DV73" s="247"/>
      <c r="DW73" s="247"/>
      <c r="DX73" s="247"/>
      <c r="DY73" s="247"/>
      <c r="DZ73" s="247"/>
      <c r="EA73" s="247"/>
      <c r="EB73" s="247"/>
      <c r="EC73" s="247"/>
      <c r="ED73" s="247"/>
      <c r="EE73" s="247"/>
      <c r="EF73" s="247"/>
      <c r="EG73" s="247"/>
      <c r="EH73" s="247"/>
      <c r="EI73" s="247"/>
      <c r="EJ73" s="247"/>
      <c r="EK73" s="247"/>
      <c r="EL73" s="247"/>
      <c r="EM73" s="247"/>
      <c r="EN73" s="247"/>
      <c r="EO73" s="247"/>
      <c r="EP73" s="247"/>
      <c r="EQ73" s="247"/>
    </row>
    <row r="74" spans="2:147" s="10" customFormat="1">
      <c r="B74" s="3"/>
      <c r="C74" s="84"/>
      <c r="D74" s="85"/>
      <c r="E74" s="17"/>
      <c r="F74" s="239"/>
      <c r="G74" s="240"/>
      <c r="H74" s="240"/>
      <c r="I74" s="142"/>
      <c r="J74" s="142"/>
      <c r="K74" s="142"/>
      <c r="L74" s="233"/>
      <c r="M74" s="233"/>
      <c r="N74" s="233"/>
      <c r="O74" s="233"/>
      <c r="P74" s="233"/>
      <c r="Q74" s="142"/>
      <c r="R74" s="9" t="s">
        <v>318</v>
      </c>
      <c r="S74" s="292"/>
      <c r="T74" s="131"/>
      <c r="U74" s="131"/>
      <c r="V74" s="229"/>
      <c r="W74" s="229">
        <f t="shared" ref="W74:AD76" si="288">+W50/V50-1</f>
        <v>5.5098684210526327E-2</v>
      </c>
      <c r="X74" s="229">
        <f t="shared" si="288"/>
        <v>0.17225253312548716</v>
      </c>
      <c r="Y74" s="229">
        <f t="shared" si="288"/>
        <v>9.3085106382979621E-3</v>
      </c>
      <c r="Z74" s="229">
        <f t="shared" si="288"/>
        <v>-0.55994729907773388</v>
      </c>
      <c r="AA74" s="229">
        <f t="shared" si="288"/>
        <v>-0.62125748502994016</v>
      </c>
      <c r="AB74" s="229">
        <f t="shared" si="288"/>
        <v>-0.52964426877470361</v>
      </c>
      <c r="AC74" s="229">
        <f t="shared" si="288"/>
        <v>-0.34453781512605042</v>
      </c>
      <c r="AD74" s="229">
        <f t="shared" si="288"/>
        <v>0.41025641025641035</v>
      </c>
      <c r="AE74" s="229">
        <f t="shared" si="285"/>
        <v>0.27272727272727271</v>
      </c>
      <c r="AF74" s="229">
        <f t="shared" si="285"/>
        <v>-0.22857142857142854</v>
      </c>
      <c r="AG74" s="229">
        <f t="shared" si="285"/>
        <v>0.12962962962962954</v>
      </c>
      <c r="AH74" s="1646">
        <f t="shared" si="285"/>
        <v>-0.22131147540983609</v>
      </c>
      <c r="AI74" s="229">
        <f t="shared" si="285"/>
        <v>4.7104210526315748E-2</v>
      </c>
      <c r="AJ74" s="229">
        <f t="shared" si="286"/>
        <v>2.0100000000000007E-2</v>
      </c>
      <c r="AK74" s="229">
        <f t="shared" si="287"/>
        <v>2.0100000000000007E-2</v>
      </c>
      <c r="AL74" s="231">
        <v>0.02</v>
      </c>
      <c r="AM74" s="231">
        <v>0.02</v>
      </c>
      <c r="AN74" s="231">
        <v>0.02</v>
      </c>
      <c r="AO74" s="231">
        <v>0.02</v>
      </c>
      <c r="AP74" s="231">
        <v>0.02</v>
      </c>
      <c r="AQ74" s="231">
        <v>0.02</v>
      </c>
      <c r="AR74" s="231">
        <v>0.02</v>
      </c>
      <c r="AS74" s="137"/>
      <c r="AT74" s="137"/>
      <c r="AU74" s="137"/>
      <c r="AV74" s="137"/>
      <c r="AW74" s="137"/>
      <c r="AX74" s="137"/>
      <c r="AY74" s="137"/>
      <c r="AZ74" s="137"/>
      <c r="BA74" s="137"/>
      <c r="BB74" s="137"/>
      <c r="BC74" s="137"/>
      <c r="BD74" s="137"/>
      <c r="BE74" s="137"/>
      <c r="BF74" s="137"/>
      <c r="BG74" s="137"/>
      <c r="BH74" s="137"/>
      <c r="BI74" s="137"/>
      <c r="BJ74" s="137"/>
      <c r="BK74" s="137"/>
      <c r="BL74" s="137"/>
      <c r="BM74" s="137"/>
      <c r="BN74" s="137"/>
      <c r="BO74" s="137"/>
      <c r="BP74" s="137"/>
      <c r="BQ74" s="137"/>
      <c r="BR74" s="137"/>
      <c r="BS74" s="137"/>
      <c r="BT74" s="137"/>
      <c r="BU74" s="137"/>
      <c r="BV74" s="137"/>
      <c r="BW74" s="137"/>
      <c r="BX74" s="137"/>
      <c r="BY74" s="137"/>
      <c r="BZ74" s="137"/>
      <c r="CA74" s="137"/>
      <c r="CB74" s="137"/>
      <c r="CC74" s="137"/>
      <c r="CD74" s="137"/>
      <c r="CE74" s="137"/>
      <c r="CF74" s="137"/>
      <c r="CG74" s="137"/>
      <c r="CH74" s="251"/>
      <c r="CI74" s="251"/>
      <c r="CJ74" s="251"/>
      <c r="CK74" s="251"/>
      <c r="CL74" s="251"/>
      <c r="CM74" s="251"/>
      <c r="CN74" s="251"/>
      <c r="CO74" s="251"/>
      <c r="CP74" s="251"/>
      <c r="CQ74" s="251"/>
      <c r="CR74" s="251"/>
      <c r="CS74" s="251"/>
      <c r="CT74" s="251"/>
      <c r="CU74" s="251"/>
      <c r="CV74" s="251"/>
      <c r="CW74" s="251"/>
      <c r="CX74" s="251"/>
      <c r="CY74" s="251"/>
      <c r="CZ74" s="251"/>
      <c r="DA74" s="251"/>
      <c r="DB74" s="251"/>
      <c r="DC74" s="251"/>
      <c r="DD74" s="251"/>
      <c r="DE74" s="251"/>
      <c r="DF74" s="251"/>
      <c r="DG74" s="251"/>
      <c r="DH74" s="251"/>
      <c r="DI74" s="251"/>
      <c r="DJ74" s="251"/>
      <c r="DK74" s="251"/>
      <c r="DL74" s="251"/>
      <c r="DM74" s="251"/>
      <c r="DN74" s="251"/>
      <c r="DO74" s="251"/>
      <c r="DP74" s="251"/>
      <c r="DQ74" s="251"/>
      <c r="DR74" s="251"/>
      <c r="DS74" s="251"/>
      <c r="DT74" s="251"/>
      <c r="DU74" s="251"/>
      <c r="DV74" s="251"/>
      <c r="DW74" s="251"/>
      <c r="DX74" s="251"/>
      <c r="DY74" s="251"/>
      <c r="DZ74" s="251"/>
      <c r="EA74" s="251"/>
      <c r="EB74" s="251"/>
      <c r="EC74" s="251"/>
      <c r="ED74" s="251"/>
      <c r="EE74" s="251"/>
      <c r="EF74" s="251"/>
      <c r="EG74" s="251"/>
      <c r="EH74" s="251"/>
      <c r="EI74" s="251"/>
      <c r="EJ74" s="251"/>
      <c r="EK74" s="251"/>
      <c r="EL74" s="251"/>
      <c r="EM74" s="251"/>
      <c r="EN74" s="251"/>
      <c r="EO74" s="251"/>
      <c r="EP74" s="251"/>
      <c r="EQ74" s="251"/>
    </row>
    <row r="75" spans="2:147" s="10" customFormat="1" ht="13.8" thickBot="1">
      <c r="B75" s="3"/>
      <c r="C75" s="84"/>
      <c r="D75" s="85"/>
      <c r="E75" s="17"/>
      <c r="F75" s="232"/>
      <c r="G75" s="233"/>
      <c r="H75" s="233"/>
      <c r="I75" s="142"/>
      <c r="J75" s="142"/>
      <c r="K75" s="142"/>
      <c r="L75" s="233"/>
      <c r="M75" s="1556">
        <f>AVERAGE(AE75,AF75,AG75)</f>
        <v>6.1864116597494835E-2</v>
      </c>
      <c r="N75" s="1555">
        <f ca="1">AVERAGE(AH75:AK75)</f>
        <v>3.9823127779408385E-2</v>
      </c>
      <c r="O75" s="1555">
        <f ca="1">AVERAGE(AH75:AR75)</f>
        <v>3.2883992706938647E-2</v>
      </c>
      <c r="P75" s="1555">
        <f ca="1">AL75</f>
        <v>4.5780521043991662E-2</v>
      </c>
      <c r="Q75" s="142"/>
      <c r="R75" s="182" t="s">
        <v>465</v>
      </c>
      <c r="S75" s="296"/>
      <c r="T75" s="203"/>
      <c r="U75" s="203"/>
      <c r="V75" s="229"/>
      <c r="W75" s="229">
        <f t="shared" si="288"/>
        <v>6.4542439236583204E-2</v>
      </c>
      <c r="X75" s="229">
        <f t="shared" si="288"/>
        <v>4.8983552967616806E-2</v>
      </c>
      <c r="Y75" s="229">
        <f t="shared" si="288"/>
        <v>2.7754784048303893E-3</v>
      </c>
      <c r="Z75" s="229">
        <f t="shared" si="288"/>
        <v>-3.7777993590366155E-2</v>
      </c>
      <c r="AA75" s="229">
        <f t="shared" si="288"/>
        <v>-2.2658457811869148E-2</v>
      </c>
      <c r="AB75" s="229">
        <f t="shared" si="288"/>
        <v>-1.7452367429132032E-2</v>
      </c>
      <c r="AC75" s="229">
        <f t="shared" si="288"/>
        <v>-6.7108098165957197E-2</v>
      </c>
      <c r="AD75" s="229">
        <f t="shared" si="288"/>
        <v>-1.7181162685894535E-2</v>
      </c>
      <c r="AE75" s="229">
        <f t="shared" si="285"/>
        <v>6.3048088496589605E-2</v>
      </c>
      <c r="AF75" s="229">
        <f t="shared" si="285"/>
        <v>0.12713646411818624</v>
      </c>
      <c r="AG75" s="229">
        <f t="shared" si="285"/>
        <v>-4.5922028222913358E-3</v>
      </c>
      <c r="AH75" s="1646">
        <f t="shared" si="285"/>
        <v>5.2381181219664619E-2</v>
      </c>
      <c r="AI75" s="229">
        <f t="shared" ca="1" si="285"/>
        <v>3.4910265258059736E-2</v>
      </c>
      <c r="AJ75" s="229">
        <f t="shared" ca="1" si="286"/>
        <v>3.3592814252971337E-2</v>
      </c>
      <c r="AK75" s="229">
        <f t="shared" ca="1" si="287"/>
        <v>3.8408250386937848E-2</v>
      </c>
      <c r="AL75" s="229">
        <f t="shared" ref="AL75:AR75" ca="1" si="289">+AL51/AK51-1</f>
        <v>4.5780521043991662E-2</v>
      </c>
      <c r="AM75" s="229">
        <f t="shared" ca="1" si="289"/>
        <v>3.8130949230150035E-2</v>
      </c>
      <c r="AN75" s="229">
        <f t="shared" ca="1" si="289"/>
        <v>2.3779703446627387E-2</v>
      </c>
      <c r="AO75" s="229">
        <f t="shared" ca="1" si="289"/>
        <v>2.3742308414144597E-2</v>
      </c>
      <c r="AP75" s="229">
        <f t="shared" ca="1" si="289"/>
        <v>2.3704454751819481E-2</v>
      </c>
      <c r="AQ75" s="229">
        <f t="shared" ca="1" si="289"/>
        <v>2.3666134056110844E-2</v>
      </c>
      <c r="AR75" s="229">
        <f t="shared" ca="1" si="289"/>
        <v>2.3627337715847574E-2</v>
      </c>
      <c r="AS75" s="137"/>
      <c r="AT75" s="137"/>
      <c r="AU75" s="137"/>
      <c r="AV75" s="137"/>
      <c r="AW75" s="137"/>
      <c r="AX75" s="137"/>
      <c r="AY75" s="137"/>
      <c r="AZ75" s="137"/>
      <c r="BA75" s="137"/>
      <c r="BB75" s="137"/>
      <c r="BC75" s="137"/>
      <c r="BD75" s="137"/>
      <c r="BE75" s="137"/>
      <c r="BF75" s="137"/>
      <c r="BG75" s="137"/>
      <c r="BH75" s="137"/>
      <c r="BI75" s="137"/>
      <c r="BJ75" s="137"/>
      <c r="BK75" s="137"/>
      <c r="BL75" s="137"/>
      <c r="BM75" s="137"/>
      <c r="BN75" s="137"/>
      <c r="BO75" s="137"/>
      <c r="BP75" s="137"/>
      <c r="BQ75" s="137"/>
      <c r="BR75" s="137"/>
      <c r="BS75" s="137"/>
      <c r="BT75" s="137"/>
      <c r="BU75" s="137"/>
      <c r="BV75" s="137"/>
      <c r="BW75" s="137"/>
      <c r="BX75" s="137"/>
      <c r="BY75" s="137"/>
      <c r="BZ75" s="137"/>
      <c r="CA75" s="137"/>
      <c r="CB75" s="137"/>
      <c r="CC75" s="137"/>
      <c r="CD75" s="137"/>
      <c r="CE75" s="137"/>
      <c r="CF75" s="137"/>
      <c r="CG75" s="137"/>
      <c r="CH75" s="166"/>
      <c r="CI75" s="166"/>
      <c r="CJ75" s="166"/>
      <c r="CK75" s="166"/>
      <c r="CL75" s="166"/>
      <c r="CM75" s="166"/>
      <c r="CN75" s="166"/>
      <c r="CO75" s="166"/>
      <c r="CP75" s="166"/>
      <c r="CQ75" s="166"/>
      <c r="CR75" s="166"/>
      <c r="CS75" s="166"/>
      <c r="CT75" s="166"/>
      <c r="CU75" s="166"/>
      <c r="CV75" s="166"/>
      <c r="CW75" s="166"/>
      <c r="CX75" s="166"/>
      <c r="CY75" s="166"/>
      <c r="CZ75" s="166"/>
      <c r="DA75" s="166"/>
      <c r="DB75" s="166"/>
      <c r="DC75" s="166"/>
      <c r="DD75" s="166"/>
      <c r="DE75" s="166"/>
      <c r="DF75" s="166"/>
      <c r="DG75" s="166"/>
      <c r="DH75" s="166"/>
      <c r="DI75" s="166"/>
      <c r="DJ75" s="166"/>
      <c r="DK75" s="166"/>
      <c r="DL75" s="166"/>
      <c r="DM75" s="166"/>
      <c r="DN75" s="166"/>
      <c r="DO75" s="166"/>
      <c r="DP75" s="166"/>
      <c r="DQ75" s="166"/>
      <c r="DR75" s="166"/>
      <c r="DS75" s="166"/>
      <c r="DT75" s="166"/>
      <c r="DU75" s="166"/>
      <c r="DV75" s="166"/>
      <c r="DW75" s="166"/>
      <c r="DX75" s="166"/>
      <c r="DY75" s="166"/>
      <c r="DZ75" s="166"/>
      <c r="EA75" s="166"/>
      <c r="EB75" s="166"/>
      <c r="EC75" s="166"/>
      <c r="ED75" s="166"/>
      <c r="EE75" s="166"/>
      <c r="EF75" s="166"/>
      <c r="EG75" s="166"/>
      <c r="EH75" s="166"/>
      <c r="EI75" s="166"/>
      <c r="EJ75" s="166"/>
      <c r="EK75" s="166"/>
      <c r="EL75" s="166"/>
      <c r="EM75" s="166"/>
      <c r="EN75" s="166"/>
      <c r="EO75" s="166"/>
      <c r="EP75" s="166"/>
      <c r="EQ75" s="166"/>
    </row>
    <row r="76" spans="2:147" s="10" customFormat="1" ht="13.8" thickBot="1">
      <c r="B76" s="3"/>
      <c r="C76" s="84"/>
      <c r="D76" s="85"/>
      <c r="E76" s="17"/>
      <c r="F76" s="1274" t="s">
        <v>1182</v>
      </c>
      <c r="H76" s="1275">
        <v>1.6799999999999999E-2</v>
      </c>
      <c r="I76" s="142"/>
      <c r="J76" s="142"/>
      <c r="K76" s="142"/>
      <c r="L76" s="233"/>
      <c r="M76" s="1556">
        <f>AVERAGE(AE76,AF76,AG76)</f>
        <v>5.8724001496441268E-2</v>
      </c>
      <c r="N76" s="1555">
        <f>AVERAGE(AH76:AK76)</f>
        <v>1.9251595090513107E-2</v>
      </c>
      <c r="O76" s="1555">
        <f>AVERAGE(AH76:AR76)</f>
        <v>2.1067282644079244E-2</v>
      </c>
      <c r="P76" s="1555">
        <f>AL76</f>
        <v>2.5000000000000001E-2</v>
      </c>
      <c r="Q76" s="142"/>
      <c r="R76" s="182" t="s">
        <v>755</v>
      </c>
      <c r="S76" s="296"/>
      <c r="T76" s="203"/>
      <c r="U76" s="203"/>
      <c r="V76" s="229"/>
      <c r="W76" s="229">
        <f t="shared" si="288"/>
        <v>6.0918008962092873E-2</v>
      </c>
      <c r="X76" s="229">
        <f t="shared" si="288"/>
        <v>7.0547945205479357E-2</v>
      </c>
      <c r="Y76" s="229">
        <f t="shared" si="288"/>
        <v>0.11313712945190879</v>
      </c>
      <c r="Z76" s="229">
        <f t="shared" si="288"/>
        <v>-0.14100967525625063</v>
      </c>
      <c r="AA76" s="229">
        <f t="shared" si="288"/>
        <v>4.8399687743950093E-2</v>
      </c>
      <c r="AB76" s="229">
        <f t="shared" si="288"/>
        <v>-3.5102648654398494E-2</v>
      </c>
      <c r="AC76" s="229">
        <f t="shared" si="288"/>
        <v>3.4395325763421969E-2</v>
      </c>
      <c r="AD76" s="229">
        <f t="shared" si="288"/>
        <v>-3.5383139720771561E-2</v>
      </c>
      <c r="AE76" s="229">
        <f t="shared" si="285"/>
        <v>5.8336095459065263E-2</v>
      </c>
      <c r="AF76" s="229">
        <f t="shared" si="285"/>
        <v>5.8461217246059016E-2</v>
      </c>
      <c r="AG76" s="229">
        <f t="shared" si="285"/>
        <v>5.9374691784199518E-2</v>
      </c>
      <c r="AH76" s="1646">
        <f t="shared" si="285"/>
        <v>0.19914346895074941</v>
      </c>
      <c r="AI76" s="229">
        <f t="shared" si="285"/>
        <v>-0.11681450150128669</v>
      </c>
      <c r="AJ76" s="229">
        <f t="shared" si="286"/>
        <v>-1.03606220698369E-2</v>
      </c>
      <c r="AK76" s="229">
        <f t="shared" si="287"/>
        <v>5.0380349824266091E-3</v>
      </c>
      <c r="AL76" s="1567">
        <v>2.5000000000000001E-2</v>
      </c>
      <c r="AM76" s="1567">
        <v>2.5000000000000001E-2</v>
      </c>
      <c r="AN76" s="1272">
        <v>2.4733728722819315E-2</v>
      </c>
      <c r="AO76" s="1272">
        <v>0.02</v>
      </c>
      <c r="AP76" s="1272">
        <v>0.02</v>
      </c>
      <c r="AQ76" s="1272">
        <v>0.02</v>
      </c>
      <c r="AR76" s="1273">
        <v>0.02</v>
      </c>
      <c r="AS76" s="137"/>
      <c r="AT76" s="137"/>
      <c r="AU76" s="137"/>
      <c r="AV76" s="137"/>
      <c r="AW76" s="137"/>
      <c r="AX76" s="137"/>
      <c r="AY76" s="137"/>
      <c r="AZ76" s="137"/>
      <c r="BA76" s="137"/>
      <c r="BB76" s="137"/>
      <c r="BC76" s="137"/>
      <c r="BD76" s="137"/>
      <c r="BE76" s="137"/>
      <c r="BF76" s="137"/>
      <c r="BG76" s="137"/>
      <c r="BH76" s="137"/>
      <c r="BI76" s="137"/>
      <c r="BJ76" s="137"/>
      <c r="BK76" s="137"/>
      <c r="BL76" s="137"/>
      <c r="BM76" s="137"/>
      <c r="BN76" s="137"/>
      <c r="BO76" s="137"/>
      <c r="BP76" s="137"/>
      <c r="BQ76" s="137"/>
      <c r="BR76" s="137"/>
      <c r="BS76" s="137"/>
      <c r="BT76" s="137"/>
      <c r="BU76" s="137"/>
      <c r="BV76" s="137"/>
      <c r="BW76" s="137"/>
      <c r="BX76" s="137"/>
      <c r="BY76" s="137"/>
      <c r="BZ76" s="137"/>
      <c r="CA76" s="137"/>
      <c r="CB76" s="137"/>
      <c r="CC76" s="137"/>
      <c r="CD76" s="137"/>
      <c r="CE76" s="137"/>
      <c r="CF76" s="137"/>
      <c r="CG76" s="137"/>
      <c r="CH76" s="251"/>
      <c r="CI76" s="251"/>
      <c r="CJ76" s="251"/>
      <c r="CK76" s="251"/>
      <c r="CL76" s="251"/>
      <c r="CM76" s="251"/>
      <c r="CN76" s="251"/>
      <c r="CO76" s="251"/>
      <c r="CP76" s="251"/>
      <c r="CQ76" s="251"/>
      <c r="CR76" s="251"/>
      <c r="CS76" s="251"/>
      <c r="CT76" s="251"/>
      <c r="CU76" s="251"/>
      <c r="CV76" s="251"/>
      <c r="CW76" s="251"/>
      <c r="CX76" s="251"/>
      <c r="CY76" s="251"/>
      <c r="CZ76" s="251"/>
      <c r="DA76" s="251"/>
      <c r="DB76" s="251"/>
      <c r="DC76" s="251"/>
      <c r="DD76" s="251"/>
      <c r="DE76" s="251"/>
      <c r="DF76" s="251"/>
      <c r="DG76" s="251"/>
      <c r="DH76" s="251"/>
      <c r="DI76" s="251"/>
      <c r="DJ76" s="251"/>
      <c r="DK76" s="251"/>
      <c r="DL76" s="251"/>
      <c r="DM76" s="251"/>
      <c r="DN76" s="251"/>
      <c r="DO76" s="251"/>
      <c r="DP76" s="251"/>
      <c r="DQ76" s="251"/>
      <c r="DR76" s="251"/>
      <c r="DS76" s="251"/>
      <c r="DT76" s="251"/>
      <c r="DU76" s="251"/>
      <c r="DV76" s="251"/>
      <c r="DW76" s="251"/>
      <c r="DX76" s="251"/>
      <c r="DY76" s="251"/>
      <c r="DZ76" s="251"/>
      <c r="EA76" s="251"/>
      <c r="EB76" s="251"/>
      <c r="EC76" s="251"/>
      <c r="ED76" s="251"/>
      <c r="EE76" s="251"/>
      <c r="EF76" s="251"/>
      <c r="EG76" s="251"/>
      <c r="EH76" s="251"/>
      <c r="EI76" s="251"/>
      <c r="EJ76" s="251"/>
      <c r="EK76" s="251"/>
      <c r="EL76" s="251"/>
      <c r="EM76" s="251"/>
      <c r="EN76" s="251"/>
      <c r="EO76" s="251"/>
      <c r="EP76" s="251"/>
      <c r="EQ76" s="251"/>
    </row>
    <row r="77" spans="2:147" s="10" customFormat="1" ht="13.8" thickBot="1">
      <c r="B77" s="3"/>
      <c r="C77" s="84"/>
      <c r="D77" s="85"/>
      <c r="E77" s="17"/>
      <c r="F77" s="10" t="s">
        <v>1183</v>
      </c>
      <c r="H77" s="1286">
        <v>0.03</v>
      </c>
      <c r="I77" s="142"/>
      <c r="J77" s="142"/>
      <c r="K77" s="142"/>
      <c r="L77" s="233"/>
      <c r="M77" s="233"/>
      <c r="N77" s="233"/>
      <c r="O77" s="233"/>
      <c r="P77" s="233"/>
      <c r="Q77" s="142"/>
      <c r="R77" s="112" t="s">
        <v>149</v>
      </c>
      <c r="S77" s="297"/>
      <c r="T77" s="964">
        <f ca="1">AVERAGE(AH77:AR77)</f>
        <v>-0.47075740735303245</v>
      </c>
      <c r="U77" s="234"/>
      <c r="V77" s="166">
        <f t="shared" ref="V77:AN77" si="290">-V52/V51</f>
        <v>-0.44896960469795011</v>
      </c>
      <c r="W77" s="166">
        <f t="shared" si="290"/>
        <v>-0.44744100520992952</v>
      </c>
      <c r="X77" s="166">
        <f t="shared" si="290"/>
        <v>-0.45663923649997568</v>
      </c>
      <c r="Y77" s="166">
        <f t="shared" si="290"/>
        <v>-0.50689521219772748</v>
      </c>
      <c r="Z77" s="166">
        <f>-Z52/Z51</f>
        <v>-0.45251312071053695</v>
      </c>
      <c r="AA77" s="166">
        <f>-AA52/AA51</f>
        <v>-0.48541333195642072</v>
      </c>
      <c r="AB77" s="166">
        <f t="shared" si="290"/>
        <v>-0.47669346786483791</v>
      </c>
      <c r="AC77" s="166">
        <f t="shared" ref="AC77:AH77" si="291">-AC52/AC51</f>
        <v>-0.52856016223524105</v>
      </c>
      <c r="AD77" s="166">
        <f t="shared" si="291"/>
        <v>-0.51877113543875741</v>
      </c>
      <c r="AE77" s="166">
        <f t="shared" si="291"/>
        <v>-0.51647166657680488</v>
      </c>
      <c r="AF77" s="166">
        <f t="shared" ref="AF77:AG77" si="292">-AF52/AF51</f>
        <v>-0.48500358765845492</v>
      </c>
      <c r="AG77" s="166">
        <f t="shared" si="292"/>
        <v>-0.51617088759671292</v>
      </c>
      <c r="AH77" s="1635">
        <f t="shared" si="291"/>
        <v>-0.58815471026074251</v>
      </c>
      <c r="AI77" s="166">
        <f t="shared" ref="AI77" ca="1" si="293">-AI52/AI51</f>
        <v>-0.50192729593466046</v>
      </c>
      <c r="AJ77" s="166">
        <f t="shared" ref="AJ77:AK77" ca="1" si="294">-AJ52/AJ51</f>
        <v>-0.48058288531538934</v>
      </c>
      <c r="AK77" s="166">
        <f t="shared" ca="1" si="294"/>
        <v>-0.46513890709514677</v>
      </c>
      <c r="AL77" s="166">
        <f t="shared" ca="1" si="290"/>
        <v>-0.45589621357316307</v>
      </c>
      <c r="AM77" s="166">
        <f t="shared" ca="1" si="290"/>
        <v>-0.45012974447879095</v>
      </c>
      <c r="AN77" s="166">
        <f t="shared" ca="1" si="290"/>
        <v>-0.45054920498611767</v>
      </c>
      <c r="AO77" s="166">
        <f ca="1">-AO52/AO51</f>
        <v>-0.44890221426692234</v>
      </c>
      <c r="AP77" s="166">
        <f ca="1">-AP52/AP51</f>
        <v>-0.4472777825932841</v>
      </c>
      <c r="AQ77" s="166">
        <f ca="1">-AQ52/AQ51</f>
        <v>-0.44567591235771264</v>
      </c>
      <c r="AR77" s="166">
        <f ca="1">-AR52/AR51</f>
        <v>-0.44409661002142758</v>
      </c>
      <c r="AS77" s="137"/>
      <c r="AT77" s="137"/>
      <c r="AU77" s="137"/>
      <c r="AV77" s="137"/>
      <c r="AW77" s="137"/>
      <c r="AX77" s="137"/>
      <c r="AY77" s="137"/>
      <c r="AZ77" s="137"/>
      <c r="BA77" s="137"/>
      <c r="BB77" s="137"/>
      <c r="BC77" s="137"/>
      <c r="BD77" s="137"/>
      <c r="BE77" s="137"/>
      <c r="BF77" s="137"/>
      <c r="BG77" s="137"/>
      <c r="BH77" s="137"/>
      <c r="BI77" s="137"/>
      <c r="BJ77" s="137"/>
      <c r="BK77" s="137"/>
      <c r="BL77" s="137"/>
      <c r="BM77" s="137"/>
      <c r="BN77" s="137"/>
      <c r="BO77" s="137"/>
      <c r="BP77" s="137"/>
      <c r="BQ77" s="137"/>
      <c r="BR77" s="137"/>
      <c r="BS77" s="137"/>
      <c r="BT77" s="137"/>
      <c r="BU77" s="137"/>
      <c r="BV77" s="137"/>
      <c r="BW77" s="137"/>
      <c r="BX77" s="137"/>
      <c r="BY77" s="137"/>
      <c r="BZ77" s="137"/>
      <c r="CA77" s="137"/>
      <c r="CB77" s="137"/>
      <c r="CC77" s="137"/>
      <c r="CD77" s="137"/>
      <c r="CE77" s="137"/>
      <c r="CF77" s="137"/>
      <c r="CG77" s="137"/>
      <c r="CH77" s="131"/>
      <c r="CI77" s="131"/>
      <c r="CJ77" s="131"/>
      <c r="CK77" s="131"/>
      <c r="CL77" s="131"/>
      <c r="CM77" s="131"/>
      <c r="CN77" s="131"/>
      <c r="CO77" s="131"/>
      <c r="CP77" s="131"/>
      <c r="CQ77" s="131"/>
      <c r="CR77" s="131"/>
      <c r="CS77" s="131"/>
      <c r="CT77" s="131"/>
      <c r="CU77" s="131"/>
      <c r="CV77" s="131"/>
      <c r="CW77" s="131"/>
      <c r="CX77" s="131"/>
      <c r="CY77" s="131"/>
      <c r="CZ77" s="131"/>
      <c r="DA77" s="131"/>
      <c r="DB77" s="131"/>
      <c r="DC77" s="131"/>
      <c r="DD77" s="131"/>
      <c r="DE77" s="131"/>
      <c r="DF77" s="131"/>
      <c r="DG77" s="131"/>
      <c r="DH77" s="131"/>
      <c r="DI77" s="131"/>
      <c r="DJ77" s="131"/>
      <c r="DK77" s="131"/>
      <c r="DL77" s="131"/>
      <c r="DM77" s="131"/>
      <c r="DN77" s="131"/>
      <c r="DO77" s="131"/>
      <c r="DP77" s="131"/>
      <c r="DQ77" s="131"/>
      <c r="DR77" s="131"/>
      <c r="DS77" s="131"/>
      <c r="DT77" s="131"/>
      <c r="DU77" s="131"/>
      <c r="DV77" s="131"/>
      <c r="DW77" s="131"/>
      <c r="DX77" s="131"/>
      <c r="DY77" s="131"/>
      <c r="DZ77" s="131"/>
      <c r="EA77" s="131"/>
      <c r="EB77" s="131"/>
      <c r="EC77" s="131"/>
      <c r="ED77" s="131"/>
      <c r="EE77" s="131"/>
      <c r="EF77" s="131"/>
      <c r="EG77" s="131"/>
      <c r="EH77" s="131"/>
      <c r="EI77" s="131"/>
      <c r="EJ77" s="131"/>
      <c r="EK77" s="131"/>
      <c r="EL77" s="131"/>
      <c r="EM77" s="131"/>
      <c r="EN77" s="131"/>
      <c r="EO77" s="131"/>
      <c r="EP77" s="131"/>
      <c r="EQ77" s="131"/>
    </row>
    <row r="78" spans="2:147" s="10" customFormat="1" ht="13.8" thickBot="1">
      <c r="B78" s="107"/>
      <c r="C78" s="254"/>
      <c r="D78" s="85"/>
      <c r="E78" s="17"/>
      <c r="F78" s="10" t="s">
        <v>1184</v>
      </c>
      <c r="G78" s="109"/>
      <c r="H78" s="1286">
        <v>0.03</v>
      </c>
      <c r="I78" s="142"/>
      <c r="J78" s="142"/>
      <c r="K78" s="142"/>
      <c r="L78" s="1559">
        <f>-AVERAGE(MODEL!DB976,MODEL!CX976,MODEL!CT976,MODEL!CP976,MODEL!CL976,MODEL!CH976,MODEL!CD976,MODEL!BZ976,MODEL!BV976,MODEL!BR976)</f>
        <v>-1.3938552719688756E-3</v>
      </c>
      <c r="M78" s="1557">
        <f t="shared" ref="M78:M79" si="295">AVERAGE(AE78,AF78,AG78)</f>
        <v>-1.6811256644448441E-4</v>
      </c>
      <c r="N78" s="1558">
        <f t="shared" ref="N78:N79" si="296">AVERAGE(AH78:AK78)</f>
        <v>-7.631686314554057E-4</v>
      </c>
      <c r="O78" s="1558">
        <f t="shared" ref="O78:O79" si="297">AVERAGE(AH78:AR78)</f>
        <v>-1.1945011907150548E-3</v>
      </c>
      <c r="P78" s="1558">
        <f t="shared" ref="P78:P79" si="298">AL78</f>
        <v>-9.5158854453245099E-4</v>
      </c>
      <c r="Q78" s="142"/>
      <c r="R78" s="182" t="s">
        <v>150</v>
      </c>
      <c r="S78" s="131" t="s">
        <v>486</v>
      </c>
      <c r="T78" s="306">
        <f>AVERAGE(AH78:AR78)</f>
        <v>-1.1945011907150548E-3</v>
      </c>
      <c r="U78" s="203"/>
      <c r="V78" s="222">
        <f t="shared" ref="V78:AR78" si="299">-V54/V9</f>
        <v>-2.4500021491246924E-3</v>
      </c>
      <c r="W78" s="222">
        <f t="shared" si="299"/>
        <v>-1.8781678652884572E-3</v>
      </c>
      <c r="X78" s="222">
        <f t="shared" si="299"/>
        <v>-2.0956740418160884E-3</v>
      </c>
      <c r="Y78" s="222">
        <f t="shared" si="299"/>
        <v>-3.3690505512600352E-3</v>
      </c>
      <c r="Z78" s="222">
        <f t="shared" si="299"/>
        <v>-2.0513189005341298E-3</v>
      </c>
      <c r="AA78" s="222">
        <f t="shared" si="299"/>
        <v>-1.1300734219214534E-3</v>
      </c>
      <c r="AB78" s="222">
        <f t="shared" si="299"/>
        <v>-1.2839873054839987E-3</v>
      </c>
      <c r="AC78" s="222">
        <f t="shared" si="299"/>
        <v>-4.3981533538730412E-3</v>
      </c>
      <c r="AD78" s="222">
        <f t="shared" si="299"/>
        <v>8.9404255453344223E-4</v>
      </c>
      <c r="AE78" s="222">
        <f t="shared" si="299"/>
        <v>3.4293806272514549E-4</v>
      </c>
      <c r="AF78" s="222">
        <f t="shared" ref="AF78:AG78" si="300">-AF54/AF9</f>
        <v>-3.445342108408744E-4</v>
      </c>
      <c r="AG78" s="222">
        <f t="shared" si="300"/>
        <v>-5.0274155121772426E-4</v>
      </c>
      <c r="AH78" s="1643">
        <f t="shared" si="299"/>
        <v>-5.287953657861005E-4</v>
      </c>
      <c r="AI78" s="222">
        <f t="shared" ref="AI78" si="301">-AI54/AI9</f>
        <v>-6.451119957750712E-4</v>
      </c>
      <c r="AJ78" s="222">
        <f t="shared" ref="AJ78:AK78" si="302">-AJ54/AJ9</f>
        <v>-8.8937223465101534E-4</v>
      </c>
      <c r="AK78" s="222">
        <f t="shared" si="302"/>
        <v>-9.8939492960943565E-4</v>
      </c>
      <c r="AL78" s="222">
        <f t="shared" si="299"/>
        <v>-9.5158854453245099E-4</v>
      </c>
      <c r="AM78" s="222">
        <f t="shared" si="299"/>
        <v>-9.5158854453245099E-4</v>
      </c>
      <c r="AN78" s="222">
        <f t="shared" si="299"/>
        <v>-9.5158854453245088E-4</v>
      </c>
      <c r="AO78" s="222">
        <f t="shared" si="299"/>
        <v>-2.6644479246908629E-3</v>
      </c>
      <c r="AP78" s="222">
        <f t="shared" si="299"/>
        <v>-2.6644479246908629E-3</v>
      </c>
      <c r="AQ78" s="222">
        <f t="shared" si="299"/>
        <v>-9.515885445324511E-4</v>
      </c>
      <c r="AR78" s="222">
        <f t="shared" si="299"/>
        <v>-9.5158854453245088E-4</v>
      </c>
      <c r="AS78" s="137"/>
      <c r="AT78" s="137"/>
      <c r="AU78" s="137"/>
      <c r="AV78" s="137"/>
      <c r="AW78" s="137"/>
      <c r="AX78" s="137"/>
      <c r="AY78" s="137"/>
      <c r="AZ78" s="137"/>
      <c r="BA78" s="137"/>
      <c r="BB78" s="137"/>
      <c r="BC78" s="137"/>
      <c r="BD78" s="137"/>
      <c r="BE78" s="137"/>
      <c r="BF78" s="137"/>
      <c r="BG78" s="137"/>
      <c r="BH78" s="137"/>
      <c r="BI78" s="137"/>
      <c r="BJ78" s="137"/>
      <c r="BK78" s="137"/>
      <c r="BL78" s="137"/>
      <c r="BM78" s="137"/>
      <c r="BN78" s="137"/>
      <c r="BO78" s="137"/>
      <c r="BP78" s="137"/>
      <c r="BQ78" s="137"/>
      <c r="BR78" s="137"/>
      <c r="BS78" s="137"/>
      <c r="BT78" s="137"/>
      <c r="BU78" s="137"/>
      <c r="BV78" s="137"/>
      <c r="BW78" s="137"/>
      <c r="BX78" s="137"/>
      <c r="BY78" s="137"/>
      <c r="BZ78" s="137"/>
      <c r="CA78" s="137"/>
      <c r="CB78" s="137"/>
      <c r="CC78" s="137"/>
      <c r="CD78" s="137"/>
      <c r="CE78" s="137"/>
      <c r="CF78" s="137"/>
      <c r="CG78" s="137"/>
      <c r="CH78" s="222"/>
      <c r="CI78" s="222"/>
      <c r="CJ78" s="222"/>
      <c r="CK78" s="222"/>
      <c r="CL78" s="222"/>
      <c r="CM78" s="222"/>
      <c r="CN78" s="222"/>
      <c r="CO78" s="222"/>
      <c r="CP78" s="222"/>
      <c r="CQ78" s="222"/>
      <c r="CR78" s="222"/>
      <c r="CS78" s="222"/>
      <c r="CT78" s="222"/>
      <c r="CU78" s="222"/>
      <c r="CV78" s="222"/>
      <c r="CW78" s="222"/>
      <c r="CX78" s="222"/>
      <c r="CY78" s="222"/>
      <c r="CZ78" s="222"/>
      <c r="DA78" s="222"/>
      <c r="DB78" s="222"/>
      <c r="DC78" s="222"/>
      <c r="DD78" s="222"/>
      <c r="DE78" s="222"/>
      <c r="DF78" s="222"/>
      <c r="DG78" s="222"/>
      <c r="DH78" s="222"/>
      <c r="DI78" s="222"/>
      <c r="DJ78" s="222"/>
      <c r="DK78" s="222"/>
      <c r="DL78" s="222"/>
      <c r="DM78" s="222"/>
      <c r="DN78" s="222"/>
      <c r="DO78" s="222"/>
      <c r="DP78" s="222"/>
      <c r="DQ78" s="222"/>
      <c r="DR78" s="222"/>
      <c r="DS78" s="222"/>
      <c r="DT78" s="222"/>
      <c r="DU78" s="222"/>
      <c r="DV78" s="222"/>
      <c r="DW78" s="222"/>
      <c r="DX78" s="222"/>
      <c r="DY78" s="222"/>
      <c r="DZ78" s="222"/>
      <c r="EA78" s="222"/>
      <c r="EB78" s="222"/>
      <c r="EC78" s="222"/>
      <c r="ED78" s="222"/>
      <c r="EE78" s="222"/>
      <c r="EF78" s="222"/>
      <c r="EG78" s="222"/>
      <c r="EH78" s="222"/>
      <c r="EI78" s="222"/>
      <c r="EJ78" s="222"/>
      <c r="EK78" s="222"/>
      <c r="EL78" s="222"/>
      <c r="EM78" s="222"/>
      <c r="EN78" s="222"/>
      <c r="EO78" s="222"/>
      <c r="EP78" s="222"/>
      <c r="EQ78" s="222"/>
    </row>
    <row r="79" spans="2:147" s="10" customFormat="1">
      <c r="B79" s="3"/>
      <c r="C79" s="84"/>
      <c r="D79" s="85"/>
      <c r="E79" s="17"/>
      <c r="F79" s="10" t="s">
        <v>1185</v>
      </c>
      <c r="H79" s="1276">
        <f>AVERAGE(AL12:AR12)</f>
        <v>3.0881548791684001E-2</v>
      </c>
      <c r="I79" s="258"/>
      <c r="J79" s="258"/>
      <c r="K79" s="258"/>
      <c r="L79" s="1559">
        <f>-AVERAGE(MODEL!DB986,MODEL!CX986,MODEL!CT986,MODEL!CP986,MODEL!CL986,MODEL!CH986,MODEL!CD986,MODEL!BZ986,MODEL!BV986,MODEL!BR986)</f>
        <v>-3.1828642967696172E-3</v>
      </c>
      <c r="M79" s="1557">
        <f t="shared" si="295"/>
        <v>-4.2914465736132185E-4</v>
      </c>
      <c r="N79" s="1558">
        <f t="shared" si="296"/>
        <v>-1.9692133039553757E-3</v>
      </c>
      <c r="O79" s="1558">
        <f t="shared" si="297"/>
        <v>-3.1251684741655916E-3</v>
      </c>
      <c r="P79" s="1558">
        <f t="shared" si="298"/>
        <v>-2.5000000000000001E-3</v>
      </c>
      <c r="Q79" s="258"/>
      <c r="R79" s="182" t="s">
        <v>168</v>
      </c>
      <c r="S79" s="131" t="s">
        <v>486</v>
      </c>
      <c r="T79" s="306">
        <f>AVERAGE(AH79:AR79)</f>
        <v>-3.1251684741655916E-3</v>
      </c>
      <c r="U79" s="203"/>
      <c r="V79" s="222">
        <f t="shared" ref="V79:AH79" si="303">-V54/V8</f>
        <v>-5.087252543626272E-3</v>
      </c>
      <c r="W79" s="222">
        <f t="shared" si="303"/>
        <v>-3.8755588994823444E-3</v>
      </c>
      <c r="X79" s="222">
        <f t="shared" si="303"/>
        <v>-4.3893838834937306E-3</v>
      </c>
      <c r="Y79" s="222">
        <f t="shared" si="303"/>
        <v>-7.5980344552993963E-3</v>
      </c>
      <c r="Z79" s="222">
        <f t="shared" si="303"/>
        <v>-4.8504609758366945E-3</v>
      </c>
      <c r="AA79" s="222">
        <f t="shared" si="303"/>
        <v>-2.6193957115009745E-3</v>
      </c>
      <c r="AB79" s="222">
        <f t="shared" si="303"/>
        <v>-2.8871610309525453E-3</v>
      </c>
      <c r="AC79" s="222">
        <f t="shared" si="303"/>
        <v>-1.0363988735124004E-2</v>
      </c>
      <c r="AD79" s="222">
        <f t="shared" si="303"/>
        <v>2.1672157965951398E-3</v>
      </c>
      <c r="AE79" s="222">
        <f t="shared" si="303"/>
        <v>7.685122001311771E-4</v>
      </c>
      <c r="AF79" s="222">
        <f t="shared" ref="AF79:AG79" si="304">-AF54/AF8</f>
        <v>-7.9905027167709232E-4</v>
      </c>
      <c r="AG79" s="222">
        <f t="shared" si="304"/>
        <v>-1.2568959005380504E-3</v>
      </c>
      <c r="AH79" s="1643">
        <f t="shared" si="303"/>
        <v>-1.3364689339160055E-3</v>
      </c>
      <c r="AI79" s="222">
        <f t="shared" ref="AI79" si="305">-AI54/AI8</f>
        <v>-1.6493741764090071E-3</v>
      </c>
      <c r="AJ79" s="222">
        <f t="shared" ref="AJ79:AK79" si="306">-AJ54/AJ8</f>
        <v>-2.3071657950385167E-3</v>
      </c>
      <c r="AK79" s="222">
        <f t="shared" si="306"/>
        <v>-2.5838443104579745E-3</v>
      </c>
      <c r="AL79" s="223">
        <v>-2.5000000000000001E-3</v>
      </c>
      <c r="AM79" s="223">
        <v>-2.5000000000000001E-3</v>
      </c>
      <c r="AN79" s="223">
        <v>-2.5000000000000001E-3</v>
      </c>
      <c r="AO79" s="437">
        <v>-7.0000000000000001E-3</v>
      </c>
      <c r="AP79" s="437">
        <v>-7.0000000000000001E-3</v>
      </c>
      <c r="AQ79" s="223">
        <v>-2.5000000000000001E-3</v>
      </c>
      <c r="AR79" s="223">
        <v>-2.5000000000000001E-3</v>
      </c>
      <c r="AS79" s="137"/>
      <c r="AT79" s="137"/>
      <c r="AU79" s="137"/>
      <c r="AV79" s="137"/>
      <c r="AW79" s="137"/>
      <c r="AX79" s="137"/>
      <c r="AY79" s="137"/>
      <c r="AZ79" s="137"/>
      <c r="BA79" s="137"/>
      <c r="BB79" s="137"/>
      <c r="BC79" s="137"/>
      <c r="BD79" s="137"/>
      <c r="BE79" s="137"/>
      <c r="BF79" s="137"/>
      <c r="BG79" s="137"/>
      <c r="BH79" s="137"/>
      <c r="BI79" s="137"/>
      <c r="BJ79" s="137"/>
      <c r="BK79" s="137"/>
      <c r="BL79" s="137"/>
      <c r="BM79" s="137"/>
      <c r="BN79" s="137"/>
      <c r="BO79" s="137"/>
      <c r="BP79" s="137"/>
      <c r="BQ79" s="137"/>
      <c r="BR79" s="137"/>
      <c r="BS79" s="137"/>
      <c r="BT79" s="137"/>
      <c r="BU79" s="137"/>
      <c r="BV79" s="137"/>
      <c r="BW79" s="137"/>
      <c r="BX79" s="137"/>
      <c r="BY79" s="137"/>
      <c r="BZ79" s="137"/>
      <c r="CA79" s="137"/>
      <c r="CB79" s="137"/>
      <c r="CC79" s="137"/>
      <c r="CD79" s="137"/>
      <c r="CE79" s="137"/>
      <c r="CF79" s="137"/>
      <c r="CG79" s="137"/>
      <c r="CH79" s="222"/>
      <c r="CI79" s="222"/>
      <c r="CJ79" s="222"/>
      <c r="CK79" s="222"/>
      <c r="CL79" s="222"/>
      <c r="CM79" s="222"/>
      <c r="CN79" s="222"/>
      <c r="CO79" s="222"/>
      <c r="CP79" s="222"/>
      <c r="CQ79" s="222"/>
      <c r="CR79" s="222"/>
      <c r="CS79" s="222"/>
      <c r="CT79" s="222"/>
      <c r="CU79" s="222"/>
      <c r="CV79" s="222"/>
      <c r="CW79" s="222"/>
      <c r="CX79" s="222"/>
      <c r="CY79" s="222"/>
      <c r="CZ79" s="222"/>
      <c r="DA79" s="222"/>
      <c r="DB79" s="222"/>
      <c r="DC79" s="222"/>
      <c r="DD79" s="222"/>
      <c r="DE79" s="222"/>
      <c r="DF79" s="222"/>
      <c r="DG79" s="222"/>
      <c r="DH79" s="222"/>
      <c r="DI79" s="222"/>
      <c r="DJ79" s="222"/>
      <c r="DK79" s="222"/>
      <c r="DL79" s="222"/>
      <c r="DM79" s="222"/>
      <c r="DN79" s="222"/>
      <c r="DO79" s="222"/>
      <c r="DP79" s="222"/>
      <c r="DQ79" s="222"/>
      <c r="DR79" s="222"/>
      <c r="DS79" s="222"/>
      <c r="DT79" s="222"/>
      <c r="DU79" s="222"/>
      <c r="DV79" s="222"/>
      <c r="DW79" s="222"/>
      <c r="DX79" s="222"/>
      <c r="DY79" s="222"/>
      <c r="DZ79" s="222"/>
      <c r="EA79" s="222"/>
      <c r="EB79" s="222"/>
      <c r="EC79" s="222"/>
      <c r="ED79" s="222"/>
      <c r="EE79" s="222"/>
      <c r="EF79" s="222"/>
      <c r="EG79" s="222"/>
      <c r="EH79" s="222"/>
      <c r="EI79" s="222"/>
      <c r="EJ79" s="222"/>
      <c r="EK79" s="222"/>
      <c r="EL79" s="222"/>
      <c r="EM79" s="222"/>
      <c r="EN79" s="222"/>
      <c r="EO79" s="222"/>
      <c r="EP79" s="222"/>
      <c r="EQ79" s="222"/>
    </row>
    <row r="80" spans="2:147" s="10" customFormat="1">
      <c r="B80" s="3"/>
      <c r="C80" s="16"/>
      <c r="D80" s="85"/>
      <c r="E80" s="17"/>
      <c r="F80" s="1277" t="s">
        <v>1186</v>
      </c>
      <c r="G80" s="1278"/>
      <c r="H80" s="1279">
        <f ca="1">T70</f>
        <v>0.10680637607496779</v>
      </c>
      <c r="I80" s="142"/>
      <c r="J80" s="142"/>
      <c r="K80" s="142"/>
      <c r="L80" s="1283"/>
      <c r="M80" s="233"/>
      <c r="N80" s="233"/>
      <c r="O80" s="233"/>
      <c r="P80" s="233"/>
      <c r="Q80" s="142"/>
      <c r="R80" s="112" t="s">
        <v>132</v>
      </c>
      <c r="S80" s="297"/>
      <c r="T80" s="234"/>
      <c r="U80" s="234"/>
      <c r="V80" s="166">
        <f t="shared" ref="V80:AB80" si="307">V56/V55</f>
        <v>0.27246279512140537</v>
      </c>
      <c r="W80" s="166">
        <f t="shared" si="307"/>
        <v>0.27469732424458237</v>
      </c>
      <c r="X80" s="166">
        <f t="shared" si="307"/>
        <v>0.27365883062085594</v>
      </c>
      <c r="Y80" s="166">
        <f t="shared" si="307"/>
        <v>0.28040004878643737</v>
      </c>
      <c r="Z80" s="166">
        <f>Z56/Z55</f>
        <v>0.29284974093264249</v>
      </c>
      <c r="AA80" s="166">
        <f>AA56/AA55</f>
        <v>0.29909463246389306</v>
      </c>
      <c r="AB80" s="166">
        <f t="shared" si="307"/>
        <v>0.29226235948925022</v>
      </c>
      <c r="AC80" s="166">
        <f t="shared" ref="AC80:AH80" si="308">AC56/AC55</f>
        <v>0.33244539158231218</v>
      </c>
      <c r="AD80" s="166">
        <f t="shared" si="308"/>
        <v>0.30837889099631821</v>
      </c>
      <c r="AE80" s="166">
        <f t="shared" si="308"/>
        <v>0.29184782608695653</v>
      </c>
      <c r="AF80" s="166">
        <f t="shared" ref="AF80:AG80" si="309">AF56/AF55</f>
        <v>0.29274783765801732</v>
      </c>
      <c r="AG80" s="166">
        <f t="shared" si="309"/>
        <v>0.30035189401780171</v>
      </c>
      <c r="AH80" s="1635">
        <f t="shared" si="308"/>
        <v>0.32058754954534857</v>
      </c>
      <c r="AI80" s="166">
        <f t="shared" ref="AI80" ca="1" si="310">AI56/AI55</f>
        <v>0.29500000000000004</v>
      </c>
      <c r="AJ80" s="166">
        <f t="shared" ref="AJ80:AK80" ca="1" si="311">AJ56/AJ55</f>
        <v>0.29499999999999993</v>
      </c>
      <c r="AK80" s="166">
        <f t="shared" ca="1" si="311"/>
        <v>0.29499999999999987</v>
      </c>
      <c r="AL80" s="249">
        <v>0.29499999999999998</v>
      </c>
      <c r="AM80" s="249">
        <v>0.29499999999999998</v>
      </c>
      <c r="AN80" s="249">
        <v>0.29499999999999998</v>
      </c>
      <c r="AO80" s="249">
        <v>0.29499999999999998</v>
      </c>
      <c r="AP80" s="249">
        <v>0.29499999999999998</v>
      </c>
      <c r="AQ80" s="249">
        <v>0.29499999999999998</v>
      </c>
      <c r="AR80" s="249">
        <v>0.29499999999999998</v>
      </c>
      <c r="AS80" s="137"/>
      <c r="AT80" s="137"/>
      <c r="AU80" s="137"/>
      <c r="AV80" s="137"/>
      <c r="AW80" s="137"/>
      <c r="AX80" s="137"/>
      <c r="AY80" s="137"/>
      <c r="AZ80" s="137"/>
      <c r="BA80" s="137"/>
      <c r="BB80" s="137"/>
      <c r="BC80" s="137"/>
      <c r="BD80" s="137"/>
      <c r="BE80" s="137"/>
      <c r="BF80" s="137"/>
      <c r="BG80" s="137"/>
      <c r="BH80" s="137"/>
      <c r="BI80" s="137"/>
      <c r="BJ80" s="137"/>
      <c r="BK80" s="137"/>
      <c r="BL80" s="137"/>
      <c r="BM80" s="137"/>
      <c r="BN80" s="137"/>
      <c r="BO80" s="137"/>
      <c r="BP80" s="137"/>
      <c r="BQ80" s="137"/>
      <c r="BR80" s="137"/>
      <c r="BS80" s="137"/>
      <c r="BT80" s="137"/>
      <c r="BU80" s="137"/>
      <c r="BV80" s="137"/>
      <c r="BW80" s="137"/>
      <c r="BX80" s="137"/>
      <c r="BY80" s="137"/>
      <c r="BZ80" s="137"/>
      <c r="CA80" s="137"/>
      <c r="CB80" s="137"/>
      <c r="CC80" s="137"/>
      <c r="CD80" s="137"/>
      <c r="CE80" s="137"/>
      <c r="CF80" s="137"/>
      <c r="CG80" s="137"/>
      <c r="CH80" s="255"/>
      <c r="CI80" s="255"/>
      <c r="CJ80" s="255"/>
      <c r="CK80" s="255"/>
      <c r="CL80" s="255"/>
      <c r="CM80" s="255"/>
      <c r="CN80" s="255"/>
      <c r="CO80" s="255"/>
      <c r="CP80" s="255"/>
      <c r="CQ80" s="255"/>
      <c r="CR80" s="255"/>
      <c r="CS80" s="255"/>
      <c r="CT80" s="255"/>
      <c r="CU80" s="255"/>
      <c r="CV80" s="255"/>
      <c r="CW80" s="255"/>
      <c r="CX80" s="255"/>
      <c r="CY80" s="255"/>
      <c r="CZ80" s="255"/>
      <c r="DA80" s="255"/>
      <c r="DB80" s="255"/>
      <c r="DC80" s="255"/>
      <c r="DD80" s="255"/>
      <c r="DE80" s="255"/>
      <c r="DF80" s="255"/>
      <c r="DG80" s="255"/>
      <c r="DH80" s="255"/>
      <c r="DI80" s="255"/>
      <c r="DJ80" s="255"/>
      <c r="DK80" s="255"/>
      <c r="DL80" s="255"/>
      <c r="DM80" s="255"/>
      <c r="DN80" s="255"/>
      <c r="DO80" s="255"/>
      <c r="DP80" s="255"/>
      <c r="DQ80" s="255"/>
      <c r="DR80" s="255"/>
      <c r="DS80" s="255"/>
      <c r="DT80" s="255"/>
      <c r="DU80" s="255"/>
      <c r="DV80" s="255"/>
      <c r="DW80" s="255"/>
      <c r="DX80" s="255"/>
      <c r="DY80" s="255"/>
      <c r="DZ80" s="255"/>
      <c r="EA80" s="255"/>
      <c r="EB80" s="255"/>
      <c r="EC80" s="255"/>
      <c r="ED80" s="255"/>
      <c r="EE80" s="255"/>
      <c r="EF80" s="255"/>
      <c r="EG80" s="255"/>
      <c r="EH80" s="255"/>
      <c r="EI80" s="255"/>
      <c r="EJ80" s="255"/>
      <c r="EK80" s="255"/>
      <c r="EL80" s="255"/>
      <c r="EM80" s="255"/>
      <c r="EN80" s="255"/>
      <c r="EO80" s="255"/>
      <c r="EP80" s="255"/>
      <c r="EQ80" s="255"/>
    </row>
    <row r="81" spans="2:147" s="108" customFormat="1">
      <c r="B81" s="3"/>
      <c r="C81" s="84"/>
      <c r="D81" s="260"/>
      <c r="E81" s="261"/>
      <c r="F81" s="1280" t="s">
        <v>1187</v>
      </c>
      <c r="G81" s="1281"/>
      <c r="H81" s="1281">
        <f ca="1">H13</f>
        <v>34.165732573856829</v>
      </c>
      <c r="I81" s="189"/>
      <c r="J81" s="189"/>
      <c r="K81" s="189"/>
      <c r="L81" s="225" t="s">
        <v>1249</v>
      </c>
      <c r="M81" s="225"/>
      <c r="N81" s="225"/>
      <c r="O81" s="225"/>
      <c r="P81" s="225"/>
      <c r="Q81" s="189"/>
      <c r="R81" s="10"/>
      <c r="S81" s="292"/>
      <c r="T81" s="131"/>
      <c r="U81" s="131"/>
      <c r="V81" s="131"/>
      <c r="W81" s="131"/>
      <c r="X81" s="131"/>
      <c r="Y81" s="131"/>
      <c r="Z81" s="131"/>
      <c r="AA81" s="131"/>
      <c r="AB81" s="131"/>
      <c r="AC81" s="131"/>
      <c r="AD81" s="131"/>
      <c r="AE81" s="131"/>
      <c r="AF81" s="131"/>
      <c r="AG81" s="131"/>
      <c r="AH81" s="1630"/>
      <c r="AI81" s="131"/>
      <c r="AJ81" s="131"/>
      <c r="AK81" s="131"/>
      <c r="AL81" s="131"/>
      <c r="AM81" s="131"/>
      <c r="AN81" s="131"/>
      <c r="AO81" s="131"/>
      <c r="AP81" s="131"/>
      <c r="AQ81" s="131"/>
      <c r="AR81" s="131"/>
      <c r="AS81" s="131"/>
      <c r="AT81" s="137"/>
      <c r="AU81" s="137"/>
      <c r="AV81" s="137"/>
      <c r="AW81" s="137"/>
      <c r="AX81" s="137"/>
      <c r="AY81" s="137"/>
      <c r="AZ81" s="137"/>
      <c r="BA81" s="137"/>
      <c r="BB81" s="137"/>
      <c r="BC81" s="137"/>
      <c r="BD81" s="137"/>
      <c r="BE81" s="137"/>
      <c r="BF81" s="137"/>
      <c r="BG81" s="137"/>
      <c r="BH81" s="137"/>
      <c r="BI81" s="137"/>
      <c r="BJ81" s="137"/>
      <c r="BK81" s="137"/>
      <c r="BL81" s="137"/>
      <c r="BM81" s="137"/>
      <c r="BN81" s="137"/>
      <c r="BO81" s="137"/>
      <c r="BP81" s="137"/>
      <c r="BQ81" s="137"/>
      <c r="BR81" s="137"/>
      <c r="BS81" s="137"/>
      <c r="BT81" s="137"/>
      <c r="BU81" s="137"/>
      <c r="BV81" s="137"/>
      <c r="BW81" s="137"/>
      <c r="BX81" s="137"/>
      <c r="BY81" s="137"/>
      <c r="BZ81" s="137"/>
      <c r="CA81" s="137"/>
      <c r="CB81" s="137"/>
      <c r="CC81" s="137"/>
      <c r="CD81" s="137"/>
      <c r="CE81" s="137"/>
      <c r="CF81" s="137"/>
      <c r="CG81" s="137"/>
      <c r="CH81" s="222"/>
      <c r="CI81" s="222"/>
      <c r="CJ81" s="222"/>
      <c r="CK81" s="222"/>
      <c r="CL81" s="222"/>
      <c r="CM81" s="222"/>
      <c r="CN81" s="222"/>
      <c r="CO81" s="222"/>
      <c r="CP81" s="222"/>
      <c r="CQ81" s="222"/>
      <c r="CR81" s="222"/>
      <c r="CS81" s="222"/>
      <c r="CT81" s="222"/>
      <c r="CU81" s="222"/>
      <c r="CV81" s="222"/>
      <c r="CW81" s="222"/>
      <c r="CX81" s="222"/>
      <c r="CY81" s="222"/>
      <c r="CZ81" s="222"/>
      <c r="DA81" s="222"/>
      <c r="DB81" s="222"/>
      <c r="DC81" s="222"/>
      <c r="DD81" s="222"/>
      <c r="DE81" s="222"/>
      <c r="DF81" s="222"/>
      <c r="DG81" s="222"/>
      <c r="DH81" s="222"/>
      <c r="DI81" s="222"/>
      <c r="DJ81" s="222"/>
      <c r="DK81" s="222"/>
      <c r="DL81" s="222"/>
      <c r="DM81" s="222"/>
      <c r="DN81" s="222"/>
      <c r="DO81" s="222"/>
      <c r="DP81" s="222"/>
      <c r="DQ81" s="222"/>
      <c r="DR81" s="222"/>
      <c r="DS81" s="222"/>
      <c r="DT81" s="222"/>
      <c r="DU81" s="222"/>
      <c r="DV81" s="222"/>
      <c r="DW81" s="222"/>
      <c r="DX81" s="222"/>
      <c r="DY81" s="222"/>
      <c r="DZ81" s="222"/>
      <c r="EA81" s="222"/>
      <c r="EB81" s="222"/>
      <c r="EC81" s="222"/>
      <c r="ED81" s="222"/>
      <c r="EE81" s="222"/>
      <c r="EF81" s="222"/>
      <c r="EG81" s="222"/>
      <c r="EH81" s="222"/>
      <c r="EI81" s="222"/>
      <c r="EJ81" s="222"/>
      <c r="EK81" s="222"/>
      <c r="EL81" s="222"/>
      <c r="EM81" s="222"/>
      <c r="EN81" s="222"/>
      <c r="EO81" s="222"/>
      <c r="EP81" s="222"/>
      <c r="EQ81" s="222"/>
    </row>
    <row r="82" spans="2:147" s="10" customFormat="1">
      <c r="B82" s="4"/>
      <c r="C82" s="15"/>
      <c r="D82" s="16"/>
      <c r="E82" s="17"/>
      <c r="F82" s="1280" t="s">
        <v>496</v>
      </c>
      <c r="G82" s="1281"/>
      <c r="H82" s="1281">
        <f>H2</f>
        <v>40.35</v>
      </c>
      <c r="I82" s="142"/>
      <c r="J82" s="142"/>
      <c r="K82" s="142"/>
      <c r="L82" s="1559">
        <f>-AVERAGE(MODEL!CD986,MODEL!CH986,MODEL!CL986,MODEL!CP986,MODEL!CT986,MODEL!CX986,MODEL!DB986)</f>
        <v>-2.1415376647237645E-3</v>
      </c>
      <c r="M82" s="233"/>
      <c r="N82" s="233"/>
      <c r="O82" s="233"/>
      <c r="P82" s="233"/>
      <c r="Q82" s="142"/>
      <c r="R82" s="9"/>
      <c r="S82" s="292"/>
      <c r="T82" s="131"/>
      <c r="U82" s="131"/>
      <c r="V82" s="131"/>
      <c r="W82" s="131"/>
      <c r="X82" s="131"/>
      <c r="Y82" s="131"/>
      <c r="Z82" s="131"/>
      <c r="AA82" s="131"/>
      <c r="AB82" s="131"/>
      <c r="AC82" s="131"/>
      <c r="AD82" s="131"/>
      <c r="AE82" s="131"/>
      <c r="AF82" s="131"/>
      <c r="AG82" s="131"/>
      <c r="AH82" s="1630"/>
      <c r="AI82" s="131"/>
      <c r="AJ82" s="131"/>
      <c r="AK82" s="131"/>
      <c r="AL82" s="131"/>
      <c r="AM82" s="131"/>
      <c r="AN82" s="131"/>
      <c r="AO82" s="131"/>
      <c r="AP82" s="131"/>
      <c r="AQ82" s="131"/>
      <c r="AR82" s="131"/>
      <c r="AS82" s="137"/>
      <c r="AT82" s="137"/>
      <c r="AU82" s="137"/>
      <c r="AV82" s="137"/>
      <c r="AW82" s="137"/>
      <c r="AX82" s="137"/>
      <c r="AY82" s="137"/>
      <c r="AZ82" s="137"/>
      <c r="BA82" s="137"/>
      <c r="BB82" s="137"/>
      <c r="BC82" s="137"/>
      <c r="BD82" s="137"/>
      <c r="BE82" s="137"/>
      <c r="BF82" s="137"/>
      <c r="BG82" s="137"/>
      <c r="BH82" s="137"/>
      <c r="BI82" s="137"/>
      <c r="BJ82" s="137"/>
      <c r="BK82" s="137"/>
      <c r="BL82" s="137"/>
      <c r="BM82" s="137"/>
      <c r="BN82" s="137"/>
      <c r="BO82" s="137"/>
      <c r="BP82" s="137"/>
      <c r="BQ82" s="137"/>
      <c r="BR82" s="137"/>
      <c r="BS82" s="137"/>
      <c r="BT82" s="137"/>
      <c r="BU82" s="137"/>
      <c r="BV82" s="137"/>
      <c r="BW82" s="137"/>
      <c r="BX82" s="137"/>
      <c r="BY82" s="137"/>
      <c r="BZ82" s="137"/>
      <c r="CA82" s="137"/>
      <c r="CB82" s="137"/>
      <c r="CC82" s="137"/>
      <c r="CD82" s="137"/>
      <c r="CE82" s="137"/>
      <c r="CF82" s="137"/>
      <c r="CG82" s="137"/>
      <c r="CH82" s="259"/>
      <c r="CI82" s="259"/>
      <c r="CJ82" s="259"/>
      <c r="CK82" s="259"/>
      <c r="CL82" s="259"/>
      <c r="CM82" s="259"/>
      <c r="CN82" s="259"/>
      <c r="CO82" s="259"/>
      <c r="CP82" s="259"/>
      <c r="CQ82" s="259"/>
      <c r="CR82" s="259"/>
      <c r="CS82" s="259"/>
      <c r="CT82" s="259"/>
      <c r="CU82" s="259"/>
      <c r="CV82" s="259"/>
      <c r="CW82" s="259"/>
      <c r="CX82" s="259"/>
      <c r="CY82" s="259"/>
      <c r="CZ82" s="259"/>
      <c r="DA82" s="259"/>
      <c r="DB82" s="259"/>
      <c r="DC82" s="259"/>
      <c r="DD82" s="259"/>
      <c r="DE82" s="259"/>
      <c r="DF82" s="259"/>
      <c r="DG82" s="259"/>
      <c r="DH82" s="259"/>
      <c r="DI82" s="259"/>
      <c r="DJ82" s="259"/>
      <c r="DK82" s="259"/>
      <c r="DL82" s="259"/>
      <c r="DM82" s="259"/>
      <c r="DN82" s="259"/>
      <c r="DO82" s="259"/>
      <c r="DP82" s="259"/>
      <c r="DQ82" s="259"/>
      <c r="DR82" s="259"/>
      <c r="DS82" s="259"/>
      <c r="DT82" s="259"/>
      <c r="DU82" s="259"/>
      <c r="DV82" s="259"/>
      <c r="DW82" s="259"/>
      <c r="DX82" s="259"/>
      <c r="DY82" s="259"/>
      <c r="DZ82" s="259"/>
      <c r="EA82" s="259"/>
      <c r="EB82" s="259"/>
      <c r="EC82" s="259"/>
      <c r="ED82" s="259"/>
      <c r="EE82" s="259"/>
      <c r="EF82" s="259"/>
      <c r="EG82" s="259"/>
      <c r="EH82" s="259"/>
      <c r="EI82" s="259"/>
      <c r="EJ82" s="259"/>
      <c r="EK82" s="259"/>
      <c r="EL82" s="259"/>
      <c r="EM82" s="259"/>
      <c r="EN82" s="259"/>
      <c r="EO82" s="259"/>
      <c r="EP82" s="259"/>
      <c r="EQ82" s="259"/>
    </row>
    <row r="83" spans="2:147" s="10" customFormat="1">
      <c r="B83" s="3"/>
      <c r="C83" s="83"/>
      <c r="D83" s="84"/>
      <c r="E83" s="17"/>
      <c r="F83" s="1282" t="s">
        <v>1188</v>
      </c>
      <c r="G83" s="1283"/>
      <c r="H83" s="1284">
        <f ca="1">+H81/H82-1</f>
        <v>-0.15326561155249496</v>
      </c>
      <c r="I83" s="198"/>
      <c r="J83" s="198"/>
      <c r="K83" s="198"/>
      <c r="L83" s="262"/>
      <c r="M83" s="262"/>
      <c r="N83" s="262"/>
      <c r="O83" s="262"/>
      <c r="P83" s="262"/>
      <c r="Q83" s="198"/>
      <c r="R83" s="10" t="s">
        <v>358</v>
      </c>
      <c r="S83" s="292"/>
      <c r="T83" s="131"/>
      <c r="U83" s="131"/>
      <c r="V83" s="140">
        <f>MODEL!BJ1058+MODEL!BJ1068+MODEL!BJ1081</f>
        <v>40300</v>
      </c>
      <c r="W83" s="140">
        <f>MODEL!BN1058+MODEL!BN1068+MODEL!BN1081</f>
        <v>44670</v>
      </c>
      <c r="X83" s="140">
        <f>MODEL!BR1058+MODEL!BR1068+MODEL!BR1081</f>
        <v>48336</v>
      </c>
      <c r="Y83" s="140">
        <f>MODEL!BV1058+MODEL!BV1068+MODEL!BV1081</f>
        <v>57247</v>
      </c>
      <c r="Z83" s="140">
        <f>MODEL!BZ1058+MODEL!BZ1068+MODEL!BZ1081</f>
        <v>57818</v>
      </c>
      <c r="AA83" s="140">
        <f>MODEL!CD1058+MODEL!CD1068+MODEL!CD1081</f>
        <v>58959</v>
      </c>
      <c r="AB83" s="763">
        <f>MODEL!CH1058+MODEL!CH1068+MODEL!CH1081</f>
        <v>59243</v>
      </c>
      <c r="AC83" s="763">
        <f>MODEL!CL1058+MODEL!CL1068+MODEL!CL1081</f>
        <v>60783</v>
      </c>
      <c r="AD83" s="763">
        <f>MODEL!CP1058+MODEL!CP1068+MODEL!CP1081</f>
        <v>61287</v>
      </c>
      <c r="AE83" s="763">
        <f>MODEL!CT1058+MODEL!CT1068+MODEL!CT1081</f>
        <v>63665</v>
      </c>
      <c r="AF83" s="763">
        <f>MODEL!CX1058+MODEL!CX1068+MODEL!CX1081</f>
        <v>65907</v>
      </c>
      <c r="AG83" s="763">
        <f>MODEL!DB1058+MODEL!DB1068+MODEL!DB1081</f>
        <v>69495</v>
      </c>
      <c r="AH83" s="1631">
        <f>INDEX(MODEL!1058:1058,MATCH(AH$5,MODEL!$7:$7,0))+INDEX(MODEL!1068:1068,MATCH(AH$5,MODEL!$7:$7,0))+INDEX(MODEL!1081:1081,MATCH(AH$5,MODEL!$7:$7,0))</f>
        <v>69857</v>
      </c>
      <c r="AI83" s="763">
        <f>INDEX(MODEL!1058:1058,MATCH(AI$5,MODEL!$7:$7,0))+INDEX(MODEL!1068:1068,MATCH(AI$5,MODEL!$7:$7,0))+INDEX(MODEL!1081:1081,MATCH(AI$5,MODEL!$7:$7,0))</f>
        <v>71128</v>
      </c>
      <c r="AJ83" s="763">
        <f ca="1">INDEX(MODEL!1058:1058,MATCH(AJ$5,MODEL!$7:$7,0))+INDEX(MODEL!1068:1068,MATCH(AJ$5,MODEL!$7:$7,0))+INDEX(MODEL!1081:1081,MATCH(AJ$5,MODEL!$7:$7,0))</f>
        <v>74385.500404853752</v>
      </c>
      <c r="AK83" s="763">
        <f ca="1">INDEX(MODEL!1058:1058,MATCH(AK$5,MODEL!$7:$7,0))+INDEX(MODEL!1068:1068,MATCH(AK$5,MODEL!$7:$7,0))+INDEX(MODEL!1081:1081,MATCH(AK$5,MODEL!$7:$7,0))</f>
        <v>76554.233218012116</v>
      </c>
      <c r="AL83" s="140">
        <f ca="1">AK90</f>
        <v>78464.214539050052</v>
      </c>
      <c r="AM83" s="140">
        <f t="shared" ref="AM83:CG83" ca="1" si="312">AL90</f>
        <v>79300.875790991471</v>
      </c>
      <c r="AN83" s="140">
        <f t="shared" ca="1" si="312"/>
        <v>82061.242512454206</v>
      </c>
      <c r="AO83" s="140">
        <f t="shared" ca="1" si="312"/>
        <v>84575.44454691968</v>
      </c>
      <c r="AP83" s="140">
        <f t="shared" ca="1" si="312"/>
        <v>86663.912179576175</v>
      </c>
      <c r="AQ83" s="140">
        <f t="shared" ca="1" si="312"/>
        <v>89161.255086672696</v>
      </c>
      <c r="AR83" s="140">
        <f t="shared" ca="1" si="312"/>
        <v>92278.174763681163</v>
      </c>
      <c r="AS83" s="140">
        <f ca="1">AR90</f>
        <v>95122.528661293909</v>
      </c>
      <c r="AT83" s="140">
        <f t="shared" ca="1" si="312"/>
        <v>97804.432126504253</v>
      </c>
      <c r="AU83" s="140">
        <f t="shared" ca="1" si="312"/>
        <v>100697.16215873591</v>
      </c>
      <c r="AV83" s="140">
        <f t="shared" ca="1" si="312"/>
        <v>103708.097522742</v>
      </c>
      <c r="AW83" s="140">
        <f t="shared" ca="1" si="312"/>
        <v>106816.93505268107</v>
      </c>
      <c r="AX83" s="140">
        <f t="shared" ca="1" si="312"/>
        <v>110020.86332288537</v>
      </c>
      <c r="AY83" s="140">
        <f t="shared" ca="1" si="312"/>
        <v>113285.87977060895</v>
      </c>
      <c r="AZ83" s="140">
        <f t="shared" ca="1" si="312"/>
        <v>116639.36225068376</v>
      </c>
      <c r="BA83" s="140">
        <f t="shared" ca="1" si="312"/>
        <v>120090.09959458644</v>
      </c>
      <c r="BB83" s="140">
        <f t="shared" ca="1" si="312"/>
        <v>123642.4569816782</v>
      </c>
      <c r="BC83" s="140">
        <f t="shared" ca="1" si="312"/>
        <v>127299.79944928376</v>
      </c>
      <c r="BD83" s="140">
        <f t="shared" ca="1" si="312"/>
        <v>131065.31969168596</v>
      </c>
      <c r="BE83" s="140">
        <f t="shared" ca="1" si="312"/>
        <v>134942.23950420172</v>
      </c>
      <c r="BF83" s="140">
        <f t="shared" ca="1" si="312"/>
        <v>138933.86033400771</v>
      </c>
      <c r="BG83" s="140">
        <f t="shared" ca="1" si="312"/>
        <v>143043.57757590114</v>
      </c>
      <c r="BH83" s="140">
        <f t="shared" ca="1" si="312"/>
        <v>147274.88621761568</v>
      </c>
      <c r="BI83" s="140">
        <f t="shared" ca="1" si="312"/>
        <v>151631.38447433469</v>
      </c>
      <c r="BJ83" s="140">
        <f t="shared" ca="1" si="312"/>
        <v>156116.77700875016</v>
      </c>
      <c r="BK83" s="140">
        <f t="shared" ca="1" si="312"/>
        <v>160734.87812148908</v>
      </c>
      <c r="BL83" s="140">
        <f t="shared" ca="1" si="312"/>
        <v>165489.61500612815</v>
      </c>
      <c r="BM83" s="140">
        <f t="shared" ca="1" si="312"/>
        <v>170385.03109345259</v>
      </c>
      <c r="BN83" s="140">
        <f t="shared" ca="1" si="312"/>
        <v>175425.28949303398</v>
      </c>
      <c r="BO83" s="140">
        <f t="shared" ca="1" si="312"/>
        <v>180614.67653630482</v>
      </c>
      <c r="BP83" s="140">
        <f t="shared" ca="1" si="312"/>
        <v>185957.60542444431</v>
      </c>
      <c r="BQ83" s="140">
        <f t="shared" ca="1" si="312"/>
        <v>191458.61998425212</v>
      </c>
      <c r="BR83" s="140">
        <f t="shared" ca="1" si="312"/>
        <v>197122.39853522592</v>
      </c>
      <c r="BS83" s="140">
        <f t="shared" ca="1" si="312"/>
        <v>202953.75787114067</v>
      </c>
      <c r="BT83" s="140">
        <f t="shared" ca="1" si="312"/>
        <v>208957.65735952029</v>
      </c>
      <c r="BU83" s="140">
        <f t="shared" ca="1" si="312"/>
        <v>215139.20316249406</v>
      </c>
      <c r="BV83" s="140">
        <f t="shared" ca="1" si="312"/>
        <v>221503.65258263296</v>
      </c>
      <c r="BW83" s="140">
        <f t="shared" ca="1" si="312"/>
        <v>228056.41853746655</v>
      </c>
      <c r="BX83" s="140">
        <f t="shared" ca="1" si="312"/>
        <v>234803.07416649137</v>
      </c>
      <c r="BY83" s="140">
        <f t="shared" ca="1" si="312"/>
        <v>241749.35757459569</v>
      </c>
      <c r="BZ83" s="140">
        <f t="shared" ca="1" si="312"/>
        <v>248901.17671593869</v>
      </c>
      <c r="CA83" s="140">
        <f t="shared" ca="1" si="312"/>
        <v>256264.61442244585</v>
      </c>
      <c r="CB83" s="140">
        <f t="shared" ca="1" si="312"/>
        <v>263845.93358120206</v>
      </c>
      <c r="CC83" s="140">
        <f t="shared" ca="1" si="312"/>
        <v>271651.58246515243</v>
      </c>
      <c r="CD83" s="140">
        <f t="shared" ca="1" si="312"/>
        <v>279688.20022165211</v>
      </c>
      <c r="CE83" s="140">
        <f t="shared" ca="1" si="312"/>
        <v>287962.62252353883</v>
      </c>
      <c r="CF83" s="140">
        <f t="shared" ca="1" si="312"/>
        <v>296481.88738754141</v>
      </c>
      <c r="CG83" s="140">
        <f t="shared" ca="1" si="312"/>
        <v>305253.24116498249</v>
      </c>
      <c r="CH83" s="131"/>
      <c r="CI83" s="131"/>
      <c r="CJ83" s="131"/>
      <c r="CK83" s="131"/>
      <c r="CL83" s="131"/>
      <c r="CM83" s="131"/>
      <c r="CN83" s="131"/>
      <c r="CO83" s="131"/>
      <c r="CP83" s="131"/>
      <c r="CQ83" s="131"/>
      <c r="CR83" s="131"/>
      <c r="CS83" s="131"/>
      <c r="CT83" s="131"/>
      <c r="CU83" s="131"/>
      <c r="CV83" s="131"/>
      <c r="CW83" s="131"/>
      <c r="CX83" s="131"/>
      <c r="CY83" s="131"/>
      <c r="CZ83" s="131"/>
      <c r="DA83" s="131"/>
      <c r="DB83" s="131"/>
      <c r="DC83" s="131"/>
      <c r="DD83" s="131"/>
      <c r="DE83" s="131"/>
      <c r="DF83" s="131"/>
      <c r="DG83" s="131"/>
      <c r="DH83" s="131"/>
      <c r="DI83" s="131"/>
      <c r="DJ83" s="131"/>
      <c r="DK83" s="131"/>
      <c r="DL83" s="131"/>
      <c r="DM83" s="131"/>
      <c r="DN83" s="131"/>
      <c r="DO83" s="131"/>
      <c r="DP83" s="131"/>
      <c r="DQ83" s="131"/>
      <c r="DR83" s="131"/>
      <c r="DS83" s="131"/>
      <c r="DT83" s="131"/>
      <c r="DU83" s="131"/>
      <c r="DV83" s="131"/>
      <c r="DW83" s="131"/>
      <c r="DX83" s="131"/>
      <c r="DY83" s="131"/>
      <c r="DZ83" s="131"/>
      <c r="EA83" s="131"/>
      <c r="EB83" s="131"/>
      <c r="EC83" s="131"/>
      <c r="ED83" s="131"/>
      <c r="EE83" s="131"/>
      <c r="EF83" s="131"/>
      <c r="EG83" s="131"/>
      <c r="EH83" s="131"/>
      <c r="EI83" s="131"/>
      <c r="EJ83" s="131"/>
      <c r="EK83" s="131"/>
      <c r="EL83" s="131"/>
      <c r="EM83" s="131"/>
      <c r="EN83" s="131"/>
      <c r="EO83" s="131"/>
      <c r="EP83" s="131"/>
      <c r="EQ83" s="131"/>
    </row>
    <row r="84" spans="2:147" s="10" customFormat="1">
      <c r="B84" s="3"/>
      <c r="C84" s="84"/>
      <c r="D84" s="15"/>
      <c r="F84" s="232"/>
      <c r="G84" s="233"/>
      <c r="H84" s="233"/>
      <c r="L84" s="111"/>
      <c r="M84" s="111"/>
      <c r="N84" s="111"/>
      <c r="O84" s="111"/>
      <c r="P84" s="111"/>
      <c r="R84" s="10" t="s">
        <v>303</v>
      </c>
      <c r="S84" s="292"/>
      <c r="T84" s="131"/>
      <c r="U84" s="131"/>
      <c r="V84" s="140">
        <f>MODEL!BJ1072</f>
        <v>6310</v>
      </c>
      <c r="W84" s="140">
        <f>MODEL!BN1072</f>
        <v>7271</v>
      </c>
      <c r="X84" s="140">
        <f>MODEL!BR1072</f>
        <v>7493</v>
      </c>
      <c r="Y84" s="140">
        <f>MODEL!BV1072</f>
        <v>5709</v>
      </c>
      <c r="Z84" s="140">
        <f>MODEL!BZ1072</f>
        <v>6406</v>
      </c>
      <c r="AA84" s="140">
        <f ca="1">MODEL!CD1072</f>
        <v>6400</v>
      </c>
      <c r="AB84" s="763">
        <f>MODEL!CH1072</f>
        <v>5953</v>
      </c>
      <c r="AC84" s="763">
        <f>MODEL!CL1072</f>
        <v>3577</v>
      </c>
      <c r="AD84" s="763">
        <f>MODEL!CP1072</f>
        <v>6162</v>
      </c>
      <c r="AE84" s="763">
        <f>MODEL!CT1072</f>
        <v>7119</v>
      </c>
      <c r="AF84" s="763">
        <f>MODEL!CX1072</f>
        <v>7106</v>
      </c>
      <c r="AG84" s="763">
        <f>MODEL!DB1072</f>
        <v>6535</v>
      </c>
      <c r="AH84" s="1647">
        <f>INDEX(MODEL!1072:1072,MATCH(AH$5,MODEL!$7:$7,0))</f>
        <v>5891</v>
      </c>
      <c r="AI84" s="1624">
        <f ca="1">INDEX(MODEL!1072:1072,MATCH(AI$5,MODEL!$7:$7,0))</f>
        <v>7527.8445500800135</v>
      </c>
      <c r="AJ84" s="1624">
        <f ca="1">INDEX(MODEL!1072:1072,MATCH(AJ$5,MODEL!$7:$7,0))</f>
        <v>7974.5874835599479</v>
      </c>
      <c r="AK84" s="1624">
        <f ca="1">INDEX(MODEL!1072:1072,MATCH(AK$5,MODEL!$7:$7,0))</f>
        <v>8479.0708518710362</v>
      </c>
      <c r="AL84" s="140">
        <f t="shared" ref="AL84:CD84" ca="1" si="313">AL60</f>
        <v>9066.9731602635802</v>
      </c>
      <c r="AM84" s="140">
        <f t="shared" ca="1" si="313"/>
        <v>9526.8817608666322</v>
      </c>
      <c r="AN84" s="140">
        <f t="shared" ca="1" si="313"/>
        <v>9742.2138955490973</v>
      </c>
      <c r="AO84" s="140">
        <f ca="1">AO60</f>
        <v>8721.9849264508921</v>
      </c>
      <c r="AP84" s="140">
        <f ca="1">AP60</f>
        <v>8949.5938281500385</v>
      </c>
      <c r="AQ84" s="140">
        <f ca="1">AQ60</f>
        <v>10540.373257231731</v>
      </c>
      <c r="AR84" s="140">
        <f ca="1">AR60</f>
        <v>10818.607557153869</v>
      </c>
      <c r="AS84" s="140">
        <f t="shared" ca="1" si="313"/>
        <v>11152.076967994932</v>
      </c>
      <c r="AT84" s="140">
        <f t="shared" ca="1" si="313"/>
        <v>11466.500840926814</v>
      </c>
      <c r="AU84" s="140">
        <f t="shared" ca="1" si="313"/>
        <v>11805.641824888111</v>
      </c>
      <c r="AV84" s="140">
        <f ca="1">AV60</f>
        <v>12158.641092229045</v>
      </c>
      <c r="AW84" s="140">
        <f ca="1">AW60</f>
        <v>12523.118318631663</v>
      </c>
      <c r="AX84" s="140">
        <f t="shared" ca="1" si="313"/>
        <v>12797.401880511226</v>
      </c>
      <c r="AY84" s="140">
        <f t="shared" ca="1" si="313"/>
        <v>13072.832443638399</v>
      </c>
      <c r="AZ84" s="140">
        <f t="shared" ca="1" si="313"/>
        <v>13352.375299778609</v>
      </c>
      <c r="BA84" s="140">
        <f t="shared" ca="1" si="313"/>
        <v>13636.783998708317</v>
      </c>
      <c r="BB84" s="140">
        <f t="shared" ca="1" si="313"/>
        <v>13926.281456682107</v>
      </c>
      <c r="BC84" s="140">
        <f t="shared" ca="1" si="313"/>
        <v>14220.962778361458</v>
      </c>
      <c r="BD84" s="140">
        <f t="shared" ca="1" si="313"/>
        <v>14520.891575942102</v>
      </c>
      <c r="BE84" s="140">
        <f t="shared" ca="1" si="313"/>
        <v>14826.122895583034</v>
      </c>
      <c r="BF84" s="140">
        <f t="shared" ca="1" si="313"/>
        <v>15136.708590842491</v>
      </c>
      <c r="BG84" s="140">
        <f t="shared" ca="1" si="313"/>
        <v>15452.698500175924</v>
      </c>
      <c r="BH84" s="140">
        <f t="shared" ca="1" si="313"/>
        <v>15774.140618904252</v>
      </c>
      <c r="BI84" s="140">
        <f t="shared" ca="1" si="313"/>
        <v>16101.081026463697</v>
      </c>
      <c r="BJ84" s="140">
        <f t="shared" ca="1" si="313"/>
        <v>16433.563749941415</v>
      </c>
      <c r="BK84" s="140">
        <f t="shared" ca="1" si="313"/>
        <v>16771.630606722869</v>
      </c>
      <c r="BL84" s="140">
        <f t="shared" ca="1" si="313"/>
        <v>17115.321036186575</v>
      </c>
      <c r="BM84" s="140">
        <f t="shared" ca="1" si="313"/>
        <v>17464.67192255695</v>
      </c>
      <c r="BN84" s="140">
        <f t="shared" ca="1" si="313"/>
        <v>17819.717409160174</v>
      </c>
      <c r="BO84" s="140">
        <f t="shared" ca="1" si="313"/>
        <v>18180.488703876021</v>
      </c>
      <c r="BP84" s="140">
        <f t="shared" ca="1" si="313"/>
        <v>18547.013875461842</v>
      </c>
      <c r="BQ84" s="140">
        <f t="shared" ca="1" si="313"/>
        <v>18919.317640386795</v>
      </c>
      <c r="BR84" s="140">
        <f t="shared" ca="1" si="313"/>
        <v>19297.421139794871</v>
      </c>
      <c r="BS84" s="140">
        <f t="shared" ca="1" si="313"/>
        <v>19681.341706199499</v>
      </c>
      <c r="BT84" s="140">
        <f t="shared" ca="1" si="313"/>
        <v>20071.092619497133</v>
      </c>
      <c r="BU84" s="140">
        <f t="shared" ca="1" si="313"/>
        <v>20466.682851871876</v>
      </c>
      <c r="BV84" s="140">
        <f t="shared" ca="1" si="313"/>
        <v>20868.116801147251</v>
      </c>
      <c r="BW84" s="140">
        <f t="shared" ca="1" si="313"/>
        <v>21275.39401212443</v>
      </c>
      <c r="BX84" s="140">
        <f t="shared" ca="1" si="313"/>
        <v>21688.508885429277</v>
      </c>
      <c r="BY84" s="140">
        <f t="shared" ca="1" si="313"/>
        <v>22107.450373372812</v>
      </c>
      <c r="BZ84" s="140">
        <f t="shared" ca="1" si="313"/>
        <v>22532.201662311087</v>
      </c>
      <c r="CA84" s="140">
        <f t="shared" ca="1" si="313"/>
        <v>22962.739840971732</v>
      </c>
      <c r="CB84" s="140">
        <f t="shared" ca="1" si="313"/>
        <v>23399.035554194477</v>
      </c>
      <c r="CC84" s="140">
        <f t="shared" ca="1" si="313"/>
        <v>23841.052641512561</v>
      </c>
      <c r="CD84" s="140">
        <f t="shared" ca="1" si="313"/>
        <v>24288.747759980903</v>
      </c>
      <c r="CE84" s="140">
        <f ca="1">CE60</f>
        <v>24742.069990634915</v>
      </c>
      <c r="CF84" s="140">
        <f ca="1">CF60</f>
        <v>25200.960427941038</v>
      </c>
      <c r="CG84" s="140">
        <f ca="1">CG60</f>
        <v>25665.351751577022</v>
      </c>
      <c r="CH84" s="131"/>
      <c r="CI84" s="131"/>
      <c r="CJ84" s="131"/>
      <c r="CK84" s="131"/>
      <c r="CL84" s="131"/>
      <c r="CM84" s="131"/>
      <c r="CN84" s="131"/>
      <c r="CO84" s="131"/>
      <c r="CP84" s="131"/>
      <c r="CQ84" s="131"/>
      <c r="CR84" s="131"/>
      <c r="CS84" s="131"/>
      <c r="CT84" s="131"/>
      <c r="CU84" s="131"/>
      <c r="CV84" s="131"/>
      <c r="CW84" s="131"/>
      <c r="CX84" s="131"/>
      <c r="CY84" s="131"/>
      <c r="CZ84" s="131"/>
      <c r="DA84" s="131"/>
      <c r="DB84" s="131"/>
      <c r="DC84" s="131"/>
      <c r="DD84" s="131"/>
      <c r="DE84" s="131"/>
      <c r="DF84" s="131"/>
      <c r="DG84" s="131"/>
      <c r="DH84" s="131"/>
      <c r="DI84" s="131"/>
      <c r="DJ84" s="131"/>
      <c r="DK84" s="131"/>
      <c r="DL84" s="131"/>
      <c r="DM84" s="131"/>
      <c r="DN84" s="131"/>
      <c r="DO84" s="131"/>
      <c r="DP84" s="131"/>
      <c r="DQ84" s="131"/>
      <c r="DR84" s="131"/>
      <c r="DS84" s="131"/>
      <c r="DT84" s="131"/>
      <c r="DU84" s="131"/>
      <c r="DV84" s="131"/>
      <c r="DW84" s="131"/>
      <c r="DX84" s="131"/>
      <c r="DY84" s="131"/>
      <c r="DZ84" s="131"/>
      <c r="EA84" s="131"/>
      <c r="EB84" s="131"/>
      <c r="EC84" s="131"/>
      <c r="ED84" s="131"/>
      <c r="EE84" s="131"/>
      <c r="EF84" s="131"/>
      <c r="EG84" s="131"/>
      <c r="EH84" s="131"/>
      <c r="EI84" s="131"/>
      <c r="EJ84" s="131"/>
      <c r="EK84" s="131"/>
      <c r="EL84" s="131"/>
      <c r="EM84" s="131"/>
      <c r="EN84" s="131"/>
      <c r="EO84" s="131"/>
      <c r="EP84" s="131"/>
      <c r="EQ84" s="131"/>
    </row>
    <row r="85" spans="2:147" s="10" customFormat="1" ht="13.8" thickBot="1">
      <c r="B85" s="3"/>
      <c r="C85" s="85"/>
      <c r="D85" s="83"/>
      <c r="F85" s="1280" t="s">
        <v>304</v>
      </c>
      <c r="G85" s="233"/>
      <c r="H85" s="233"/>
      <c r="I85" s="173"/>
      <c r="J85" s="173"/>
      <c r="K85" s="173"/>
      <c r="L85" s="124"/>
      <c r="M85" s="124"/>
      <c r="N85" s="124"/>
      <c r="O85" s="124"/>
      <c r="P85" s="124"/>
      <c r="Q85" s="173"/>
      <c r="R85" s="10" t="s">
        <v>497</v>
      </c>
      <c r="S85" s="292"/>
      <c r="T85" s="131"/>
      <c r="U85" s="131"/>
      <c r="V85" s="140">
        <f>MODEL!BJ1075+MODEL!BJ1076</f>
        <v>-4088</v>
      </c>
      <c r="W85" s="140">
        <f>MODEL!BN1075+MODEL!BN1076</f>
        <v>-4694</v>
      </c>
      <c r="X85" s="140">
        <f>MODEL!BR1075+MODEL!BR1076</f>
        <v>-4907</v>
      </c>
      <c r="Y85" s="140">
        <f>MODEL!BV1075+MODEL!BV1076</f>
        <v>-5001</v>
      </c>
      <c r="Z85" s="140">
        <f>MODEL!BZ1075+MODEL!BZ1076</f>
        <v>-4609</v>
      </c>
      <c r="AA85" s="140">
        <f>MODEL!CD1075+MODEL!CD1076</f>
        <v>-4585</v>
      </c>
      <c r="AB85" s="763">
        <f>MODEL!CH1075+MODEL!CH1076</f>
        <v>-4481</v>
      </c>
      <c r="AC85" s="763">
        <f>MODEL!CL1075+MODEL!CL1076</f>
        <v>-2922</v>
      </c>
      <c r="AD85" s="763">
        <f>MODEL!CP1075+MODEL!CP1076</f>
        <v>-2928</v>
      </c>
      <c r="AE85" s="763">
        <f>MODEL!CT1075+MODEL!CT1076</f>
        <v>-4005.7550052799998</v>
      </c>
      <c r="AF85" s="763">
        <f>MODEL!CX1075+MODEL!CX1076</f>
        <v>-4411.7270934200005</v>
      </c>
      <c r="AG85" s="763">
        <f>MODEL!DB1075+MODEL!DB1076</f>
        <v>-5220</v>
      </c>
      <c r="AH85" s="1631">
        <f>INDEX(MODEL!1075:1075,MATCH(AH$5,MODEL!$7:$7,0))+INDEX(MODEL!1076:1076,MATCH(AH$5,MODEL!$7:$7,0))</f>
        <v>-4847</v>
      </c>
      <c r="AI85" s="763">
        <f ca="1">INDEX(MODEL!1075:1075,MATCH(AI$5,MODEL!$7:$7,0))+INDEX(MODEL!1076:1076,MATCH(AI$5,MODEL!$7:$7,0))</f>
        <v>-5030.3937575710897</v>
      </c>
      <c r="AJ85" s="763">
        <f ca="1">INDEX(MODEL!1075:1075,MATCH(AJ$5,MODEL!$7:$7,0))+INDEX(MODEL!1076:1076,MATCH(AJ$5,MODEL!$7:$7,0))</f>
        <v>-5308.4938722530151</v>
      </c>
      <c r="AK85" s="763">
        <f ca="1">INDEX(MODEL!1075:1075,MATCH(AK$5,MODEL!$7:$7,0))+INDEX(MODEL!1076:1076,MATCH(AK$5,MODEL!$7:$7,0))</f>
        <v>-5564.6988297120752</v>
      </c>
      <c r="AL85" s="140">
        <f t="shared" ref="AL85:AU86" ca="1" si="314">-AL84*AL95</f>
        <v>-5893.5325541713273</v>
      </c>
      <c r="AM85" s="140">
        <f t="shared" ca="1" si="314"/>
        <v>-6192.4731445633115</v>
      </c>
      <c r="AN85" s="140">
        <f t="shared" ca="1" si="314"/>
        <v>-6332.4390321069131</v>
      </c>
      <c r="AO85" s="140">
        <f t="shared" ca="1" si="314"/>
        <v>-5669.2902021930804</v>
      </c>
      <c r="AP85" s="140">
        <f t="shared" ca="1" si="314"/>
        <v>-5817.2359882975252</v>
      </c>
      <c r="AQ85" s="140">
        <f t="shared" ca="1" si="314"/>
        <v>-6851.2426172006253</v>
      </c>
      <c r="AR85" s="140">
        <f t="shared" ca="1" si="314"/>
        <v>-7032.0949121500153</v>
      </c>
      <c r="AS85" s="140">
        <f t="shared" ca="1" si="314"/>
        <v>-7248.8500291967057</v>
      </c>
      <c r="AT85" s="140">
        <f t="shared" ca="1" si="314"/>
        <v>-7453.2255466024289</v>
      </c>
      <c r="AU85" s="140">
        <f t="shared" ca="1" si="314"/>
        <v>-7673.667186177272</v>
      </c>
      <c r="AV85" s="140">
        <f t="shared" ref="AV85:BE86" ca="1" si="315">-AV84*AV95</f>
        <v>-7903.1167099488794</v>
      </c>
      <c r="AW85" s="140">
        <f t="shared" ca="1" si="315"/>
        <v>-8140.0269071105813</v>
      </c>
      <c r="AX85" s="140">
        <f t="shared" ca="1" si="315"/>
        <v>-8318.3112223322969</v>
      </c>
      <c r="AY85" s="140">
        <f t="shared" ca="1" si="315"/>
        <v>-8497.3410883649594</v>
      </c>
      <c r="AZ85" s="140">
        <f t="shared" ca="1" si="315"/>
        <v>-8679.0439448560955</v>
      </c>
      <c r="BA85" s="140">
        <f t="shared" ca="1" si="315"/>
        <v>-8863.9095991604063</v>
      </c>
      <c r="BB85" s="140">
        <f t="shared" ca="1" si="315"/>
        <v>-9052.0829468433694</v>
      </c>
      <c r="BC85" s="140">
        <f t="shared" ca="1" si="315"/>
        <v>-9243.6258059349475</v>
      </c>
      <c r="BD85" s="140">
        <f t="shared" ca="1" si="315"/>
        <v>-9438.579524362367</v>
      </c>
      <c r="BE85" s="140">
        <f t="shared" ca="1" si="315"/>
        <v>-9636.9798821289714</v>
      </c>
      <c r="BF85" s="140">
        <f t="shared" ref="BF85:BO86" ca="1" si="316">-BF84*BF95</f>
        <v>-9838.8605840476193</v>
      </c>
      <c r="BG85" s="140">
        <f t="shared" ca="1" si="316"/>
        <v>-10044.254025114351</v>
      </c>
      <c r="BH85" s="140">
        <f t="shared" ca="1" si="316"/>
        <v>-10253.191402287765</v>
      </c>
      <c r="BI85" s="140">
        <f t="shared" ca="1" si="316"/>
        <v>-10465.702667201404</v>
      </c>
      <c r="BJ85" s="140">
        <f t="shared" ca="1" si="316"/>
        <v>-10681.816437461921</v>
      </c>
      <c r="BK85" s="140">
        <f t="shared" ca="1" si="316"/>
        <v>-10901.559894369866</v>
      </c>
      <c r="BL85" s="140">
        <f t="shared" ca="1" si="316"/>
        <v>-11124.958673521274</v>
      </c>
      <c r="BM85" s="140">
        <f t="shared" ca="1" si="316"/>
        <v>-11352.036749662018</v>
      </c>
      <c r="BN85" s="140">
        <f t="shared" ca="1" si="316"/>
        <v>-11582.816315954113</v>
      </c>
      <c r="BO85" s="140">
        <f t="shared" ca="1" si="316"/>
        <v>-11817.317657519414</v>
      </c>
      <c r="BP85" s="140">
        <f t="shared" ref="BP85:BY86" ca="1" si="317">-BP84*BP95</f>
        <v>-12055.559019050197</v>
      </c>
      <c r="BQ85" s="140">
        <f t="shared" ca="1" si="317"/>
        <v>-12297.556466251417</v>
      </c>
      <c r="BR85" s="140">
        <f t="shared" ca="1" si="317"/>
        <v>-12543.323740866666</v>
      </c>
      <c r="BS85" s="140">
        <f t="shared" ca="1" si="317"/>
        <v>-12792.872109029675</v>
      </c>
      <c r="BT85" s="140">
        <f t="shared" ca="1" si="317"/>
        <v>-13046.210202673137</v>
      </c>
      <c r="BU85" s="140">
        <f t="shared" ca="1" si="317"/>
        <v>-13303.34385371672</v>
      </c>
      <c r="BV85" s="140">
        <f t="shared" ca="1" si="317"/>
        <v>-13564.275920745713</v>
      </c>
      <c r="BW85" s="140">
        <f t="shared" ca="1" si="317"/>
        <v>-13829.006107880879</v>
      </c>
      <c r="BX85" s="140">
        <f t="shared" ca="1" si="317"/>
        <v>-14097.530775529031</v>
      </c>
      <c r="BY85" s="140">
        <f t="shared" ca="1" si="317"/>
        <v>-14369.842742692328</v>
      </c>
      <c r="BZ85" s="140">
        <f t="shared" ref="BZ85:CG86" ca="1" si="318">-BZ84*BZ95</f>
        <v>-14645.931080502207</v>
      </c>
      <c r="CA85" s="140">
        <f t="shared" ca="1" si="318"/>
        <v>-14925.780896631626</v>
      </c>
      <c r="CB85" s="140">
        <f t="shared" ca="1" si="318"/>
        <v>-15209.37311022641</v>
      </c>
      <c r="CC85" s="140">
        <f t="shared" ca="1" si="318"/>
        <v>-15496.684216983165</v>
      </c>
      <c r="CD85" s="140">
        <f t="shared" ca="1" si="318"/>
        <v>-15787.686043987587</v>
      </c>
      <c r="CE85" s="140">
        <f t="shared" ca="1" si="318"/>
        <v>-16082.345493912695</v>
      </c>
      <c r="CF85" s="140">
        <f t="shared" ca="1" si="318"/>
        <v>-16380.624278161675</v>
      </c>
      <c r="CG85" s="140">
        <f t="shared" ca="1" si="318"/>
        <v>-16682.478638525066</v>
      </c>
      <c r="CH85" s="204"/>
      <c r="CI85" s="204"/>
      <c r="CJ85" s="204"/>
      <c r="CK85" s="204"/>
      <c r="CL85" s="204"/>
      <c r="CM85" s="204"/>
      <c r="CN85" s="204"/>
      <c r="CO85" s="204"/>
      <c r="CP85" s="204"/>
      <c r="CQ85" s="204"/>
      <c r="CR85" s="204"/>
      <c r="CS85" s="204"/>
      <c r="CT85" s="204"/>
      <c r="CU85" s="204"/>
      <c r="CV85" s="204"/>
      <c r="CW85" s="204"/>
      <c r="CX85" s="204"/>
      <c r="CY85" s="204"/>
      <c r="CZ85" s="204"/>
      <c r="DA85" s="204"/>
      <c r="DB85" s="204"/>
      <c r="DC85" s="204"/>
      <c r="DD85" s="204"/>
      <c r="DE85" s="204"/>
      <c r="DF85" s="204"/>
      <c r="DG85" s="204"/>
      <c r="DH85" s="204"/>
      <c r="DI85" s="204"/>
      <c r="DJ85" s="204"/>
      <c r="DK85" s="204"/>
      <c r="DL85" s="204"/>
      <c r="DM85" s="204"/>
      <c r="DN85" s="204"/>
      <c r="DO85" s="204"/>
      <c r="DP85" s="204"/>
      <c r="DQ85" s="204"/>
      <c r="DR85" s="204"/>
      <c r="DS85" s="204"/>
      <c r="DT85" s="204"/>
      <c r="DU85" s="204"/>
      <c r="DV85" s="204"/>
      <c r="DW85" s="204"/>
      <c r="DX85" s="204"/>
      <c r="DY85" s="204"/>
      <c r="DZ85" s="204"/>
      <c r="EA85" s="204"/>
      <c r="EB85" s="204"/>
      <c r="EC85" s="204"/>
      <c r="ED85" s="204"/>
      <c r="EE85" s="204"/>
      <c r="EF85" s="204"/>
      <c r="EG85" s="204"/>
      <c r="EH85" s="204"/>
      <c r="EI85" s="204"/>
      <c r="EJ85" s="204"/>
      <c r="EK85" s="204"/>
      <c r="EL85" s="204"/>
      <c r="EM85" s="204"/>
      <c r="EN85" s="204"/>
      <c r="EO85" s="204"/>
      <c r="EP85" s="204"/>
      <c r="EQ85" s="204"/>
    </row>
    <row r="86" spans="2:147" s="10" customFormat="1" ht="13.8" thickBot="1">
      <c r="B86" s="3"/>
      <c r="C86" s="84"/>
      <c r="D86" s="84"/>
      <c r="F86" s="1274" t="s">
        <v>1182</v>
      </c>
      <c r="H86" s="1275">
        <v>1.72E-2</v>
      </c>
      <c r="L86" s="111"/>
      <c r="M86" s="111"/>
      <c r="N86" s="111"/>
      <c r="O86" s="111"/>
      <c r="P86" s="111"/>
      <c r="R86" s="10" t="s">
        <v>169</v>
      </c>
      <c r="S86" s="292"/>
      <c r="T86" s="131"/>
      <c r="U86" s="131"/>
      <c r="V86" s="140">
        <f>MODEL!BJ1060+MODEL!BJ1061</f>
        <v>418</v>
      </c>
      <c r="W86" s="140">
        <f>MODEL!BN1060+MODEL!BN1061</f>
        <v>351</v>
      </c>
      <c r="X86" s="140">
        <f>MODEL!BR1060+MODEL!BR1061</f>
        <v>1122</v>
      </c>
      <c r="Y86" s="140">
        <f>MODEL!BV1060+MODEL!BV1061</f>
        <v>413</v>
      </c>
      <c r="Z86" s="140">
        <f>MODEL!BZ1060+MODEL!BZ1061</f>
        <v>199</v>
      </c>
      <c r="AA86" s="140">
        <f>MODEL!CD1060+MODEL!CD1061</f>
        <v>0</v>
      </c>
      <c r="AB86" s="763">
        <f>MODEL!CH1060+MODEL!CH1061</f>
        <v>0</v>
      </c>
      <c r="AC86" s="763">
        <f>MODEL!CL1060+MODEL!CL1061</f>
        <v>61</v>
      </c>
      <c r="AD86" s="763">
        <f>MODEL!CP1060+MODEL!CP1061</f>
        <v>0</v>
      </c>
      <c r="AE86" s="763">
        <f>MODEL!CT1060+MODEL!CT1061</f>
        <v>183.61915615999999</v>
      </c>
      <c r="AF86" s="763">
        <f>MODEL!CX1060+MODEL!CX1061</f>
        <v>206.05503078000004</v>
      </c>
      <c r="AG86" s="763">
        <f>MODEL!DB1060+MODEL!DB1061</f>
        <v>0</v>
      </c>
      <c r="AH86" s="1631">
        <f>INDEX(MODEL!1060:1060,MATCH(AH$5,MODEL!$7:$7,0))+INDEX(MODEL!1061:1061,MATCH(AH$5,MODEL!$7:$7,0))</f>
        <v>192</v>
      </c>
      <c r="AI86" s="763">
        <f ca="1">INDEX(MODEL!1060:1060,MATCH(AI$5,MODEL!$7:$7,0))+INDEX(MODEL!1061:1061,MATCH(AI$5,MODEL!$7:$7,0))</f>
        <v>742.89652481999997</v>
      </c>
      <c r="AJ86" s="763">
        <f ca="1">INDEX(MODEL!1060:1060,MATCH(AJ$5,MODEL!$7:$7,0))+INDEX(MODEL!1061:1061,MATCH(AJ$5,MODEL!$7:$7,0))</f>
        <v>0</v>
      </c>
      <c r="AK86" s="763">
        <f ca="1">INDEX(MODEL!1060:1060,MATCH(AK$5,MODEL!$7:$7,0))+INDEX(MODEL!1061:1061,MATCH(AK$5,MODEL!$7:$7,0))</f>
        <v>0</v>
      </c>
      <c r="AL86" s="140">
        <f t="shared" ca="1" si="314"/>
        <v>0</v>
      </c>
      <c r="AM86" s="140">
        <f t="shared" ca="1" si="314"/>
        <v>0</v>
      </c>
      <c r="AN86" s="140">
        <f t="shared" ca="1" si="314"/>
        <v>0</v>
      </c>
      <c r="AO86" s="140">
        <f t="shared" ca="1" si="314"/>
        <v>0</v>
      </c>
      <c r="AP86" s="140">
        <f t="shared" ca="1" si="314"/>
        <v>0</v>
      </c>
      <c r="AQ86" s="140">
        <f t="shared" ca="1" si="314"/>
        <v>0</v>
      </c>
      <c r="AR86" s="140">
        <f t="shared" ca="1" si="314"/>
        <v>0</v>
      </c>
      <c r="AS86" s="140">
        <f t="shared" ca="1" si="314"/>
        <v>0</v>
      </c>
      <c r="AT86" s="140">
        <f t="shared" ca="1" si="314"/>
        <v>0</v>
      </c>
      <c r="AU86" s="140">
        <f t="shared" ca="1" si="314"/>
        <v>0</v>
      </c>
      <c r="AV86" s="140">
        <f t="shared" ca="1" si="315"/>
        <v>0</v>
      </c>
      <c r="AW86" s="140">
        <f t="shared" ca="1" si="315"/>
        <v>0</v>
      </c>
      <c r="AX86" s="140">
        <f t="shared" ca="1" si="315"/>
        <v>0</v>
      </c>
      <c r="AY86" s="140">
        <f t="shared" ca="1" si="315"/>
        <v>0</v>
      </c>
      <c r="AZ86" s="140">
        <f t="shared" ca="1" si="315"/>
        <v>0</v>
      </c>
      <c r="BA86" s="140">
        <f t="shared" ca="1" si="315"/>
        <v>0</v>
      </c>
      <c r="BB86" s="140">
        <f t="shared" ca="1" si="315"/>
        <v>0</v>
      </c>
      <c r="BC86" s="140">
        <f t="shared" ca="1" si="315"/>
        <v>0</v>
      </c>
      <c r="BD86" s="140">
        <f t="shared" ca="1" si="315"/>
        <v>0</v>
      </c>
      <c r="BE86" s="140">
        <f t="shared" ca="1" si="315"/>
        <v>0</v>
      </c>
      <c r="BF86" s="140">
        <f t="shared" ca="1" si="316"/>
        <v>0</v>
      </c>
      <c r="BG86" s="140">
        <f t="shared" ca="1" si="316"/>
        <v>0</v>
      </c>
      <c r="BH86" s="140">
        <f t="shared" ca="1" si="316"/>
        <v>0</v>
      </c>
      <c r="BI86" s="140">
        <f t="shared" ca="1" si="316"/>
        <v>0</v>
      </c>
      <c r="BJ86" s="140">
        <f t="shared" ca="1" si="316"/>
        <v>0</v>
      </c>
      <c r="BK86" s="140">
        <f t="shared" ca="1" si="316"/>
        <v>0</v>
      </c>
      <c r="BL86" s="140">
        <f t="shared" ca="1" si="316"/>
        <v>0</v>
      </c>
      <c r="BM86" s="140">
        <f t="shared" ca="1" si="316"/>
        <v>0</v>
      </c>
      <c r="BN86" s="140">
        <f t="shared" ca="1" si="316"/>
        <v>0</v>
      </c>
      <c r="BO86" s="140">
        <f t="shared" ca="1" si="316"/>
        <v>0</v>
      </c>
      <c r="BP86" s="140">
        <f t="shared" ca="1" si="317"/>
        <v>0</v>
      </c>
      <c r="BQ86" s="140">
        <f t="shared" ca="1" si="317"/>
        <v>0</v>
      </c>
      <c r="BR86" s="140">
        <f t="shared" ca="1" si="317"/>
        <v>0</v>
      </c>
      <c r="BS86" s="140">
        <f t="shared" ca="1" si="317"/>
        <v>0</v>
      </c>
      <c r="BT86" s="140">
        <f t="shared" ca="1" si="317"/>
        <v>0</v>
      </c>
      <c r="BU86" s="140">
        <f t="shared" ca="1" si="317"/>
        <v>0</v>
      </c>
      <c r="BV86" s="140">
        <f t="shared" ca="1" si="317"/>
        <v>0</v>
      </c>
      <c r="BW86" s="140">
        <f t="shared" ca="1" si="317"/>
        <v>0</v>
      </c>
      <c r="BX86" s="140">
        <f t="shared" ca="1" si="317"/>
        <v>0</v>
      </c>
      <c r="BY86" s="140">
        <f t="shared" ca="1" si="317"/>
        <v>0</v>
      </c>
      <c r="BZ86" s="140">
        <f t="shared" ca="1" si="318"/>
        <v>0</v>
      </c>
      <c r="CA86" s="140">
        <f t="shared" ca="1" si="318"/>
        <v>0</v>
      </c>
      <c r="CB86" s="140">
        <f t="shared" ca="1" si="318"/>
        <v>0</v>
      </c>
      <c r="CC86" s="140">
        <f t="shared" ca="1" si="318"/>
        <v>0</v>
      </c>
      <c r="CD86" s="140">
        <f t="shared" ca="1" si="318"/>
        <v>0</v>
      </c>
      <c r="CE86" s="140">
        <f t="shared" ca="1" si="318"/>
        <v>0</v>
      </c>
      <c r="CF86" s="140">
        <f t="shared" ca="1" si="318"/>
        <v>0</v>
      </c>
      <c r="CG86" s="140">
        <f t="shared" ca="1" si="318"/>
        <v>0</v>
      </c>
      <c r="CH86" s="264"/>
      <c r="CI86" s="264"/>
      <c r="CJ86" s="264"/>
      <c r="CK86" s="264"/>
      <c r="CL86" s="264"/>
      <c r="CM86" s="264"/>
      <c r="CN86" s="264"/>
      <c r="CO86" s="264"/>
      <c r="CP86" s="264"/>
      <c r="CQ86" s="264"/>
      <c r="CR86" s="264"/>
      <c r="CS86" s="264"/>
      <c r="CT86" s="264"/>
      <c r="CU86" s="264"/>
      <c r="CV86" s="264"/>
      <c r="CW86" s="264"/>
      <c r="CX86" s="264"/>
      <c r="CY86" s="264"/>
      <c r="CZ86" s="264"/>
      <c r="DA86" s="264"/>
      <c r="DB86" s="264"/>
      <c r="DC86" s="264"/>
      <c r="DD86" s="264"/>
      <c r="DE86" s="264"/>
      <c r="DF86" s="264"/>
      <c r="DG86" s="264"/>
      <c r="DH86" s="264"/>
      <c r="DI86" s="264"/>
      <c r="DJ86" s="264"/>
      <c r="DK86" s="264"/>
      <c r="DL86" s="264"/>
      <c r="DM86" s="264"/>
      <c r="DN86" s="264"/>
      <c r="DO86" s="264"/>
      <c r="DP86" s="264"/>
      <c r="DQ86" s="264"/>
      <c r="DR86" s="264"/>
      <c r="DS86" s="264"/>
      <c r="DT86" s="264"/>
      <c r="DU86" s="264"/>
      <c r="DV86" s="264"/>
      <c r="DW86" s="264"/>
      <c r="DX86" s="264"/>
      <c r="DY86" s="264"/>
      <c r="DZ86" s="264"/>
      <c r="EA86" s="264"/>
      <c r="EB86" s="264"/>
      <c r="EC86" s="264"/>
      <c r="ED86" s="264"/>
      <c r="EE86" s="264"/>
      <c r="EF86" s="264"/>
      <c r="EG86" s="264"/>
      <c r="EH86" s="264"/>
      <c r="EI86" s="264"/>
      <c r="EJ86" s="264"/>
      <c r="EK86" s="264"/>
      <c r="EL86" s="264"/>
      <c r="EM86" s="264"/>
      <c r="EN86" s="264"/>
      <c r="EO86" s="264"/>
      <c r="EP86" s="264"/>
      <c r="EQ86" s="264"/>
    </row>
    <row r="87" spans="2:147" s="10" customFormat="1" ht="13.8" thickBot="1">
      <c r="B87" s="3"/>
      <c r="C87" s="84"/>
      <c r="D87" s="85"/>
      <c r="F87" s="10" t="s">
        <v>1183</v>
      </c>
      <c r="H87" s="1286">
        <v>0.03</v>
      </c>
      <c r="I87" s="142"/>
      <c r="J87" s="142"/>
      <c r="K87" s="142"/>
      <c r="L87" s="233"/>
      <c r="M87" s="233"/>
      <c r="N87" s="233"/>
      <c r="O87" s="233"/>
      <c r="P87" s="233"/>
      <c r="Q87" s="142"/>
      <c r="R87" s="10" t="s">
        <v>720</v>
      </c>
      <c r="S87" s="292"/>
      <c r="T87" s="131"/>
      <c r="U87" s="131"/>
      <c r="V87" s="140">
        <f>MODEL!BJ1059+MODEL!BJ1064</f>
        <v>146</v>
      </c>
      <c r="W87" s="140">
        <f>MODEL!BN1059+MODEL!BN1064</f>
        <v>4</v>
      </c>
      <c r="X87" s="140">
        <f>MODEL!BR1059+MODEL!BR1064</f>
        <v>3311</v>
      </c>
      <c r="Y87" s="140">
        <f>MODEL!BV1059+MODEL!BV1064</f>
        <v>0</v>
      </c>
      <c r="Z87" s="140">
        <f>MODEL!BZ1059+MODEL!BZ1064</f>
        <v>-1</v>
      </c>
      <c r="AA87" s="140">
        <f>MODEL!CD1059+MODEL!CD1064</f>
        <v>-1</v>
      </c>
      <c r="AB87" s="763">
        <f>MODEL!CH1059+MODEL!CH1064</f>
        <v>0</v>
      </c>
      <c r="AC87" s="763">
        <f>MODEL!CL1059+MODEL!CL1064</f>
        <v>-20</v>
      </c>
      <c r="AD87" s="763">
        <f>MODEL!CP1059+MODEL!CP1064</f>
        <v>107</v>
      </c>
      <c r="AE87" s="763">
        <f>MODEL!CT1059+MODEL!CT1064</f>
        <v>3475.380843840001</v>
      </c>
      <c r="AF87" s="763">
        <f>MODEL!CX1059+MODEL!CX1064</f>
        <v>78.944969219999621</v>
      </c>
      <c r="AG87" s="763">
        <f>MODEL!DB1059+MODEL!DB1064</f>
        <v>-17</v>
      </c>
      <c r="AH87" s="1631">
        <f>INDEX(MODEL!1059:1059,MATCH(AH$5,MODEL!$7:$7,0))+INDEX(MODEL!1064:1064,MATCH(AH$5,MODEL!$7:$7,0))</f>
        <v>108</v>
      </c>
      <c r="AI87" s="763">
        <f ca="1">INDEX(MODEL!1059:1059,MATCH(AI$5,MODEL!$7:$7,0))+INDEX(MODEL!1064:1064,MATCH(AI$5,MODEL!$7:$7,0))</f>
        <v>57.153087524819995</v>
      </c>
      <c r="AJ87" s="763">
        <f ca="1">INDEX(MODEL!1059:1059,MATCH(AJ$5,MODEL!$7:$7,0))+INDEX(MODEL!1064:1064,MATCH(AJ$5,MODEL!$7:$7,0))</f>
        <v>58.011090274301978</v>
      </c>
      <c r="AK87" s="763">
        <f ca="1">INDEX(MODEL!1059:1059,MATCH(AK$5,MODEL!$7:$7,0))+INDEX(MODEL!1064:1064,MATCH(AK$5,MODEL!$7:$7,0))</f>
        <v>56.616311240413957</v>
      </c>
      <c r="AL87" s="140">
        <f t="shared" ref="AL87:AQ87" ca="1" si="319">+AL83*AL97</f>
        <v>156.92842907810009</v>
      </c>
      <c r="AM87" s="140">
        <f t="shared" ca="1" si="319"/>
        <v>158.60175158198294</v>
      </c>
      <c r="AN87" s="140">
        <f t="shared" ca="1" si="319"/>
        <v>164.12248502490843</v>
      </c>
      <c r="AO87" s="140">
        <f t="shared" ca="1" si="319"/>
        <v>169.15088909383937</v>
      </c>
      <c r="AP87" s="140">
        <f t="shared" ca="1" si="319"/>
        <v>173.32782435915234</v>
      </c>
      <c r="AQ87" s="140">
        <f t="shared" ca="1" si="319"/>
        <v>178.32251017334539</v>
      </c>
      <c r="AR87" s="140">
        <f t="shared" ref="AR87" ca="1" si="320">+AR83*AR97</f>
        <v>184.55634952736233</v>
      </c>
      <c r="AS87" s="140">
        <f t="shared" ref="AS87:CD87" ca="1" si="321">+AS83*AS97</f>
        <v>0</v>
      </c>
      <c r="AT87" s="140">
        <f t="shared" ca="1" si="321"/>
        <v>0</v>
      </c>
      <c r="AU87" s="140">
        <f t="shared" ca="1" si="321"/>
        <v>0</v>
      </c>
      <c r="AV87" s="140">
        <f ca="1">+AV83*AV97</f>
        <v>0</v>
      </c>
      <c r="AW87" s="140">
        <f ca="1">+AW83*AW97</f>
        <v>0</v>
      </c>
      <c r="AX87" s="140">
        <f t="shared" ca="1" si="321"/>
        <v>0</v>
      </c>
      <c r="AY87" s="140">
        <f t="shared" ca="1" si="321"/>
        <v>0</v>
      </c>
      <c r="AZ87" s="140">
        <f t="shared" ca="1" si="321"/>
        <v>0</v>
      </c>
      <c r="BA87" s="140">
        <f t="shared" ca="1" si="321"/>
        <v>0</v>
      </c>
      <c r="BB87" s="140">
        <f t="shared" ca="1" si="321"/>
        <v>0</v>
      </c>
      <c r="BC87" s="140">
        <f t="shared" ca="1" si="321"/>
        <v>0</v>
      </c>
      <c r="BD87" s="140">
        <f t="shared" ca="1" si="321"/>
        <v>0</v>
      </c>
      <c r="BE87" s="140">
        <f t="shared" ca="1" si="321"/>
        <v>0</v>
      </c>
      <c r="BF87" s="140">
        <f t="shared" ca="1" si="321"/>
        <v>0</v>
      </c>
      <c r="BG87" s="140">
        <f t="shared" ca="1" si="321"/>
        <v>0</v>
      </c>
      <c r="BH87" s="140">
        <f t="shared" ca="1" si="321"/>
        <v>0</v>
      </c>
      <c r="BI87" s="140">
        <f t="shared" ca="1" si="321"/>
        <v>0</v>
      </c>
      <c r="BJ87" s="140">
        <f t="shared" ca="1" si="321"/>
        <v>0</v>
      </c>
      <c r="BK87" s="140">
        <f t="shared" ca="1" si="321"/>
        <v>0</v>
      </c>
      <c r="BL87" s="140">
        <f t="shared" ca="1" si="321"/>
        <v>0</v>
      </c>
      <c r="BM87" s="140">
        <f t="shared" ca="1" si="321"/>
        <v>0</v>
      </c>
      <c r="BN87" s="140">
        <f t="shared" ca="1" si="321"/>
        <v>0</v>
      </c>
      <c r="BO87" s="140">
        <f t="shared" ca="1" si="321"/>
        <v>0</v>
      </c>
      <c r="BP87" s="140">
        <f t="shared" ca="1" si="321"/>
        <v>0</v>
      </c>
      <c r="BQ87" s="140">
        <f t="shared" ca="1" si="321"/>
        <v>0</v>
      </c>
      <c r="BR87" s="140">
        <f t="shared" ca="1" si="321"/>
        <v>0</v>
      </c>
      <c r="BS87" s="140">
        <f t="shared" ca="1" si="321"/>
        <v>0</v>
      </c>
      <c r="BT87" s="140">
        <f t="shared" ca="1" si="321"/>
        <v>0</v>
      </c>
      <c r="BU87" s="140">
        <f t="shared" ca="1" si="321"/>
        <v>0</v>
      </c>
      <c r="BV87" s="140">
        <f t="shared" ca="1" si="321"/>
        <v>0</v>
      </c>
      <c r="BW87" s="140">
        <f t="shared" ca="1" si="321"/>
        <v>0</v>
      </c>
      <c r="BX87" s="140">
        <f t="shared" ca="1" si="321"/>
        <v>0</v>
      </c>
      <c r="BY87" s="140">
        <f t="shared" ca="1" si="321"/>
        <v>0</v>
      </c>
      <c r="BZ87" s="140">
        <f t="shared" ca="1" si="321"/>
        <v>0</v>
      </c>
      <c r="CA87" s="140">
        <f t="shared" ca="1" si="321"/>
        <v>0</v>
      </c>
      <c r="CB87" s="140">
        <f t="shared" ca="1" si="321"/>
        <v>0</v>
      </c>
      <c r="CC87" s="140">
        <f t="shared" ca="1" si="321"/>
        <v>0</v>
      </c>
      <c r="CD87" s="140">
        <f t="shared" ca="1" si="321"/>
        <v>0</v>
      </c>
      <c r="CE87" s="140">
        <f ca="1">+CE83*CE97</f>
        <v>0</v>
      </c>
      <c r="CF87" s="140">
        <f ca="1">+CF83*CF97</f>
        <v>0</v>
      </c>
      <c r="CG87" s="140">
        <f ca="1">+CG83*CG97</f>
        <v>0</v>
      </c>
      <c r="CH87" s="265"/>
      <c r="CI87" s="265"/>
      <c r="CJ87" s="265"/>
      <c r="CK87" s="265"/>
      <c r="CL87" s="265"/>
      <c r="CM87" s="265"/>
      <c r="CN87" s="265"/>
      <c r="CO87" s="265"/>
      <c r="CP87" s="265"/>
      <c r="CQ87" s="265"/>
      <c r="CR87" s="265"/>
      <c r="CS87" s="265"/>
      <c r="CT87" s="265"/>
      <c r="CU87" s="265"/>
      <c r="CV87" s="265"/>
      <c r="CW87" s="265"/>
      <c r="CX87" s="265"/>
      <c r="CY87" s="265"/>
      <c r="CZ87" s="265"/>
      <c r="DA87" s="265"/>
      <c r="DB87" s="265"/>
      <c r="DC87" s="265"/>
      <c r="DD87" s="265"/>
      <c r="DE87" s="265"/>
      <c r="DF87" s="265"/>
      <c r="DG87" s="265"/>
      <c r="DH87" s="265"/>
      <c r="DI87" s="265"/>
      <c r="DJ87" s="265"/>
      <c r="DK87" s="265"/>
      <c r="DL87" s="265"/>
      <c r="DM87" s="265"/>
      <c r="DN87" s="265"/>
      <c r="DO87" s="265"/>
      <c r="DP87" s="265"/>
      <c r="DQ87" s="265"/>
      <c r="DR87" s="265"/>
      <c r="DS87" s="265"/>
      <c r="DT87" s="265"/>
      <c r="DU87" s="265"/>
      <c r="DV87" s="265"/>
      <c r="DW87" s="265"/>
      <c r="DX87" s="265"/>
      <c r="DY87" s="265"/>
      <c r="DZ87" s="265"/>
      <c r="EA87" s="265"/>
      <c r="EB87" s="265"/>
      <c r="EC87" s="265"/>
      <c r="ED87" s="265"/>
      <c r="EE87" s="265"/>
      <c r="EF87" s="265"/>
      <c r="EG87" s="265"/>
      <c r="EH87" s="265"/>
      <c r="EI87" s="265"/>
      <c r="EJ87" s="265"/>
      <c r="EK87" s="265"/>
      <c r="EL87" s="265"/>
      <c r="EM87" s="265"/>
      <c r="EN87" s="265"/>
      <c r="EO87" s="265"/>
      <c r="EP87" s="265"/>
      <c r="EQ87" s="265"/>
    </row>
    <row r="88" spans="2:147" s="10" customFormat="1" ht="13.8" thickBot="1">
      <c r="B88" s="3"/>
      <c r="C88" s="84"/>
      <c r="D88" s="84"/>
      <c r="F88" s="10" t="s">
        <v>1184</v>
      </c>
      <c r="G88" s="109"/>
      <c r="H88" s="1286">
        <v>0.03</v>
      </c>
      <c r="L88" s="111"/>
      <c r="M88" s="111"/>
      <c r="N88" s="111"/>
      <c r="O88" s="111"/>
      <c r="P88" s="111"/>
      <c r="R88" s="10" t="s">
        <v>302</v>
      </c>
      <c r="S88" s="292"/>
      <c r="T88" s="131"/>
      <c r="U88" s="131"/>
      <c r="V88" s="140">
        <f>MODEL!BJ1062</f>
        <v>0</v>
      </c>
      <c r="W88" s="140">
        <f>MODEL!BN1062</f>
        <v>11</v>
      </c>
      <c r="X88" s="140">
        <f>MODEL!BR1062</f>
        <v>-97</v>
      </c>
      <c r="Y88" s="140">
        <f>MODEL!BV1062</f>
        <v>0</v>
      </c>
      <c r="Z88" s="140">
        <f>MODEL!BZ1062</f>
        <v>0</v>
      </c>
      <c r="AA88" s="140">
        <f>MODEL!CD1062</f>
        <v>-1880</v>
      </c>
      <c r="AB88" s="763">
        <f>MODEL!CH1062</f>
        <v>-1120</v>
      </c>
      <c r="AC88" s="763">
        <f>MODEL!CL1062</f>
        <v>0</v>
      </c>
      <c r="AD88" s="763">
        <f>MODEL!CP1062</f>
        <v>-654</v>
      </c>
      <c r="AE88" s="763">
        <f>MODEL!CT1062</f>
        <v>-846</v>
      </c>
      <c r="AF88" s="763">
        <f>MODEL!CX1062</f>
        <v>0</v>
      </c>
      <c r="AG88" s="763">
        <f>MODEL!DB1062</f>
        <v>-883</v>
      </c>
      <c r="AH88" s="1647">
        <f>INDEX(MODEL!1062:1062,MATCH(AH$5,MODEL!$7:$7,0))</f>
        <v>-291</v>
      </c>
      <c r="AI88" s="1624">
        <f>INDEX(MODEL!1062:1062,MATCH(AI$5,MODEL!$7:$7,0))</f>
        <v>0</v>
      </c>
      <c r="AJ88" s="1624">
        <f ca="1">INDEX(MODEL!1062:1062,MATCH(AJ$5,MODEL!$7:$7,0))</f>
        <v>-515.3718884228656</v>
      </c>
      <c r="AK88" s="1624">
        <f ca="1">INDEX(MODEL!1062:1062,MATCH(AK$5,MODEL!$7:$7,0))</f>
        <v>-1021.0070123614423</v>
      </c>
      <c r="AL88" s="140">
        <f t="shared" ref="AL88:CG88" ca="1" si="322">-AK105</f>
        <v>-2493.7077832289424</v>
      </c>
      <c r="AM88" s="140">
        <f t="shared" ca="1" si="322"/>
        <v>-732.64364642256555</v>
      </c>
      <c r="AN88" s="140">
        <f t="shared" ca="1" si="322"/>
        <v>-1059.6953140016287</v>
      </c>
      <c r="AO88" s="140">
        <f t="shared" ca="1" si="322"/>
        <v>-1133.3779806951645</v>
      </c>
      <c r="AP88" s="140">
        <f t="shared" ca="1" si="322"/>
        <v>-808.34275711513556</v>
      </c>
      <c r="AQ88" s="140">
        <f t="shared" ca="1" si="322"/>
        <v>-750.53347319597572</v>
      </c>
      <c r="AR88" s="140">
        <f t="shared" ca="1" si="322"/>
        <v>-1126.7150969184697</v>
      </c>
      <c r="AS88" s="140">
        <f ca="1">-AR105</f>
        <v>-1221.323473587883</v>
      </c>
      <c r="AT88" s="140">
        <f t="shared" ca="1" si="322"/>
        <v>-1120.5452620927201</v>
      </c>
      <c r="AU88" s="140">
        <f t="shared" ca="1" si="322"/>
        <v>-1121.0392747047435</v>
      </c>
      <c r="AV88" s="140">
        <f t="shared" ca="1" si="322"/>
        <v>-1146.6868523411013</v>
      </c>
      <c r="AW88" s="140">
        <f t="shared" ca="1" si="322"/>
        <v>-1179.163141316785</v>
      </c>
      <c r="AX88" s="140">
        <f t="shared" ca="1" si="322"/>
        <v>-1214.074210455354</v>
      </c>
      <c r="AY88" s="140">
        <f t="shared" ca="1" si="322"/>
        <v>-1222.0088751986336</v>
      </c>
      <c r="AZ88" s="140">
        <f t="shared" ca="1" si="322"/>
        <v>-1222.5940110198296</v>
      </c>
      <c r="BA88" s="140">
        <f t="shared" ca="1" si="322"/>
        <v>-1220.5170124561489</v>
      </c>
      <c r="BB88" s="140">
        <f t="shared" ca="1" si="322"/>
        <v>-1216.8560422331807</v>
      </c>
      <c r="BC88" s="140">
        <f t="shared" ca="1" si="322"/>
        <v>-1211.8167300243269</v>
      </c>
      <c r="BD88" s="140">
        <f t="shared" ca="1" si="322"/>
        <v>-1205.3922390639887</v>
      </c>
      <c r="BE88" s="140">
        <f t="shared" ca="1" si="322"/>
        <v>-1197.5221836480641</v>
      </c>
      <c r="BF88" s="140">
        <f t="shared" ca="1" si="322"/>
        <v>-1188.1307649014479</v>
      </c>
      <c r="BG88" s="140">
        <f t="shared" ca="1" si="322"/>
        <v>-1177.1358333470484</v>
      </c>
      <c r="BH88" s="140">
        <f t="shared" ca="1" si="322"/>
        <v>-1164.4509598974803</v>
      </c>
      <c r="BI88" s="140">
        <f t="shared" ca="1" si="322"/>
        <v>-1149.9858248468204</v>
      </c>
      <c r="BJ88" s="140">
        <f t="shared" ca="1" si="322"/>
        <v>-1133.6461997405784</v>
      </c>
      <c r="BK88" s="140">
        <f t="shared" ca="1" si="322"/>
        <v>-1115.3338277139453</v>
      </c>
      <c r="BL88" s="140">
        <f t="shared" ca="1" si="322"/>
        <v>-1094.9462753408611</v>
      </c>
      <c r="BM88" s="140">
        <f t="shared" ca="1" si="322"/>
        <v>-1072.3767733135364</v>
      </c>
      <c r="BN88" s="140">
        <f t="shared" ca="1" si="322"/>
        <v>-1047.5140499352194</v>
      </c>
      <c r="BO88" s="140">
        <f t="shared" ca="1" si="322"/>
        <v>-1020.2421582171196</v>
      </c>
      <c r="BP88" s="140">
        <f t="shared" ca="1" si="322"/>
        <v>-990.44029660386934</v>
      </c>
      <c r="BQ88" s="140">
        <f t="shared" ca="1" si="322"/>
        <v>-957.98262316156968</v>
      </c>
      <c r="BR88" s="140">
        <f t="shared" ca="1" si="322"/>
        <v>-922.73806301345371</v>
      </c>
      <c r="BS88" s="140">
        <f t="shared" ca="1" si="322"/>
        <v>-884.57010879021959</v>
      </c>
      <c r="BT88" s="140">
        <f t="shared" ca="1" si="322"/>
        <v>-843.33661385023129</v>
      </c>
      <c r="BU88" s="140">
        <f t="shared" ca="1" si="322"/>
        <v>-798.88957801627225</v>
      </c>
      <c r="BV88" s="140">
        <f t="shared" ca="1" si="322"/>
        <v>-751.07492556796626</v>
      </c>
      <c r="BW88" s="140">
        <f t="shared" ca="1" si="322"/>
        <v>-699.73227521871843</v>
      </c>
      <c r="BX88" s="140">
        <f t="shared" ca="1" si="322"/>
        <v>-644.69470179591701</v>
      </c>
      <c r="BY88" s="140">
        <f t="shared" ca="1" si="322"/>
        <v>-585.78848933744871</v>
      </c>
      <c r="BZ88" s="140">
        <f t="shared" ca="1" si="322"/>
        <v>-522.83287530169878</v>
      </c>
      <c r="CA88" s="140">
        <f t="shared" ca="1" si="322"/>
        <v>-455.63978558390897</v>
      </c>
      <c r="CB88" s="140">
        <f t="shared" ca="1" si="322"/>
        <v>-384.01356001770745</v>
      </c>
      <c r="CC88" s="140">
        <f t="shared" ca="1" si="322"/>
        <v>-307.75066802970332</v>
      </c>
      <c r="CD88" s="140">
        <f t="shared" ca="1" si="322"/>
        <v>-226.63941410663111</v>
      </c>
      <c r="CE88" s="140">
        <f t="shared" ca="1" si="322"/>
        <v>-140.45963271962174</v>
      </c>
      <c r="CF88" s="140">
        <f t="shared" ca="1" si="322"/>
        <v>-48.98237233832382</v>
      </c>
      <c r="CG88" s="140">
        <f t="shared" ca="1" si="322"/>
        <v>0</v>
      </c>
      <c r="CH88" s="169"/>
      <c r="CI88" s="169"/>
      <c r="CJ88" s="169"/>
      <c r="CK88" s="169"/>
      <c r="CL88" s="169"/>
      <c r="CM88" s="169"/>
      <c r="CN88" s="169"/>
      <c r="CO88" s="169"/>
      <c r="CP88" s="169"/>
      <c r="CQ88" s="169"/>
      <c r="CR88" s="169"/>
      <c r="CS88" s="169"/>
      <c r="CT88" s="169"/>
      <c r="CU88" s="169"/>
      <c r="CV88" s="169"/>
      <c r="CW88" s="169"/>
      <c r="CX88" s="169"/>
      <c r="CY88" s="169"/>
      <c r="CZ88" s="169"/>
      <c r="DA88" s="169"/>
      <c r="DB88" s="169"/>
      <c r="DC88" s="169"/>
      <c r="DD88" s="169"/>
      <c r="DE88" s="169"/>
      <c r="DF88" s="169"/>
      <c r="DG88" s="169"/>
      <c r="DH88" s="169"/>
      <c r="DI88" s="169"/>
      <c r="DJ88" s="169"/>
      <c r="DK88" s="169"/>
      <c r="DL88" s="169"/>
      <c r="DM88" s="169"/>
      <c r="DN88" s="169"/>
      <c r="DO88" s="169"/>
      <c r="DP88" s="169"/>
      <c r="DQ88" s="169"/>
      <c r="DR88" s="169"/>
      <c r="DS88" s="169"/>
      <c r="DT88" s="169"/>
      <c r="DU88" s="169"/>
      <c r="DV88" s="169"/>
      <c r="DW88" s="169"/>
      <c r="DX88" s="169"/>
      <c r="DY88" s="169"/>
      <c r="DZ88" s="169"/>
      <c r="EA88" s="169"/>
      <c r="EB88" s="169"/>
      <c r="EC88" s="169"/>
      <c r="ED88" s="169"/>
      <c r="EE88" s="169"/>
      <c r="EF88" s="169"/>
      <c r="EG88" s="169"/>
      <c r="EH88" s="169"/>
      <c r="EI88" s="169"/>
      <c r="EJ88" s="169"/>
      <c r="EK88" s="169"/>
      <c r="EL88" s="169"/>
      <c r="EM88" s="169"/>
      <c r="EN88" s="169"/>
      <c r="EO88" s="169"/>
      <c r="EP88" s="169"/>
      <c r="EQ88" s="169"/>
    </row>
    <row r="89" spans="2:147" s="10" customFormat="1">
      <c r="B89" s="3"/>
      <c r="C89" s="84"/>
      <c r="D89" s="16"/>
      <c r="F89" s="232"/>
      <c r="G89" s="233"/>
      <c r="H89" s="233"/>
      <c r="L89" s="111"/>
      <c r="M89" s="111"/>
      <c r="N89" s="111"/>
      <c r="O89" s="111"/>
      <c r="P89" s="111"/>
      <c r="R89" s="10" t="s">
        <v>152</v>
      </c>
      <c r="S89" s="292"/>
      <c r="T89" s="140"/>
      <c r="U89" s="131"/>
      <c r="V89" s="140">
        <f>MODEL!BJ1063+MODEL!BJ1069+MODEL!BJ1070+MODEL!BJ1071+MODEL!BJ1074+MODEL!BJ1077+MODEL!BJ1082+MODEL!BJ1084+MODEL!BJ1083</f>
        <v>1584</v>
      </c>
      <c r="W89" s="140">
        <f>MODEL!BN1063+MODEL!BN1069+MODEL!BN1070+MODEL!BN1071+MODEL!BN1074+MODEL!BN1077+MODEL!BN1082+MODEL!BN1084+MODEL!BN1083</f>
        <v>723</v>
      </c>
      <c r="X89" s="140">
        <f>MODEL!BR1063+MODEL!BR1069+MODEL!BR1070+MODEL!BR1071+MODEL!BR1074+MODEL!BR1077+MODEL!BR1082+MODEL!BR1084+MODEL!BR1083</f>
        <v>1989</v>
      </c>
      <c r="Y89" s="140">
        <f>MODEL!BV1063+MODEL!BV1069+MODEL!BV1070+MODEL!BV1071+MODEL!BV1074+MODEL!BV1077+MODEL!BV1082+MODEL!BV1084+MODEL!BV1083</f>
        <v>-550</v>
      </c>
      <c r="Z89" s="140">
        <f>MODEL!BZ1063+MODEL!BZ1069+MODEL!BZ1070+MODEL!BZ1071+MODEL!BZ1074+MODEL!BZ1077+MODEL!BZ1082+MODEL!BZ1084+MODEL!BZ1083</f>
        <v>-854</v>
      </c>
      <c r="AA89" s="140">
        <f ca="1">MODEL!CD1063+MODEL!CD1069+MODEL!CD1070+MODEL!CD1071+MODEL!CD1074+MODEL!CD1077+MODEL!CD1082+MODEL!CD1084+MODEL!CD1083</f>
        <v>350</v>
      </c>
      <c r="AB89" s="763">
        <f>MODEL!CH1063+MODEL!CH1069+MODEL!CH1070+MODEL!CH1071+MODEL!CH1074+MODEL!CH1077+MODEL!CH1082+MODEL!CH1084+MODEL!CH1083</f>
        <v>1188</v>
      </c>
      <c r="AC89" s="763">
        <f>MODEL!CL1063+MODEL!CL1069+MODEL!CL1070+MODEL!CL1071+MODEL!CL1074+MODEL!CL1077+MODEL!CL1082+MODEL!CL1084+MODEL!CL1083</f>
        <v>-192</v>
      </c>
      <c r="AD89" s="763">
        <f>MODEL!CP1063+MODEL!CP1069+MODEL!CP1070+MODEL!CP1071+MODEL!CP1074+MODEL!CP1077+MODEL!CP1082+MODEL!CP1084+MODEL!CP1083</f>
        <v>-309</v>
      </c>
      <c r="AE89" s="763">
        <f>MODEL!CT1063+MODEL!CT1069+MODEL!CT1070+MODEL!CT1071+MODEL!CT1074+MODEL!CT1077+MODEL!CT1082+MODEL!CT1084+MODEL!CT1083</f>
        <v>-3684.2449947200002</v>
      </c>
      <c r="AF89" s="763">
        <f>MODEL!CX1063+MODEL!CX1069+MODEL!CX1070+MODEL!CX1071+MODEL!CX1074+MODEL!CX1077+MODEL!CX1082+MODEL!CX1084+MODEL!CX1083</f>
        <v>608.72709341999871</v>
      </c>
      <c r="AG89" s="763">
        <f>INDEX(MODEL!1063:1063,MATCH(AG$5,MODEL!$7:$7,0))+INDEX(MODEL!1069:1069,MATCH(AG$5,MODEL!$7:$7,0))+INDEX(MODEL!1070:1070,MATCH(AG$5,MODEL!$7:$7,0))+INDEX(MODEL!1071:1071,MATCH(AG$5,MODEL!$7:$7,0))+INDEX(MODEL!1074:1074,MATCH(AG$5,MODEL!$7:$7,0))+INDEX(MODEL!1077:1077,MATCH(AG$5,MODEL!$7:$7,0))+INDEX(MODEL!1082:1082,MATCH(AG$5,MODEL!$7:$7,0))+INDEX(MODEL!1084:1084,MATCH(AG$5,MODEL!$7:$7,0))+INDEX(MODEL!1083:1083,MATCH(AG$5,MODEL!$7:$7,0))</f>
        <v>-53</v>
      </c>
      <c r="AH89" s="1631">
        <f>INDEX(MODEL!1063:1063,MATCH(AH$5,MODEL!$7:$7,0))+INDEX(MODEL!1069:1069,MATCH(AH$5,MODEL!$7:$7,0))+INDEX(MODEL!1070:1070,MATCH(AH$5,MODEL!$7:$7,0))+INDEX(MODEL!1071:1071,MATCH(AH$5,MODEL!$7:$7,0))+INDEX(MODEL!1074:1074,MATCH(AH$5,MODEL!$7:$7,0))+INDEX(MODEL!1077:1077,MATCH(AH$5,MODEL!$7:$7,0))+INDEX(MODEL!1082:1082,MATCH(AH$5,MODEL!$7:$7,0))+INDEX(MODEL!1084:1084,MATCH(AH$5,MODEL!$7:$7,0))+INDEX(MODEL!1083:1083,MATCH(AH$5,MODEL!$7:$7,0))</f>
        <v>218</v>
      </c>
      <c r="AI89" s="763">
        <f>INDEX(MODEL!1063:1063,MATCH(AI$5,MODEL!$7:$7,0))+INDEX(MODEL!1069:1069,MATCH(AI$5,MODEL!$7:$7,0))+INDEX(MODEL!1070:1070,MATCH(AI$5,MODEL!$7:$7,0))+INDEX(MODEL!1071:1071,MATCH(AI$5,MODEL!$7:$7,0))+INDEX(MODEL!1074:1074,MATCH(AI$5,MODEL!$7:$7,0))+INDEX(MODEL!1077:1077,MATCH(AI$5,MODEL!$7:$7,0))+INDEX(MODEL!1082:1082,MATCH(AI$5,MODEL!$7:$7,0))+INDEX(MODEL!1084:1084,MATCH(AI$5,MODEL!$7:$7,0))+INDEX(MODEL!1083:1083,MATCH(AI$5,MODEL!$7:$7,0))</f>
        <v>-40</v>
      </c>
      <c r="AJ89" s="763">
        <f>INDEX(MODEL!1063:1063,MATCH(AJ$5,MODEL!$7:$7,0))+INDEX(MODEL!1069:1069,MATCH(AJ$5,MODEL!$7:$7,0))+INDEX(MODEL!1070:1070,MATCH(AJ$5,MODEL!$7:$7,0))+INDEX(MODEL!1071:1071,MATCH(AJ$5,MODEL!$7:$7,0))+INDEX(MODEL!1074:1074,MATCH(AJ$5,MODEL!$7:$7,0))+INDEX(MODEL!1077:1077,MATCH(AJ$5,MODEL!$7:$7,0))+INDEX(MODEL!1082:1082,MATCH(AJ$5,MODEL!$7:$7,0))+INDEX(MODEL!1084:1084,MATCH(AJ$5,MODEL!$7:$7,0))+INDEX(MODEL!1083:1083,MATCH(AJ$5,MODEL!$7:$7,0))</f>
        <v>-40</v>
      </c>
      <c r="AK89" s="763">
        <f>INDEX(MODEL!1063:1063,MATCH(AK$5,MODEL!$7:$7,0))+INDEX(MODEL!1069:1069,MATCH(AK$5,MODEL!$7:$7,0))+INDEX(MODEL!1070:1070,MATCH(AK$5,MODEL!$7:$7,0))+INDEX(MODEL!1071:1071,MATCH(AK$5,MODEL!$7:$7,0))+INDEX(MODEL!1074:1074,MATCH(AK$5,MODEL!$7:$7,0))+INDEX(MODEL!1077:1077,MATCH(AK$5,MODEL!$7:$7,0))+INDEX(MODEL!1082:1082,MATCH(AK$5,MODEL!$7:$7,0))+INDEX(MODEL!1084:1084,MATCH(AK$5,MODEL!$7:$7,0))+INDEX(MODEL!1083:1083,MATCH(AK$5,MODEL!$7:$7,0))</f>
        <v>-40</v>
      </c>
      <c r="AL89" s="140">
        <f t="shared" ref="AL89:CD89" ca="1" si="323">+AL83*AL99</f>
        <v>0</v>
      </c>
      <c r="AM89" s="140">
        <f t="shared" ca="1" si="323"/>
        <v>0</v>
      </c>
      <c r="AN89" s="140">
        <f t="shared" ca="1" si="323"/>
        <v>0</v>
      </c>
      <c r="AO89" s="140">
        <f ca="1">+AO83*AO99</f>
        <v>0</v>
      </c>
      <c r="AP89" s="140">
        <f ca="1">+AP83*AP99</f>
        <v>0</v>
      </c>
      <c r="AQ89" s="140">
        <f ca="1">+AQ83*AQ99</f>
        <v>0</v>
      </c>
      <c r="AR89" s="140">
        <f ca="1">+AR83*AR99</f>
        <v>0</v>
      </c>
      <c r="AS89" s="140">
        <f t="shared" ca="1" si="323"/>
        <v>0</v>
      </c>
      <c r="AT89" s="140">
        <f t="shared" ca="1" si="323"/>
        <v>0</v>
      </c>
      <c r="AU89" s="140">
        <f t="shared" ca="1" si="323"/>
        <v>0</v>
      </c>
      <c r="AV89" s="140">
        <f ca="1">+AV83*AV99</f>
        <v>0</v>
      </c>
      <c r="AW89" s="140">
        <f ca="1">+AW83*AW99</f>
        <v>0</v>
      </c>
      <c r="AX89" s="140">
        <f t="shared" ca="1" si="323"/>
        <v>0</v>
      </c>
      <c r="AY89" s="140">
        <f t="shared" ca="1" si="323"/>
        <v>0</v>
      </c>
      <c r="AZ89" s="140">
        <f t="shared" ca="1" si="323"/>
        <v>0</v>
      </c>
      <c r="BA89" s="140">
        <f t="shared" ca="1" si="323"/>
        <v>0</v>
      </c>
      <c r="BB89" s="140">
        <f t="shared" ca="1" si="323"/>
        <v>0</v>
      </c>
      <c r="BC89" s="140">
        <f t="shared" ca="1" si="323"/>
        <v>0</v>
      </c>
      <c r="BD89" s="140">
        <f t="shared" ca="1" si="323"/>
        <v>0</v>
      </c>
      <c r="BE89" s="140">
        <f t="shared" ca="1" si="323"/>
        <v>0</v>
      </c>
      <c r="BF89" s="140">
        <f t="shared" ca="1" si="323"/>
        <v>0</v>
      </c>
      <c r="BG89" s="140">
        <f t="shared" ca="1" si="323"/>
        <v>0</v>
      </c>
      <c r="BH89" s="140">
        <f t="shared" ca="1" si="323"/>
        <v>0</v>
      </c>
      <c r="BI89" s="140">
        <f t="shared" ca="1" si="323"/>
        <v>0</v>
      </c>
      <c r="BJ89" s="140">
        <f t="shared" ca="1" si="323"/>
        <v>0</v>
      </c>
      <c r="BK89" s="140">
        <f t="shared" ca="1" si="323"/>
        <v>0</v>
      </c>
      <c r="BL89" s="140">
        <f t="shared" ca="1" si="323"/>
        <v>0</v>
      </c>
      <c r="BM89" s="140">
        <f t="shared" ca="1" si="323"/>
        <v>0</v>
      </c>
      <c r="BN89" s="140">
        <f t="shared" ca="1" si="323"/>
        <v>0</v>
      </c>
      <c r="BO89" s="140">
        <f t="shared" ca="1" si="323"/>
        <v>0</v>
      </c>
      <c r="BP89" s="140">
        <f t="shared" ca="1" si="323"/>
        <v>0</v>
      </c>
      <c r="BQ89" s="140">
        <f t="shared" ca="1" si="323"/>
        <v>0</v>
      </c>
      <c r="BR89" s="140">
        <f t="shared" ca="1" si="323"/>
        <v>0</v>
      </c>
      <c r="BS89" s="140">
        <f t="shared" ca="1" si="323"/>
        <v>0</v>
      </c>
      <c r="BT89" s="140">
        <f t="shared" ca="1" si="323"/>
        <v>0</v>
      </c>
      <c r="BU89" s="140">
        <f t="shared" ca="1" si="323"/>
        <v>0</v>
      </c>
      <c r="BV89" s="140">
        <f t="shared" ca="1" si="323"/>
        <v>0</v>
      </c>
      <c r="BW89" s="140">
        <f t="shared" ca="1" si="323"/>
        <v>0</v>
      </c>
      <c r="BX89" s="140">
        <f t="shared" ca="1" si="323"/>
        <v>0</v>
      </c>
      <c r="BY89" s="140">
        <f t="shared" ca="1" si="323"/>
        <v>0</v>
      </c>
      <c r="BZ89" s="140">
        <f t="shared" ca="1" si="323"/>
        <v>0</v>
      </c>
      <c r="CA89" s="140">
        <f t="shared" ca="1" si="323"/>
        <v>0</v>
      </c>
      <c r="CB89" s="140">
        <f t="shared" ca="1" si="323"/>
        <v>0</v>
      </c>
      <c r="CC89" s="140">
        <f t="shared" ca="1" si="323"/>
        <v>0</v>
      </c>
      <c r="CD89" s="140">
        <f t="shared" ca="1" si="323"/>
        <v>0</v>
      </c>
      <c r="CE89" s="140">
        <f ca="1">+CE83*CE99</f>
        <v>0</v>
      </c>
      <c r="CF89" s="140">
        <f ca="1">+CF83*CF99</f>
        <v>0</v>
      </c>
      <c r="CG89" s="140">
        <f ca="1">+CG83*CG99</f>
        <v>0</v>
      </c>
      <c r="CH89" s="169"/>
      <c r="CI89" s="169"/>
      <c r="CJ89" s="169"/>
      <c r="CK89" s="169"/>
      <c r="CL89" s="169"/>
      <c r="CM89" s="169"/>
      <c r="CN89" s="169"/>
      <c r="CO89" s="169"/>
      <c r="CP89" s="169"/>
      <c r="CQ89" s="169"/>
      <c r="CR89" s="169"/>
      <c r="CS89" s="169"/>
      <c r="CT89" s="169"/>
      <c r="CU89" s="169"/>
      <c r="CV89" s="169"/>
      <c r="CW89" s="169"/>
      <c r="CX89" s="169"/>
      <c r="CY89" s="169"/>
      <c r="CZ89" s="169"/>
      <c r="DA89" s="169"/>
      <c r="DB89" s="169"/>
      <c r="DC89" s="169"/>
      <c r="DD89" s="169"/>
      <c r="DE89" s="169"/>
      <c r="DF89" s="169"/>
      <c r="DG89" s="169"/>
      <c r="DH89" s="169"/>
      <c r="DI89" s="169"/>
      <c r="DJ89" s="169"/>
      <c r="DK89" s="169"/>
      <c r="DL89" s="169"/>
      <c r="DM89" s="169"/>
      <c r="DN89" s="169"/>
      <c r="DO89" s="169"/>
      <c r="DP89" s="169"/>
      <c r="DQ89" s="169"/>
      <c r="DR89" s="169"/>
      <c r="DS89" s="169"/>
      <c r="DT89" s="169"/>
      <c r="DU89" s="169"/>
      <c r="DV89" s="169"/>
      <c r="DW89" s="169"/>
      <c r="DX89" s="169"/>
      <c r="DY89" s="169"/>
      <c r="DZ89" s="169"/>
      <c r="EA89" s="169"/>
      <c r="EB89" s="169"/>
      <c r="EC89" s="169"/>
      <c r="ED89" s="169"/>
      <c r="EE89" s="169"/>
      <c r="EF89" s="169"/>
      <c r="EG89" s="169"/>
      <c r="EH89" s="169"/>
      <c r="EI89" s="169"/>
      <c r="EJ89" s="169"/>
      <c r="EK89" s="169"/>
      <c r="EL89" s="169"/>
      <c r="EM89" s="169"/>
      <c r="EN89" s="169"/>
      <c r="EO89" s="169"/>
      <c r="EP89" s="169"/>
      <c r="EQ89" s="169"/>
    </row>
    <row r="90" spans="2:147" s="10" customFormat="1">
      <c r="B90" s="3"/>
      <c r="C90" s="84"/>
      <c r="D90" s="16"/>
      <c r="F90" s="232"/>
      <c r="G90" s="233"/>
      <c r="H90" s="233"/>
      <c r="I90" s="142"/>
      <c r="J90" s="142"/>
      <c r="K90" s="142"/>
      <c r="L90" s="233"/>
      <c r="M90" s="233"/>
      <c r="N90" s="233"/>
      <c r="O90" s="233"/>
      <c r="P90" s="233"/>
      <c r="Q90" s="142"/>
      <c r="R90" s="9" t="s">
        <v>745</v>
      </c>
      <c r="S90" s="292"/>
      <c r="T90" s="131"/>
      <c r="U90" s="131"/>
      <c r="V90" s="147">
        <f t="shared" ref="V90:BK90" si="324">SUM(V83:V89)</f>
        <v>44670</v>
      </c>
      <c r="W90" s="147">
        <f t="shared" ref="W90:AB90" si="325">SUM(W83:W89)</f>
        <v>48336</v>
      </c>
      <c r="X90" s="147">
        <f t="shared" si="325"/>
        <v>57247</v>
      </c>
      <c r="Y90" s="147">
        <f t="shared" si="325"/>
        <v>57818</v>
      </c>
      <c r="Z90" s="147">
        <f>SUM(Z83:Z89)</f>
        <v>58959</v>
      </c>
      <c r="AA90" s="147">
        <f ca="1">SUM(AA83:AA89)</f>
        <v>59243</v>
      </c>
      <c r="AB90" s="147">
        <f t="shared" si="325"/>
        <v>60783</v>
      </c>
      <c r="AC90" s="147">
        <f t="shared" ref="AC90:AH90" si="326">SUM(AC83:AC89)</f>
        <v>61287</v>
      </c>
      <c r="AD90" s="147">
        <f t="shared" si="326"/>
        <v>63665</v>
      </c>
      <c r="AE90" s="147">
        <f t="shared" si="326"/>
        <v>65907</v>
      </c>
      <c r="AF90" s="147">
        <f t="shared" ref="AF90:AG90" si="327">SUM(AF83:AF89)</f>
        <v>69495</v>
      </c>
      <c r="AG90" s="147">
        <f t="shared" si="327"/>
        <v>69857</v>
      </c>
      <c r="AH90" s="1648">
        <f t="shared" si="326"/>
        <v>71128</v>
      </c>
      <c r="AI90" s="147">
        <f t="shared" ref="AI90" ca="1" si="328">SUM(AI83:AI89)</f>
        <v>74385.500404853738</v>
      </c>
      <c r="AJ90" s="147">
        <f t="shared" ref="AJ90:AK90" ca="1" si="329">SUM(AJ83:AJ89)</f>
        <v>76554.233218012116</v>
      </c>
      <c r="AK90" s="147">
        <f t="shared" ca="1" si="329"/>
        <v>78464.214539050052</v>
      </c>
      <c r="AL90" s="147">
        <f t="shared" ref="AL90:AQ90" ca="1" si="330">SUM(AL83:AL89)</f>
        <v>79300.875790991471</v>
      </c>
      <c r="AM90" s="147">
        <f t="shared" ca="1" si="330"/>
        <v>82061.242512454206</v>
      </c>
      <c r="AN90" s="147">
        <f t="shared" ca="1" si="330"/>
        <v>84575.44454691968</v>
      </c>
      <c r="AO90" s="147">
        <f t="shared" ca="1" si="330"/>
        <v>86663.912179576175</v>
      </c>
      <c r="AP90" s="147">
        <f t="shared" ca="1" si="330"/>
        <v>89161.255086672696</v>
      </c>
      <c r="AQ90" s="147">
        <f t="shared" ca="1" si="330"/>
        <v>92278.174763681163</v>
      </c>
      <c r="AR90" s="147">
        <f t="shared" ref="AR90" ca="1" si="331">SUM(AR83:AR89)</f>
        <v>95122.528661293909</v>
      </c>
      <c r="AS90" s="147">
        <f t="shared" ca="1" si="324"/>
        <v>97804.432126504253</v>
      </c>
      <c r="AT90" s="147">
        <f t="shared" ca="1" si="324"/>
        <v>100697.16215873591</v>
      </c>
      <c r="AU90" s="147">
        <f t="shared" ca="1" si="324"/>
        <v>103708.097522742</v>
      </c>
      <c r="AV90" s="147">
        <f ca="1">SUM(AV83:AV89)</f>
        <v>106816.93505268107</v>
      </c>
      <c r="AW90" s="147">
        <f ca="1">SUM(AW83:AW89)</f>
        <v>110020.86332288537</v>
      </c>
      <c r="AX90" s="147">
        <f t="shared" ca="1" si="324"/>
        <v>113285.87977060895</v>
      </c>
      <c r="AY90" s="147">
        <f t="shared" ca="1" si="324"/>
        <v>116639.36225068376</v>
      </c>
      <c r="AZ90" s="147">
        <f t="shared" ca="1" si="324"/>
        <v>120090.09959458644</v>
      </c>
      <c r="BA90" s="147">
        <f t="shared" ca="1" si="324"/>
        <v>123642.4569816782</v>
      </c>
      <c r="BB90" s="147">
        <f t="shared" ca="1" si="324"/>
        <v>127299.79944928376</v>
      </c>
      <c r="BC90" s="147">
        <f t="shared" ca="1" si="324"/>
        <v>131065.31969168596</v>
      </c>
      <c r="BD90" s="147">
        <f t="shared" ca="1" si="324"/>
        <v>134942.23950420172</v>
      </c>
      <c r="BE90" s="147">
        <f t="shared" ca="1" si="324"/>
        <v>138933.86033400771</v>
      </c>
      <c r="BF90" s="147">
        <f t="shared" ca="1" si="324"/>
        <v>143043.57757590114</v>
      </c>
      <c r="BG90" s="147">
        <f t="shared" ca="1" si="324"/>
        <v>147274.88621761568</v>
      </c>
      <c r="BH90" s="147">
        <f t="shared" ca="1" si="324"/>
        <v>151631.38447433469</v>
      </c>
      <c r="BI90" s="147">
        <f t="shared" ca="1" si="324"/>
        <v>156116.77700875016</v>
      </c>
      <c r="BJ90" s="147">
        <f t="shared" ca="1" si="324"/>
        <v>160734.87812148908</v>
      </c>
      <c r="BK90" s="147">
        <f t="shared" ca="1" si="324"/>
        <v>165489.61500612815</v>
      </c>
      <c r="BL90" s="147">
        <f t="shared" ref="BL90:CD90" ca="1" si="332">SUM(BL83:BL89)</f>
        <v>170385.03109345259</v>
      </c>
      <c r="BM90" s="147">
        <f t="shared" ca="1" si="332"/>
        <v>175425.28949303398</v>
      </c>
      <c r="BN90" s="147">
        <f t="shared" ca="1" si="332"/>
        <v>180614.67653630482</v>
      </c>
      <c r="BO90" s="147">
        <f t="shared" ca="1" si="332"/>
        <v>185957.60542444431</v>
      </c>
      <c r="BP90" s="147">
        <f t="shared" ca="1" si="332"/>
        <v>191458.61998425212</v>
      </c>
      <c r="BQ90" s="147">
        <f t="shared" ca="1" si="332"/>
        <v>197122.39853522592</v>
      </c>
      <c r="BR90" s="147">
        <f t="shared" ca="1" si="332"/>
        <v>202953.75787114067</v>
      </c>
      <c r="BS90" s="147">
        <f t="shared" ca="1" si="332"/>
        <v>208957.65735952029</v>
      </c>
      <c r="BT90" s="147">
        <f t="shared" ca="1" si="332"/>
        <v>215139.20316249406</v>
      </c>
      <c r="BU90" s="147">
        <f t="shared" ca="1" si="332"/>
        <v>221503.65258263296</v>
      </c>
      <c r="BV90" s="147">
        <f t="shared" ca="1" si="332"/>
        <v>228056.41853746655</v>
      </c>
      <c r="BW90" s="147">
        <f t="shared" ca="1" si="332"/>
        <v>234803.07416649137</v>
      </c>
      <c r="BX90" s="147">
        <f t="shared" ca="1" si="332"/>
        <v>241749.35757459569</v>
      </c>
      <c r="BY90" s="147">
        <f t="shared" ca="1" si="332"/>
        <v>248901.17671593869</v>
      </c>
      <c r="BZ90" s="147">
        <f t="shared" ca="1" si="332"/>
        <v>256264.61442244585</v>
      </c>
      <c r="CA90" s="147">
        <f t="shared" ca="1" si="332"/>
        <v>263845.93358120206</v>
      </c>
      <c r="CB90" s="147">
        <f t="shared" ca="1" si="332"/>
        <v>271651.58246515243</v>
      </c>
      <c r="CC90" s="147">
        <f t="shared" ca="1" si="332"/>
        <v>279688.20022165211</v>
      </c>
      <c r="CD90" s="147">
        <f t="shared" ca="1" si="332"/>
        <v>287962.62252353883</v>
      </c>
      <c r="CE90" s="147">
        <f ca="1">SUM(CE83:CE89)</f>
        <v>296481.88738754141</v>
      </c>
      <c r="CF90" s="147">
        <f ca="1">SUM(CF83:CF89)</f>
        <v>305253.24116498249</v>
      </c>
      <c r="CG90" s="147">
        <f ca="1">SUM(CG83:CG89)</f>
        <v>314236.11427803448</v>
      </c>
      <c r="CH90" s="137"/>
      <c r="CI90" s="137"/>
      <c r="CJ90" s="137"/>
      <c r="CK90" s="137"/>
      <c r="CL90" s="137"/>
      <c r="CM90" s="137"/>
      <c r="CN90" s="137"/>
      <c r="CO90" s="137"/>
      <c r="CP90" s="137"/>
      <c r="CQ90" s="137"/>
      <c r="CR90" s="137"/>
      <c r="CS90" s="137"/>
      <c r="CT90" s="137"/>
      <c r="CU90" s="137"/>
      <c r="CV90" s="137"/>
      <c r="CW90" s="137"/>
      <c r="CX90" s="137"/>
      <c r="CY90" s="137"/>
      <c r="CZ90" s="137"/>
      <c r="DA90" s="137"/>
      <c r="DB90" s="137"/>
      <c r="DC90" s="137"/>
      <c r="DD90" s="137"/>
      <c r="DE90" s="137"/>
      <c r="DF90" s="137"/>
      <c r="DG90" s="137"/>
      <c r="DH90" s="137"/>
      <c r="DI90" s="137"/>
      <c r="DJ90" s="137"/>
      <c r="DK90" s="137"/>
      <c r="DL90" s="137"/>
      <c r="DM90" s="137"/>
      <c r="DN90" s="137"/>
      <c r="DO90" s="137"/>
      <c r="DP90" s="137"/>
      <c r="DQ90" s="137"/>
      <c r="DR90" s="137"/>
      <c r="DS90" s="137"/>
      <c r="DT90" s="137"/>
      <c r="DU90" s="137"/>
      <c r="DV90" s="137"/>
      <c r="DW90" s="137"/>
      <c r="DX90" s="137"/>
      <c r="DY90" s="137"/>
      <c r="DZ90" s="137"/>
      <c r="EA90" s="137"/>
      <c r="EB90" s="137"/>
      <c r="EC90" s="137"/>
      <c r="ED90" s="137"/>
      <c r="EE90" s="137"/>
      <c r="EF90" s="137"/>
      <c r="EG90" s="137"/>
      <c r="EH90" s="137"/>
      <c r="EI90" s="137"/>
      <c r="EJ90" s="137"/>
      <c r="EK90" s="137"/>
      <c r="EL90" s="137"/>
      <c r="EM90" s="137"/>
      <c r="EN90" s="137"/>
      <c r="EO90" s="137"/>
      <c r="EP90" s="137"/>
      <c r="EQ90" s="137"/>
    </row>
    <row r="91" spans="2:147" s="10" customFormat="1">
      <c r="B91" s="3"/>
      <c r="C91" s="84"/>
      <c r="D91" s="16"/>
      <c r="F91" s="232"/>
      <c r="G91" s="233"/>
      <c r="H91" s="233"/>
      <c r="I91" s="189"/>
      <c r="J91" s="189"/>
      <c r="K91" s="189"/>
      <c r="L91" s="225"/>
      <c r="M91" s="225"/>
      <c r="N91" s="225"/>
      <c r="O91" s="225"/>
      <c r="P91" s="225"/>
      <c r="Q91" s="189"/>
      <c r="R91" s="9"/>
      <c r="S91" s="292"/>
      <c r="T91" s="131"/>
      <c r="U91" s="131"/>
      <c r="V91" s="244">
        <f t="shared" ref="V91:BC91" si="333">V41</f>
        <v>44670</v>
      </c>
      <c r="W91" s="244">
        <f t="shared" si="333"/>
        <v>48336</v>
      </c>
      <c r="X91" s="244">
        <f t="shared" si="333"/>
        <v>57247</v>
      </c>
      <c r="Y91" s="244">
        <f t="shared" si="333"/>
        <v>57818</v>
      </c>
      <c r="Z91" s="244">
        <f t="shared" si="333"/>
        <v>58959</v>
      </c>
      <c r="AA91" s="244">
        <f t="shared" si="333"/>
        <v>59243</v>
      </c>
      <c r="AB91" s="244">
        <f t="shared" si="333"/>
        <v>60783</v>
      </c>
      <c r="AC91" s="244">
        <f t="shared" si="333"/>
        <v>61287</v>
      </c>
      <c r="AD91" s="244">
        <f t="shared" si="333"/>
        <v>63665</v>
      </c>
      <c r="AE91" s="244">
        <f t="shared" si="333"/>
        <v>65907</v>
      </c>
      <c r="AF91" s="244">
        <f t="shared" ref="AF91:AG91" si="334">AF41</f>
        <v>69495</v>
      </c>
      <c r="AG91" s="244">
        <f t="shared" si="334"/>
        <v>69857</v>
      </c>
      <c r="AH91" s="1649">
        <f t="shared" si="333"/>
        <v>71128</v>
      </c>
      <c r="AI91" s="244">
        <f t="shared" ref="AI91" ca="1" si="335">AI41</f>
        <v>74385.500404853752</v>
      </c>
      <c r="AJ91" s="244">
        <f t="shared" ref="AJ91:AK91" ca="1" si="336">AJ41</f>
        <v>76554.233218012116</v>
      </c>
      <c r="AK91" s="244">
        <f t="shared" ca="1" si="336"/>
        <v>78464.214539050052</v>
      </c>
      <c r="AL91" s="244">
        <f t="shared" ca="1" si="333"/>
        <v>79300.875790991471</v>
      </c>
      <c r="AM91" s="244">
        <f t="shared" ca="1" si="333"/>
        <v>82061.242512454206</v>
      </c>
      <c r="AN91" s="244">
        <f t="shared" ca="1" si="333"/>
        <v>84575.44454691968</v>
      </c>
      <c r="AO91" s="244">
        <f t="shared" ca="1" si="333"/>
        <v>86663.912179576175</v>
      </c>
      <c r="AP91" s="244">
        <f t="shared" ca="1" si="333"/>
        <v>89161.255086672696</v>
      </c>
      <c r="AQ91" s="244">
        <f t="shared" ca="1" si="333"/>
        <v>92278.174763681163</v>
      </c>
      <c r="AR91" s="244">
        <f t="shared" ca="1" si="333"/>
        <v>95122.528661293909</v>
      </c>
      <c r="AS91" s="244">
        <f t="shared" ca="1" si="333"/>
        <v>97804.432126504253</v>
      </c>
      <c r="AT91" s="244">
        <f t="shared" ca="1" si="333"/>
        <v>100697.16215873591</v>
      </c>
      <c r="AU91" s="244">
        <f t="shared" ca="1" si="333"/>
        <v>103708.097522742</v>
      </c>
      <c r="AV91" s="244">
        <f t="shared" ca="1" si="333"/>
        <v>106816.93505268107</v>
      </c>
      <c r="AW91" s="244">
        <f t="shared" ca="1" si="333"/>
        <v>110020.86332288537</v>
      </c>
      <c r="AX91" s="244">
        <f t="shared" ca="1" si="333"/>
        <v>113285.87977060895</v>
      </c>
      <c r="AY91" s="244">
        <f t="shared" ca="1" si="333"/>
        <v>116639.36225068376</v>
      </c>
      <c r="AZ91" s="244">
        <f t="shared" ca="1" si="333"/>
        <v>120090.09959458644</v>
      </c>
      <c r="BA91" s="244">
        <f t="shared" ca="1" si="333"/>
        <v>123642.4569816782</v>
      </c>
      <c r="BB91" s="244">
        <f t="shared" ca="1" si="333"/>
        <v>127299.79944928376</v>
      </c>
      <c r="BC91" s="244">
        <f t="shared" ca="1" si="333"/>
        <v>131065.31969168596</v>
      </c>
      <c r="BD91" s="244">
        <f t="shared" ref="BD91:CG91" ca="1" si="337">BD41</f>
        <v>134942.23950420172</v>
      </c>
      <c r="BE91" s="244">
        <f t="shared" ca="1" si="337"/>
        <v>138933.86033400771</v>
      </c>
      <c r="BF91" s="244">
        <f t="shared" ca="1" si="337"/>
        <v>143043.57757590114</v>
      </c>
      <c r="BG91" s="244">
        <f t="shared" ca="1" si="337"/>
        <v>147274.88621761568</v>
      </c>
      <c r="BH91" s="244">
        <f t="shared" ca="1" si="337"/>
        <v>151631.38447433469</v>
      </c>
      <c r="BI91" s="244">
        <f t="shared" ca="1" si="337"/>
        <v>156116.77700875016</v>
      </c>
      <c r="BJ91" s="244">
        <f t="shared" ca="1" si="337"/>
        <v>160734.87812148908</v>
      </c>
      <c r="BK91" s="244">
        <f t="shared" ca="1" si="337"/>
        <v>165489.61500612815</v>
      </c>
      <c r="BL91" s="244">
        <f t="shared" ca="1" si="337"/>
        <v>170385.03109345259</v>
      </c>
      <c r="BM91" s="244">
        <f t="shared" ca="1" si="337"/>
        <v>175425.28949303398</v>
      </c>
      <c r="BN91" s="244">
        <f t="shared" ca="1" si="337"/>
        <v>180614.67653630482</v>
      </c>
      <c r="BO91" s="244">
        <f t="shared" ca="1" si="337"/>
        <v>185957.60542444431</v>
      </c>
      <c r="BP91" s="244">
        <f t="shared" ca="1" si="337"/>
        <v>191458.61998425212</v>
      </c>
      <c r="BQ91" s="244">
        <f t="shared" ca="1" si="337"/>
        <v>197122.39853522592</v>
      </c>
      <c r="BR91" s="244">
        <f t="shared" ca="1" si="337"/>
        <v>202953.75787114067</v>
      </c>
      <c r="BS91" s="244">
        <f t="shared" ca="1" si="337"/>
        <v>208957.65735952029</v>
      </c>
      <c r="BT91" s="244">
        <f t="shared" ca="1" si="337"/>
        <v>215139.20316249406</v>
      </c>
      <c r="BU91" s="244">
        <f t="shared" ca="1" si="337"/>
        <v>221503.65258263296</v>
      </c>
      <c r="BV91" s="244">
        <f t="shared" ca="1" si="337"/>
        <v>228056.41853746655</v>
      </c>
      <c r="BW91" s="244">
        <f t="shared" ca="1" si="337"/>
        <v>234803.07416649137</v>
      </c>
      <c r="BX91" s="244">
        <f t="shared" ca="1" si="337"/>
        <v>241749.35757459569</v>
      </c>
      <c r="BY91" s="244">
        <f t="shared" ca="1" si="337"/>
        <v>248901.17671593869</v>
      </c>
      <c r="BZ91" s="244">
        <f t="shared" ca="1" si="337"/>
        <v>256264.61442244585</v>
      </c>
      <c r="CA91" s="244">
        <f t="shared" ca="1" si="337"/>
        <v>263845.93358120206</v>
      </c>
      <c r="CB91" s="244">
        <f t="shared" ca="1" si="337"/>
        <v>271651.58246515243</v>
      </c>
      <c r="CC91" s="244">
        <f t="shared" ca="1" si="337"/>
        <v>279688.20022165211</v>
      </c>
      <c r="CD91" s="244">
        <f t="shared" ca="1" si="337"/>
        <v>287962.62252353883</v>
      </c>
      <c r="CE91" s="244">
        <f t="shared" ca="1" si="337"/>
        <v>296481.88738754141</v>
      </c>
      <c r="CF91" s="244">
        <f t="shared" ca="1" si="337"/>
        <v>305253.24116498249</v>
      </c>
      <c r="CG91" s="244">
        <f t="shared" ca="1" si="337"/>
        <v>314236.11427803448</v>
      </c>
      <c r="CH91" s="137"/>
      <c r="CI91" s="137"/>
      <c r="CJ91" s="137"/>
      <c r="CK91" s="137"/>
      <c r="CL91" s="137"/>
      <c r="CM91" s="137"/>
      <c r="CN91" s="137"/>
      <c r="CO91" s="137"/>
      <c r="CP91" s="137"/>
      <c r="CQ91" s="137"/>
      <c r="CR91" s="137"/>
      <c r="CS91" s="137"/>
      <c r="CT91" s="137"/>
      <c r="CU91" s="137"/>
      <c r="CV91" s="137"/>
      <c r="CW91" s="137"/>
      <c r="CX91" s="137"/>
      <c r="CY91" s="137"/>
      <c r="CZ91" s="137"/>
      <c r="DA91" s="137"/>
      <c r="DB91" s="137"/>
      <c r="DC91" s="137"/>
      <c r="DD91" s="137"/>
      <c r="DE91" s="137"/>
      <c r="DF91" s="137"/>
      <c r="DG91" s="137"/>
      <c r="DH91" s="137"/>
      <c r="DI91" s="137"/>
      <c r="DJ91" s="137"/>
      <c r="DK91" s="137"/>
      <c r="DL91" s="137"/>
      <c r="DM91" s="137"/>
      <c r="DN91" s="137"/>
      <c r="DO91" s="137"/>
      <c r="DP91" s="137"/>
      <c r="DQ91" s="137"/>
      <c r="DR91" s="137"/>
      <c r="DS91" s="137"/>
      <c r="DT91" s="137"/>
      <c r="DU91" s="137"/>
      <c r="DV91" s="137"/>
      <c r="DW91" s="137"/>
      <c r="DX91" s="137"/>
      <c r="DY91" s="137"/>
      <c r="DZ91" s="137"/>
      <c r="EA91" s="137"/>
      <c r="EB91" s="137"/>
      <c r="EC91" s="137"/>
      <c r="ED91" s="137"/>
      <c r="EE91" s="137"/>
      <c r="EF91" s="137"/>
      <c r="EG91" s="137"/>
      <c r="EH91" s="137"/>
      <c r="EI91" s="137"/>
      <c r="EJ91" s="137"/>
      <c r="EK91" s="137"/>
      <c r="EL91" s="137"/>
      <c r="EM91" s="137"/>
      <c r="EN91" s="137"/>
      <c r="EO91" s="137"/>
      <c r="EP91" s="137"/>
      <c r="EQ91" s="137"/>
    </row>
    <row r="92" spans="2:147" s="10" customFormat="1">
      <c r="B92" s="3"/>
      <c r="C92" s="84"/>
      <c r="D92" s="16"/>
      <c r="F92" s="232"/>
      <c r="G92" s="233"/>
      <c r="H92" s="233"/>
      <c r="I92" s="142"/>
      <c r="J92" s="142"/>
      <c r="K92" s="142"/>
      <c r="L92" s="233"/>
      <c r="M92" s="233"/>
      <c r="N92" s="233"/>
      <c r="O92" s="233"/>
      <c r="P92" s="233"/>
      <c r="Q92" s="142"/>
      <c r="R92" s="9" t="s">
        <v>284</v>
      </c>
      <c r="S92" s="292"/>
      <c r="T92" s="131"/>
      <c r="U92" s="131"/>
      <c r="V92" s="131"/>
      <c r="W92" s="131"/>
      <c r="X92" s="131"/>
      <c r="Y92" s="131"/>
      <c r="Z92" s="131"/>
      <c r="AA92" s="131"/>
      <c r="AB92" s="131"/>
      <c r="AC92" s="131"/>
      <c r="AD92" s="131"/>
      <c r="AE92" s="1568">
        <f>INDEX(MODEL!1115:1115,MATCH(AE$5,MODEL!$7:$7,0))</f>
        <v>3877</v>
      </c>
      <c r="AF92" s="1568">
        <f>INDEX(MODEL!1115:1115,MATCH(AF$5,MODEL!$7:$7,0))</f>
        <v>4058</v>
      </c>
      <c r="AG92" s="1568">
        <f>INDEX(MODEL!1115:1115,MATCH(AG$5,MODEL!$7:$7,0))</f>
        <v>5511</v>
      </c>
      <c r="AH92" s="1650">
        <f>INDEX(MODEL!1115:1115,MATCH(AH$5,MODEL!$7:$7,0))</f>
        <v>5765</v>
      </c>
      <c r="AI92" s="1568">
        <f>INDEX(MODEL!1115:1115,MATCH(AI$5,MODEL!$7:$7,0))</f>
        <v>5692.1815591264176</v>
      </c>
      <c r="AJ92" s="1568">
        <f>INDEX(MODEL!1115:1115,MATCH(AJ$5,MODEL!$7:$7,0))</f>
        <v>5645.4908567595348</v>
      </c>
      <c r="AK92" s="1568">
        <f>INDEX(MODEL!1115:1115,MATCH(AK$5,MODEL!$7:$7,0))</f>
        <v>5615.6335971242042</v>
      </c>
      <c r="AL92" s="217">
        <f>AK92</f>
        <v>5615.6335971242042</v>
      </c>
      <c r="AM92" s="217">
        <f t="shared" ref="AM92:CG92" si="338">AL92</f>
        <v>5615.6335971242042</v>
      </c>
      <c r="AN92" s="217">
        <f t="shared" si="338"/>
        <v>5615.6335971242042</v>
      </c>
      <c r="AO92" s="217">
        <f t="shared" si="338"/>
        <v>5615.6335971242042</v>
      </c>
      <c r="AP92" s="217">
        <f t="shared" si="338"/>
        <v>5615.6335971242042</v>
      </c>
      <c r="AQ92" s="217">
        <f t="shared" si="338"/>
        <v>5615.6335971242042</v>
      </c>
      <c r="AR92" s="217">
        <f t="shared" si="338"/>
        <v>5615.6335971242042</v>
      </c>
      <c r="AS92" s="218">
        <f t="shared" si="338"/>
        <v>5615.6335971242042</v>
      </c>
      <c r="AT92" s="218">
        <f t="shared" si="338"/>
        <v>5615.6335971242042</v>
      </c>
      <c r="AU92" s="218">
        <f t="shared" si="338"/>
        <v>5615.6335971242042</v>
      </c>
      <c r="AV92" s="218">
        <f t="shared" si="338"/>
        <v>5615.6335971242042</v>
      </c>
      <c r="AW92" s="218">
        <f t="shared" si="338"/>
        <v>5615.6335971242042</v>
      </c>
      <c r="AX92" s="219">
        <f t="shared" si="338"/>
        <v>5615.6335971242042</v>
      </c>
      <c r="AY92" s="219">
        <f t="shared" si="338"/>
        <v>5615.6335971242042</v>
      </c>
      <c r="AZ92" s="219">
        <f t="shared" si="338"/>
        <v>5615.6335971242042</v>
      </c>
      <c r="BA92" s="219">
        <f t="shared" si="338"/>
        <v>5615.6335971242042</v>
      </c>
      <c r="BB92" s="219">
        <f t="shared" si="338"/>
        <v>5615.6335971242042</v>
      </c>
      <c r="BC92" s="219">
        <f t="shared" si="338"/>
        <v>5615.6335971242042</v>
      </c>
      <c r="BD92" s="219">
        <f t="shared" si="338"/>
        <v>5615.6335971242042</v>
      </c>
      <c r="BE92" s="219">
        <f t="shared" si="338"/>
        <v>5615.6335971242042</v>
      </c>
      <c r="BF92" s="219">
        <f t="shared" si="338"/>
        <v>5615.6335971242042</v>
      </c>
      <c r="BG92" s="219">
        <f t="shared" si="338"/>
        <v>5615.6335971242042</v>
      </c>
      <c r="BH92" s="219">
        <f t="shared" si="338"/>
        <v>5615.6335971242042</v>
      </c>
      <c r="BI92" s="219">
        <f t="shared" si="338"/>
        <v>5615.6335971242042</v>
      </c>
      <c r="BJ92" s="219">
        <f t="shared" si="338"/>
        <v>5615.6335971242042</v>
      </c>
      <c r="BK92" s="219">
        <f t="shared" si="338"/>
        <v>5615.6335971242042</v>
      </c>
      <c r="BL92" s="219">
        <f t="shared" si="338"/>
        <v>5615.6335971242042</v>
      </c>
      <c r="BM92" s="219">
        <f t="shared" si="338"/>
        <v>5615.6335971242042</v>
      </c>
      <c r="BN92" s="219">
        <f t="shared" si="338"/>
        <v>5615.6335971242042</v>
      </c>
      <c r="BO92" s="219">
        <f t="shared" si="338"/>
        <v>5615.6335971242042</v>
      </c>
      <c r="BP92" s="219">
        <f t="shared" si="338"/>
        <v>5615.6335971242042</v>
      </c>
      <c r="BQ92" s="219">
        <f t="shared" si="338"/>
        <v>5615.6335971242042</v>
      </c>
      <c r="BR92" s="219">
        <f t="shared" si="338"/>
        <v>5615.6335971242042</v>
      </c>
      <c r="BS92" s="219">
        <f t="shared" si="338"/>
        <v>5615.6335971242042</v>
      </c>
      <c r="BT92" s="219">
        <f t="shared" si="338"/>
        <v>5615.6335971242042</v>
      </c>
      <c r="BU92" s="219">
        <f t="shared" si="338"/>
        <v>5615.6335971242042</v>
      </c>
      <c r="BV92" s="219">
        <f t="shared" si="338"/>
        <v>5615.6335971242042</v>
      </c>
      <c r="BW92" s="219">
        <f t="shared" si="338"/>
        <v>5615.6335971242042</v>
      </c>
      <c r="BX92" s="219">
        <f t="shared" si="338"/>
        <v>5615.6335971242042</v>
      </c>
      <c r="BY92" s="219">
        <f t="shared" si="338"/>
        <v>5615.6335971242042</v>
      </c>
      <c r="BZ92" s="219">
        <f t="shared" si="338"/>
        <v>5615.6335971242042</v>
      </c>
      <c r="CA92" s="219">
        <f t="shared" si="338"/>
        <v>5615.6335971242042</v>
      </c>
      <c r="CB92" s="219">
        <f t="shared" si="338"/>
        <v>5615.6335971242042</v>
      </c>
      <c r="CC92" s="219">
        <f t="shared" si="338"/>
        <v>5615.6335971242042</v>
      </c>
      <c r="CD92" s="219">
        <f t="shared" si="338"/>
        <v>5615.6335971242042</v>
      </c>
      <c r="CE92" s="219">
        <f t="shared" si="338"/>
        <v>5615.6335971242042</v>
      </c>
      <c r="CF92" s="219">
        <f t="shared" si="338"/>
        <v>5615.6335971242042</v>
      </c>
      <c r="CG92" s="219">
        <f t="shared" si="338"/>
        <v>5615.6335971242042</v>
      </c>
      <c r="CH92" s="137"/>
      <c r="CI92" s="137"/>
      <c r="CJ92" s="137"/>
      <c r="CK92" s="137"/>
      <c r="CL92" s="137"/>
      <c r="CM92" s="137"/>
      <c r="CN92" s="137"/>
      <c r="CO92" s="137"/>
      <c r="CP92" s="137"/>
      <c r="CQ92" s="137"/>
      <c r="CR92" s="137"/>
      <c r="CS92" s="137"/>
      <c r="CT92" s="137"/>
      <c r="CU92" s="137"/>
      <c r="CV92" s="137"/>
      <c r="CW92" s="137"/>
      <c r="CX92" s="137"/>
      <c r="CY92" s="137"/>
      <c r="CZ92" s="137"/>
      <c r="DA92" s="137"/>
      <c r="DB92" s="137"/>
      <c r="DC92" s="137"/>
      <c r="DD92" s="137"/>
      <c r="DE92" s="137"/>
      <c r="DF92" s="137"/>
      <c r="DG92" s="137"/>
      <c r="DH92" s="137"/>
      <c r="DI92" s="137"/>
      <c r="DJ92" s="137"/>
      <c r="DK92" s="137"/>
      <c r="DL92" s="137"/>
      <c r="DM92" s="137"/>
      <c r="DN92" s="137"/>
      <c r="DO92" s="137"/>
      <c r="DP92" s="137"/>
      <c r="DQ92" s="137"/>
      <c r="DR92" s="137"/>
      <c r="DS92" s="137"/>
      <c r="DT92" s="137"/>
      <c r="DU92" s="137"/>
      <c r="DV92" s="137"/>
      <c r="DW92" s="137"/>
      <c r="DX92" s="137"/>
      <c r="DY92" s="137"/>
      <c r="DZ92" s="137"/>
      <c r="EA92" s="137"/>
      <c r="EB92" s="137"/>
      <c r="EC92" s="137"/>
      <c r="ED92" s="137"/>
      <c r="EE92" s="137"/>
      <c r="EF92" s="137"/>
      <c r="EG92" s="137"/>
      <c r="EH92" s="137"/>
      <c r="EI92" s="137"/>
      <c r="EJ92" s="137"/>
      <c r="EK92" s="137"/>
      <c r="EL92" s="137"/>
      <c r="EM92" s="137"/>
      <c r="EN92" s="137"/>
      <c r="EO92" s="137"/>
      <c r="EP92" s="137"/>
      <c r="EQ92" s="137"/>
    </row>
    <row r="93" spans="2:147" s="10" customFormat="1">
      <c r="B93" s="3"/>
      <c r="C93" s="84"/>
      <c r="D93" s="16"/>
      <c r="F93" s="256"/>
      <c r="G93" s="257"/>
      <c r="H93" s="257"/>
      <c r="I93" s="142"/>
      <c r="J93" s="142"/>
      <c r="K93" s="142"/>
      <c r="L93" s="233"/>
      <c r="M93" s="233"/>
      <c r="N93" s="233"/>
      <c r="O93" s="233"/>
      <c r="P93" s="233"/>
      <c r="Q93" s="142"/>
      <c r="R93" s="9" t="s">
        <v>421</v>
      </c>
      <c r="S93" s="292"/>
      <c r="T93" s="131"/>
      <c r="U93" s="131"/>
      <c r="V93" s="131"/>
      <c r="W93" s="131"/>
      <c r="X93" s="131"/>
      <c r="Y93" s="131"/>
      <c r="Z93" s="131"/>
      <c r="AA93" s="131"/>
      <c r="AB93" s="131"/>
      <c r="AC93" s="131"/>
      <c r="AD93" s="131"/>
      <c r="AE93" s="147">
        <f>AE90-AE92</f>
        <v>62030</v>
      </c>
      <c r="AF93" s="147">
        <f t="shared" ref="AF93:CG93" si="339">AF90-AF92</f>
        <v>65437</v>
      </c>
      <c r="AG93" s="147">
        <f t="shared" si="339"/>
        <v>64346</v>
      </c>
      <c r="AH93" s="1648">
        <f t="shared" si="339"/>
        <v>65363</v>
      </c>
      <c r="AI93" s="147">
        <f t="shared" ref="AI93" ca="1" si="340">AI90-AI92</f>
        <v>68693.318845727321</v>
      </c>
      <c r="AJ93" s="147">
        <f t="shared" ref="AJ93:AK93" ca="1" si="341">AJ90-AJ92</f>
        <v>70908.742361252574</v>
      </c>
      <c r="AK93" s="147">
        <f t="shared" ca="1" si="341"/>
        <v>72848.580941925844</v>
      </c>
      <c r="AL93" s="147">
        <f t="shared" ca="1" si="339"/>
        <v>73685.242193867263</v>
      </c>
      <c r="AM93" s="147">
        <f t="shared" ca="1" si="339"/>
        <v>76445.608915329998</v>
      </c>
      <c r="AN93" s="147">
        <f t="shared" ca="1" si="339"/>
        <v>78959.810949795472</v>
      </c>
      <c r="AO93" s="147">
        <f t="shared" ca="1" si="339"/>
        <v>81048.278582451967</v>
      </c>
      <c r="AP93" s="147">
        <f t="shared" ca="1" si="339"/>
        <v>83545.621489548488</v>
      </c>
      <c r="AQ93" s="147">
        <f t="shared" ca="1" si="339"/>
        <v>86662.541166556955</v>
      </c>
      <c r="AR93" s="147">
        <f t="shared" ca="1" si="339"/>
        <v>89506.895064169701</v>
      </c>
      <c r="AS93" s="147">
        <f t="shared" ca="1" si="339"/>
        <v>92188.798529380045</v>
      </c>
      <c r="AT93" s="147">
        <f t="shared" ca="1" si="339"/>
        <v>95081.528561611703</v>
      </c>
      <c r="AU93" s="147">
        <f t="shared" ca="1" si="339"/>
        <v>98092.463925617791</v>
      </c>
      <c r="AV93" s="147">
        <f t="shared" ca="1" si="339"/>
        <v>101201.30145555687</v>
      </c>
      <c r="AW93" s="147">
        <f t="shared" ca="1" si="339"/>
        <v>104405.22972576116</v>
      </c>
      <c r="AX93" s="147">
        <f t="shared" ca="1" si="339"/>
        <v>107670.24617348475</v>
      </c>
      <c r="AY93" s="147">
        <f t="shared" ca="1" si="339"/>
        <v>111023.72865355955</v>
      </c>
      <c r="AZ93" s="147">
        <f t="shared" ca="1" si="339"/>
        <v>114474.46599746223</v>
      </c>
      <c r="BA93" s="147">
        <f t="shared" ca="1" si="339"/>
        <v>118026.82338455399</v>
      </c>
      <c r="BB93" s="147">
        <f t="shared" ca="1" si="339"/>
        <v>121684.16585215955</v>
      </c>
      <c r="BC93" s="147">
        <f t="shared" ca="1" si="339"/>
        <v>125449.68609456175</v>
      </c>
      <c r="BD93" s="147">
        <f t="shared" ca="1" si="339"/>
        <v>129326.60590707751</v>
      </c>
      <c r="BE93" s="147">
        <f t="shared" ca="1" si="339"/>
        <v>133318.22673688352</v>
      </c>
      <c r="BF93" s="147">
        <f t="shared" ca="1" si="339"/>
        <v>137427.94397877695</v>
      </c>
      <c r="BG93" s="147">
        <f t="shared" ca="1" si="339"/>
        <v>141659.25262049149</v>
      </c>
      <c r="BH93" s="147">
        <f t="shared" ca="1" si="339"/>
        <v>146015.75087721049</v>
      </c>
      <c r="BI93" s="147">
        <f t="shared" ca="1" si="339"/>
        <v>150501.14341162596</v>
      </c>
      <c r="BJ93" s="147">
        <f t="shared" ca="1" si="339"/>
        <v>155119.24452436488</v>
      </c>
      <c r="BK93" s="147">
        <f t="shared" ca="1" si="339"/>
        <v>159873.98140900396</v>
      </c>
      <c r="BL93" s="147">
        <f t="shared" ca="1" si="339"/>
        <v>164769.3974963284</v>
      </c>
      <c r="BM93" s="147">
        <f t="shared" ca="1" si="339"/>
        <v>169809.65589590979</v>
      </c>
      <c r="BN93" s="147">
        <f t="shared" ca="1" si="339"/>
        <v>174999.04293918062</v>
      </c>
      <c r="BO93" s="147">
        <f t="shared" ca="1" si="339"/>
        <v>180341.97182732011</v>
      </c>
      <c r="BP93" s="147">
        <f t="shared" ca="1" si="339"/>
        <v>185842.98638712792</v>
      </c>
      <c r="BQ93" s="147">
        <f t="shared" ca="1" si="339"/>
        <v>191506.76493810173</v>
      </c>
      <c r="BR93" s="147">
        <f t="shared" ca="1" si="339"/>
        <v>197338.12427401647</v>
      </c>
      <c r="BS93" s="147">
        <f t="shared" ca="1" si="339"/>
        <v>203342.0237623961</v>
      </c>
      <c r="BT93" s="147">
        <f t="shared" ca="1" si="339"/>
        <v>209523.56956536986</v>
      </c>
      <c r="BU93" s="147">
        <f t="shared" ca="1" si="339"/>
        <v>215888.01898550877</v>
      </c>
      <c r="BV93" s="147">
        <f t="shared" ca="1" si="339"/>
        <v>222440.78494034236</v>
      </c>
      <c r="BW93" s="147">
        <f t="shared" ca="1" si="339"/>
        <v>229187.44056936717</v>
      </c>
      <c r="BX93" s="147">
        <f t="shared" ca="1" si="339"/>
        <v>236133.7239774715</v>
      </c>
      <c r="BY93" s="147">
        <f t="shared" ca="1" si="339"/>
        <v>243285.5431188145</v>
      </c>
      <c r="BZ93" s="147">
        <f t="shared" ca="1" si="339"/>
        <v>250648.98082532166</v>
      </c>
      <c r="CA93" s="147">
        <f t="shared" ca="1" si="339"/>
        <v>258230.29998407786</v>
      </c>
      <c r="CB93" s="147">
        <f t="shared" ca="1" si="339"/>
        <v>266035.94886802824</v>
      </c>
      <c r="CC93" s="147">
        <f t="shared" ca="1" si="339"/>
        <v>274072.56662452791</v>
      </c>
      <c r="CD93" s="147">
        <f t="shared" ca="1" si="339"/>
        <v>282346.98892641463</v>
      </c>
      <c r="CE93" s="147">
        <f t="shared" ca="1" si="339"/>
        <v>290866.25379041722</v>
      </c>
      <c r="CF93" s="147">
        <f t="shared" ca="1" si="339"/>
        <v>299637.6075678583</v>
      </c>
      <c r="CG93" s="147">
        <f t="shared" ca="1" si="339"/>
        <v>308620.48068091029</v>
      </c>
      <c r="CH93" s="137"/>
      <c r="CI93" s="137"/>
      <c r="CJ93" s="137"/>
      <c r="CK93" s="137"/>
      <c r="CL93" s="137"/>
      <c r="CM93" s="137"/>
      <c r="CN93" s="137"/>
      <c r="CO93" s="137"/>
      <c r="CP93" s="137"/>
      <c r="CQ93" s="137"/>
      <c r="CR93" s="137"/>
      <c r="CS93" s="137"/>
      <c r="CT93" s="137"/>
      <c r="CU93" s="137"/>
      <c r="CV93" s="137"/>
      <c r="CW93" s="137"/>
      <c r="CX93" s="137"/>
      <c r="CY93" s="137"/>
      <c r="CZ93" s="137"/>
      <c r="DA93" s="137"/>
      <c r="DB93" s="137"/>
      <c r="DC93" s="137"/>
      <c r="DD93" s="137"/>
      <c r="DE93" s="137"/>
      <c r="DF93" s="137"/>
      <c r="DG93" s="137"/>
      <c r="DH93" s="137"/>
      <c r="DI93" s="137"/>
      <c r="DJ93" s="137"/>
      <c r="DK93" s="137"/>
      <c r="DL93" s="137"/>
      <c r="DM93" s="137"/>
      <c r="DN93" s="137"/>
      <c r="DO93" s="137"/>
      <c r="DP93" s="137"/>
      <c r="DQ93" s="137"/>
      <c r="DR93" s="137"/>
      <c r="DS93" s="137"/>
      <c r="DT93" s="137"/>
      <c r="DU93" s="137"/>
      <c r="DV93" s="137"/>
      <c r="DW93" s="137"/>
      <c r="DX93" s="137"/>
      <c r="DY93" s="137"/>
      <c r="DZ93" s="137"/>
      <c r="EA93" s="137"/>
      <c r="EB93" s="137"/>
      <c r="EC93" s="137"/>
      <c r="ED93" s="137"/>
      <c r="EE93" s="137"/>
      <c r="EF93" s="137"/>
      <c r="EG93" s="137"/>
      <c r="EH93" s="137"/>
      <c r="EI93" s="137"/>
      <c r="EJ93" s="137"/>
      <c r="EK93" s="137"/>
      <c r="EL93" s="137"/>
      <c r="EM93" s="137"/>
      <c r="EN93" s="137"/>
      <c r="EO93" s="137"/>
      <c r="EP93" s="137"/>
      <c r="EQ93" s="137"/>
    </row>
    <row r="94" spans="2:147" s="10" customFormat="1" ht="13.8" thickBot="1">
      <c r="B94" s="3"/>
      <c r="C94" s="84"/>
      <c r="D94" s="16"/>
      <c r="G94" s="233"/>
      <c r="H94" s="233"/>
      <c r="I94" s="142"/>
      <c r="J94" s="142"/>
      <c r="K94" s="142"/>
      <c r="L94" s="233"/>
      <c r="M94" s="233"/>
      <c r="N94" s="233"/>
      <c r="O94" s="233"/>
      <c r="P94" s="233"/>
      <c r="Q94" s="142"/>
      <c r="R94" s="9" t="s">
        <v>1255</v>
      </c>
      <c r="S94" s="292"/>
      <c r="T94" s="131"/>
      <c r="U94" s="131"/>
      <c r="V94" s="131"/>
      <c r="W94" s="131"/>
      <c r="X94" s="131"/>
      <c r="Y94" s="131"/>
      <c r="Z94" s="131"/>
      <c r="AA94" s="131"/>
      <c r="AB94" s="131"/>
      <c r="AC94" s="131"/>
      <c r="AD94" s="131"/>
      <c r="AE94" s="1576">
        <f t="shared" ref="AE94:AI94" si="342">AE58/AVERAGE(AD93:AE93)</f>
        <v>0.10502982427857488</v>
      </c>
      <c r="AF94" s="1576">
        <f t="shared" si="342"/>
        <v>0.11631245734190025</v>
      </c>
      <c r="AG94" s="1625">
        <f t="shared" si="342"/>
        <v>0.10363452840510699</v>
      </c>
      <c r="AH94" s="1651">
        <f t="shared" si="342"/>
        <v>8.9230508291637436E-2</v>
      </c>
      <c r="AI94" s="1576">
        <f t="shared" ca="1" si="342"/>
        <v>0.11230868660123502</v>
      </c>
      <c r="AJ94" s="1576">
        <f t="shared" ref="AJ94" ca="1" si="343">AJ58/AVERAGE(AI93:AJ93)</f>
        <v>0.11424741747525473</v>
      </c>
      <c r="AK94" s="1576">
        <f ca="1">AK58/AVERAGE(AJ93:AK93)</f>
        <v>0.11796367179137052</v>
      </c>
      <c r="AL94" s="1576">
        <f ca="1">AL58/AVERAGE(AK93:AL93)</f>
        <v>0.12375263220780371</v>
      </c>
      <c r="AM94" s="1576">
        <f t="shared" ref="AM94:AN94" ca="1" si="344">AM58/AVERAGE(AL93:AM93)</f>
        <v>0.1269143775643726</v>
      </c>
      <c r="AN94" s="1576">
        <f t="shared" ca="1" si="344"/>
        <v>0.12537804542472522</v>
      </c>
      <c r="AO94" s="1576">
        <f t="shared" ref="AO94" ca="1" si="345">AO58/AVERAGE(AN93:AO93)</f>
        <v>0.10901929961101241</v>
      </c>
      <c r="AP94" s="1576">
        <f t="shared" ref="AP94" ca="1" si="346">AP58/AVERAGE(AO93:AP93)</f>
        <v>0.10874757599443359</v>
      </c>
      <c r="AQ94" s="1576">
        <f t="shared" ref="AQ94" ca="1" si="347">AQ58/AVERAGE(AP93:AQ93)</f>
        <v>0.12385273529481511</v>
      </c>
      <c r="AR94" s="1576">
        <f t="shared" ref="AR94" ca="1" si="348">AR58/AVERAGE(AQ93:AR93)</f>
        <v>0.12282048224284364</v>
      </c>
      <c r="AS94" s="131"/>
      <c r="AT94" s="131"/>
      <c r="AU94" s="131"/>
      <c r="AV94" s="131"/>
      <c r="AW94" s="131"/>
      <c r="AX94" s="131"/>
      <c r="AY94" s="131"/>
      <c r="AZ94" s="131"/>
      <c r="BA94" s="131"/>
      <c r="BB94" s="131"/>
      <c r="BC94" s="131"/>
      <c r="BD94" s="131"/>
      <c r="BE94" s="131"/>
      <c r="BF94" s="131"/>
      <c r="BG94" s="131"/>
      <c r="BH94" s="131"/>
      <c r="BI94" s="131"/>
      <c r="BJ94" s="131"/>
      <c r="BK94" s="131"/>
      <c r="BL94" s="131"/>
      <c r="BM94" s="131"/>
      <c r="BN94" s="131"/>
      <c r="BO94" s="131"/>
      <c r="BP94" s="131"/>
      <c r="BQ94" s="131"/>
      <c r="BR94" s="131"/>
      <c r="BS94" s="131"/>
      <c r="BT94" s="131"/>
      <c r="BU94" s="131"/>
      <c r="BV94" s="131"/>
      <c r="BW94" s="131"/>
      <c r="BX94" s="131"/>
      <c r="BY94" s="131"/>
      <c r="BZ94" s="131"/>
      <c r="CA94" s="131"/>
      <c r="CB94" s="131"/>
      <c r="CC94" s="131"/>
      <c r="CD94" s="131"/>
      <c r="CE94" s="131"/>
      <c r="CF94" s="131"/>
      <c r="CG94" s="131"/>
      <c r="CH94" s="137"/>
      <c r="CI94" s="137"/>
      <c r="CJ94" s="137"/>
      <c r="CK94" s="137"/>
      <c r="CL94" s="137"/>
      <c r="CM94" s="137"/>
      <c r="CN94" s="137"/>
      <c r="CO94" s="137"/>
      <c r="CP94" s="137"/>
      <c r="CQ94" s="137"/>
      <c r="CR94" s="137"/>
      <c r="CS94" s="137"/>
      <c r="CT94" s="137"/>
      <c r="CU94" s="137"/>
      <c r="CV94" s="137"/>
      <c r="CW94" s="137"/>
      <c r="CX94" s="137"/>
      <c r="CY94" s="137"/>
      <c r="CZ94" s="137"/>
      <c r="DA94" s="137"/>
      <c r="DB94" s="137"/>
      <c r="DC94" s="137"/>
      <c r="DD94" s="137"/>
      <c r="DE94" s="137"/>
      <c r="DF94" s="137"/>
      <c r="DG94" s="137"/>
      <c r="DH94" s="137"/>
      <c r="DI94" s="137"/>
      <c r="DJ94" s="137"/>
      <c r="DK94" s="137"/>
      <c r="DL94" s="137"/>
      <c r="DM94" s="137"/>
      <c r="DN94" s="137"/>
      <c r="DO94" s="137"/>
      <c r="DP94" s="137"/>
      <c r="DQ94" s="137"/>
      <c r="DR94" s="137"/>
      <c r="DS94" s="137"/>
      <c r="DT94" s="137"/>
      <c r="DU94" s="137"/>
      <c r="DV94" s="137"/>
      <c r="DW94" s="137"/>
      <c r="DX94" s="137"/>
      <c r="DY94" s="137"/>
      <c r="DZ94" s="137"/>
      <c r="EA94" s="137"/>
      <c r="EB94" s="137"/>
      <c r="EC94" s="137"/>
      <c r="ED94" s="137"/>
      <c r="EE94" s="137"/>
      <c r="EF94" s="137"/>
      <c r="EG94" s="137"/>
      <c r="EH94" s="137"/>
      <c r="EI94" s="137"/>
      <c r="EJ94" s="137"/>
      <c r="EK94" s="137"/>
      <c r="EL94" s="137"/>
      <c r="EM94" s="137"/>
      <c r="EN94" s="137"/>
      <c r="EO94" s="137"/>
      <c r="EP94" s="137"/>
      <c r="EQ94" s="137"/>
    </row>
    <row r="95" spans="2:147" s="10" customFormat="1" ht="13.8" thickBot="1">
      <c r="B95" s="3"/>
      <c r="C95" s="84"/>
      <c r="D95" s="16"/>
      <c r="F95" s="230"/>
      <c r="G95" s="225"/>
      <c r="H95" s="225"/>
      <c r="I95" s="189"/>
      <c r="J95" s="189"/>
      <c r="K95" s="189"/>
      <c r="L95" s="225"/>
      <c r="M95" s="225"/>
      <c r="N95" s="225"/>
      <c r="O95" s="225"/>
      <c r="P95" s="225"/>
      <c r="Q95" s="189"/>
      <c r="R95" s="245" t="s">
        <v>292</v>
      </c>
      <c r="S95" s="297"/>
      <c r="T95" s="964">
        <f ca="1">AVERAGE(AH95:AR95)</f>
        <v>0.67070617395895593</v>
      </c>
      <c r="U95" s="234"/>
      <c r="V95" s="246">
        <f t="shared" ref="V95:AB95" si="349">-V85/V58</f>
        <v>0.62969808995687004</v>
      </c>
      <c r="W95" s="246">
        <f t="shared" si="349"/>
        <v>0.65954756217507382</v>
      </c>
      <c r="X95" s="246">
        <f t="shared" si="349"/>
        <v>0.6800166297117517</v>
      </c>
      <c r="Y95" s="246">
        <f t="shared" si="349"/>
        <v>0.84921039225674988</v>
      </c>
      <c r="Z95" s="246">
        <f>-Z85/Z58</f>
        <v>0.67689822294022617</v>
      </c>
      <c r="AA95" s="246">
        <f>-AA85/AA58</f>
        <v>0.70679821180823188</v>
      </c>
      <c r="AB95" s="246">
        <f t="shared" si="349"/>
        <v>0.69258114374034008</v>
      </c>
      <c r="AC95" s="246">
        <f t="shared" ref="AC95:AH95" si="350">-AC85/AC58</f>
        <v>0.77754124534326774</v>
      </c>
      <c r="AD95" s="246">
        <f t="shared" si="350"/>
        <v>0.47241045498547918</v>
      </c>
      <c r="AE95" s="246">
        <f t="shared" si="350"/>
        <v>0.6148511136270145</v>
      </c>
      <c r="AF95" s="246">
        <f t="shared" ref="AF95:AG95" si="351">-AF85/AF58</f>
        <v>0.59513383156886557</v>
      </c>
      <c r="AG95" s="246">
        <f t="shared" si="351"/>
        <v>0.77620817843866174</v>
      </c>
      <c r="AH95" s="1652">
        <f t="shared" si="350"/>
        <v>0.83756696042854673</v>
      </c>
      <c r="AI95" s="246">
        <f t="shared" ref="AI95" ca="1" si="352">-AI85/AI58</f>
        <v>0.66823826184317558</v>
      </c>
      <c r="AJ95" s="246">
        <f t="shared" ref="AJ95:AK95" ca="1" si="353">-AJ85/AJ58</f>
        <v>0.66567629776421255</v>
      </c>
      <c r="AK95" s="246">
        <f t="shared" ca="1" si="353"/>
        <v>0.65628639351257889</v>
      </c>
      <c r="AL95" s="1563">
        <v>0.65</v>
      </c>
      <c r="AM95" s="1564">
        <f>AL95</f>
        <v>0.65</v>
      </c>
      <c r="AN95" s="1564">
        <f t="shared" ref="AN95:AR95" si="354">AM95</f>
        <v>0.65</v>
      </c>
      <c r="AO95" s="1564">
        <f t="shared" si="354"/>
        <v>0.65</v>
      </c>
      <c r="AP95" s="1564">
        <f t="shared" si="354"/>
        <v>0.65</v>
      </c>
      <c r="AQ95" s="1564">
        <f t="shared" si="354"/>
        <v>0.65</v>
      </c>
      <c r="AR95" s="1564">
        <f t="shared" si="354"/>
        <v>0.65</v>
      </c>
      <c r="AS95" s="1565">
        <v>0.65</v>
      </c>
      <c r="AT95" s="937">
        <f t="shared" ref="AT95:CG95" si="355">AS95</f>
        <v>0.65</v>
      </c>
      <c r="AU95" s="937">
        <f t="shared" si="355"/>
        <v>0.65</v>
      </c>
      <c r="AV95" s="937">
        <f t="shared" si="355"/>
        <v>0.65</v>
      </c>
      <c r="AW95" s="937">
        <f t="shared" si="355"/>
        <v>0.65</v>
      </c>
      <c r="AX95" s="938">
        <f t="shared" si="355"/>
        <v>0.65</v>
      </c>
      <c r="AY95" s="938">
        <f t="shared" si="355"/>
        <v>0.65</v>
      </c>
      <c r="AZ95" s="938">
        <f t="shared" si="355"/>
        <v>0.65</v>
      </c>
      <c r="BA95" s="938">
        <f t="shared" si="355"/>
        <v>0.65</v>
      </c>
      <c r="BB95" s="938">
        <f t="shared" si="355"/>
        <v>0.65</v>
      </c>
      <c r="BC95" s="938">
        <f t="shared" si="355"/>
        <v>0.65</v>
      </c>
      <c r="BD95" s="938">
        <f t="shared" si="355"/>
        <v>0.65</v>
      </c>
      <c r="BE95" s="938">
        <f t="shared" si="355"/>
        <v>0.65</v>
      </c>
      <c r="BF95" s="938">
        <f t="shared" si="355"/>
        <v>0.65</v>
      </c>
      <c r="BG95" s="938">
        <f t="shared" si="355"/>
        <v>0.65</v>
      </c>
      <c r="BH95" s="938">
        <f t="shared" si="355"/>
        <v>0.65</v>
      </c>
      <c r="BI95" s="938">
        <f t="shared" si="355"/>
        <v>0.65</v>
      </c>
      <c r="BJ95" s="938">
        <f t="shared" si="355"/>
        <v>0.65</v>
      </c>
      <c r="BK95" s="938">
        <f t="shared" si="355"/>
        <v>0.65</v>
      </c>
      <c r="BL95" s="938">
        <f t="shared" si="355"/>
        <v>0.65</v>
      </c>
      <c r="BM95" s="938">
        <f t="shared" si="355"/>
        <v>0.65</v>
      </c>
      <c r="BN95" s="938">
        <f t="shared" si="355"/>
        <v>0.65</v>
      </c>
      <c r="BO95" s="938">
        <f t="shared" si="355"/>
        <v>0.65</v>
      </c>
      <c r="BP95" s="938">
        <f t="shared" si="355"/>
        <v>0.65</v>
      </c>
      <c r="BQ95" s="938">
        <f t="shared" si="355"/>
        <v>0.65</v>
      </c>
      <c r="BR95" s="938">
        <f t="shared" si="355"/>
        <v>0.65</v>
      </c>
      <c r="BS95" s="938">
        <f t="shared" si="355"/>
        <v>0.65</v>
      </c>
      <c r="BT95" s="938">
        <f t="shared" si="355"/>
        <v>0.65</v>
      </c>
      <c r="BU95" s="938">
        <f t="shared" si="355"/>
        <v>0.65</v>
      </c>
      <c r="BV95" s="938">
        <f t="shared" si="355"/>
        <v>0.65</v>
      </c>
      <c r="BW95" s="938">
        <f t="shared" si="355"/>
        <v>0.65</v>
      </c>
      <c r="BX95" s="938">
        <f t="shared" si="355"/>
        <v>0.65</v>
      </c>
      <c r="BY95" s="938">
        <f t="shared" si="355"/>
        <v>0.65</v>
      </c>
      <c r="BZ95" s="938">
        <f t="shared" si="355"/>
        <v>0.65</v>
      </c>
      <c r="CA95" s="938">
        <f t="shared" si="355"/>
        <v>0.65</v>
      </c>
      <c r="CB95" s="938">
        <f t="shared" si="355"/>
        <v>0.65</v>
      </c>
      <c r="CC95" s="938">
        <f t="shared" si="355"/>
        <v>0.65</v>
      </c>
      <c r="CD95" s="938">
        <f t="shared" si="355"/>
        <v>0.65</v>
      </c>
      <c r="CE95" s="938">
        <f t="shared" si="355"/>
        <v>0.65</v>
      </c>
      <c r="CF95" s="938">
        <f t="shared" si="355"/>
        <v>0.65</v>
      </c>
      <c r="CG95" s="938">
        <f t="shared" si="355"/>
        <v>0.65</v>
      </c>
    </row>
    <row r="96" spans="2:147" s="10" customFormat="1" ht="13.8" thickBot="1">
      <c r="B96" s="3"/>
      <c r="C96" s="84"/>
      <c r="D96" s="16"/>
      <c r="F96" s="232"/>
      <c r="G96" s="233"/>
      <c r="H96" s="233"/>
      <c r="I96" s="142"/>
      <c r="J96" s="142"/>
      <c r="K96" s="142"/>
      <c r="L96" s="233"/>
      <c r="M96" s="233"/>
      <c r="N96" s="233"/>
      <c r="O96" s="233"/>
      <c r="P96" s="233"/>
      <c r="Q96" s="142"/>
      <c r="R96" s="245" t="s">
        <v>413</v>
      </c>
      <c r="S96" s="297"/>
      <c r="T96" s="234"/>
      <c r="U96" s="234"/>
      <c r="V96" s="246">
        <f t="shared" ref="V96:AB96" si="356">-V86/V85</f>
        <v>0.1022504892367906</v>
      </c>
      <c r="W96" s="246">
        <f t="shared" si="356"/>
        <v>7.477631018321261E-2</v>
      </c>
      <c r="X96" s="246">
        <f t="shared" si="356"/>
        <v>0.22865294477277359</v>
      </c>
      <c r="Y96" s="246">
        <f t="shared" si="356"/>
        <v>8.2583483303339339E-2</v>
      </c>
      <c r="Z96" s="246">
        <f t="shared" si="356"/>
        <v>4.3176394011716204E-2</v>
      </c>
      <c r="AA96" s="246">
        <f>-AA86/AA85</f>
        <v>0</v>
      </c>
      <c r="AB96" s="246">
        <f t="shared" si="356"/>
        <v>0</v>
      </c>
      <c r="AC96" s="246">
        <f t="shared" ref="AC96:AH96" si="357">-AC86/AC85</f>
        <v>2.0876112251882271E-2</v>
      </c>
      <c r="AD96" s="246">
        <f t="shared" si="357"/>
        <v>0</v>
      </c>
      <c r="AE96" s="246">
        <f t="shared" si="357"/>
        <v>4.5838838350815495E-2</v>
      </c>
      <c r="AF96" s="246">
        <f t="shared" ref="AF96:AG96" si="358">-AF86/AF85</f>
        <v>4.6706205170153621E-2</v>
      </c>
      <c r="AG96" s="246">
        <f t="shared" si="358"/>
        <v>0</v>
      </c>
      <c r="AH96" s="1652">
        <f t="shared" si="357"/>
        <v>3.961213121518465E-2</v>
      </c>
      <c r="AI96" s="246">
        <f t="shared" ref="AI96" ca="1" si="359">-AI86/AI85</f>
        <v>0.14768158530371295</v>
      </c>
      <c r="AJ96" s="246">
        <f t="shared" ref="AJ96:AK96" ca="1" si="360">-AJ86/AJ85</f>
        <v>0</v>
      </c>
      <c r="AK96" s="246">
        <f t="shared" ca="1" si="360"/>
        <v>0</v>
      </c>
      <c r="AL96" s="1563">
        <v>0</v>
      </c>
      <c r="AM96" s="1564">
        <f>AL96</f>
        <v>0</v>
      </c>
      <c r="AN96" s="1564">
        <f t="shared" ref="AN96:AR96" si="361">AM96</f>
        <v>0</v>
      </c>
      <c r="AO96" s="1564">
        <f t="shared" si="361"/>
        <v>0</v>
      </c>
      <c r="AP96" s="1564">
        <f t="shared" si="361"/>
        <v>0</v>
      </c>
      <c r="AQ96" s="1564">
        <f t="shared" si="361"/>
        <v>0</v>
      </c>
      <c r="AR96" s="1564">
        <f t="shared" si="361"/>
        <v>0</v>
      </c>
      <c r="AS96" s="1565">
        <v>0</v>
      </c>
      <c r="AT96" s="937">
        <f t="shared" ref="AT96:CG96" si="362">AS96</f>
        <v>0</v>
      </c>
      <c r="AU96" s="937">
        <f t="shared" si="362"/>
        <v>0</v>
      </c>
      <c r="AV96" s="937">
        <f t="shared" si="362"/>
        <v>0</v>
      </c>
      <c r="AW96" s="937">
        <f t="shared" si="362"/>
        <v>0</v>
      </c>
      <c r="AX96" s="938">
        <f t="shared" si="362"/>
        <v>0</v>
      </c>
      <c r="AY96" s="938">
        <f t="shared" si="362"/>
        <v>0</v>
      </c>
      <c r="AZ96" s="938">
        <f t="shared" si="362"/>
        <v>0</v>
      </c>
      <c r="BA96" s="938">
        <f t="shared" si="362"/>
        <v>0</v>
      </c>
      <c r="BB96" s="938">
        <f t="shared" si="362"/>
        <v>0</v>
      </c>
      <c r="BC96" s="938">
        <f t="shared" si="362"/>
        <v>0</v>
      </c>
      <c r="BD96" s="938">
        <f t="shared" si="362"/>
        <v>0</v>
      </c>
      <c r="BE96" s="938">
        <f t="shared" si="362"/>
        <v>0</v>
      </c>
      <c r="BF96" s="938">
        <f t="shared" si="362"/>
        <v>0</v>
      </c>
      <c r="BG96" s="938">
        <f t="shared" si="362"/>
        <v>0</v>
      </c>
      <c r="BH96" s="938">
        <f t="shared" si="362"/>
        <v>0</v>
      </c>
      <c r="BI96" s="938">
        <f t="shared" si="362"/>
        <v>0</v>
      </c>
      <c r="BJ96" s="938">
        <f t="shared" si="362"/>
        <v>0</v>
      </c>
      <c r="BK96" s="938">
        <f t="shared" si="362"/>
        <v>0</v>
      </c>
      <c r="BL96" s="938">
        <f t="shared" si="362"/>
        <v>0</v>
      </c>
      <c r="BM96" s="938">
        <f t="shared" si="362"/>
        <v>0</v>
      </c>
      <c r="BN96" s="938">
        <f t="shared" si="362"/>
        <v>0</v>
      </c>
      <c r="BO96" s="938">
        <f t="shared" si="362"/>
        <v>0</v>
      </c>
      <c r="BP96" s="938">
        <f t="shared" si="362"/>
        <v>0</v>
      </c>
      <c r="BQ96" s="938">
        <f t="shared" si="362"/>
        <v>0</v>
      </c>
      <c r="BR96" s="938">
        <f t="shared" si="362"/>
        <v>0</v>
      </c>
      <c r="BS96" s="938">
        <f t="shared" si="362"/>
        <v>0</v>
      </c>
      <c r="BT96" s="938">
        <f t="shared" si="362"/>
        <v>0</v>
      </c>
      <c r="BU96" s="938">
        <f t="shared" si="362"/>
        <v>0</v>
      </c>
      <c r="BV96" s="938">
        <f t="shared" si="362"/>
        <v>0</v>
      </c>
      <c r="BW96" s="938">
        <f t="shared" si="362"/>
        <v>0</v>
      </c>
      <c r="BX96" s="938">
        <f t="shared" si="362"/>
        <v>0</v>
      </c>
      <c r="BY96" s="938">
        <f t="shared" si="362"/>
        <v>0</v>
      </c>
      <c r="BZ96" s="938">
        <f t="shared" si="362"/>
        <v>0</v>
      </c>
      <c r="CA96" s="938">
        <f t="shared" si="362"/>
        <v>0</v>
      </c>
      <c r="CB96" s="938">
        <f t="shared" si="362"/>
        <v>0</v>
      </c>
      <c r="CC96" s="938">
        <f t="shared" si="362"/>
        <v>0</v>
      </c>
      <c r="CD96" s="938">
        <f t="shared" si="362"/>
        <v>0</v>
      </c>
      <c r="CE96" s="938">
        <f t="shared" si="362"/>
        <v>0</v>
      </c>
      <c r="CF96" s="938">
        <f t="shared" si="362"/>
        <v>0</v>
      </c>
      <c r="CG96" s="938">
        <f t="shared" si="362"/>
        <v>0</v>
      </c>
    </row>
    <row r="97" spans="2:147" s="10" customFormat="1">
      <c r="B97" s="3"/>
      <c r="C97" s="84"/>
      <c r="D97" s="16"/>
      <c r="F97" s="232"/>
      <c r="G97" s="262"/>
      <c r="H97" s="262"/>
      <c r="I97" s="198"/>
      <c r="J97" s="198"/>
      <c r="K97" s="198"/>
      <c r="L97" s="262"/>
      <c r="M97" s="262"/>
      <c r="N97" s="262"/>
      <c r="O97" s="262"/>
      <c r="P97" s="262"/>
      <c r="Q97" s="198"/>
      <c r="R97" s="112" t="s">
        <v>720</v>
      </c>
      <c r="S97" s="295"/>
      <c r="T97" s="248"/>
      <c r="U97" s="248"/>
      <c r="V97" s="166">
        <f t="shared" ref="V97:AB97" si="363">V87/V83</f>
        <v>3.6228287841191067E-3</v>
      </c>
      <c r="W97" s="166">
        <f t="shared" si="363"/>
        <v>8.9545556301768523E-5</v>
      </c>
      <c r="X97" s="166">
        <f t="shared" si="363"/>
        <v>6.849966898378021E-2</v>
      </c>
      <c r="Y97" s="166">
        <f t="shared" si="363"/>
        <v>0</v>
      </c>
      <c r="Z97" s="166">
        <f t="shared" si="363"/>
        <v>-1.7295651873119099E-5</v>
      </c>
      <c r="AA97" s="166">
        <f>AA87/AA83</f>
        <v>-1.696093895758069E-5</v>
      </c>
      <c r="AB97" s="166">
        <f t="shared" si="363"/>
        <v>0</v>
      </c>
      <c r="AC97" s="166">
        <f t="shared" ref="AC97:AH97" si="364">AC87/AC83</f>
        <v>-3.290393695605679E-4</v>
      </c>
      <c r="AD97" s="166">
        <f t="shared" si="364"/>
        <v>1.7458841189811869E-3</v>
      </c>
      <c r="AE97" s="166">
        <f t="shared" si="364"/>
        <v>5.4588562692845378E-2</v>
      </c>
      <c r="AF97" s="166">
        <f t="shared" ref="AF97:AG97" si="365">AF87/AF83</f>
        <v>1.1978237398151885E-3</v>
      </c>
      <c r="AG97" s="166">
        <f t="shared" si="365"/>
        <v>-2.4462191524570116E-4</v>
      </c>
      <c r="AH97" s="1635">
        <f t="shared" si="364"/>
        <v>1.5460154315243997E-3</v>
      </c>
      <c r="AI97" s="166">
        <f t="shared" ref="AI97" ca="1" si="366">AI87/AI83</f>
        <v>8.0352445625941958E-4</v>
      </c>
      <c r="AJ97" s="166">
        <f t="shared" ref="AJ97:AK97" ca="1" si="367">AJ87/AJ83</f>
        <v>7.7987094203263137E-4</v>
      </c>
      <c r="AK97" s="166">
        <f t="shared" ca="1" si="367"/>
        <v>7.3955820417116985E-4</v>
      </c>
      <c r="AL97" s="249">
        <v>2E-3</v>
      </c>
      <c r="AM97" s="249">
        <v>2E-3</v>
      </c>
      <c r="AN97" s="249">
        <v>2E-3</v>
      </c>
      <c r="AO97" s="249">
        <v>2E-3</v>
      </c>
      <c r="AP97" s="249">
        <v>2E-3</v>
      </c>
      <c r="AQ97" s="249">
        <v>2E-3</v>
      </c>
      <c r="AR97" s="249">
        <v>2E-3</v>
      </c>
      <c r="AS97" s="250">
        <v>0</v>
      </c>
      <c r="AT97" s="250">
        <v>0</v>
      </c>
      <c r="AU97" s="250">
        <v>0</v>
      </c>
      <c r="AV97" s="250">
        <v>0</v>
      </c>
      <c r="AW97" s="250">
        <v>0</v>
      </c>
      <c r="AX97" s="250">
        <v>0</v>
      </c>
      <c r="AY97" s="250">
        <v>0</v>
      </c>
      <c r="AZ97" s="250">
        <v>0</v>
      </c>
      <c r="BA97" s="250">
        <v>0</v>
      </c>
      <c r="BB97" s="250">
        <v>0</v>
      </c>
      <c r="BC97" s="250">
        <v>0</v>
      </c>
      <c r="BD97" s="250">
        <v>0</v>
      </c>
      <c r="BE97" s="250">
        <v>0</v>
      </c>
      <c r="BF97" s="250">
        <v>0</v>
      </c>
      <c r="BG97" s="250">
        <v>0</v>
      </c>
      <c r="BH97" s="250">
        <v>0</v>
      </c>
      <c r="BI97" s="250">
        <v>0</v>
      </c>
      <c r="BJ97" s="250">
        <v>0</v>
      </c>
      <c r="BK97" s="250">
        <v>0</v>
      </c>
      <c r="BL97" s="250">
        <v>0</v>
      </c>
      <c r="BM97" s="250">
        <v>0</v>
      </c>
      <c r="BN97" s="250">
        <v>0</v>
      </c>
      <c r="BO97" s="250">
        <v>0</v>
      </c>
      <c r="BP97" s="250">
        <v>0</v>
      </c>
      <c r="BQ97" s="250">
        <v>0</v>
      </c>
      <c r="BR97" s="250">
        <v>0</v>
      </c>
      <c r="BS97" s="250">
        <v>0</v>
      </c>
      <c r="BT97" s="250">
        <v>0</v>
      </c>
      <c r="BU97" s="250">
        <v>0</v>
      </c>
      <c r="BV97" s="250">
        <v>0</v>
      </c>
      <c r="BW97" s="250">
        <v>0</v>
      </c>
      <c r="BX97" s="250">
        <v>0</v>
      </c>
      <c r="BY97" s="250">
        <v>0</v>
      </c>
      <c r="BZ97" s="250">
        <v>0</v>
      </c>
      <c r="CA97" s="250">
        <v>0</v>
      </c>
      <c r="CB97" s="250">
        <v>0</v>
      </c>
      <c r="CC97" s="250">
        <v>0</v>
      </c>
      <c r="CD97" s="250">
        <v>0</v>
      </c>
      <c r="CE97" s="250">
        <v>0</v>
      </c>
      <c r="CF97" s="250">
        <v>0</v>
      </c>
      <c r="CG97" s="250">
        <v>0</v>
      </c>
    </row>
    <row r="98" spans="2:147" s="10" customFormat="1">
      <c r="B98" s="3"/>
      <c r="C98" s="84"/>
      <c r="D98" s="16"/>
      <c r="G98" s="111"/>
      <c r="H98" s="111"/>
      <c r="L98" s="111"/>
      <c r="M98" s="111"/>
      <c r="N98" s="111"/>
      <c r="O98" s="111"/>
      <c r="P98" s="111"/>
      <c r="R98" s="112" t="s">
        <v>302</v>
      </c>
      <c r="S98" s="295"/>
      <c r="T98" s="248"/>
      <c r="U98" s="248"/>
      <c r="V98" s="166">
        <f t="shared" ref="V98:BK98" si="368">V88/V83</f>
        <v>0</v>
      </c>
      <c r="W98" s="166">
        <f t="shared" ref="W98:AB98" si="369">W88/W83</f>
        <v>2.4625027982986343E-4</v>
      </c>
      <c r="X98" s="166">
        <f t="shared" si="369"/>
        <v>-2.0067858325057927E-3</v>
      </c>
      <c r="Y98" s="166">
        <f t="shared" si="369"/>
        <v>0</v>
      </c>
      <c r="Z98" s="166">
        <f>Z88/Z83</f>
        <v>0</v>
      </c>
      <c r="AA98" s="166">
        <f>AA88/AA83</f>
        <v>-3.1886565240251699E-2</v>
      </c>
      <c r="AB98" s="166">
        <f t="shared" si="369"/>
        <v>-1.8905187110713501E-2</v>
      </c>
      <c r="AC98" s="166">
        <f t="shared" ref="AC98:AH98" si="370">AC88/AC83</f>
        <v>0</v>
      </c>
      <c r="AD98" s="166">
        <f t="shared" si="370"/>
        <v>-1.067110480199716E-2</v>
      </c>
      <c r="AE98" s="166">
        <f t="shared" si="370"/>
        <v>-1.3288305976596247E-2</v>
      </c>
      <c r="AF98" s="166">
        <f t="shared" ref="AF98:AG98" si="371">AF88/AF83</f>
        <v>0</v>
      </c>
      <c r="AG98" s="166">
        <f t="shared" si="371"/>
        <v>-1.2705950068350241E-2</v>
      </c>
      <c r="AH98" s="1635">
        <f t="shared" si="370"/>
        <v>-4.1656526904962996E-3</v>
      </c>
      <c r="AI98" s="166">
        <f t="shared" ref="AI98" si="372">AI88/AI83</f>
        <v>0</v>
      </c>
      <c r="AJ98" s="166">
        <f t="shared" ref="AJ98:AK98" ca="1" si="373">AJ88/AJ83</f>
        <v>-6.9283917647643724E-3</v>
      </c>
      <c r="AK98" s="166">
        <f t="shared" ca="1" si="373"/>
        <v>-1.3337041851804662E-2</v>
      </c>
      <c r="AL98" s="166">
        <f t="shared" ref="AL98:AQ98" ca="1" si="374">AL88/AL83</f>
        <v>-3.1781466212063778E-2</v>
      </c>
      <c r="AM98" s="166">
        <f t="shared" ca="1" si="374"/>
        <v>-9.2387837979690177E-3</v>
      </c>
      <c r="AN98" s="166">
        <f t="shared" ca="1" si="374"/>
        <v>-1.2913469033091983E-2</v>
      </c>
      <c r="AO98" s="166">
        <f t="shared" ca="1" si="374"/>
        <v>-1.34007924731203E-2</v>
      </c>
      <c r="AP98" s="166">
        <f t="shared" ca="1" si="374"/>
        <v>-9.3273282590816999E-3</v>
      </c>
      <c r="AQ98" s="166">
        <f t="shared" ca="1" si="374"/>
        <v>-8.4177087061682813E-3</v>
      </c>
      <c r="AR98" s="166">
        <f t="shared" ref="AR98" ca="1" si="375">AR88/AR83</f>
        <v>-1.2209984644840658E-2</v>
      </c>
      <c r="AS98" s="166">
        <f t="shared" ca="1" si="368"/>
        <v>-1.2839476523344873E-2</v>
      </c>
      <c r="AT98" s="166">
        <f t="shared" ca="1" si="368"/>
        <v>-1.1456998805978046E-2</v>
      </c>
      <c r="AU98" s="166">
        <f t="shared" ca="1" si="368"/>
        <v>-1.1132779223088449E-2</v>
      </c>
      <c r="AV98" s="166">
        <f ca="1">AV88/AV83</f>
        <v>-1.1056869036573021E-2</v>
      </c>
      <c r="AW98" s="166">
        <f ca="1">AW88/AW83</f>
        <v>-1.1039102935646236E-2</v>
      </c>
      <c r="AX98" s="166">
        <f t="shared" ca="1" si="368"/>
        <v>-1.1034945316619917E-2</v>
      </c>
      <c r="AY98" s="166">
        <f t="shared" ca="1" si="368"/>
        <v>-1.0786947832095781E-2</v>
      </c>
      <c r="AZ98" s="166">
        <f t="shared" ca="1" si="368"/>
        <v>-1.048183038237302E-2</v>
      </c>
      <c r="BA98" s="166">
        <f t="shared" ca="1" si="368"/>
        <v>-1.0163344160563664E-2</v>
      </c>
      <c r="BB98" s="166">
        <f t="shared" ca="1" si="368"/>
        <v>-9.8417329446429461E-3</v>
      </c>
      <c r="BC98" s="166">
        <f t="shared" ca="1" si="368"/>
        <v>-9.5193922949353485E-3</v>
      </c>
      <c r="BD98" s="166">
        <f t="shared" ca="1" si="368"/>
        <v>-9.1968816915070778E-3</v>
      </c>
      <c r="BE98" s="166">
        <f t="shared" ca="1" si="368"/>
        <v>-8.8743316255009731E-3</v>
      </c>
      <c r="BF98" s="166">
        <f t="shared" ca="1" si="368"/>
        <v>-8.5517724912061756E-3</v>
      </c>
      <c r="BG98" s="166">
        <f t="shared" ca="1" si="368"/>
        <v>-8.2292113584927773E-3</v>
      </c>
      <c r="BH98" s="166">
        <f t="shared" ca="1" si="368"/>
        <v>-7.9066498695294814E-3</v>
      </c>
      <c r="BI98" s="166">
        <f t="shared" ca="1" si="368"/>
        <v>-7.5840884051379771E-3</v>
      </c>
      <c r="BJ98" s="166">
        <f t="shared" ca="1" si="368"/>
        <v>-7.2615270534123243E-3</v>
      </c>
      <c r="BK98" s="166">
        <f t="shared" ca="1" si="368"/>
        <v>-6.9389658346021002E-3</v>
      </c>
      <c r="BL98" s="166">
        <f t="shared" ref="BL98:CD98" ca="1" si="376">BL88/BL83</f>
        <v>-6.6164047532548476E-3</v>
      </c>
      <c r="BM98" s="166">
        <f t="shared" ca="1" si="376"/>
        <v>-6.2938438102896517E-3</v>
      </c>
      <c r="BN98" s="166">
        <f t="shared" ca="1" si="376"/>
        <v>-5.9712830057881451E-3</v>
      </c>
      <c r="BO98" s="166">
        <f t="shared" ca="1" si="376"/>
        <v>-5.6487223396380183E-3</v>
      </c>
      <c r="BP98" s="166">
        <f t="shared" ca="1" si="376"/>
        <v>-5.3261618116839608E-3</v>
      </c>
      <c r="BQ98" s="166">
        <f t="shared" ca="1" si="376"/>
        <v>-5.0036014217608267E-3</v>
      </c>
      <c r="BR98" s="166">
        <f t="shared" ca="1" si="376"/>
        <v>-4.6810411697002551E-3</v>
      </c>
      <c r="BS98" s="166">
        <f t="shared" ca="1" si="376"/>
        <v>-4.3584810553340455E-3</v>
      </c>
      <c r="BT98" s="166">
        <f t="shared" ca="1" si="376"/>
        <v>-4.0359210784950356E-3</v>
      </c>
      <c r="BU98" s="166">
        <f t="shared" ca="1" si="376"/>
        <v>-3.7133612390154347E-3</v>
      </c>
      <c r="BV98" s="166">
        <f t="shared" ca="1" si="376"/>
        <v>-3.3908015367275909E-3</v>
      </c>
      <c r="BW98" s="166">
        <f t="shared" ca="1" si="376"/>
        <v>-3.0682419714653285E-3</v>
      </c>
      <c r="BX98" s="166">
        <f t="shared" ca="1" si="376"/>
        <v>-2.7456825430606782E-3</v>
      </c>
      <c r="BY98" s="166">
        <f t="shared" ca="1" si="376"/>
        <v>-2.4231232513480172E-3</v>
      </c>
      <c r="BZ98" s="166">
        <f t="shared" ca="1" si="376"/>
        <v>-2.1005640961608944E-3</v>
      </c>
      <c r="CA98" s="166">
        <f t="shared" ca="1" si="376"/>
        <v>-1.7780050773330651E-3</v>
      </c>
      <c r="CB98" s="166">
        <f t="shared" ca="1" si="376"/>
        <v>-1.4554461946995375E-3</v>
      </c>
      <c r="CC98" s="166">
        <f t="shared" ca="1" si="376"/>
        <v>-1.1328874480942208E-3</v>
      </c>
      <c r="CD98" s="166">
        <f t="shared" ca="1" si="376"/>
        <v>-8.1032883735180825E-4</v>
      </c>
      <c r="CE98" s="166">
        <f ca="1">CE88/CE83</f>
        <v>-4.8777036230853257E-4</v>
      </c>
      <c r="CF98" s="166">
        <f ca="1">CF88/CF83</f>
        <v>-1.6521202279819988E-4</v>
      </c>
      <c r="CG98" s="166">
        <f ca="1">CG88/CG83</f>
        <v>0</v>
      </c>
      <c r="CH98" s="109"/>
      <c r="CI98" s="109"/>
      <c r="CJ98" s="109"/>
      <c r="CK98" s="109"/>
      <c r="CL98" s="109"/>
      <c r="CM98" s="109"/>
      <c r="CN98" s="109"/>
      <c r="CO98" s="109"/>
      <c r="CP98" s="109"/>
      <c r="CQ98" s="109"/>
      <c r="CR98" s="109"/>
      <c r="CS98" s="109"/>
      <c r="CT98" s="109"/>
      <c r="CU98" s="109"/>
      <c r="CV98" s="109"/>
      <c r="CW98" s="109"/>
      <c r="CX98" s="109"/>
      <c r="CY98" s="109"/>
      <c r="CZ98" s="109"/>
      <c r="DA98" s="109"/>
      <c r="DB98" s="109"/>
      <c r="DC98" s="109"/>
      <c r="DD98" s="109"/>
      <c r="DE98" s="109"/>
      <c r="DF98" s="109"/>
      <c r="DG98" s="109"/>
      <c r="DH98" s="109"/>
      <c r="DI98" s="109"/>
      <c r="DJ98" s="109"/>
      <c r="DK98" s="109"/>
      <c r="DL98" s="109"/>
      <c r="DM98" s="109"/>
      <c r="DN98" s="109"/>
      <c r="DO98" s="109"/>
      <c r="DP98" s="109"/>
      <c r="DQ98" s="109"/>
      <c r="DR98" s="109"/>
      <c r="DS98" s="109"/>
      <c r="DT98" s="109"/>
      <c r="DU98" s="109"/>
      <c r="DV98" s="109"/>
      <c r="DW98" s="109"/>
      <c r="DX98" s="109"/>
      <c r="DY98" s="109"/>
      <c r="DZ98" s="109"/>
      <c r="EA98" s="109"/>
      <c r="EB98" s="109"/>
      <c r="EC98" s="109"/>
      <c r="ED98" s="109"/>
      <c r="EE98" s="109"/>
      <c r="EF98" s="109"/>
      <c r="EG98" s="109"/>
      <c r="EH98" s="109"/>
      <c r="EI98" s="109"/>
      <c r="EJ98" s="109"/>
      <c r="EK98" s="109"/>
      <c r="EL98" s="109"/>
      <c r="EM98" s="109"/>
      <c r="EN98" s="109"/>
      <c r="EO98" s="109"/>
      <c r="EP98" s="109"/>
      <c r="EQ98" s="109"/>
    </row>
    <row r="99" spans="2:147" s="10" customFormat="1">
      <c r="B99" s="3"/>
      <c r="C99" s="84"/>
      <c r="D99" s="16"/>
      <c r="F99" s="9"/>
      <c r="G99" s="124"/>
      <c r="H99" s="124"/>
      <c r="L99" s="111"/>
      <c r="M99" s="111"/>
      <c r="N99" s="111"/>
      <c r="O99" s="111"/>
      <c r="P99" s="111"/>
      <c r="R99" s="112" t="s">
        <v>170</v>
      </c>
      <c r="S99" s="295"/>
      <c r="T99" s="248"/>
      <c r="U99" s="248"/>
      <c r="V99" s="166">
        <f>V89/V83</f>
        <v>3.9305210918114147E-2</v>
      </c>
      <c r="W99" s="166">
        <f t="shared" ref="W99:AB99" si="377">W89/W83</f>
        <v>1.6185359301544661E-2</v>
      </c>
      <c r="X99" s="166">
        <f t="shared" si="377"/>
        <v>4.1149453823237342E-2</v>
      </c>
      <c r="Y99" s="166">
        <f t="shared" si="377"/>
        <v>-9.6074903488392403E-3</v>
      </c>
      <c r="Z99" s="166">
        <f>Z89/Z83</f>
        <v>-1.477048669964371E-2</v>
      </c>
      <c r="AA99" s="166">
        <f ca="1">AA89/AA83</f>
        <v>5.9363286351532419E-3</v>
      </c>
      <c r="AB99" s="166">
        <f t="shared" si="377"/>
        <v>2.0053002042435392E-2</v>
      </c>
      <c r="AC99" s="166">
        <f t="shared" ref="AC99:AH99" si="378">AC89/AC83</f>
        <v>-3.158777947781452E-3</v>
      </c>
      <c r="AD99" s="166">
        <f t="shared" si="378"/>
        <v>-5.0418522688335209E-3</v>
      </c>
      <c r="AE99" s="166">
        <f t="shared" si="378"/>
        <v>-5.78692373316579E-2</v>
      </c>
      <c r="AF99" s="166">
        <f t="shared" ref="AF99:AG99" si="379">AF89/AF83</f>
        <v>9.2361523574126976E-3</v>
      </c>
      <c r="AG99" s="166">
        <f t="shared" si="379"/>
        <v>-7.6264479458953884E-4</v>
      </c>
      <c r="AH99" s="1635">
        <f t="shared" si="378"/>
        <v>3.1206607784473998E-3</v>
      </c>
      <c r="AI99" s="166">
        <f t="shared" ref="AI99" si="380">AI89/AI83</f>
        <v>-5.6236643797098187E-4</v>
      </c>
      <c r="AJ99" s="166">
        <f t="shared" ref="AJ99:AK99" ca="1" si="381">AJ89/AJ83</f>
        <v>-5.3773920699994309E-4</v>
      </c>
      <c r="AK99" s="166">
        <f t="shared" ca="1" si="381"/>
        <v>-5.2250539674386772E-4</v>
      </c>
      <c r="AL99" s="249">
        <v>0</v>
      </c>
      <c r="AM99" s="249">
        <v>0</v>
      </c>
      <c r="AN99" s="249">
        <v>0</v>
      </c>
      <c r="AO99" s="249">
        <v>0</v>
      </c>
      <c r="AP99" s="249">
        <v>0</v>
      </c>
      <c r="AQ99" s="249">
        <v>0</v>
      </c>
      <c r="AR99" s="249">
        <v>0</v>
      </c>
      <c r="AS99" s="250">
        <v>0</v>
      </c>
      <c r="AT99" s="250">
        <v>0</v>
      </c>
      <c r="AU99" s="250">
        <v>0</v>
      </c>
      <c r="AV99" s="250">
        <v>0</v>
      </c>
      <c r="AW99" s="250">
        <v>0</v>
      </c>
      <c r="AX99" s="250">
        <v>0</v>
      </c>
      <c r="AY99" s="250">
        <v>0</v>
      </c>
      <c r="AZ99" s="250">
        <v>0</v>
      </c>
      <c r="BA99" s="250">
        <v>0</v>
      </c>
      <c r="BB99" s="250">
        <v>0</v>
      </c>
      <c r="BC99" s="250">
        <v>0</v>
      </c>
      <c r="BD99" s="250">
        <v>0</v>
      </c>
      <c r="BE99" s="250">
        <v>0</v>
      </c>
      <c r="BF99" s="250">
        <v>0</v>
      </c>
      <c r="BG99" s="250">
        <v>0</v>
      </c>
      <c r="BH99" s="250">
        <v>0</v>
      </c>
      <c r="BI99" s="250">
        <v>0</v>
      </c>
      <c r="BJ99" s="250">
        <v>0</v>
      </c>
      <c r="BK99" s="250">
        <v>0</v>
      </c>
      <c r="BL99" s="250">
        <v>0</v>
      </c>
      <c r="BM99" s="250">
        <v>0</v>
      </c>
      <c r="BN99" s="250">
        <v>0</v>
      </c>
      <c r="BO99" s="250">
        <v>0</v>
      </c>
      <c r="BP99" s="250">
        <v>0</v>
      </c>
      <c r="BQ99" s="250">
        <v>0</v>
      </c>
      <c r="BR99" s="250">
        <v>0</v>
      </c>
      <c r="BS99" s="250">
        <v>0</v>
      </c>
      <c r="BT99" s="250">
        <v>0</v>
      </c>
      <c r="BU99" s="250">
        <v>0</v>
      </c>
      <c r="BV99" s="250">
        <v>0</v>
      </c>
      <c r="BW99" s="250">
        <v>0</v>
      </c>
      <c r="BX99" s="250">
        <v>0</v>
      </c>
      <c r="BY99" s="250">
        <v>0</v>
      </c>
      <c r="BZ99" s="250">
        <v>0</v>
      </c>
      <c r="CA99" s="250">
        <v>0</v>
      </c>
      <c r="CB99" s="250">
        <v>0</v>
      </c>
      <c r="CC99" s="250">
        <v>0</v>
      </c>
      <c r="CD99" s="250">
        <v>0</v>
      </c>
      <c r="CE99" s="250">
        <v>0</v>
      </c>
      <c r="CF99" s="250">
        <v>0</v>
      </c>
      <c r="CG99" s="250">
        <v>0</v>
      </c>
    </row>
    <row r="100" spans="2:147" s="10" customFormat="1">
      <c r="B100" s="3"/>
      <c r="C100" s="87"/>
      <c r="D100" s="16"/>
      <c r="G100" s="111"/>
      <c r="H100" s="111"/>
      <c r="L100" s="111"/>
      <c r="M100" s="111"/>
      <c r="N100" s="111"/>
      <c r="O100" s="111"/>
      <c r="P100" s="111"/>
      <c r="R100" s="9"/>
      <c r="S100" s="292"/>
      <c r="T100" s="131"/>
      <c r="U100" s="131"/>
      <c r="V100" s="131"/>
      <c r="W100" s="131"/>
      <c r="X100" s="131"/>
      <c r="Y100" s="131"/>
      <c r="Z100" s="131"/>
      <c r="AA100" s="131"/>
      <c r="AB100" s="131"/>
      <c r="AC100" s="131"/>
      <c r="AD100" s="131"/>
      <c r="AE100" s="131"/>
      <c r="AF100" s="131"/>
      <c r="AG100" s="131"/>
      <c r="AH100" s="1630"/>
      <c r="AI100" s="131"/>
      <c r="AJ100" s="131"/>
      <c r="AK100" s="131"/>
      <c r="AL100" s="131"/>
      <c r="AM100" s="131"/>
      <c r="AN100" s="131"/>
      <c r="AO100" s="131"/>
      <c r="AP100" s="131"/>
      <c r="AQ100" s="131"/>
      <c r="AR100" s="131"/>
      <c r="AS100" s="131"/>
      <c r="AT100" s="131"/>
      <c r="AU100" s="131"/>
      <c r="AV100" s="131"/>
      <c r="AW100" s="131"/>
      <c r="AX100" s="131"/>
      <c r="AY100" s="131"/>
      <c r="AZ100" s="131"/>
      <c r="BA100" s="131"/>
      <c r="BB100" s="131"/>
      <c r="BC100" s="131"/>
      <c r="BD100" s="131"/>
      <c r="BE100" s="131"/>
      <c r="BF100" s="131"/>
      <c r="BG100" s="131"/>
      <c r="BH100" s="131"/>
      <c r="BI100" s="131"/>
      <c r="BJ100" s="131"/>
      <c r="BK100" s="131"/>
      <c r="BL100" s="131"/>
      <c r="BM100" s="131"/>
      <c r="BN100" s="131"/>
      <c r="BO100" s="131"/>
      <c r="BP100" s="131"/>
      <c r="BQ100" s="131"/>
      <c r="BR100" s="131"/>
      <c r="BS100" s="131"/>
      <c r="BT100" s="131"/>
      <c r="BU100" s="131"/>
      <c r="BV100" s="131"/>
      <c r="BW100" s="131"/>
      <c r="BX100" s="131"/>
      <c r="BY100" s="131"/>
      <c r="BZ100" s="131"/>
      <c r="CA100" s="131"/>
      <c r="CB100" s="131"/>
      <c r="CC100" s="131"/>
      <c r="CD100" s="131"/>
      <c r="CE100" s="131"/>
      <c r="CF100" s="131"/>
      <c r="CG100" s="131"/>
    </row>
    <row r="101" spans="2:147" s="10" customFormat="1" ht="13.8" thickBot="1">
      <c r="B101" s="3"/>
      <c r="C101" s="88"/>
      <c r="D101" s="16"/>
      <c r="F101" s="232"/>
      <c r="G101" s="233"/>
      <c r="H101" s="233"/>
      <c r="L101" s="111"/>
      <c r="M101" s="111"/>
      <c r="N101" s="111"/>
      <c r="O101" s="111"/>
      <c r="P101" s="111"/>
      <c r="R101" s="182" t="s">
        <v>749</v>
      </c>
      <c r="S101" s="292"/>
      <c r="T101" s="131"/>
      <c r="U101" s="131"/>
      <c r="V101" s="222">
        <f t="shared" ref="V101:BC101" si="382">V38</f>
        <v>8.482749473125728E-2</v>
      </c>
      <c r="W101" s="222">
        <f t="shared" si="382"/>
        <v>8.7893364017824299E-2</v>
      </c>
      <c r="X101" s="222">
        <f t="shared" si="382"/>
        <v>9.5850842296180738E-2</v>
      </c>
      <c r="Y101" s="222">
        <f t="shared" si="382"/>
        <v>9.610555531080664E-2</v>
      </c>
      <c r="Z101" s="222">
        <f t="shared" si="382"/>
        <v>0.10568812593802814</v>
      </c>
      <c r="AA101" s="222">
        <f t="shared" si="382"/>
        <v>0.11435187554372857</v>
      </c>
      <c r="AB101" s="222">
        <f t="shared" si="382"/>
        <v>0.11357177289962371</v>
      </c>
      <c r="AC101" s="222">
        <f t="shared" si="382"/>
        <v>0.11342295008663573</v>
      </c>
      <c r="AD101" s="222">
        <f t="shared" si="382"/>
        <v>0.12343361708877491</v>
      </c>
      <c r="AE101" s="222">
        <f t="shared" si="382"/>
        <v>0.12287175788070848</v>
      </c>
      <c r="AF101" s="222">
        <f t="shared" ref="AF101:AG101" si="383">AF38</f>
        <v>0.13337271852434765</v>
      </c>
      <c r="AG101" s="222">
        <f t="shared" si="383"/>
        <v>0.12196864181718027</v>
      </c>
      <c r="AH101" s="1643">
        <f t="shared" si="382"/>
        <v>0.12034535173057506</v>
      </c>
      <c r="AI101" s="222">
        <f t="shared" ref="AI101" ca="1" si="384">AI38</f>
        <v>0.12416047323567664</v>
      </c>
      <c r="AJ101" s="222">
        <f t="shared" ref="AJ101:AK101" ca="1" si="385">AJ38</f>
        <v>0.12397303500389423</v>
      </c>
      <c r="AK101" s="222">
        <f t="shared" ca="1" si="385"/>
        <v>0.12236318860895939</v>
      </c>
      <c r="AL101" s="222">
        <f t="shared" ca="1" si="382"/>
        <v>0.11887280012476485</v>
      </c>
      <c r="AM101" s="222">
        <f t="shared" ca="1" si="382"/>
        <v>0.11942778373366943</v>
      </c>
      <c r="AN101" s="222">
        <f t="shared" ca="1" si="382"/>
        <v>0.11950177307645943</v>
      </c>
      <c r="AO101" s="222">
        <f t="shared" ca="1" si="382"/>
        <v>0.11888611224291967</v>
      </c>
      <c r="AP101" s="222">
        <f t="shared" ca="1" si="382"/>
        <v>0.11874949835772365</v>
      </c>
      <c r="AQ101" s="222">
        <f t="shared" ca="1" si="382"/>
        <v>0.11932113655644896</v>
      </c>
      <c r="AR101" s="222">
        <f t="shared" ca="1" si="382"/>
        <v>0.11941655760991393</v>
      </c>
      <c r="AS101" s="222">
        <f t="shared" ca="1" si="382"/>
        <v>0.11920719587601943</v>
      </c>
      <c r="AT101" s="222">
        <f t="shared" ca="1" si="382"/>
        <v>0.11915820245062865</v>
      </c>
      <c r="AU101" s="222">
        <f t="shared" ca="1" si="382"/>
        <v>0.11914673733860996</v>
      </c>
      <c r="AV101" s="222">
        <f t="shared" ca="1" si="382"/>
        <v>0.11914405435017729</v>
      </c>
      <c r="AW101" s="222">
        <f t="shared" ca="1" si="382"/>
        <v>0.11914342649526243</v>
      </c>
      <c r="AX101" s="222">
        <f t="shared" ca="1" si="382"/>
        <v>0.11910598759332429</v>
      </c>
      <c r="AY101" s="222">
        <f t="shared" ca="1" si="382"/>
        <v>0.11905995785445357</v>
      </c>
      <c r="AZ101" s="222">
        <f t="shared" ca="1" si="382"/>
        <v>0.11901194924930021</v>
      </c>
      <c r="BA101" s="222">
        <f t="shared" ca="1" si="382"/>
        <v>0.11896350885539052</v>
      </c>
      <c r="BB101" s="222">
        <f t="shared" ca="1" si="382"/>
        <v>0.11891499814638366</v>
      </c>
      <c r="BC101" s="222">
        <f t="shared" ca="1" si="382"/>
        <v>0.11886650143851674</v>
      </c>
      <c r="BD101" s="222">
        <f t="shared" ref="BD101:CG101" ca="1" si="386">BD38</f>
        <v>0.11881803834419737</v>
      </c>
      <c r="BE101" s="222">
        <f t="shared" ca="1" si="386"/>
        <v>0.11876961339073257</v>
      </c>
      <c r="BF101" s="222">
        <f t="shared" ca="1" si="386"/>
        <v>0.11872122759325578</v>
      </c>
      <c r="BG101" s="222">
        <f t="shared" ca="1" si="386"/>
        <v>0.11867288115032992</v>
      </c>
      <c r="BH101" s="222">
        <f t="shared" ca="1" si="386"/>
        <v>0.11862457407097009</v>
      </c>
      <c r="BI101" s="222">
        <f t="shared" ca="1" si="386"/>
        <v>0.11857630632029818</v>
      </c>
      <c r="BJ101" s="222">
        <f t="shared" ca="1" si="386"/>
        <v>0.11852807785333165</v>
      </c>
      <c r="BK101" s="222">
        <f t="shared" ca="1" si="386"/>
        <v>0.11847988862281134</v>
      </c>
      <c r="BL101" s="222">
        <f t="shared" ca="1" si="386"/>
        <v>0.11843173858101243</v>
      </c>
      <c r="BM101" s="222">
        <f t="shared" ca="1" si="386"/>
        <v>0.11838362768016263</v>
      </c>
      <c r="BN101" s="222">
        <f t="shared" ca="1" si="386"/>
        <v>0.11833555587253836</v>
      </c>
      <c r="BO101" s="222">
        <f t="shared" ca="1" si="386"/>
        <v>0.11828752311048719</v>
      </c>
      <c r="BP101" s="222">
        <f t="shared" ca="1" si="386"/>
        <v>0.11823952934643267</v>
      </c>
      <c r="BQ101" s="222">
        <f t="shared" ca="1" si="386"/>
        <v>0.1181915745328751</v>
      </c>
      <c r="BR101" s="222">
        <f t="shared" ca="1" si="386"/>
        <v>0.11814365862239193</v>
      </c>
      <c r="BS101" s="222">
        <f t="shared" ca="1" si="386"/>
        <v>0.11809578156763771</v>
      </c>
      <c r="BT101" s="222">
        <f t="shared" ca="1" si="386"/>
        <v>0.1180479433213437</v>
      </c>
      <c r="BU101" s="222">
        <f t="shared" ca="1" si="386"/>
        <v>0.11800014383631782</v>
      </c>
      <c r="BV101" s="222">
        <f t="shared" ca="1" si="386"/>
        <v>0.11795238306544469</v>
      </c>
      <c r="BW101" s="222">
        <f t="shared" ca="1" si="386"/>
        <v>0.11790466096168498</v>
      </c>
      <c r="BX101" s="222">
        <f t="shared" ca="1" si="386"/>
        <v>0.1178569774780759</v>
      </c>
      <c r="BY101" s="222">
        <f t="shared" ca="1" si="386"/>
        <v>0.11780933256773056</v>
      </c>
      <c r="BZ101" s="222">
        <f t="shared" ca="1" si="386"/>
        <v>0.11776172618383796</v>
      </c>
      <c r="CA101" s="222">
        <f t="shared" ca="1" si="386"/>
        <v>0.11771415827966299</v>
      </c>
      <c r="CB101" s="222">
        <f t="shared" ca="1" si="386"/>
        <v>0.11766662880854595</v>
      </c>
      <c r="CC101" s="222">
        <f t="shared" ca="1" si="386"/>
        <v>0.11761913772390266</v>
      </c>
      <c r="CD101" s="222">
        <f t="shared" ca="1" si="386"/>
        <v>0.11757168497922442</v>
      </c>
      <c r="CE101" s="222">
        <f t="shared" ca="1" si="386"/>
        <v>0.11752427052807728</v>
      </c>
      <c r="CF101" s="222">
        <f t="shared" ca="1" si="386"/>
        <v>0.11747689432410267</v>
      </c>
      <c r="CG101" s="222">
        <f t="shared" ca="1" si="386"/>
        <v>0.11741161016497989</v>
      </c>
    </row>
    <row r="102" spans="2:147" s="10" customFormat="1" ht="14.4" thickBot="1">
      <c r="B102" s="3"/>
      <c r="C102" s="13"/>
      <c r="D102" s="16"/>
      <c r="F102" s="232"/>
      <c r="G102" s="111"/>
      <c r="H102" s="111"/>
      <c r="L102" s="111"/>
      <c r="M102" s="111"/>
      <c r="N102" s="111"/>
      <c r="O102" s="111"/>
      <c r="P102" s="111"/>
      <c r="R102" s="182" t="s">
        <v>171</v>
      </c>
      <c r="S102" s="292"/>
      <c r="T102" s="131"/>
      <c r="U102" s="131"/>
      <c r="V102" s="222"/>
      <c r="W102" s="222"/>
      <c r="X102" s="222"/>
      <c r="Y102" s="696">
        <v>0.105</v>
      </c>
      <c r="Z102" s="696">
        <v>0.105</v>
      </c>
      <c r="AA102" s="696">
        <v>0.105</v>
      </c>
      <c r="AB102" s="696">
        <v>0.105</v>
      </c>
      <c r="AC102" s="255"/>
      <c r="AD102" s="255"/>
      <c r="AE102" s="255"/>
      <c r="AF102" s="255"/>
      <c r="AG102" s="255"/>
      <c r="AH102" s="1300">
        <v>0.11749999999999999</v>
      </c>
      <c r="AI102" s="1300">
        <v>0.11749999999999999</v>
      </c>
      <c r="AJ102" s="1300">
        <v>0.11749999999999999</v>
      </c>
      <c r="AK102" s="1300">
        <v>0.11749999999999999</v>
      </c>
      <c r="AL102" s="252">
        <f>AK102</f>
        <v>0.11749999999999999</v>
      </c>
      <c r="AM102" s="252">
        <f t="shared" ref="AM102:CG102" si="387">AL102</f>
        <v>0.11749999999999999</v>
      </c>
      <c r="AN102" s="252">
        <f>AM102</f>
        <v>0.11749999999999999</v>
      </c>
      <c r="AO102" s="252">
        <f t="shared" si="387"/>
        <v>0.11749999999999999</v>
      </c>
      <c r="AP102" s="252">
        <f t="shared" si="387"/>
        <v>0.11749999999999999</v>
      </c>
      <c r="AQ102" s="252">
        <f t="shared" si="387"/>
        <v>0.11749999999999999</v>
      </c>
      <c r="AR102" s="252">
        <f t="shared" si="387"/>
        <v>0.11749999999999999</v>
      </c>
      <c r="AS102" s="253">
        <f>AP102</f>
        <v>0.11749999999999999</v>
      </c>
      <c r="AT102" s="253">
        <f t="shared" si="387"/>
        <v>0.11749999999999999</v>
      </c>
      <c r="AU102" s="253">
        <f t="shared" si="387"/>
        <v>0.11749999999999999</v>
      </c>
      <c r="AV102" s="253">
        <f t="shared" si="387"/>
        <v>0.11749999999999999</v>
      </c>
      <c r="AW102" s="253">
        <f t="shared" si="387"/>
        <v>0.11749999999999999</v>
      </c>
      <c r="AX102" s="253">
        <f t="shared" si="387"/>
        <v>0.11749999999999999</v>
      </c>
      <c r="AY102" s="253">
        <f t="shared" si="387"/>
        <v>0.11749999999999999</v>
      </c>
      <c r="AZ102" s="253">
        <f t="shared" si="387"/>
        <v>0.11749999999999999</v>
      </c>
      <c r="BA102" s="253">
        <f t="shared" si="387"/>
        <v>0.11749999999999999</v>
      </c>
      <c r="BB102" s="253">
        <f t="shared" si="387"/>
        <v>0.11749999999999999</v>
      </c>
      <c r="BC102" s="253">
        <f t="shared" si="387"/>
        <v>0.11749999999999999</v>
      </c>
      <c r="BD102" s="253">
        <f t="shared" si="387"/>
        <v>0.11749999999999999</v>
      </c>
      <c r="BE102" s="253">
        <f t="shared" si="387"/>
        <v>0.11749999999999999</v>
      </c>
      <c r="BF102" s="253">
        <f t="shared" si="387"/>
        <v>0.11749999999999999</v>
      </c>
      <c r="BG102" s="253">
        <f t="shared" si="387"/>
        <v>0.11749999999999999</v>
      </c>
      <c r="BH102" s="253">
        <f t="shared" si="387"/>
        <v>0.11749999999999999</v>
      </c>
      <c r="BI102" s="253">
        <f t="shared" si="387"/>
        <v>0.11749999999999999</v>
      </c>
      <c r="BJ102" s="253">
        <f t="shared" si="387"/>
        <v>0.11749999999999999</v>
      </c>
      <c r="BK102" s="253">
        <f t="shared" si="387"/>
        <v>0.11749999999999999</v>
      </c>
      <c r="BL102" s="253">
        <f t="shared" si="387"/>
        <v>0.11749999999999999</v>
      </c>
      <c r="BM102" s="253">
        <f t="shared" si="387"/>
        <v>0.11749999999999999</v>
      </c>
      <c r="BN102" s="253">
        <f t="shared" si="387"/>
        <v>0.11749999999999999</v>
      </c>
      <c r="BO102" s="253">
        <f t="shared" si="387"/>
        <v>0.11749999999999999</v>
      </c>
      <c r="BP102" s="253">
        <f t="shared" si="387"/>
        <v>0.11749999999999999</v>
      </c>
      <c r="BQ102" s="253">
        <f t="shared" si="387"/>
        <v>0.11749999999999999</v>
      </c>
      <c r="BR102" s="253">
        <f t="shared" si="387"/>
        <v>0.11749999999999999</v>
      </c>
      <c r="BS102" s="253">
        <f t="shared" si="387"/>
        <v>0.11749999999999999</v>
      </c>
      <c r="BT102" s="253">
        <f t="shared" si="387"/>
        <v>0.11749999999999999</v>
      </c>
      <c r="BU102" s="253">
        <f t="shared" si="387"/>
        <v>0.11749999999999999</v>
      </c>
      <c r="BV102" s="253">
        <f t="shared" si="387"/>
        <v>0.11749999999999999</v>
      </c>
      <c r="BW102" s="253">
        <f t="shared" si="387"/>
        <v>0.11749999999999999</v>
      </c>
      <c r="BX102" s="253">
        <f t="shared" si="387"/>
        <v>0.11749999999999999</v>
      </c>
      <c r="BY102" s="253">
        <f t="shared" si="387"/>
        <v>0.11749999999999999</v>
      </c>
      <c r="BZ102" s="253">
        <f t="shared" si="387"/>
        <v>0.11749999999999999</v>
      </c>
      <c r="CA102" s="253">
        <f t="shared" si="387"/>
        <v>0.11749999999999999</v>
      </c>
      <c r="CB102" s="253">
        <f t="shared" si="387"/>
        <v>0.11749999999999999</v>
      </c>
      <c r="CC102" s="253">
        <f t="shared" si="387"/>
        <v>0.11749999999999999</v>
      </c>
      <c r="CD102" s="253">
        <f t="shared" si="387"/>
        <v>0.11749999999999999</v>
      </c>
      <c r="CE102" s="253">
        <f t="shared" si="387"/>
        <v>0.11749999999999999</v>
      </c>
      <c r="CF102" s="253">
        <f t="shared" si="387"/>
        <v>0.11749999999999999</v>
      </c>
      <c r="CG102" s="253">
        <f t="shared" si="387"/>
        <v>0.11749999999999999</v>
      </c>
    </row>
    <row r="103" spans="2:147" s="10" customFormat="1">
      <c r="B103" s="3"/>
      <c r="C103" s="14"/>
      <c r="D103" s="88"/>
      <c r="F103" s="232"/>
      <c r="G103" s="111"/>
      <c r="H103" s="111"/>
      <c r="L103" s="111"/>
      <c r="M103" s="111"/>
      <c r="N103" s="111"/>
      <c r="O103" s="111"/>
      <c r="P103" s="111"/>
      <c r="R103" s="10" t="s">
        <v>172</v>
      </c>
      <c r="S103" s="111"/>
      <c r="Y103" s="255">
        <f t="shared" ref="Y103:CD103" si="388">IF(Y101&gt;Y102,(Y101-Y102),0)</f>
        <v>0</v>
      </c>
      <c r="Z103" s="255">
        <f t="shared" ref="Z103:AB103" si="389">IF(Z101&gt;Z102,(Z101-Z102),0)</f>
        <v>6.8812593802813904E-4</v>
      </c>
      <c r="AA103" s="255">
        <f t="shared" si="389"/>
        <v>9.3518755437285717E-3</v>
      </c>
      <c r="AB103" s="255">
        <f t="shared" si="389"/>
        <v>8.5717728996237141E-3</v>
      </c>
      <c r="AC103" s="255"/>
      <c r="AD103" s="255"/>
      <c r="AE103" s="255"/>
      <c r="AF103" s="255"/>
      <c r="AG103" s="255"/>
      <c r="AH103" s="1653">
        <f>IF(AH101&gt;AH102,(AH101-AH102),0)</f>
        <v>2.8453517305750686E-3</v>
      </c>
      <c r="AI103" s="255">
        <f ca="1">IF(AI101&gt;AI102,(AI101-AI102),0)</f>
        <v>6.660473235676645E-3</v>
      </c>
      <c r="AJ103" s="255">
        <f t="shared" ref="AJ103:AK103" ca="1" si="390">IF(AJ101&gt;AJ102,(AJ101-AJ102),0)</f>
        <v>6.4730350038942341E-3</v>
      </c>
      <c r="AK103" s="255">
        <f t="shared" ca="1" si="390"/>
        <v>4.8631886089594012E-3</v>
      </c>
      <c r="AL103" s="255">
        <f ca="1">IF(AL101&gt;AL102,(AL101-AL102),0)</f>
        <v>1.3728001247648586E-3</v>
      </c>
      <c r="AM103" s="255">
        <f t="shared" ref="AM103:AQ103" ca="1" si="391">IF(AM101&gt;AM102,(AM101-AM102),0)</f>
        <v>1.9277837336694331E-3</v>
      </c>
      <c r="AN103" s="255">
        <f t="shared" ca="1" si="391"/>
        <v>2.0017730764594344E-3</v>
      </c>
      <c r="AO103" s="255">
        <f t="shared" ca="1" si="391"/>
        <v>1.3861122429196793E-3</v>
      </c>
      <c r="AP103" s="255">
        <f t="shared" ca="1" si="391"/>
        <v>1.2494983577236579E-3</v>
      </c>
      <c r="AQ103" s="255">
        <f t="shared" ca="1" si="391"/>
        <v>1.8211365564489712E-3</v>
      </c>
      <c r="AR103" s="255">
        <f t="shared" ref="AR103" ca="1" si="392">IF(AR101&gt;AR102,(AR101-AR102),0)</f>
        <v>1.9165576099139381E-3</v>
      </c>
      <c r="AS103" s="255">
        <f t="shared" ca="1" si="388"/>
        <v>1.7071958760194322E-3</v>
      </c>
      <c r="AT103" s="255">
        <f t="shared" ca="1" si="388"/>
        <v>1.6582024506286569E-3</v>
      </c>
      <c r="AU103" s="255">
        <f t="shared" ca="1" si="388"/>
        <v>1.6467373386099687E-3</v>
      </c>
      <c r="AV103" s="255">
        <f ca="1">IF(AV101&gt;AV102,(AV101-AV102),0)</f>
        <v>1.6440543501772958E-3</v>
      </c>
      <c r="AW103" s="255">
        <f ca="1">IF(AW101&gt;AW102,(AW101-AW102),0)</f>
        <v>1.6434264952624317E-3</v>
      </c>
      <c r="AX103" s="255">
        <f t="shared" ca="1" si="388"/>
        <v>1.6059875933242956E-3</v>
      </c>
      <c r="AY103" s="255">
        <f t="shared" ca="1" si="388"/>
        <v>1.559957854453578E-3</v>
      </c>
      <c r="AZ103" s="255">
        <f t="shared" ca="1" si="388"/>
        <v>1.5119492493002179E-3</v>
      </c>
      <c r="BA103" s="255">
        <f t="shared" ca="1" si="388"/>
        <v>1.4635088553905246E-3</v>
      </c>
      <c r="BB103" s="255">
        <f t="shared" ca="1" si="388"/>
        <v>1.4149981463836697E-3</v>
      </c>
      <c r="BC103" s="255">
        <f t="shared" ca="1" si="388"/>
        <v>1.3665014385167429E-3</v>
      </c>
      <c r="BD103" s="255">
        <f t="shared" ca="1" si="388"/>
        <v>1.3180383441973725E-3</v>
      </c>
      <c r="BE103" s="255">
        <f t="shared" ca="1" si="388"/>
        <v>1.2696133907325741E-3</v>
      </c>
      <c r="BF103" s="255">
        <f t="shared" ca="1" si="388"/>
        <v>1.2212275932557831E-3</v>
      </c>
      <c r="BG103" s="255">
        <f t="shared" ca="1" si="388"/>
        <v>1.1728811503299297E-3</v>
      </c>
      <c r="BH103" s="255">
        <f t="shared" ca="1" si="388"/>
        <v>1.1245740709700941E-3</v>
      </c>
      <c r="BI103" s="255">
        <f t="shared" ca="1" si="388"/>
        <v>1.0763063202981898E-3</v>
      </c>
      <c r="BJ103" s="255">
        <f t="shared" ca="1" si="388"/>
        <v>1.0280778533316576E-3</v>
      </c>
      <c r="BK103" s="255">
        <f t="shared" ca="1" si="388"/>
        <v>9.7988862281134237E-4</v>
      </c>
      <c r="BL103" s="255">
        <f t="shared" ca="1" si="388"/>
        <v>9.3173858101243401E-4</v>
      </c>
      <c r="BM103" s="255">
        <f t="shared" ca="1" si="388"/>
        <v>8.8362768016263249E-4</v>
      </c>
      <c r="BN103" s="255">
        <f t="shared" ca="1" si="388"/>
        <v>8.3555587253836272E-4</v>
      </c>
      <c r="BO103" s="255">
        <f t="shared" ca="1" si="388"/>
        <v>7.8752311048720103E-4</v>
      </c>
      <c r="BP103" s="255">
        <f t="shared" ca="1" si="388"/>
        <v>7.3952934643267687E-4</v>
      </c>
      <c r="BQ103" s="255">
        <f t="shared" ca="1" si="388"/>
        <v>6.9157453287510551E-4</v>
      </c>
      <c r="BR103" s="255">
        <f t="shared" ca="1" si="388"/>
        <v>6.4365862239193494E-4</v>
      </c>
      <c r="BS103" s="255">
        <f t="shared" ca="1" si="388"/>
        <v>5.9578156763771817E-4</v>
      </c>
      <c r="BT103" s="255">
        <f t="shared" ca="1" si="388"/>
        <v>5.4794332134371071E-4</v>
      </c>
      <c r="BU103" s="255">
        <f t="shared" ca="1" si="388"/>
        <v>5.0014383631782899E-4</v>
      </c>
      <c r="BV103" s="255">
        <f t="shared" ca="1" si="388"/>
        <v>4.5238306544469198E-4</v>
      </c>
      <c r="BW103" s="255">
        <f t="shared" ca="1" si="388"/>
        <v>4.0466096168498278E-4</v>
      </c>
      <c r="BX103" s="255">
        <f t="shared" ca="1" si="388"/>
        <v>3.5697747807590663E-4</v>
      </c>
      <c r="BY103" s="255">
        <f t="shared" ca="1" si="388"/>
        <v>3.0933256773056639E-4</v>
      </c>
      <c r="BZ103" s="255">
        <f t="shared" ca="1" si="388"/>
        <v>2.6172618383796253E-4</v>
      </c>
      <c r="CA103" s="255">
        <f t="shared" ca="1" si="388"/>
        <v>2.1415827966299317E-4</v>
      </c>
      <c r="CB103" s="255">
        <f t="shared" ca="1" si="388"/>
        <v>1.6662880854595441E-4</v>
      </c>
      <c r="CC103" s="255">
        <f t="shared" ca="1" si="388"/>
        <v>1.191377239026653E-4</v>
      </c>
      <c r="CD103" s="255">
        <f t="shared" ca="1" si="388"/>
        <v>7.1684979224426182E-5</v>
      </c>
      <c r="CE103" s="255">
        <f ca="1">IF(CE101&gt;CE102,(CE101-CE102),0)</f>
        <v>2.4270528077283138E-5</v>
      </c>
      <c r="CF103" s="255">
        <f ca="1">IF(CF101&gt;CF102,(CF101-CF102),0)</f>
        <v>0</v>
      </c>
      <c r="CG103" s="255">
        <f ca="1">IF(CG101&gt;CG102,(CG101-CG102),0)</f>
        <v>0</v>
      </c>
    </row>
    <row r="104" spans="2:147" s="10" customFormat="1">
      <c r="B104" s="3"/>
      <c r="C104" s="89"/>
      <c r="D104" s="13"/>
      <c r="F104" s="232"/>
      <c r="G104" s="233"/>
      <c r="H104" s="233"/>
      <c r="L104" s="111"/>
      <c r="M104" s="111"/>
      <c r="N104" s="111"/>
      <c r="O104" s="111"/>
      <c r="P104" s="111"/>
      <c r="R104" s="182" t="s">
        <v>173</v>
      </c>
      <c r="S104" s="292"/>
      <c r="T104" s="131"/>
      <c r="U104" s="131"/>
      <c r="V104" s="222"/>
      <c r="W104" s="222"/>
      <c r="X104" s="222"/>
      <c r="Y104" s="222">
        <f t="shared" ref="Y104:CD104" si="393">Y103</f>
        <v>0</v>
      </c>
      <c r="Z104" s="222">
        <f t="shared" ref="Z104:AB104" si="394">Z103</f>
        <v>6.8812593802813904E-4</v>
      </c>
      <c r="AA104" s="222">
        <f t="shared" si="394"/>
        <v>9.3518755437285717E-3</v>
      </c>
      <c r="AB104" s="222">
        <f t="shared" si="394"/>
        <v>8.5717728996237141E-3</v>
      </c>
      <c r="AC104" s="222"/>
      <c r="AD104" s="222"/>
      <c r="AE104" s="222"/>
      <c r="AF104" s="222"/>
      <c r="AG104" s="222"/>
      <c r="AH104" s="1643">
        <f>AH103</f>
        <v>2.8453517305750686E-3</v>
      </c>
      <c r="AI104" s="222">
        <f ca="1">AI103</f>
        <v>6.660473235676645E-3</v>
      </c>
      <c r="AJ104" s="222">
        <f t="shared" ref="AJ104:AK104" ca="1" si="395">AJ103</f>
        <v>6.4730350038942341E-3</v>
      </c>
      <c r="AK104" s="222">
        <f t="shared" ca="1" si="395"/>
        <v>4.8631886089594012E-3</v>
      </c>
      <c r="AL104" s="222">
        <f ca="1">AL103</f>
        <v>1.3728001247648586E-3</v>
      </c>
      <c r="AM104" s="222">
        <f t="shared" ref="AM104:AQ104" ca="1" si="396">AM103</f>
        <v>1.9277837336694331E-3</v>
      </c>
      <c r="AN104" s="222">
        <f t="shared" ca="1" si="396"/>
        <v>2.0017730764594344E-3</v>
      </c>
      <c r="AO104" s="222">
        <f t="shared" ca="1" si="396"/>
        <v>1.3861122429196793E-3</v>
      </c>
      <c r="AP104" s="222">
        <f t="shared" ca="1" si="396"/>
        <v>1.2494983577236579E-3</v>
      </c>
      <c r="AQ104" s="222">
        <f t="shared" ca="1" si="396"/>
        <v>1.8211365564489712E-3</v>
      </c>
      <c r="AR104" s="222">
        <f t="shared" ref="AR104" ca="1" si="397">AR103</f>
        <v>1.9165576099139381E-3</v>
      </c>
      <c r="AS104" s="222">
        <f t="shared" ca="1" si="393"/>
        <v>1.7071958760194322E-3</v>
      </c>
      <c r="AT104" s="222">
        <f t="shared" ca="1" si="393"/>
        <v>1.6582024506286569E-3</v>
      </c>
      <c r="AU104" s="222">
        <f t="shared" ca="1" si="393"/>
        <v>1.6467373386099687E-3</v>
      </c>
      <c r="AV104" s="222">
        <f ca="1">AV103</f>
        <v>1.6440543501772958E-3</v>
      </c>
      <c r="AW104" s="222">
        <f ca="1">AW103</f>
        <v>1.6434264952624317E-3</v>
      </c>
      <c r="AX104" s="222">
        <f t="shared" ca="1" si="393"/>
        <v>1.6059875933242956E-3</v>
      </c>
      <c r="AY104" s="222">
        <f t="shared" ca="1" si="393"/>
        <v>1.559957854453578E-3</v>
      </c>
      <c r="AZ104" s="222">
        <f t="shared" ca="1" si="393"/>
        <v>1.5119492493002179E-3</v>
      </c>
      <c r="BA104" s="222">
        <f t="shared" ca="1" si="393"/>
        <v>1.4635088553905246E-3</v>
      </c>
      <c r="BB104" s="222">
        <f t="shared" ca="1" si="393"/>
        <v>1.4149981463836697E-3</v>
      </c>
      <c r="BC104" s="222">
        <f t="shared" ca="1" si="393"/>
        <v>1.3665014385167429E-3</v>
      </c>
      <c r="BD104" s="222">
        <f t="shared" ca="1" si="393"/>
        <v>1.3180383441973725E-3</v>
      </c>
      <c r="BE104" s="222">
        <f t="shared" ca="1" si="393"/>
        <v>1.2696133907325741E-3</v>
      </c>
      <c r="BF104" s="222">
        <f t="shared" ca="1" si="393"/>
        <v>1.2212275932557831E-3</v>
      </c>
      <c r="BG104" s="222">
        <f t="shared" ca="1" si="393"/>
        <v>1.1728811503299297E-3</v>
      </c>
      <c r="BH104" s="222">
        <f t="shared" ca="1" si="393"/>
        <v>1.1245740709700941E-3</v>
      </c>
      <c r="BI104" s="222">
        <f t="shared" ca="1" si="393"/>
        <v>1.0763063202981898E-3</v>
      </c>
      <c r="BJ104" s="222">
        <f t="shared" ca="1" si="393"/>
        <v>1.0280778533316576E-3</v>
      </c>
      <c r="BK104" s="222">
        <f t="shared" ca="1" si="393"/>
        <v>9.7988862281134237E-4</v>
      </c>
      <c r="BL104" s="222">
        <f t="shared" ca="1" si="393"/>
        <v>9.3173858101243401E-4</v>
      </c>
      <c r="BM104" s="222">
        <f t="shared" ca="1" si="393"/>
        <v>8.8362768016263249E-4</v>
      </c>
      <c r="BN104" s="222">
        <f t="shared" ca="1" si="393"/>
        <v>8.3555587253836272E-4</v>
      </c>
      <c r="BO104" s="222">
        <f t="shared" ca="1" si="393"/>
        <v>7.8752311048720103E-4</v>
      </c>
      <c r="BP104" s="222">
        <f t="shared" ca="1" si="393"/>
        <v>7.3952934643267687E-4</v>
      </c>
      <c r="BQ104" s="222">
        <f t="shared" ca="1" si="393"/>
        <v>6.9157453287510551E-4</v>
      </c>
      <c r="BR104" s="222">
        <f t="shared" ca="1" si="393"/>
        <v>6.4365862239193494E-4</v>
      </c>
      <c r="BS104" s="222">
        <f t="shared" ca="1" si="393"/>
        <v>5.9578156763771817E-4</v>
      </c>
      <c r="BT104" s="222">
        <f t="shared" ca="1" si="393"/>
        <v>5.4794332134371071E-4</v>
      </c>
      <c r="BU104" s="222">
        <f t="shared" ca="1" si="393"/>
        <v>5.0014383631782899E-4</v>
      </c>
      <c r="BV104" s="222">
        <f t="shared" ca="1" si="393"/>
        <v>4.5238306544469198E-4</v>
      </c>
      <c r="BW104" s="222">
        <f t="shared" ca="1" si="393"/>
        <v>4.0466096168498278E-4</v>
      </c>
      <c r="BX104" s="222">
        <f t="shared" ca="1" si="393"/>
        <v>3.5697747807590663E-4</v>
      </c>
      <c r="BY104" s="222">
        <f t="shared" ca="1" si="393"/>
        <v>3.0933256773056639E-4</v>
      </c>
      <c r="BZ104" s="222">
        <f t="shared" ca="1" si="393"/>
        <v>2.6172618383796253E-4</v>
      </c>
      <c r="CA104" s="222">
        <f t="shared" ca="1" si="393"/>
        <v>2.1415827966299317E-4</v>
      </c>
      <c r="CB104" s="222">
        <f t="shared" ca="1" si="393"/>
        <v>1.6662880854595441E-4</v>
      </c>
      <c r="CC104" s="222">
        <f t="shared" ca="1" si="393"/>
        <v>1.191377239026653E-4</v>
      </c>
      <c r="CD104" s="222">
        <f t="shared" ca="1" si="393"/>
        <v>7.1684979224426182E-5</v>
      </c>
      <c r="CE104" s="222">
        <f ca="1">CE103</f>
        <v>2.4270528077283138E-5</v>
      </c>
      <c r="CF104" s="222">
        <f ca="1">CF103</f>
        <v>0</v>
      </c>
      <c r="CG104" s="222">
        <f ca="1">CG103</f>
        <v>0</v>
      </c>
    </row>
    <row r="105" spans="2:147" s="10" customFormat="1">
      <c r="B105" s="3"/>
      <c r="C105" s="90"/>
      <c r="D105" s="14"/>
      <c r="F105" s="230"/>
      <c r="G105" s="225"/>
      <c r="H105" s="225"/>
      <c r="L105" s="111"/>
      <c r="M105" s="111"/>
      <c r="N105" s="111"/>
      <c r="O105" s="111"/>
      <c r="P105" s="111"/>
      <c r="R105" s="182" t="s">
        <v>173</v>
      </c>
      <c r="S105" s="292"/>
      <c r="T105" s="131"/>
      <c r="U105" s="131"/>
      <c r="V105" s="222"/>
      <c r="W105" s="222"/>
      <c r="X105" s="222"/>
      <c r="Y105" s="259">
        <f>+Y104*Y36</f>
        <v>0</v>
      </c>
      <c r="Z105" s="259">
        <f>+Z104*Z36</f>
        <v>269.13499999999954</v>
      </c>
      <c r="AA105" s="259">
        <f>+AA104*AA36</f>
        <v>3654.9000000000005</v>
      </c>
      <c r="AB105" s="259">
        <f>+AB104*AB36</f>
        <v>3574.0950000000034</v>
      </c>
      <c r="AC105" s="259"/>
      <c r="AD105" s="259"/>
      <c r="AE105" s="259"/>
      <c r="AF105" s="259"/>
      <c r="AG105" s="259"/>
      <c r="AH105" s="1654">
        <f t="shared" ref="AH105:BP105" si="398">+AH104*AH36</f>
        <v>1304.7275000000061</v>
      </c>
      <c r="AI105" s="259">
        <f t="shared" ref="AI105" ca="1" si="399">+AI104*AI36</f>
        <v>3177.4319594973831</v>
      </c>
      <c r="AJ105" s="259">
        <f t="shared" ref="AJ105:AK105" ca="1" si="400">+AJ104*AJ36</f>
        <v>3190.4999023933224</v>
      </c>
      <c r="AK105" s="259">
        <f t="shared" ca="1" si="400"/>
        <v>2493.7077832289424</v>
      </c>
      <c r="AL105" s="259">
        <f ca="1">+AL104*AL36</f>
        <v>732.64364642256555</v>
      </c>
      <c r="AM105" s="259">
        <f t="shared" ca="1" si="398"/>
        <v>1059.6953140016287</v>
      </c>
      <c r="AN105" s="259">
        <f t="shared" ca="1" si="398"/>
        <v>1133.3779806951645</v>
      </c>
      <c r="AO105" s="259">
        <f t="shared" ca="1" si="398"/>
        <v>808.34275711513556</v>
      </c>
      <c r="AP105" s="259">
        <f t="shared" ca="1" si="398"/>
        <v>750.53347319597572</v>
      </c>
      <c r="AQ105" s="259">
        <f t="shared" ca="1" si="398"/>
        <v>1126.7150969184697</v>
      </c>
      <c r="AR105" s="259">
        <f t="shared" ca="1" si="398"/>
        <v>1221.323473587883</v>
      </c>
      <c r="AS105" s="259">
        <f t="shared" ca="1" si="398"/>
        <v>1120.5452620927201</v>
      </c>
      <c r="AT105" s="259">
        <f t="shared" ca="1" si="398"/>
        <v>1121.0392747047435</v>
      </c>
      <c r="AU105" s="259">
        <f t="shared" ca="1" si="398"/>
        <v>1146.6868523411013</v>
      </c>
      <c r="AV105" s="259">
        <f t="shared" ca="1" si="398"/>
        <v>1179.163141316785</v>
      </c>
      <c r="AW105" s="259">
        <f t="shared" ca="1" si="398"/>
        <v>1214.074210455354</v>
      </c>
      <c r="AX105" s="259">
        <f t="shared" ca="1" si="398"/>
        <v>1222.0088751986336</v>
      </c>
      <c r="AY105" s="259">
        <f t="shared" ca="1" si="398"/>
        <v>1222.5940110198296</v>
      </c>
      <c r="AZ105" s="259">
        <f t="shared" ca="1" si="398"/>
        <v>1220.5170124561489</v>
      </c>
      <c r="BA105" s="259">
        <f t="shared" ca="1" si="398"/>
        <v>1216.8560422331807</v>
      </c>
      <c r="BB105" s="259">
        <f t="shared" ca="1" si="398"/>
        <v>1211.8167300243269</v>
      </c>
      <c r="BC105" s="259">
        <f t="shared" ca="1" si="398"/>
        <v>1205.3922390639887</v>
      </c>
      <c r="BD105" s="259">
        <f t="shared" ca="1" si="398"/>
        <v>1197.5221836480641</v>
      </c>
      <c r="BE105" s="259">
        <f t="shared" ca="1" si="398"/>
        <v>1188.1307649014479</v>
      </c>
      <c r="BF105" s="259">
        <f t="shared" ca="1" si="398"/>
        <v>1177.1358333470484</v>
      </c>
      <c r="BG105" s="259">
        <f t="shared" ca="1" si="398"/>
        <v>1164.4509598974803</v>
      </c>
      <c r="BH105" s="259">
        <f t="shared" ca="1" si="398"/>
        <v>1149.9858248468204</v>
      </c>
      <c r="BI105" s="259">
        <f t="shared" ca="1" si="398"/>
        <v>1133.6461997405784</v>
      </c>
      <c r="BJ105" s="259">
        <f t="shared" ca="1" si="398"/>
        <v>1115.3338277139453</v>
      </c>
      <c r="BK105" s="259">
        <f t="shared" ca="1" si="398"/>
        <v>1094.9462753408611</v>
      </c>
      <c r="BL105" s="259">
        <f t="shared" ca="1" si="398"/>
        <v>1072.3767733135364</v>
      </c>
      <c r="BM105" s="259">
        <f t="shared" ca="1" si="398"/>
        <v>1047.5140499352194</v>
      </c>
      <c r="BN105" s="259">
        <f t="shared" ca="1" si="398"/>
        <v>1020.2421582171196</v>
      </c>
      <c r="BO105" s="259">
        <f t="shared" ca="1" si="398"/>
        <v>990.44029660386934</v>
      </c>
      <c r="BP105" s="259">
        <f t="shared" ca="1" si="398"/>
        <v>957.98262316156968</v>
      </c>
      <c r="BQ105" s="259">
        <f t="shared" ref="BQ105:CG105" ca="1" si="401">+BQ104*BQ36</f>
        <v>922.73806301345371</v>
      </c>
      <c r="BR105" s="259">
        <f t="shared" ca="1" si="401"/>
        <v>884.57010879021959</v>
      </c>
      <c r="BS105" s="259">
        <f t="shared" ca="1" si="401"/>
        <v>843.33661385023129</v>
      </c>
      <c r="BT105" s="259">
        <f t="shared" ca="1" si="401"/>
        <v>798.88957801627225</v>
      </c>
      <c r="BU105" s="259">
        <f t="shared" ca="1" si="401"/>
        <v>751.07492556796626</v>
      </c>
      <c r="BV105" s="259">
        <f t="shared" ca="1" si="401"/>
        <v>699.73227521871843</v>
      </c>
      <c r="BW105" s="259">
        <f t="shared" ca="1" si="401"/>
        <v>644.69470179591701</v>
      </c>
      <c r="BX105" s="259">
        <f t="shared" ca="1" si="401"/>
        <v>585.78848933744871</v>
      </c>
      <c r="BY105" s="259">
        <f t="shared" ca="1" si="401"/>
        <v>522.83287530169878</v>
      </c>
      <c r="BZ105" s="259">
        <f t="shared" ca="1" si="401"/>
        <v>455.63978558390897</v>
      </c>
      <c r="CA105" s="259">
        <f t="shared" ca="1" si="401"/>
        <v>384.01356001770745</v>
      </c>
      <c r="CB105" s="259">
        <f t="shared" ca="1" si="401"/>
        <v>307.75066802970332</v>
      </c>
      <c r="CC105" s="259">
        <f t="shared" ca="1" si="401"/>
        <v>226.63941410663111</v>
      </c>
      <c r="CD105" s="259">
        <f t="shared" ca="1" si="401"/>
        <v>140.45963271962174</v>
      </c>
      <c r="CE105" s="259">
        <f t="shared" ca="1" si="401"/>
        <v>48.98237233832382</v>
      </c>
      <c r="CF105" s="259">
        <f t="shared" ca="1" si="401"/>
        <v>0</v>
      </c>
      <c r="CG105" s="259">
        <f t="shared" ca="1" si="401"/>
        <v>0</v>
      </c>
    </row>
    <row r="106" spans="2:147" s="10" customFormat="1">
      <c r="B106" s="3"/>
      <c r="C106" s="26"/>
      <c r="D106" s="89"/>
      <c r="G106" s="233"/>
      <c r="H106" s="233"/>
      <c r="L106" s="111"/>
      <c r="M106" s="111"/>
      <c r="N106" s="111"/>
      <c r="O106" s="111"/>
      <c r="P106" s="111"/>
      <c r="R106" s="9"/>
      <c r="S106" s="292"/>
      <c r="T106" s="131"/>
      <c r="U106" s="131"/>
      <c r="V106" s="131"/>
      <c r="W106" s="131"/>
      <c r="X106" s="131"/>
      <c r="Y106" s="131"/>
      <c r="Z106" s="131"/>
      <c r="AA106" s="131"/>
      <c r="AB106" s="131"/>
      <c r="AC106" s="131"/>
      <c r="AD106" s="131"/>
      <c r="AE106" s="131"/>
      <c r="AF106" s="131"/>
      <c r="AG106" s="131"/>
      <c r="AH106" s="1630"/>
      <c r="AI106" s="131"/>
      <c r="AJ106" s="131"/>
      <c r="AK106" s="131"/>
      <c r="AL106" s="131"/>
      <c r="AM106" s="131"/>
      <c r="AN106" s="131"/>
      <c r="AO106" s="131"/>
      <c r="AP106" s="131"/>
      <c r="AQ106" s="131"/>
      <c r="AR106" s="131"/>
      <c r="AS106" s="131"/>
      <c r="AT106" s="131"/>
      <c r="AU106" s="131"/>
      <c r="AV106" s="131"/>
      <c r="AW106" s="131"/>
      <c r="AX106" s="131"/>
      <c r="AY106" s="131"/>
      <c r="AZ106" s="131"/>
      <c r="BA106" s="131"/>
      <c r="BB106" s="131"/>
      <c r="BC106" s="131"/>
      <c r="BD106" s="131"/>
      <c r="BE106" s="131"/>
      <c r="BF106" s="131"/>
      <c r="BG106" s="131"/>
      <c r="BH106" s="131"/>
      <c r="BI106" s="131"/>
      <c r="BJ106" s="131"/>
      <c r="BK106" s="131"/>
      <c r="BL106" s="131"/>
      <c r="BM106" s="131"/>
      <c r="BN106" s="131"/>
      <c r="BO106" s="131"/>
      <c r="BP106" s="131"/>
      <c r="BQ106" s="131"/>
      <c r="BR106" s="131"/>
      <c r="BS106" s="131"/>
      <c r="BT106" s="131"/>
      <c r="BU106" s="131"/>
      <c r="BV106" s="131"/>
      <c r="BW106" s="131"/>
      <c r="BX106" s="131"/>
      <c r="BY106" s="131"/>
      <c r="BZ106" s="131"/>
      <c r="CA106" s="131"/>
      <c r="CB106" s="131"/>
      <c r="CC106" s="131"/>
      <c r="CD106" s="131"/>
      <c r="CE106" s="131"/>
      <c r="CF106" s="131"/>
      <c r="CG106" s="131"/>
    </row>
    <row r="107" spans="2:147" s="10" customFormat="1">
      <c r="B107" s="245"/>
      <c r="C107" s="274"/>
      <c r="D107" s="90"/>
      <c r="G107" s="233"/>
      <c r="H107" s="233"/>
      <c r="L107" s="111"/>
      <c r="M107" s="111"/>
      <c r="N107" s="111"/>
      <c r="O107" s="111"/>
      <c r="P107" s="111"/>
      <c r="R107" s="9"/>
      <c r="S107" s="292"/>
      <c r="T107" s="131"/>
      <c r="U107" s="131"/>
      <c r="V107" s="131"/>
      <c r="W107" s="131"/>
      <c r="X107" s="131"/>
      <c r="Y107" s="131"/>
      <c r="Z107" s="131"/>
      <c r="AA107" s="131"/>
      <c r="AB107" s="131"/>
      <c r="AC107" s="131"/>
      <c r="AD107" s="131"/>
      <c r="AE107" s="131"/>
      <c r="AF107" s="131"/>
      <c r="AG107" s="131"/>
      <c r="AH107" s="1630"/>
      <c r="AI107" s="131" t="str">
        <f>AI5</f>
        <v>FY26E</v>
      </c>
      <c r="AJ107" s="131"/>
      <c r="AK107" s="131"/>
      <c r="AL107" s="131"/>
      <c r="AM107" s="131"/>
      <c r="AN107" s="131"/>
      <c r="AO107" s="131"/>
      <c r="AP107" s="131"/>
      <c r="AQ107" s="131"/>
      <c r="AR107" s="131"/>
      <c r="AS107" s="131"/>
      <c r="AT107" s="131"/>
      <c r="AU107" s="131"/>
      <c r="AV107" s="131"/>
      <c r="AW107" s="131"/>
      <c r="AX107" s="131"/>
      <c r="AY107" s="131"/>
      <c r="AZ107" s="131"/>
      <c r="BA107" s="131"/>
      <c r="BB107" s="131"/>
      <c r="BC107" s="131"/>
      <c r="BD107" s="131"/>
      <c r="BE107" s="131"/>
      <c r="BF107" s="131"/>
      <c r="BG107" s="131"/>
      <c r="BH107" s="131"/>
      <c r="BI107" s="131"/>
      <c r="BJ107" s="131"/>
      <c r="BK107" s="131"/>
      <c r="BL107" s="131"/>
      <c r="BM107" s="131"/>
      <c r="BN107" s="131"/>
      <c r="BO107" s="131"/>
      <c r="BP107" s="131"/>
      <c r="BQ107" s="131"/>
      <c r="BR107" s="131"/>
      <c r="BS107" s="131"/>
      <c r="BT107" s="131"/>
      <c r="BU107" s="131"/>
      <c r="BV107" s="131"/>
      <c r="BW107" s="131"/>
      <c r="BX107" s="131"/>
      <c r="BY107" s="131"/>
      <c r="BZ107" s="131"/>
      <c r="CA107" s="131"/>
      <c r="CB107" s="131"/>
      <c r="CC107" s="131"/>
      <c r="CD107" s="131"/>
      <c r="CE107" s="131"/>
      <c r="CF107" s="131"/>
      <c r="CG107" s="131"/>
    </row>
    <row r="108" spans="2:147" s="10" customFormat="1">
      <c r="C108" s="111"/>
      <c r="D108" s="26"/>
      <c r="G108" s="233"/>
      <c r="H108" s="233"/>
      <c r="I108" s="245"/>
      <c r="J108" s="245"/>
      <c r="K108" s="245"/>
      <c r="L108" s="274"/>
      <c r="M108" s="274"/>
      <c r="N108" s="274"/>
      <c r="O108" s="274"/>
      <c r="P108" s="274"/>
      <c r="Q108" s="245"/>
      <c r="R108" s="182" t="s">
        <v>233</v>
      </c>
      <c r="S108" s="292"/>
      <c r="T108" s="131"/>
      <c r="U108" s="131"/>
      <c r="V108" s="204"/>
      <c r="W108" s="204"/>
      <c r="X108" s="204"/>
      <c r="Y108" s="204"/>
      <c r="Z108" s="204"/>
      <c r="AA108" s="204"/>
      <c r="AB108" s="204">
        <f t="shared" ref="AB108:BJ108" si="402">AB60</f>
        <v>5953</v>
      </c>
      <c r="AC108" s="204">
        <f t="shared" ref="AC108:AH108" si="403">AC60</f>
        <v>3577</v>
      </c>
      <c r="AD108" s="204">
        <f t="shared" si="403"/>
        <v>6162</v>
      </c>
      <c r="AE108" s="204">
        <f t="shared" si="403"/>
        <v>7119</v>
      </c>
      <c r="AF108" s="204">
        <f t="shared" ref="AF108:AG108" si="404">AF60</f>
        <v>7106</v>
      </c>
      <c r="AG108" s="204">
        <f t="shared" si="404"/>
        <v>6535</v>
      </c>
      <c r="AH108" s="1642">
        <f t="shared" si="403"/>
        <v>5891</v>
      </c>
      <c r="AI108" s="204">
        <f t="shared" ref="AI108" ca="1" si="405">AI60</f>
        <v>7527.8445500800126</v>
      </c>
      <c r="AJ108" s="204">
        <f ca="1">AJ60</f>
        <v>7974.5874835599489</v>
      </c>
      <c r="AK108" s="204">
        <f t="shared" ref="AK108" ca="1" si="406">AK60</f>
        <v>8479.0708518710398</v>
      </c>
      <c r="AL108" s="204">
        <f t="shared" ca="1" si="402"/>
        <v>9066.9731602635802</v>
      </c>
      <c r="AM108" s="204">
        <f t="shared" ca="1" si="402"/>
        <v>9526.8817608666322</v>
      </c>
      <c r="AN108" s="204">
        <f t="shared" ca="1" si="402"/>
        <v>9742.2138955490973</v>
      </c>
      <c r="AO108" s="204">
        <f ca="1">AO60</f>
        <v>8721.9849264508921</v>
      </c>
      <c r="AP108" s="204">
        <f ca="1">AP60</f>
        <v>8949.5938281500385</v>
      </c>
      <c r="AQ108" s="204">
        <f ca="1">AQ60</f>
        <v>10540.373257231731</v>
      </c>
      <c r="AR108" s="204">
        <f ca="1">AR60</f>
        <v>10818.607557153869</v>
      </c>
      <c r="AS108" s="204">
        <f t="shared" ca="1" si="402"/>
        <v>11152.076967994932</v>
      </c>
      <c r="AT108" s="204">
        <f t="shared" ca="1" si="402"/>
        <v>11466.500840926814</v>
      </c>
      <c r="AU108" s="204">
        <f t="shared" ca="1" si="402"/>
        <v>11805.641824888111</v>
      </c>
      <c r="AV108" s="204">
        <f ca="1">AV60</f>
        <v>12158.641092229045</v>
      </c>
      <c r="AW108" s="204">
        <f ca="1">AW60</f>
        <v>12523.118318631663</v>
      </c>
      <c r="AX108" s="204">
        <f t="shared" ca="1" si="402"/>
        <v>12797.401880511226</v>
      </c>
      <c r="AY108" s="204">
        <f t="shared" ca="1" si="402"/>
        <v>13072.832443638399</v>
      </c>
      <c r="AZ108" s="204">
        <f t="shared" ca="1" si="402"/>
        <v>13352.375299778609</v>
      </c>
      <c r="BA108" s="204">
        <f t="shared" ca="1" si="402"/>
        <v>13636.783998708317</v>
      </c>
      <c r="BB108" s="204">
        <f t="shared" ca="1" si="402"/>
        <v>13926.281456682107</v>
      </c>
      <c r="BC108" s="204">
        <f t="shared" ca="1" si="402"/>
        <v>14220.962778361458</v>
      </c>
      <c r="BD108" s="204">
        <f t="shared" ca="1" si="402"/>
        <v>14520.891575942102</v>
      </c>
      <c r="BE108" s="204">
        <f t="shared" ca="1" si="402"/>
        <v>14826.122895583034</v>
      </c>
      <c r="BF108" s="204">
        <f t="shared" ca="1" si="402"/>
        <v>15136.708590842491</v>
      </c>
      <c r="BG108" s="204">
        <f t="shared" ca="1" si="402"/>
        <v>15452.698500175924</v>
      </c>
      <c r="BH108" s="204">
        <f t="shared" ca="1" si="402"/>
        <v>15774.140618904252</v>
      </c>
      <c r="BI108" s="204">
        <f t="shared" ca="1" si="402"/>
        <v>16101.081026463697</v>
      </c>
      <c r="BJ108" s="204">
        <f t="shared" ca="1" si="402"/>
        <v>16433.563749941415</v>
      </c>
      <c r="BK108" s="204">
        <f t="shared" ref="BK108:CD108" ca="1" si="407">BK60</f>
        <v>16771.630606722869</v>
      </c>
      <c r="BL108" s="204">
        <f t="shared" ca="1" si="407"/>
        <v>17115.321036186575</v>
      </c>
      <c r="BM108" s="204">
        <f t="shared" ca="1" si="407"/>
        <v>17464.67192255695</v>
      </c>
      <c r="BN108" s="204">
        <f t="shared" ca="1" si="407"/>
        <v>17819.717409160174</v>
      </c>
      <c r="BO108" s="204">
        <f t="shared" ca="1" si="407"/>
        <v>18180.488703876021</v>
      </c>
      <c r="BP108" s="204">
        <f t="shared" ca="1" si="407"/>
        <v>18547.013875461842</v>
      </c>
      <c r="BQ108" s="204">
        <f t="shared" ca="1" si="407"/>
        <v>18919.317640386795</v>
      </c>
      <c r="BR108" s="204">
        <f t="shared" ca="1" si="407"/>
        <v>19297.421139794871</v>
      </c>
      <c r="BS108" s="204">
        <f t="shared" ca="1" si="407"/>
        <v>19681.341706199499</v>
      </c>
      <c r="BT108" s="204">
        <f t="shared" ca="1" si="407"/>
        <v>20071.092619497133</v>
      </c>
      <c r="BU108" s="204">
        <f t="shared" ca="1" si="407"/>
        <v>20466.682851871876</v>
      </c>
      <c r="BV108" s="204">
        <f t="shared" ca="1" si="407"/>
        <v>20868.116801147251</v>
      </c>
      <c r="BW108" s="204">
        <f t="shared" ca="1" si="407"/>
        <v>21275.39401212443</v>
      </c>
      <c r="BX108" s="204">
        <f t="shared" ca="1" si="407"/>
        <v>21688.508885429277</v>
      </c>
      <c r="BY108" s="204">
        <f t="shared" ca="1" si="407"/>
        <v>22107.450373372812</v>
      </c>
      <c r="BZ108" s="204">
        <f t="shared" ca="1" si="407"/>
        <v>22532.201662311087</v>
      </c>
      <c r="CA108" s="204">
        <f t="shared" ca="1" si="407"/>
        <v>22962.739840971732</v>
      </c>
      <c r="CB108" s="204">
        <f t="shared" ca="1" si="407"/>
        <v>23399.035554194477</v>
      </c>
      <c r="CC108" s="204">
        <f t="shared" ca="1" si="407"/>
        <v>23841.052641512561</v>
      </c>
      <c r="CD108" s="204">
        <f t="shared" ca="1" si="407"/>
        <v>24288.747759980903</v>
      </c>
      <c r="CE108" s="204">
        <f ca="1">CE60</f>
        <v>24742.069990634915</v>
      </c>
      <c r="CF108" s="204">
        <f ca="1">CF60</f>
        <v>25200.960427941038</v>
      </c>
      <c r="CG108" s="204">
        <f ca="1">CG60</f>
        <v>25665.351751577022</v>
      </c>
    </row>
    <row r="109" spans="2:147" s="10" customFormat="1">
      <c r="C109" s="111"/>
      <c r="F109" s="230"/>
      <c r="G109" s="225"/>
      <c r="H109" s="225"/>
      <c r="L109" s="111"/>
      <c r="M109" s="111"/>
      <c r="N109" s="111"/>
      <c r="O109" s="111"/>
      <c r="P109" s="111"/>
      <c r="R109" s="112" t="s">
        <v>515</v>
      </c>
      <c r="S109" s="298"/>
      <c r="T109" s="263"/>
      <c r="U109" s="263"/>
      <c r="V109" s="264"/>
      <c r="W109" s="264"/>
      <c r="X109" s="264"/>
      <c r="Y109" s="264"/>
      <c r="Z109" s="264"/>
      <c r="AA109" s="264"/>
      <c r="AB109" s="264">
        <f t="shared" ref="AB109:BK109" si="408">$C$15/100</f>
        <v>8.5000000000000006E-2</v>
      </c>
      <c r="AC109" s="264">
        <f t="shared" si="408"/>
        <v>8.5000000000000006E-2</v>
      </c>
      <c r="AD109" s="264">
        <f t="shared" si="408"/>
        <v>8.5000000000000006E-2</v>
      </c>
      <c r="AE109" s="264">
        <f t="shared" si="408"/>
        <v>8.5000000000000006E-2</v>
      </c>
      <c r="AF109" s="264">
        <f t="shared" si="408"/>
        <v>8.5000000000000006E-2</v>
      </c>
      <c r="AG109" s="264">
        <f t="shared" si="408"/>
        <v>8.5000000000000006E-2</v>
      </c>
      <c r="AH109" s="1655">
        <f t="shared" si="408"/>
        <v>8.5000000000000006E-2</v>
      </c>
      <c r="AI109" s="264">
        <f t="shared" si="408"/>
        <v>8.5000000000000006E-2</v>
      </c>
      <c r="AJ109" s="264">
        <f t="shared" si="408"/>
        <v>8.5000000000000006E-2</v>
      </c>
      <c r="AK109" s="264">
        <f t="shared" si="408"/>
        <v>8.5000000000000006E-2</v>
      </c>
      <c r="AL109" s="264">
        <f t="shared" si="408"/>
        <v>8.5000000000000006E-2</v>
      </c>
      <c r="AM109" s="264">
        <f t="shared" si="408"/>
        <v>8.5000000000000006E-2</v>
      </c>
      <c r="AN109" s="264">
        <f t="shared" si="408"/>
        <v>8.5000000000000006E-2</v>
      </c>
      <c r="AO109" s="264">
        <f t="shared" si="408"/>
        <v>8.5000000000000006E-2</v>
      </c>
      <c r="AP109" s="264">
        <f t="shared" si="408"/>
        <v>8.5000000000000006E-2</v>
      </c>
      <c r="AQ109" s="264">
        <f t="shared" si="408"/>
        <v>8.5000000000000006E-2</v>
      </c>
      <c r="AR109" s="264">
        <f t="shared" si="408"/>
        <v>8.5000000000000006E-2</v>
      </c>
      <c r="AS109" s="264">
        <f t="shared" si="408"/>
        <v>8.5000000000000006E-2</v>
      </c>
      <c r="AT109" s="264">
        <f t="shared" si="408"/>
        <v>8.5000000000000006E-2</v>
      </c>
      <c r="AU109" s="264">
        <f t="shared" si="408"/>
        <v>8.5000000000000006E-2</v>
      </c>
      <c r="AV109" s="264">
        <f t="shared" si="408"/>
        <v>8.5000000000000006E-2</v>
      </c>
      <c r="AW109" s="264">
        <f t="shared" si="408"/>
        <v>8.5000000000000006E-2</v>
      </c>
      <c r="AX109" s="264">
        <f t="shared" si="408"/>
        <v>8.5000000000000006E-2</v>
      </c>
      <c r="AY109" s="264">
        <f t="shared" si="408"/>
        <v>8.5000000000000006E-2</v>
      </c>
      <c r="AZ109" s="264">
        <f t="shared" si="408"/>
        <v>8.5000000000000006E-2</v>
      </c>
      <c r="BA109" s="264">
        <f t="shared" si="408"/>
        <v>8.5000000000000006E-2</v>
      </c>
      <c r="BB109" s="264">
        <f t="shared" si="408"/>
        <v>8.5000000000000006E-2</v>
      </c>
      <c r="BC109" s="264">
        <f t="shared" si="408"/>
        <v>8.5000000000000006E-2</v>
      </c>
      <c r="BD109" s="264">
        <f t="shared" si="408"/>
        <v>8.5000000000000006E-2</v>
      </c>
      <c r="BE109" s="264">
        <f t="shared" si="408"/>
        <v>8.5000000000000006E-2</v>
      </c>
      <c r="BF109" s="264">
        <f t="shared" si="408"/>
        <v>8.5000000000000006E-2</v>
      </c>
      <c r="BG109" s="264">
        <f t="shared" si="408"/>
        <v>8.5000000000000006E-2</v>
      </c>
      <c r="BH109" s="264">
        <f t="shared" si="408"/>
        <v>8.5000000000000006E-2</v>
      </c>
      <c r="BI109" s="264">
        <f t="shared" si="408"/>
        <v>8.5000000000000006E-2</v>
      </c>
      <c r="BJ109" s="264">
        <f t="shared" si="408"/>
        <v>8.5000000000000006E-2</v>
      </c>
      <c r="BK109" s="264">
        <f t="shared" si="408"/>
        <v>8.5000000000000006E-2</v>
      </c>
      <c r="BL109" s="264">
        <f t="shared" ref="BL109:CG109" si="409">$C$15/100</f>
        <v>8.5000000000000006E-2</v>
      </c>
      <c r="BM109" s="264">
        <f t="shared" si="409"/>
        <v>8.5000000000000006E-2</v>
      </c>
      <c r="BN109" s="264">
        <f t="shared" si="409"/>
        <v>8.5000000000000006E-2</v>
      </c>
      <c r="BO109" s="264">
        <f t="shared" si="409"/>
        <v>8.5000000000000006E-2</v>
      </c>
      <c r="BP109" s="264">
        <f t="shared" si="409"/>
        <v>8.5000000000000006E-2</v>
      </c>
      <c r="BQ109" s="264">
        <f t="shared" si="409"/>
        <v>8.5000000000000006E-2</v>
      </c>
      <c r="BR109" s="264">
        <f t="shared" si="409"/>
        <v>8.5000000000000006E-2</v>
      </c>
      <c r="BS109" s="264">
        <f t="shared" si="409"/>
        <v>8.5000000000000006E-2</v>
      </c>
      <c r="BT109" s="264">
        <f t="shared" si="409"/>
        <v>8.5000000000000006E-2</v>
      </c>
      <c r="BU109" s="264">
        <f t="shared" si="409"/>
        <v>8.5000000000000006E-2</v>
      </c>
      <c r="BV109" s="264">
        <f t="shared" si="409"/>
        <v>8.5000000000000006E-2</v>
      </c>
      <c r="BW109" s="264">
        <f t="shared" si="409"/>
        <v>8.5000000000000006E-2</v>
      </c>
      <c r="BX109" s="264">
        <f t="shared" si="409"/>
        <v>8.5000000000000006E-2</v>
      </c>
      <c r="BY109" s="264">
        <f t="shared" si="409"/>
        <v>8.5000000000000006E-2</v>
      </c>
      <c r="BZ109" s="264">
        <f t="shared" si="409"/>
        <v>8.5000000000000006E-2</v>
      </c>
      <c r="CA109" s="264">
        <f t="shared" si="409"/>
        <v>8.5000000000000006E-2</v>
      </c>
      <c r="CB109" s="264">
        <f t="shared" si="409"/>
        <v>8.5000000000000006E-2</v>
      </c>
      <c r="CC109" s="264">
        <f t="shared" si="409"/>
        <v>8.5000000000000006E-2</v>
      </c>
      <c r="CD109" s="264">
        <f t="shared" si="409"/>
        <v>8.5000000000000006E-2</v>
      </c>
      <c r="CE109" s="264">
        <f t="shared" si="409"/>
        <v>8.5000000000000006E-2</v>
      </c>
      <c r="CF109" s="264">
        <f t="shared" si="409"/>
        <v>8.5000000000000006E-2</v>
      </c>
      <c r="CG109" s="264">
        <f t="shared" si="409"/>
        <v>8.5000000000000006E-2</v>
      </c>
    </row>
    <row r="110" spans="2:147" s="245" customFormat="1">
      <c r="B110" s="112"/>
      <c r="C110" s="276"/>
      <c r="F110" s="232"/>
      <c r="G110" s="233"/>
      <c r="H110" s="233"/>
      <c r="I110" s="10"/>
      <c r="J110" s="10"/>
      <c r="K110" s="10"/>
      <c r="L110" s="111"/>
      <c r="M110" s="111"/>
      <c r="N110" s="111"/>
      <c r="O110" s="111"/>
      <c r="P110" s="111"/>
      <c r="Q110" s="10"/>
      <c r="R110" s="182" t="s">
        <v>174</v>
      </c>
      <c r="S110" s="292"/>
      <c r="T110" s="265"/>
      <c r="U110" s="265"/>
      <c r="V110" s="265"/>
      <c r="W110" s="265"/>
      <c r="X110" s="265"/>
      <c r="Y110" s="265"/>
      <c r="Z110" s="265"/>
      <c r="AA110" s="265"/>
      <c r="AB110" s="265">
        <f t="shared" ref="AB110:AE110" si="410">-AB109*AB90</f>
        <v>-5166.5550000000003</v>
      </c>
      <c r="AC110" s="265">
        <f t="shared" si="410"/>
        <v>-5209.3950000000004</v>
      </c>
      <c r="AD110" s="265">
        <f t="shared" si="410"/>
        <v>-5411.5250000000005</v>
      </c>
      <c r="AE110" s="265">
        <f t="shared" si="410"/>
        <v>-5602.0950000000003</v>
      </c>
      <c r="AF110" s="265">
        <f t="shared" ref="AF110:AG110" si="411">-AF109*AF90</f>
        <v>-5907.0750000000007</v>
      </c>
      <c r="AG110" s="265">
        <f t="shared" si="411"/>
        <v>-5937.8450000000003</v>
      </c>
      <c r="AH110" s="1656">
        <f>-AH109*AH90</f>
        <v>-6045.88</v>
      </c>
      <c r="AI110" s="265">
        <f ca="1">-AI109*AI90</f>
        <v>-6322.7675344125682</v>
      </c>
      <c r="AJ110" s="265">
        <f t="shared" ref="AJ110:AK110" ca="1" si="412">-AJ109*AJ90</f>
        <v>-6507.1098235310301</v>
      </c>
      <c r="AK110" s="265">
        <f t="shared" ca="1" si="412"/>
        <v>-6669.4582358192547</v>
      </c>
      <c r="AL110" s="265">
        <f t="shared" ref="AL110:AQ110" ca="1" si="413">-AL109*AL90</f>
        <v>-6740.5744422342759</v>
      </c>
      <c r="AM110" s="265">
        <f t="shared" ca="1" si="413"/>
        <v>-6975.2056135586081</v>
      </c>
      <c r="AN110" s="265">
        <f t="shared" ca="1" si="413"/>
        <v>-7188.912786488173</v>
      </c>
      <c r="AO110" s="265">
        <f t="shared" ca="1" si="413"/>
        <v>-7366.4325352639753</v>
      </c>
      <c r="AP110" s="265">
        <f t="shared" ca="1" si="413"/>
        <v>-7578.7066823671794</v>
      </c>
      <c r="AQ110" s="265">
        <f t="shared" ca="1" si="413"/>
        <v>-7843.6448549128991</v>
      </c>
      <c r="AR110" s="265">
        <f t="shared" ref="AR110" ca="1" si="414">-AR109*AR90</f>
        <v>-8085.4149362099824</v>
      </c>
      <c r="AS110" s="265">
        <f t="shared" ref="AS110:BK110" ca="1" si="415">-AS109*AS90</f>
        <v>-8313.3767307528615</v>
      </c>
      <c r="AT110" s="265">
        <f t="shared" ca="1" si="415"/>
        <v>-8559.2587834925525</v>
      </c>
      <c r="AU110" s="265">
        <f t="shared" ca="1" si="415"/>
        <v>-8815.1882894330702</v>
      </c>
      <c r="AV110" s="265">
        <f ca="1">-AV109*AV90</f>
        <v>-9079.4394794778927</v>
      </c>
      <c r="AW110" s="265">
        <f ca="1">-AW109*AW90</f>
        <v>-9351.7733824452571</v>
      </c>
      <c r="AX110" s="265">
        <f t="shared" ca="1" si="415"/>
        <v>-9629.2997805017621</v>
      </c>
      <c r="AY110" s="265">
        <f t="shared" ca="1" si="415"/>
        <v>-9914.3457913081202</v>
      </c>
      <c r="AZ110" s="265">
        <f t="shared" ca="1" si="415"/>
        <v>-10207.658465539847</v>
      </c>
      <c r="BA110" s="265">
        <f t="shared" ca="1" si="415"/>
        <v>-10509.608843442647</v>
      </c>
      <c r="BB110" s="265">
        <f t="shared" ca="1" si="415"/>
        <v>-10820.482953189121</v>
      </c>
      <c r="BC110" s="265">
        <f t="shared" ca="1" si="415"/>
        <v>-11140.552173793307</v>
      </c>
      <c r="BD110" s="265">
        <f t="shared" ca="1" si="415"/>
        <v>-11470.090357857147</v>
      </c>
      <c r="BE110" s="265">
        <f t="shared" ca="1" si="415"/>
        <v>-11809.378128390656</v>
      </c>
      <c r="BF110" s="265">
        <f t="shared" ca="1" si="415"/>
        <v>-12158.704093951597</v>
      </c>
      <c r="BG110" s="265">
        <f t="shared" ca="1" si="415"/>
        <v>-12518.365328497333</v>
      </c>
      <c r="BH110" s="265">
        <f t="shared" ca="1" si="415"/>
        <v>-12888.667680318449</v>
      </c>
      <c r="BI110" s="265">
        <f t="shared" ca="1" si="415"/>
        <v>-13269.926045743765</v>
      </c>
      <c r="BJ110" s="265">
        <f t="shared" ca="1" si="415"/>
        <v>-13662.464640326572</v>
      </c>
      <c r="BK110" s="265">
        <f t="shared" ca="1" si="415"/>
        <v>-14066.617275520894</v>
      </c>
      <c r="BL110" s="265">
        <f t="shared" ref="BL110:CD110" ca="1" si="416">-BL109*BL90</f>
        <v>-14482.727642943471</v>
      </c>
      <c r="BM110" s="265">
        <f t="shared" ca="1" si="416"/>
        <v>-14911.149606907889</v>
      </c>
      <c r="BN110" s="265">
        <f t="shared" ca="1" si="416"/>
        <v>-15352.24750558591</v>
      </c>
      <c r="BO110" s="265">
        <f t="shared" ca="1" si="416"/>
        <v>-15806.396461077768</v>
      </c>
      <c r="BP110" s="265">
        <f t="shared" ca="1" si="416"/>
        <v>-16273.982698661432</v>
      </c>
      <c r="BQ110" s="265">
        <f t="shared" ca="1" si="416"/>
        <v>-16755.403875494205</v>
      </c>
      <c r="BR110" s="265">
        <f t="shared" ca="1" si="416"/>
        <v>-17251.069419046959</v>
      </c>
      <c r="BS110" s="265">
        <f t="shared" ca="1" si="416"/>
        <v>-17761.400875559226</v>
      </c>
      <c r="BT110" s="265">
        <f t="shared" ca="1" si="416"/>
        <v>-18286.832268811995</v>
      </c>
      <c r="BU110" s="265">
        <f t="shared" ca="1" si="416"/>
        <v>-18827.810469523803</v>
      </c>
      <c r="BV110" s="265">
        <f t="shared" ca="1" si="416"/>
        <v>-19384.795575684657</v>
      </c>
      <c r="BW110" s="265">
        <f t="shared" ca="1" si="416"/>
        <v>-19958.261304151769</v>
      </c>
      <c r="BX110" s="265">
        <f t="shared" ca="1" si="416"/>
        <v>-20548.695393840637</v>
      </c>
      <c r="BY110" s="265">
        <f t="shared" ca="1" si="416"/>
        <v>-21156.600020854792</v>
      </c>
      <c r="BZ110" s="265">
        <f t="shared" ca="1" si="416"/>
        <v>-21782.492225907899</v>
      </c>
      <c r="CA110" s="265">
        <f t="shared" ca="1" si="416"/>
        <v>-22426.904354402177</v>
      </c>
      <c r="CB110" s="265">
        <f t="shared" ca="1" si="416"/>
        <v>-23090.384509537958</v>
      </c>
      <c r="CC110" s="265">
        <f t="shared" ca="1" si="416"/>
        <v>-23773.49701884043</v>
      </c>
      <c r="CD110" s="265">
        <f t="shared" ca="1" si="416"/>
        <v>-24476.822914500801</v>
      </c>
      <c r="CE110" s="265">
        <f ca="1">-CE109*CE90</f>
        <v>-25200.960427941023</v>
      </c>
      <c r="CF110" s="265">
        <f ca="1">-CF109*CF90</f>
        <v>-25946.525499023515</v>
      </c>
      <c r="CG110" s="265">
        <f ca="1">-CG109*CG90</f>
        <v>-26710.069713632933</v>
      </c>
      <c r="CH110" s="10"/>
      <c r="CI110" s="10"/>
      <c r="CJ110" s="10"/>
      <c r="CK110" s="10"/>
      <c r="CL110" s="10"/>
      <c r="CM110" s="10"/>
      <c r="CN110" s="10"/>
      <c r="CO110" s="10"/>
      <c r="CP110" s="10"/>
      <c r="CQ110" s="10"/>
      <c r="CR110" s="10"/>
      <c r="CS110" s="10"/>
      <c r="CT110" s="10"/>
      <c r="CU110" s="10"/>
      <c r="CV110" s="10"/>
      <c r="CW110" s="10"/>
      <c r="CX110" s="10"/>
      <c r="CY110" s="10"/>
      <c r="CZ110" s="10"/>
      <c r="DA110" s="10"/>
      <c r="DB110" s="10"/>
      <c r="DC110" s="10"/>
      <c r="DD110" s="10"/>
      <c r="DE110" s="10"/>
      <c r="DF110" s="10"/>
      <c r="DG110" s="10"/>
      <c r="DH110" s="10"/>
      <c r="DI110" s="10"/>
      <c r="DJ110" s="10"/>
      <c r="DK110" s="10"/>
      <c r="DL110" s="10"/>
      <c r="DM110" s="10"/>
      <c r="DN110" s="10"/>
      <c r="DO110" s="10"/>
      <c r="DP110" s="10"/>
      <c r="DQ110" s="10"/>
      <c r="DR110" s="10"/>
      <c r="DS110" s="10"/>
      <c r="DT110" s="10"/>
      <c r="DU110" s="10"/>
      <c r="DV110" s="10"/>
      <c r="DW110" s="10"/>
      <c r="DX110" s="10"/>
      <c r="DY110" s="10"/>
      <c r="DZ110" s="10"/>
      <c r="EA110" s="10"/>
      <c r="EB110" s="10"/>
      <c r="EC110" s="10"/>
      <c r="ED110" s="10"/>
      <c r="EE110" s="10"/>
      <c r="EF110" s="10"/>
      <c r="EG110" s="10"/>
      <c r="EH110" s="10"/>
      <c r="EI110" s="10"/>
      <c r="EJ110" s="10"/>
      <c r="EK110" s="10"/>
      <c r="EL110" s="10"/>
      <c r="EM110" s="10"/>
      <c r="EN110" s="10"/>
      <c r="EO110" s="10"/>
      <c r="EP110" s="10"/>
      <c r="EQ110" s="10"/>
    </row>
    <row r="111" spans="2:147" s="10" customFormat="1" ht="13.8" thickBot="1">
      <c r="C111" s="111"/>
      <c r="F111" s="232"/>
      <c r="G111" s="262"/>
      <c r="H111" s="262"/>
      <c r="I111" s="112"/>
      <c r="J111" s="112"/>
      <c r="K111" s="112"/>
      <c r="L111" s="276"/>
      <c r="M111" s="276"/>
      <c r="N111" s="276"/>
      <c r="O111" s="276"/>
      <c r="P111" s="276"/>
      <c r="Q111" s="112"/>
      <c r="R111" s="9" t="s">
        <v>539</v>
      </c>
      <c r="S111" s="292"/>
      <c r="T111" s="131"/>
      <c r="U111" s="131"/>
      <c r="V111" s="169"/>
      <c r="W111" s="169"/>
      <c r="X111" s="169"/>
      <c r="Y111" s="169"/>
      <c r="Z111" s="169"/>
      <c r="AA111" s="169"/>
      <c r="AB111" s="169">
        <f t="shared" ref="AB111:AH111" si="417">+AB108+AB110</f>
        <v>786.44499999999971</v>
      </c>
      <c r="AC111" s="169">
        <f t="shared" si="417"/>
        <v>-1632.3950000000004</v>
      </c>
      <c r="AD111" s="169">
        <f t="shared" si="417"/>
        <v>750.47499999999945</v>
      </c>
      <c r="AE111" s="169">
        <f t="shared" si="417"/>
        <v>1516.9049999999997</v>
      </c>
      <c r="AF111" s="169">
        <f t="shared" ref="AF111:AG111" si="418">+AF108+AF110</f>
        <v>1198.9249999999993</v>
      </c>
      <c r="AG111" s="169">
        <f t="shared" si="418"/>
        <v>597.15499999999975</v>
      </c>
      <c r="AH111" s="1657">
        <f t="shared" si="417"/>
        <v>-154.88000000000011</v>
      </c>
      <c r="AI111" s="169">
        <f t="shared" ref="AI111" ca="1" si="419">+AI108+AI110</f>
        <v>1205.0770156674444</v>
      </c>
      <c r="AJ111" s="169">
        <f ca="1">+AJ108+AJ110</f>
        <v>1467.4776600289188</v>
      </c>
      <c r="AK111" s="169">
        <f t="shared" ref="AK111" ca="1" si="420">+AK108+AK110</f>
        <v>1809.6126160517852</v>
      </c>
      <c r="AL111" s="169">
        <f t="shared" ref="AL111:AQ111" ca="1" si="421">+AL108+AL110</f>
        <v>2326.3987180293043</v>
      </c>
      <c r="AM111" s="169">
        <f t="shared" ca="1" si="421"/>
        <v>2551.6761473080242</v>
      </c>
      <c r="AN111" s="169">
        <f t="shared" ca="1" si="421"/>
        <v>2553.3011090609243</v>
      </c>
      <c r="AO111" s="169">
        <f t="shared" ca="1" si="421"/>
        <v>1355.5523911869168</v>
      </c>
      <c r="AP111" s="169">
        <f t="shared" ca="1" si="421"/>
        <v>1370.8871457828591</v>
      </c>
      <c r="AQ111" s="169">
        <f t="shared" ca="1" si="421"/>
        <v>2696.7284023188322</v>
      </c>
      <c r="AR111" s="169">
        <f t="shared" ref="AR111" ca="1" si="422">+AR108+AR110</f>
        <v>2733.1926209438871</v>
      </c>
      <c r="AS111" s="169">
        <f t="shared" ref="AS111:BL111" ca="1" si="423">+AS108+AS110</f>
        <v>2838.7002372420702</v>
      </c>
      <c r="AT111" s="169">
        <f t="shared" ca="1" si="423"/>
        <v>2907.2420574342614</v>
      </c>
      <c r="AU111" s="169">
        <f t="shared" ca="1" si="423"/>
        <v>2990.4535354550408</v>
      </c>
      <c r="AV111" s="169">
        <f ca="1">+AV108+AV110</f>
        <v>3079.2016127511524</v>
      </c>
      <c r="AW111" s="169">
        <f ca="1">+AW108+AW110</f>
        <v>3171.3449361864059</v>
      </c>
      <c r="AX111" s="169">
        <f t="shared" ca="1" si="423"/>
        <v>3168.1021000094643</v>
      </c>
      <c r="AY111" s="169">
        <f t="shared" ca="1" si="423"/>
        <v>3158.486652330279</v>
      </c>
      <c r="AZ111" s="169">
        <f t="shared" ca="1" si="423"/>
        <v>3144.7168342387613</v>
      </c>
      <c r="BA111" s="169">
        <f t="shared" ca="1" si="423"/>
        <v>3127.1751552656697</v>
      </c>
      <c r="BB111" s="169">
        <f t="shared" ca="1" si="423"/>
        <v>3105.7985034929861</v>
      </c>
      <c r="BC111" s="169">
        <f t="shared" ca="1" si="423"/>
        <v>3080.410604568151</v>
      </c>
      <c r="BD111" s="169">
        <f t="shared" ca="1" si="423"/>
        <v>3050.8012180849546</v>
      </c>
      <c r="BE111" s="169">
        <f t="shared" ca="1" si="423"/>
        <v>3016.7447671923783</v>
      </c>
      <c r="BF111" s="169">
        <f t="shared" ca="1" si="423"/>
        <v>2978.0044968908933</v>
      </c>
      <c r="BG111" s="169">
        <f t="shared" ca="1" si="423"/>
        <v>2934.3331716785906</v>
      </c>
      <c r="BH111" s="169">
        <f t="shared" ca="1" si="423"/>
        <v>2885.4729385858027</v>
      </c>
      <c r="BI111" s="169">
        <f t="shared" ca="1" si="423"/>
        <v>2831.1549807199317</v>
      </c>
      <c r="BJ111" s="169">
        <f t="shared" ca="1" si="423"/>
        <v>2771.0991096148427</v>
      </c>
      <c r="BK111" s="169">
        <f t="shared" ca="1" si="423"/>
        <v>2705.0133312019752</v>
      </c>
      <c r="BL111" s="169">
        <f t="shared" ca="1" si="423"/>
        <v>2632.5933932431035</v>
      </c>
      <c r="BM111" s="169">
        <f t="shared" ref="BM111:CD111" ca="1" si="424">+BM108+BM110</f>
        <v>2553.5223156490611</v>
      </c>
      <c r="BN111" s="169">
        <f t="shared" ca="1" si="424"/>
        <v>2467.4699035742633</v>
      </c>
      <c r="BO111" s="169">
        <f t="shared" ca="1" si="424"/>
        <v>2374.0922427982532</v>
      </c>
      <c r="BP111" s="169">
        <f t="shared" ca="1" si="424"/>
        <v>2273.0311768004103</v>
      </c>
      <c r="BQ111" s="169">
        <f t="shared" ca="1" si="424"/>
        <v>2163.9137648925898</v>
      </c>
      <c r="BR111" s="169">
        <f t="shared" ca="1" si="424"/>
        <v>2046.3517207479126</v>
      </c>
      <c r="BS111" s="169">
        <f t="shared" ca="1" si="424"/>
        <v>1919.9408306402729</v>
      </c>
      <c r="BT111" s="169">
        <f t="shared" ca="1" si="424"/>
        <v>1784.2603506851374</v>
      </c>
      <c r="BU111" s="169">
        <f t="shared" ca="1" si="424"/>
        <v>1638.8723823480723</v>
      </c>
      <c r="BV111" s="169">
        <f t="shared" ca="1" si="424"/>
        <v>1483.3212254625942</v>
      </c>
      <c r="BW111" s="169">
        <f t="shared" ca="1" si="424"/>
        <v>1317.1327079726616</v>
      </c>
      <c r="BX111" s="169">
        <f t="shared" ca="1" si="424"/>
        <v>1139.8134915886403</v>
      </c>
      <c r="BY111" s="169">
        <f t="shared" ca="1" si="424"/>
        <v>950.85035251802037</v>
      </c>
      <c r="BZ111" s="169">
        <f t="shared" ca="1" si="424"/>
        <v>749.70943640318728</v>
      </c>
      <c r="CA111" s="169">
        <f t="shared" ca="1" si="424"/>
        <v>535.83548656955463</v>
      </c>
      <c r="CB111" s="169">
        <f t="shared" ca="1" si="424"/>
        <v>308.65104465651893</v>
      </c>
      <c r="CC111" s="169">
        <f t="shared" ca="1" si="424"/>
        <v>67.555622672130994</v>
      </c>
      <c r="CD111" s="169">
        <f t="shared" ca="1" si="424"/>
        <v>-188.07515451989821</v>
      </c>
      <c r="CE111" s="169">
        <f ca="1">+CE108+CE110</f>
        <v>-458.89043730610865</v>
      </c>
      <c r="CF111" s="169">
        <f ca="1">+CF108+CF110</f>
        <v>-745.56507108247752</v>
      </c>
      <c r="CG111" s="169">
        <f ca="1">+CG108+CG110</f>
        <v>-1044.7179620559109</v>
      </c>
    </row>
    <row r="112" spans="2:147" s="10" customFormat="1" ht="13.8" thickBot="1">
      <c r="C112" s="111"/>
      <c r="G112" s="111"/>
      <c r="H112" s="111"/>
      <c r="L112" s="111"/>
      <c r="M112" s="111"/>
      <c r="N112" s="111"/>
      <c r="O112" s="111"/>
      <c r="P112" s="111"/>
      <c r="R112" s="1569" t="s">
        <v>1250</v>
      </c>
      <c r="S112" s="299">
        <f ca="1">H13</f>
        <v>34.165732573856829</v>
      </c>
      <c r="T112" s="267"/>
      <c r="U112" s="267"/>
      <c r="V112" s="268"/>
      <c r="W112" s="268"/>
      <c r="X112" s="268"/>
      <c r="Y112" s="268"/>
      <c r="Z112" s="268"/>
      <c r="AA112" s="268"/>
      <c r="AB112" s="268">
        <f t="shared" ref="AB112:BI112" si="425">AB111/((1+AB$109)^((+AB$2-$R$4)/365))</f>
        <v>1327.6944947413037</v>
      </c>
      <c r="AC112" s="268">
        <f t="shared" si="425"/>
        <v>-2539.9508717810113</v>
      </c>
      <c r="AD112" s="268">
        <f t="shared" si="425"/>
        <v>1076.2336132641228</v>
      </c>
      <c r="AE112" s="268">
        <f t="shared" si="425"/>
        <v>2004.9288588851214</v>
      </c>
      <c r="AF112" s="268">
        <f t="shared" ref="AF112:AG112" si="426">AF111/((1+AF$109)^((+AF$2-$R$4)/365))</f>
        <v>1460.5043750716479</v>
      </c>
      <c r="AG112" s="268">
        <f t="shared" si="426"/>
        <v>670.45275685882586</v>
      </c>
      <c r="AH112" s="1658">
        <f t="shared" si="425"/>
        <v>-160.26796025917372</v>
      </c>
      <c r="AI112" s="268">
        <f t="shared" ref="AI112" ca="1" si="427">AI111/((1+AI$109)^((+AI$2-$R$4)/365))</f>
        <v>1149.3080134359022</v>
      </c>
      <c r="AJ112" s="268">
        <f t="shared" ref="AJ112:AK112" ca="1" si="428">AJ111/((1+AJ$109)^((+AJ$2-$R$4)/365))</f>
        <v>1289.9218278392157</v>
      </c>
      <c r="AK112" s="268">
        <f t="shared" ca="1" si="428"/>
        <v>1466.0465845635356</v>
      </c>
      <c r="AL112" s="268">
        <f t="shared" ca="1" si="425"/>
        <v>1737.0669879454858</v>
      </c>
      <c r="AM112" s="268">
        <f t="shared" ca="1" si="425"/>
        <v>1756.0150458631151</v>
      </c>
      <c r="AN112" s="268">
        <f t="shared" ca="1" si="425"/>
        <v>1619.4777084508596</v>
      </c>
      <c r="AO112" s="268">
        <f t="shared" ca="1" si="425"/>
        <v>792.42744741534523</v>
      </c>
      <c r="AP112" s="268">
        <f t="shared" ca="1" si="425"/>
        <v>738.60997489894498</v>
      </c>
      <c r="AQ112" s="268">
        <f t="shared" ca="1" si="425"/>
        <v>1339.124436791303</v>
      </c>
      <c r="AR112" s="268">
        <f t="shared" ca="1" si="425"/>
        <v>1250.9047089773769</v>
      </c>
      <c r="AS112" s="268">
        <f t="shared" ca="1" si="425"/>
        <v>1197.4124895907164</v>
      </c>
      <c r="AT112" s="268">
        <f t="shared" ca="1" si="425"/>
        <v>1130.2530930379492</v>
      </c>
      <c r="AU112" s="268">
        <f t="shared" ca="1" si="425"/>
        <v>1071.5238257725696</v>
      </c>
      <c r="AV112" s="268">
        <f t="shared" ca="1" si="425"/>
        <v>1016.8880896566137</v>
      </c>
      <c r="AW112" s="268">
        <f t="shared" ca="1" si="425"/>
        <v>965.26993208411841</v>
      </c>
      <c r="AX112" s="268">
        <f t="shared" ca="1" si="425"/>
        <v>888.7400020185205</v>
      </c>
      <c r="AY112" s="268">
        <f t="shared" ca="1" si="425"/>
        <v>816.62912791778672</v>
      </c>
      <c r="AZ112" s="268">
        <f t="shared" ca="1" si="425"/>
        <v>749.37228660817482</v>
      </c>
      <c r="BA112" s="268">
        <f t="shared" ca="1" si="425"/>
        <v>686.81307016094502</v>
      </c>
      <c r="BB112" s="268">
        <f t="shared" ca="1" si="425"/>
        <v>628.68034434599451</v>
      </c>
      <c r="BC112" s="268">
        <f t="shared" ca="1" si="425"/>
        <v>574.69243147601935</v>
      </c>
      <c r="BD112" s="268">
        <f t="shared" ca="1" si="425"/>
        <v>524.57916895889844</v>
      </c>
      <c r="BE112" s="268">
        <f t="shared" ca="1" si="425"/>
        <v>478.08592656996535</v>
      </c>
      <c r="BF112" s="268">
        <f t="shared" ca="1" si="425"/>
        <v>434.97370368153656</v>
      </c>
      <c r="BG112" s="268">
        <f t="shared" ca="1" si="425"/>
        <v>395.01841156987797</v>
      </c>
      <c r="BH112" s="268">
        <f t="shared" ca="1" si="425"/>
        <v>358.01002055374119</v>
      </c>
      <c r="BI112" s="268">
        <f t="shared" ca="1" si="425"/>
        <v>323.75171861786902</v>
      </c>
      <c r="BJ112" s="268">
        <f t="shared" ref="BJ112:CG112" ca="1" si="429">BJ111/((1+BJ$109)^((+BJ$2-$R$4)/365))</f>
        <v>292.05911127681526</v>
      </c>
      <c r="BK112" s="268">
        <f t="shared" ca="1" si="429"/>
        <v>262.7594669425464</v>
      </c>
      <c r="BL112" s="268">
        <f t="shared" ca="1" si="429"/>
        <v>235.69100660726912</v>
      </c>
      <c r="BM112" s="268">
        <f t="shared" ca="1" si="429"/>
        <v>210.70223558244641</v>
      </c>
      <c r="BN112" s="268">
        <f t="shared" ca="1" si="429"/>
        <v>187.65131491589148</v>
      </c>
      <c r="BO112" s="268">
        <f t="shared" ca="1" si="429"/>
        <v>166.40547019098048</v>
      </c>
      <c r="BP112" s="268">
        <f t="shared" ca="1" si="429"/>
        <v>146.84043553196608</v>
      </c>
      <c r="BQ112" s="268">
        <f t="shared" ca="1" si="429"/>
        <v>128.83993076172078</v>
      </c>
      <c r="BR112" s="268">
        <f t="shared" ca="1" si="429"/>
        <v>112.29516977568795</v>
      </c>
      <c r="BS112" s="268">
        <f t="shared" ca="1" si="429"/>
        <v>97.104398307021796</v>
      </c>
      <c r="BT112" s="268">
        <f t="shared" ca="1" si="429"/>
        <v>83.172459362866121</v>
      </c>
      <c r="BU112" s="268">
        <f t="shared" ca="1" si="429"/>
        <v>70.410384710771041</v>
      </c>
      <c r="BV112" s="268">
        <f t="shared" ca="1" si="429"/>
        <v>58.735010887668345</v>
      </c>
      <c r="BW112" s="268">
        <f t="shared" ca="1" si="429"/>
        <v>48.068618291903498</v>
      </c>
      <c r="BX112" s="268">
        <f t="shared" ca="1" si="429"/>
        <v>38.338592001922549</v>
      </c>
      <c r="BY112" s="268">
        <f t="shared" ca="1" si="429"/>
        <v>29.477103043563638</v>
      </c>
      <c r="BZ112" s="268">
        <f t="shared" ca="1" si="429"/>
        <v>21.420808901774592</v>
      </c>
      <c r="CA112" s="268">
        <f t="shared" ca="1" si="429"/>
        <v>14.110572142268675</v>
      </c>
      <c r="CB112" s="268">
        <f t="shared" ca="1" si="429"/>
        <v>7.4911960743133852</v>
      </c>
      <c r="CC112" s="268">
        <f t="shared" ca="1" si="429"/>
        <v>1.5111764477916203</v>
      </c>
      <c r="CD112" s="268">
        <f t="shared" ca="1" si="429"/>
        <v>-3.8775317639137015</v>
      </c>
      <c r="CE112" s="268">
        <f t="shared" ca="1" si="429"/>
        <v>-8.7197333886029327</v>
      </c>
      <c r="CF112" s="268">
        <f t="shared" ca="1" si="429"/>
        <v>-13.057198728994415</v>
      </c>
      <c r="CG112" s="268">
        <f t="shared" ca="1" si="429"/>
        <v>-16.862958995860019</v>
      </c>
    </row>
    <row r="113" spans="2:147" s="112" customFormat="1">
      <c r="B113" s="10"/>
      <c r="C113" s="111"/>
      <c r="F113" s="10"/>
      <c r="G113" s="111"/>
      <c r="H113" s="111"/>
      <c r="I113" s="10"/>
      <c r="J113" s="10"/>
      <c r="K113" s="10"/>
      <c r="L113" s="111"/>
      <c r="M113" s="111"/>
      <c r="N113" s="111"/>
      <c r="O113" s="111"/>
      <c r="P113" s="111"/>
      <c r="Q113" s="10"/>
      <c r="R113" s="9"/>
      <c r="S113" s="292"/>
      <c r="T113" s="131"/>
      <c r="U113" s="131"/>
      <c r="V113" s="131"/>
      <c r="W113" s="131"/>
      <c r="X113" s="131"/>
      <c r="Y113" s="131"/>
      <c r="Z113" s="131"/>
      <c r="AA113" s="131"/>
      <c r="AB113" s="131"/>
      <c r="AC113" s="131"/>
      <c r="AD113" s="131"/>
      <c r="AE113" s="131"/>
      <c r="AF113" s="131"/>
      <c r="AG113" s="131"/>
      <c r="AH113" s="1630"/>
      <c r="AI113" s="131"/>
      <c r="AJ113" s="131"/>
      <c r="AK113" s="131"/>
      <c r="AL113" s="131"/>
      <c r="AM113" s="131"/>
      <c r="AN113" s="131"/>
      <c r="AO113" s="131"/>
      <c r="AP113" s="131"/>
      <c r="AQ113" s="131"/>
      <c r="AR113" s="131"/>
      <c r="AS113" s="137"/>
      <c r="AT113" s="137"/>
      <c r="AU113" s="137"/>
      <c r="AV113" s="137"/>
      <c r="AW113" s="137"/>
      <c r="AX113" s="137"/>
      <c r="AY113" s="137"/>
      <c r="AZ113" s="137"/>
      <c r="BA113" s="137"/>
      <c r="BB113" s="137"/>
      <c r="BC113" s="137"/>
      <c r="BD113" s="137"/>
      <c r="BE113" s="137"/>
      <c r="BF113" s="137"/>
      <c r="BG113" s="137"/>
      <c r="BH113" s="137"/>
      <c r="BI113" s="137"/>
      <c r="BJ113" s="137"/>
      <c r="BK113" s="137"/>
      <c r="BL113" s="137"/>
      <c r="BM113" s="137"/>
      <c r="BN113" s="137"/>
      <c r="BO113" s="137"/>
      <c r="BP113" s="137"/>
      <c r="BQ113" s="137"/>
      <c r="BR113" s="137"/>
      <c r="BS113" s="137"/>
      <c r="BT113" s="137"/>
      <c r="BU113" s="137"/>
      <c r="BV113" s="137"/>
      <c r="BW113" s="137"/>
      <c r="BX113" s="137"/>
      <c r="BY113" s="137"/>
      <c r="BZ113" s="137"/>
      <c r="CA113" s="137"/>
      <c r="CB113" s="137"/>
      <c r="CC113" s="137"/>
      <c r="CD113" s="137"/>
      <c r="CE113" s="137"/>
      <c r="CF113" s="10"/>
      <c r="CG113" s="10"/>
      <c r="CH113" s="10"/>
      <c r="CI113" s="10"/>
      <c r="CJ113" s="10"/>
      <c r="CK113" s="10"/>
      <c r="CL113" s="10"/>
      <c r="CM113" s="10"/>
      <c r="CN113" s="10"/>
      <c r="CO113" s="10"/>
      <c r="CP113" s="10"/>
      <c r="CQ113" s="10"/>
      <c r="CR113" s="10"/>
      <c r="CS113" s="10"/>
      <c r="CT113" s="10"/>
      <c r="CU113" s="10"/>
      <c r="CV113" s="10"/>
      <c r="CW113" s="10"/>
      <c r="CX113" s="10"/>
      <c r="CY113" s="10"/>
      <c r="CZ113" s="10"/>
      <c r="DA113" s="10"/>
      <c r="DB113" s="10"/>
      <c r="DC113" s="10"/>
      <c r="DD113" s="10"/>
      <c r="DE113" s="10"/>
      <c r="DF113" s="10"/>
      <c r="DG113" s="10"/>
      <c r="DH113" s="10"/>
      <c r="DI113" s="10"/>
      <c r="DJ113" s="10"/>
      <c r="DK113" s="10"/>
      <c r="DL113" s="10"/>
      <c r="DM113" s="10"/>
      <c r="DN113" s="10"/>
      <c r="DO113" s="10"/>
      <c r="DP113" s="10"/>
      <c r="DQ113" s="10"/>
      <c r="DR113" s="10"/>
      <c r="DS113" s="10"/>
      <c r="DT113" s="10"/>
      <c r="DU113" s="10"/>
      <c r="DV113" s="10"/>
      <c r="DW113" s="10"/>
      <c r="DX113" s="10"/>
      <c r="DY113" s="10"/>
      <c r="DZ113" s="10"/>
      <c r="EA113" s="10"/>
      <c r="EB113" s="10"/>
      <c r="EC113" s="10"/>
      <c r="ED113" s="10"/>
      <c r="EE113" s="10"/>
      <c r="EF113" s="10"/>
      <c r="EG113" s="10"/>
      <c r="EH113" s="10"/>
      <c r="EI113" s="10"/>
      <c r="EJ113" s="10"/>
      <c r="EK113" s="10"/>
      <c r="EL113" s="10"/>
      <c r="EM113" s="10"/>
      <c r="EN113" s="10"/>
      <c r="EO113" s="10"/>
      <c r="EP113" s="10"/>
      <c r="EQ113" s="10"/>
    </row>
    <row r="114" spans="2:147" s="10" customFormat="1">
      <c r="C114" s="111"/>
      <c r="D114" s="26"/>
      <c r="F114" s="245"/>
      <c r="G114" s="274"/>
      <c r="H114" s="274"/>
      <c r="I114" s="245"/>
      <c r="J114" s="245"/>
      <c r="K114" s="245"/>
      <c r="L114" s="274"/>
      <c r="M114" s="274"/>
      <c r="N114" s="274"/>
      <c r="O114" s="274"/>
      <c r="P114" s="274"/>
      <c r="Q114" s="245"/>
      <c r="R114" s="182" t="s">
        <v>233</v>
      </c>
      <c r="S114" s="292"/>
      <c r="T114" s="131"/>
      <c r="U114" s="131"/>
      <c r="V114" s="204"/>
      <c r="W114" s="204"/>
      <c r="X114" s="204"/>
      <c r="Y114" s="204"/>
      <c r="Z114" s="204"/>
      <c r="AA114" s="204"/>
      <c r="AB114" s="204">
        <f t="shared" ref="AB114:AD114" si="430">AB66</f>
        <v>1.0151083764280377E-2</v>
      </c>
      <c r="AC114" s="204">
        <f t="shared" si="430"/>
        <v>7.9509924727311082E-3</v>
      </c>
      <c r="AD114" s="204">
        <f t="shared" si="430"/>
        <v>8.1030816996397245E-3</v>
      </c>
      <c r="AE114" s="204">
        <f>AE60</f>
        <v>7119</v>
      </c>
      <c r="AF114" s="204">
        <f t="shared" ref="AF114:CG114" si="431">AF60</f>
        <v>7106</v>
      </c>
      <c r="AG114" s="204">
        <f t="shared" si="431"/>
        <v>6535</v>
      </c>
      <c r="AH114" s="1642">
        <f t="shared" si="431"/>
        <v>5891</v>
      </c>
      <c r="AI114" s="204">
        <f t="shared" ref="AI114" ca="1" si="432">AI60</f>
        <v>7527.8445500800126</v>
      </c>
      <c r="AJ114" s="204">
        <f t="shared" ref="AJ114:AK114" ca="1" si="433">AJ60</f>
        <v>7974.5874835599489</v>
      </c>
      <c r="AK114" s="204">
        <f t="shared" ca="1" si="433"/>
        <v>8479.0708518710398</v>
      </c>
      <c r="AL114" s="204">
        <f t="shared" ca="1" si="431"/>
        <v>9066.9731602635802</v>
      </c>
      <c r="AM114" s="204">
        <f t="shared" ca="1" si="431"/>
        <v>9526.8817608666322</v>
      </c>
      <c r="AN114" s="204">
        <f t="shared" ca="1" si="431"/>
        <v>9742.2138955490973</v>
      </c>
      <c r="AO114" s="204">
        <f t="shared" ca="1" si="431"/>
        <v>8721.9849264508921</v>
      </c>
      <c r="AP114" s="204">
        <f t="shared" ca="1" si="431"/>
        <v>8949.5938281500385</v>
      </c>
      <c r="AQ114" s="204">
        <f t="shared" ca="1" si="431"/>
        <v>10540.373257231731</v>
      </c>
      <c r="AR114" s="204">
        <f t="shared" ca="1" si="431"/>
        <v>10818.607557153869</v>
      </c>
      <c r="AS114" s="204">
        <f t="shared" ca="1" si="431"/>
        <v>11152.076967994932</v>
      </c>
      <c r="AT114" s="204">
        <f t="shared" ca="1" si="431"/>
        <v>11466.500840926814</v>
      </c>
      <c r="AU114" s="204">
        <f t="shared" ca="1" si="431"/>
        <v>11805.641824888111</v>
      </c>
      <c r="AV114" s="204">
        <f t="shared" ca="1" si="431"/>
        <v>12158.641092229045</v>
      </c>
      <c r="AW114" s="204">
        <f t="shared" ca="1" si="431"/>
        <v>12523.118318631663</v>
      </c>
      <c r="AX114" s="204">
        <f t="shared" ca="1" si="431"/>
        <v>12797.401880511226</v>
      </c>
      <c r="AY114" s="204">
        <f t="shared" ca="1" si="431"/>
        <v>13072.832443638399</v>
      </c>
      <c r="AZ114" s="204">
        <f t="shared" ca="1" si="431"/>
        <v>13352.375299778609</v>
      </c>
      <c r="BA114" s="204">
        <f t="shared" ca="1" si="431"/>
        <v>13636.783998708317</v>
      </c>
      <c r="BB114" s="204">
        <f t="shared" ca="1" si="431"/>
        <v>13926.281456682107</v>
      </c>
      <c r="BC114" s="204">
        <f t="shared" ca="1" si="431"/>
        <v>14220.962778361458</v>
      </c>
      <c r="BD114" s="204">
        <f t="shared" ca="1" si="431"/>
        <v>14520.891575942102</v>
      </c>
      <c r="BE114" s="204">
        <f t="shared" ca="1" si="431"/>
        <v>14826.122895583034</v>
      </c>
      <c r="BF114" s="204">
        <f t="shared" ca="1" si="431"/>
        <v>15136.708590842491</v>
      </c>
      <c r="BG114" s="204">
        <f t="shared" ca="1" si="431"/>
        <v>15452.698500175924</v>
      </c>
      <c r="BH114" s="204">
        <f t="shared" ca="1" si="431"/>
        <v>15774.140618904252</v>
      </c>
      <c r="BI114" s="204">
        <f t="shared" ca="1" si="431"/>
        <v>16101.081026463697</v>
      </c>
      <c r="BJ114" s="204">
        <f t="shared" ca="1" si="431"/>
        <v>16433.563749941415</v>
      </c>
      <c r="BK114" s="204">
        <f t="shared" ca="1" si="431"/>
        <v>16771.630606722869</v>
      </c>
      <c r="BL114" s="204">
        <f t="shared" ca="1" si="431"/>
        <v>17115.321036186575</v>
      </c>
      <c r="BM114" s="204">
        <f t="shared" ca="1" si="431"/>
        <v>17464.67192255695</v>
      </c>
      <c r="BN114" s="204">
        <f t="shared" ca="1" si="431"/>
        <v>17819.717409160174</v>
      </c>
      <c r="BO114" s="204">
        <f t="shared" ca="1" si="431"/>
        <v>18180.488703876021</v>
      </c>
      <c r="BP114" s="204">
        <f t="shared" ca="1" si="431"/>
        <v>18547.013875461842</v>
      </c>
      <c r="BQ114" s="204">
        <f t="shared" ca="1" si="431"/>
        <v>18919.317640386795</v>
      </c>
      <c r="BR114" s="204">
        <f t="shared" ca="1" si="431"/>
        <v>19297.421139794871</v>
      </c>
      <c r="BS114" s="204">
        <f t="shared" ca="1" si="431"/>
        <v>19681.341706199499</v>
      </c>
      <c r="BT114" s="204">
        <f t="shared" ca="1" si="431"/>
        <v>20071.092619497133</v>
      </c>
      <c r="BU114" s="204">
        <f t="shared" ca="1" si="431"/>
        <v>20466.682851871876</v>
      </c>
      <c r="BV114" s="204">
        <f t="shared" ca="1" si="431"/>
        <v>20868.116801147251</v>
      </c>
      <c r="BW114" s="204">
        <f t="shared" ca="1" si="431"/>
        <v>21275.39401212443</v>
      </c>
      <c r="BX114" s="204">
        <f t="shared" ca="1" si="431"/>
        <v>21688.508885429277</v>
      </c>
      <c r="BY114" s="204">
        <f t="shared" ca="1" si="431"/>
        <v>22107.450373372812</v>
      </c>
      <c r="BZ114" s="204">
        <f t="shared" ca="1" si="431"/>
        <v>22532.201662311087</v>
      </c>
      <c r="CA114" s="204">
        <f t="shared" ca="1" si="431"/>
        <v>22962.739840971732</v>
      </c>
      <c r="CB114" s="204">
        <f t="shared" ca="1" si="431"/>
        <v>23399.035554194477</v>
      </c>
      <c r="CC114" s="204">
        <f t="shared" ca="1" si="431"/>
        <v>23841.052641512561</v>
      </c>
      <c r="CD114" s="204">
        <f t="shared" ca="1" si="431"/>
        <v>24288.747759980903</v>
      </c>
      <c r="CE114" s="204">
        <f t="shared" ca="1" si="431"/>
        <v>24742.069990634915</v>
      </c>
      <c r="CF114" s="204">
        <f t="shared" ca="1" si="431"/>
        <v>25200.960427941038</v>
      </c>
      <c r="CG114" s="204">
        <f t="shared" ca="1" si="431"/>
        <v>25665.351751577022</v>
      </c>
    </row>
    <row r="115" spans="2:147" s="10" customFormat="1">
      <c r="C115" s="111"/>
      <c r="G115" s="111"/>
      <c r="H115" s="111"/>
      <c r="L115" s="111"/>
      <c r="M115" s="111"/>
      <c r="N115" s="111"/>
      <c r="O115" s="111"/>
      <c r="P115" s="111"/>
      <c r="R115" s="112" t="s">
        <v>515</v>
      </c>
      <c r="S115" s="298"/>
      <c r="T115" s="263"/>
      <c r="U115" s="263"/>
      <c r="V115" s="264"/>
      <c r="W115" s="264"/>
      <c r="X115" s="264"/>
      <c r="Y115" s="264"/>
      <c r="Z115" s="264"/>
      <c r="AA115" s="264"/>
      <c r="AB115" s="264">
        <f t="shared" ref="AB115:CG115" si="434">$C$15/100</f>
        <v>8.5000000000000006E-2</v>
      </c>
      <c r="AC115" s="264">
        <f t="shared" si="434"/>
        <v>8.5000000000000006E-2</v>
      </c>
      <c r="AD115" s="264">
        <f t="shared" si="434"/>
        <v>8.5000000000000006E-2</v>
      </c>
      <c r="AE115" s="264">
        <f t="shared" si="434"/>
        <v>8.5000000000000006E-2</v>
      </c>
      <c r="AF115" s="264">
        <f t="shared" si="434"/>
        <v>8.5000000000000006E-2</v>
      </c>
      <c r="AG115" s="264">
        <f t="shared" si="434"/>
        <v>8.5000000000000006E-2</v>
      </c>
      <c r="AH115" s="1655">
        <f t="shared" si="434"/>
        <v>8.5000000000000006E-2</v>
      </c>
      <c r="AI115" s="264">
        <f t="shared" si="434"/>
        <v>8.5000000000000006E-2</v>
      </c>
      <c r="AJ115" s="264">
        <f t="shared" si="434"/>
        <v>8.5000000000000006E-2</v>
      </c>
      <c r="AK115" s="264">
        <f t="shared" si="434"/>
        <v>8.5000000000000006E-2</v>
      </c>
      <c r="AL115" s="264">
        <f t="shared" si="434"/>
        <v>8.5000000000000006E-2</v>
      </c>
      <c r="AM115" s="264">
        <f t="shared" si="434"/>
        <v>8.5000000000000006E-2</v>
      </c>
      <c r="AN115" s="264">
        <f t="shared" si="434"/>
        <v>8.5000000000000006E-2</v>
      </c>
      <c r="AO115" s="264">
        <f t="shared" si="434"/>
        <v>8.5000000000000006E-2</v>
      </c>
      <c r="AP115" s="264">
        <f t="shared" si="434"/>
        <v>8.5000000000000006E-2</v>
      </c>
      <c r="AQ115" s="264">
        <f t="shared" si="434"/>
        <v>8.5000000000000006E-2</v>
      </c>
      <c r="AR115" s="264">
        <f t="shared" si="434"/>
        <v>8.5000000000000006E-2</v>
      </c>
      <c r="AS115" s="264">
        <f t="shared" si="434"/>
        <v>8.5000000000000006E-2</v>
      </c>
      <c r="AT115" s="264">
        <f t="shared" si="434"/>
        <v>8.5000000000000006E-2</v>
      </c>
      <c r="AU115" s="264">
        <f t="shared" si="434"/>
        <v>8.5000000000000006E-2</v>
      </c>
      <c r="AV115" s="264">
        <f t="shared" si="434"/>
        <v>8.5000000000000006E-2</v>
      </c>
      <c r="AW115" s="264">
        <f t="shared" si="434"/>
        <v>8.5000000000000006E-2</v>
      </c>
      <c r="AX115" s="264">
        <f t="shared" si="434"/>
        <v>8.5000000000000006E-2</v>
      </c>
      <c r="AY115" s="264">
        <f t="shared" si="434"/>
        <v>8.5000000000000006E-2</v>
      </c>
      <c r="AZ115" s="264">
        <f t="shared" si="434"/>
        <v>8.5000000000000006E-2</v>
      </c>
      <c r="BA115" s="264">
        <f t="shared" si="434"/>
        <v>8.5000000000000006E-2</v>
      </c>
      <c r="BB115" s="264">
        <f t="shared" si="434"/>
        <v>8.5000000000000006E-2</v>
      </c>
      <c r="BC115" s="264">
        <f t="shared" si="434"/>
        <v>8.5000000000000006E-2</v>
      </c>
      <c r="BD115" s="264">
        <f t="shared" si="434"/>
        <v>8.5000000000000006E-2</v>
      </c>
      <c r="BE115" s="264">
        <f t="shared" si="434"/>
        <v>8.5000000000000006E-2</v>
      </c>
      <c r="BF115" s="264">
        <f t="shared" si="434"/>
        <v>8.5000000000000006E-2</v>
      </c>
      <c r="BG115" s="264">
        <f t="shared" si="434"/>
        <v>8.5000000000000006E-2</v>
      </c>
      <c r="BH115" s="264">
        <f t="shared" si="434"/>
        <v>8.5000000000000006E-2</v>
      </c>
      <c r="BI115" s="264">
        <f t="shared" si="434"/>
        <v>8.5000000000000006E-2</v>
      </c>
      <c r="BJ115" s="264">
        <f t="shared" si="434"/>
        <v>8.5000000000000006E-2</v>
      </c>
      <c r="BK115" s="264">
        <f t="shared" si="434"/>
        <v>8.5000000000000006E-2</v>
      </c>
      <c r="BL115" s="264">
        <f t="shared" si="434"/>
        <v>8.5000000000000006E-2</v>
      </c>
      <c r="BM115" s="264">
        <f t="shared" si="434"/>
        <v>8.5000000000000006E-2</v>
      </c>
      <c r="BN115" s="264">
        <f t="shared" si="434"/>
        <v>8.5000000000000006E-2</v>
      </c>
      <c r="BO115" s="264">
        <f t="shared" si="434"/>
        <v>8.5000000000000006E-2</v>
      </c>
      <c r="BP115" s="264">
        <f t="shared" si="434"/>
        <v>8.5000000000000006E-2</v>
      </c>
      <c r="BQ115" s="264">
        <f t="shared" si="434"/>
        <v>8.5000000000000006E-2</v>
      </c>
      <c r="BR115" s="264">
        <f t="shared" si="434"/>
        <v>8.5000000000000006E-2</v>
      </c>
      <c r="BS115" s="264">
        <f t="shared" si="434"/>
        <v>8.5000000000000006E-2</v>
      </c>
      <c r="BT115" s="264">
        <f t="shared" si="434"/>
        <v>8.5000000000000006E-2</v>
      </c>
      <c r="BU115" s="264">
        <f t="shared" si="434"/>
        <v>8.5000000000000006E-2</v>
      </c>
      <c r="BV115" s="264">
        <f t="shared" si="434"/>
        <v>8.5000000000000006E-2</v>
      </c>
      <c r="BW115" s="264">
        <f t="shared" si="434"/>
        <v>8.5000000000000006E-2</v>
      </c>
      <c r="BX115" s="264">
        <f t="shared" si="434"/>
        <v>8.5000000000000006E-2</v>
      </c>
      <c r="BY115" s="264">
        <f t="shared" si="434"/>
        <v>8.5000000000000006E-2</v>
      </c>
      <c r="BZ115" s="264">
        <f t="shared" si="434"/>
        <v>8.5000000000000006E-2</v>
      </c>
      <c r="CA115" s="264">
        <f t="shared" si="434"/>
        <v>8.5000000000000006E-2</v>
      </c>
      <c r="CB115" s="264">
        <f t="shared" si="434"/>
        <v>8.5000000000000006E-2</v>
      </c>
      <c r="CC115" s="264">
        <f t="shared" si="434"/>
        <v>8.5000000000000006E-2</v>
      </c>
      <c r="CD115" s="264">
        <f t="shared" si="434"/>
        <v>8.5000000000000006E-2</v>
      </c>
      <c r="CE115" s="264">
        <f t="shared" si="434"/>
        <v>8.5000000000000006E-2</v>
      </c>
      <c r="CF115" s="264">
        <f t="shared" si="434"/>
        <v>8.5000000000000006E-2</v>
      </c>
      <c r="CG115" s="264">
        <f t="shared" si="434"/>
        <v>8.5000000000000006E-2</v>
      </c>
    </row>
    <row r="116" spans="2:147" s="245" customFormat="1">
      <c r="B116" s="112"/>
      <c r="C116" s="276"/>
      <c r="F116" s="10"/>
      <c r="G116" s="111"/>
      <c r="H116" s="111"/>
      <c r="I116" s="10"/>
      <c r="J116" s="10"/>
      <c r="K116" s="10"/>
      <c r="L116" s="111"/>
      <c r="M116" s="111"/>
      <c r="N116" s="111"/>
      <c r="O116" s="111"/>
      <c r="P116" s="111"/>
      <c r="Q116" s="10"/>
      <c r="R116" s="182" t="s">
        <v>174</v>
      </c>
      <c r="S116" s="292"/>
      <c r="T116" s="265"/>
      <c r="U116" s="265"/>
      <c r="V116" s="265"/>
      <c r="W116" s="265"/>
      <c r="X116" s="265"/>
      <c r="Y116" s="265"/>
      <c r="Z116" s="265"/>
      <c r="AA116" s="265"/>
      <c r="AB116" s="265">
        <f t="shared" ref="AB116:AD116" si="435">-AB115*AB96</f>
        <v>0</v>
      </c>
      <c r="AC116" s="265">
        <f t="shared" si="435"/>
        <v>-1.7744695414099931E-3</v>
      </c>
      <c r="AD116" s="265">
        <f t="shared" si="435"/>
        <v>0</v>
      </c>
      <c r="AE116" s="265">
        <f>-AE115*AE93</f>
        <v>-5272.55</v>
      </c>
      <c r="AF116" s="265">
        <f t="shared" ref="AF116:CG116" si="436">-AF115*AF93</f>
        <v>-5562.1450000000004</v>
      </c>
      <c r="AG116" s="265">
        <f t="shared" si="436"/>
        <v>-5469.4100000000008</v>
      </c>
      <c r="AH116" s="1656">
        <f t="shared" si="436"/>
        <v>-5555.8550000000005</v>
      </c>
      <c r="AI116" s="265">
        <f t="shared" ref="AI116" ca="1" si="437">-AI115*AI93</f>
        <v>-5838.9321018868231</v>
      </c>
      <c r="AJ116" s="265">
        <f t="shared" ref="AJ116:AK116" ca="1" si="438">-AJ115*AJ93</f>
        <v>-6027.2431007064697</v>
      </c>
      <c r="AK116" s="265">
        <f t="shared" ca="1" si="438"/>
        <v>-6192.1293800636968</v>
      </c>
      <c r="AL116" s="265">
        <f t="shared" ca="1" si="436"/>
        <v>-6263.245586478718</v>
      </c>
      <c r="AM116" s="265">
        <f t="shared" ca="1" si="436"/>
        <v>-6497.8767578030502</v>
      </c>
      <c r="AN116" s="265">
        <f t="shared" ca="1" si="436"/>
        <v>-6711.583930732616</v>
      </c>
      <c r="AO116" s="265">
        <f t="shared" ca="1" si="436"/>
        <v>-6889.1036795084174</v>
      </c>
      <c r="AP116" s="265">
        <f t="shared" ca="1" si="436"/>
        <v>-7101.3778266116224</v>
      </c>
      <c r="AQ116" s="265">
        <f t="shared" ca="1" si="436"/>
        <v>-7366.315999157342</v>
      </c>
      <c r="AR116" s="265">
        <f t="shared" ca="1" si="436"/>
        <v>-7608.0860804544254</v>
      </c>
      <c r="AS116" s="265">
        <f t="shared" ca="1" si="436"/>
        <v>-7836.0478749973045</v>
      </c>
      <c r="AT116" s="265">
        <f t="shared" ca="1" si="436"/>
        <v>-8081.9299277369955</v>
      </c>
      <c r="AU116" s="265">
        <f t="shared" ca="1" si="436"/>
        <v>-8337.8594336775132</v>
      </c>
      <c r="AV116" s="265">
        <f t="shared" ca="1" si="436"/>
        <v>-8602.1106237223339</v>
      </c>
      <c r="AW116" s="265">
        <f t="shared" ca="1" si="436"/>
        <v>-8874.4445266897001</v>
      </c>
      <c r="AX116" s="265">
        <f t="shared" ca="1" si="436"/>
        <v>-9151.9709247462033</v>
      </c>
      <c r="AY116" s="265">
        <f t="shared" ca="1" si="436"/>
        <v>-9437.0169355525632</v>
      </c>
      <c r="AZ116" s="265">
        <f t="shared" ca="1" si="436"/>
        <v>-9730.3296097842904</v>
      </c>
      <c r="BA116" s="265">
        <f t="shared" ca="1" si="436"/>
        <v>-10032.27998768709</v>
      </c>
      <c r="BB116" s="265">
        <f t="shared" ca="1" si="436"/>
        <v>-10343.154097433562</v>
      </c>
      <c r="BC116" s="265">
        <f t="shared" ca="1" si="436"/>
        <v>-10663.22331803775</v>
      </c>
      <c r="BD116" s="265">
        <f t="shared" ca="1" si="436"/>
        <v>-10992.761502101588</v>
      </c>
      <c r="BE116" s="265">
        <f t="shared" ca="1" si="436"/>
        <v>-11332.0492726351</v>
      </c>
      <c r="BF116" s="265">
        <f t="shared" ca="1" si="436"/>
        <v>-11681.375238196042</v>
      </c>
      <c r="BG116" s="265">
        <f t="shared" ca="1" si="436"/>
        <v>-12041.036472741778</v>
      </c>
      <c r="BH116" s="265">
        <f t="shared" ca="1" si="436"/>
        <v>-12411.338824562892</v>
      </c>
      <c r="BI116" s="265">
        <f t="shared" ca="1" si="436"/>
        <v>-12792.597189988208</v>
      </c>
      <c r="BJ116" s="265">
        <f t="shared" ca="1" si="436"/>
        <v>-13185.135784571015</v>
      </c>
      <c r="BK116" s="265">
        <f t="shared" ca="1" si="436"/>
        <v>-13589.288419765337</v>
      </c>
      <c r="BL116" s="265">
        <f t="shared" ca="1" si="436"/>
        <v>-14005.398787187914</v>
      </c>
      <c r="BM116" s="265">
        <f t="shared" ca="1" si="436"/>
        <v>-14433.820751152332</v>
      </c>
      <c r="BN116" s="265">
        <f t="shared" ca="1" si="436"/>
        <v>-14874.918649830353</v>
      </c>
      <c r="BO116" s="265">
        <f t="shared" ca="1" si="436"/>
        <v>-15329.067605322211</v>
      </c>
      <c r="BP116" s="265">
        <f t="shared" ca="1" si="436"/>
        <v>-15796.653842905875</v>
      </c>
      <c r="BQ116" s="265">
        <f t="shared" ca="1" si="436"/>
        <v>-16278.075019738648</v>
      </c>
      <c r="BR116" s="265">
        <f t="shared" ca="1" si="436"/>
        <v>-16773.740563291401</v>
      </c>
      <c r="BS116" s="265">
        <f t="shared" ca="1" si="436"/>
        <v>-17284.072019803669</v>
      </c>
      <c r="BT116" s="265">
        <f t="shared" ca="1" si="436"/>
        <v>-17809.503413056438</v>
      </c>
      <c r="BU116" s="265">
        <f t="shared" ca="1" si="436"/>
        <v>-18350.481613768246</v>
      </c>
      <c r="BV116" s="265">
        <f t="shared" ca="1" si="436"/>
        <v>-18907.466719929103</v>
      </c>
      <c r="BW116" s="265">
        <f t="shared" ca="1" si="436"/>
        <v>-19480.932448396212</v>
      </c>
      <c r="BX116" s="265">
        <f t="shared" ca="1" si="436"/>
        <v>-20071.36653808508</v>
      </c>
      <c r="BY116" s="265">
        <f t="shared" ca="1" si="436"/>
        <v>-20679.271165099235</v>
      </c>
      <c r="BZ116" s="265">
        <f t="shared" ca="1" si="436"/>
        <v>-21305.163370152342</v>
      </c>
      <c r="CA116" s="265">
        <f t="shared" ca="1" si="436"/>
        <v>-21949.57549864662</v>
      </c>
      <c r="CB116" s="265">
        <f t="shared" ca="1" si="436"/>
        <v>-22613.055653782401</v>
      </c>
      <c r="CC116" s="265">
        <f t="shared" ca="1" si="436"/>
        <v>-23296.168163084876</v>
      </c>
      <c r="CD116" s="265">
        <f t="shared" ca="1" si="436"/>
        <v>-23999.494058745244</v>
      </c>
      <c r="CE116" s="265">
        <f t="shared" ca="1" si="436"/>
        <v>-24723.631572185466</v>
      </c>
      <c r="CF116" s="265">
        <f t="shared" ca="1" si="436"/>
        <v>-25469.196643267958</v>
      </c>
      <c r="CG116" s="265">
        <f t="shared" ca="1" si="436"/>
        <v>-26232.740857877376</v>
      </c>
      <c r="CH116" s="10"/>
      <c r="CI116" s="10"/>
      <c r="CJ116" s="10"/>
      <c r="CK116" s="10"/>
      <c r="CL116" s="10"/>
      <c r="CM116" s="10"/>
      <c r="CN116" s="10"/>
      <c r="CO116" s="10"/>
      <c r="CP116" s="10"/>
      <c r="CQ116" s="10"/>
      <c r="CR116" s="10"/>
      <c r="CS116" s="10"/>
      <c r="CT116" s="10"/>
      <c r="CU116" s="10"/>
      <c r="CV116" s="10"/>
      <c r="CW116" s="10"/>
      <c r="CX116" s="10"/>
      <c r="CY116" s="10"/>
      <c r="CZ116" s="10"/>
      <c r="DA116" s="10"/>
      <c r="DB116" s="10"/>
      <c r="DC116" s="10"/>
      <c r="DD116" s="10"/>
      <c r="DE116" s="10"/>
      <c r="DF116" s="10"/>
      <c r="DG116" s="10"/>
      <c r="DH116" s="10"/>
      <c r="DI116" s="10"/>
      <c r="DJ116" s="10"/>
      <c r="DK116" s="10"/>
      <c r="DL116" s="10"/>
      <c r="DM116" s="10"/>
      <c r="DN116" s="10"/>
      <c r="DO116" s="10"/>
      <c r="DP116" s="10"/>
      <c r="DQ116" s="10"/>
      <c r="DR116" s="10"/>
      <c r="DS116" s="10"/>
      <c r="DT116" s="10"/>
      <c r="DU116" s="10"/>
      <c r="DV116" s="10"/>
      <c r="DW116" s="10"/>
      <c r="DX116" s="10"/>
      <c r="DY116" s="10"/>
      <c r="DZ116" s="10"/>
      <c r="EA116" s="10"/>
      <c r="EB116" s="10"/>
      <c r="EC116" s="10"/>
      <c r="ED116" s="10"/>
      <c r="EE116" s="10"/>
      <c r="EF116" s="10"/>
      <c r="EG116" s="10"/>
      <c r="EH116" s="10"/>
      <c r="EI116" s="10"/>
      <c r="EJ116" s="10"/>
      <c r="EK116" s="10"/>
      <c r="EL116" s="10"/>
      <c r="EM116" s="10"/>
      <c r="EN116" s="10"/>
      <c r="EO116" s="10"/>
      <c r="EP116" s="10"/>
      <c r="EQ116" s="10"/>
    </row>
    <row r="117" spans="2:147" s="10" customFormat="1" ht="13.8" thickBot="1">
      <c r="C117" s="111"/>
      <c r="F117" s="112"/>
      <c r="G117" s="276"/>
      <c r="H117" s="276"/>
      <c r="I117" s="112"/>
      <c r="J117" s="112"/>
      <c r="K117" s="112"/>
      <c r="L117" s="276"/>
      <c r="M117" s="276"/>
      <c r="N117" s="276"/>
      <c r="O117" s="276"/>
      <c r="P117" s="276"/>
      <c r="Q117" s="112"/>
      <c r="R117" s="9" t="s">
        <v>539</v>
      </c>
      <c r="S117" s="292"/>
      <c r="T117" s="131"/>
      <c r="U117" s="131"/>
      <c r="V117" s="169"/>
      <c r="W117" s="169"/>
      <c r="X117" s="169"/>
      <c r="Y117" s="169"/>
      <c r="Z117" s="169"/>
      <c r="AA117" s="169"/>
      <c r="AB117" s="169">
        <f t="shared" ref="AB117:AE117" si="439">+AB114+AB116</f>
        <v>1.0151083764280377E-2</v>
      </c>
      <c r="AC117" s="169">
        <f t="shared" si="439"/>
        <v>6.1765229313211151E-3</v>
      </c>
      <c r="AD117" s="169">
        <f t="shared" si="439"/>
        <v>8.1030816996397245E-3</v>
      </c>
      <c r="AE117" s="169">
        <f t="shared" si="439"/>
        <v>1846.4499999999998</v>
      </c>
      <c r="AF117" s="169">
        <f t="shared" ref="AF117:CG117" si="440">+AF114+AF116</f>
        <v>1543.8549999999996</v>
      </c>
      <c r="AG117" s="169">
        <f t="shared" si="440"/>
        <v>1065.5899999999992</v>
      </c>
      <c r="AH117" s="1657">
        <f t="shared" si="440"/>
        <v>335.14499999999953</v>
      </c>
      <c r="AI117" s="169">
        <f t="shared" ref="AI117" ca="1" si="441">+AI114+AI116</f>
        <v>1688.9124481931894</v>
      </c>
      <c r="AJ117" s="169">
        <f t="shared" ref="AJ117:AK117" ca="1" si="442">+AJ114+AJ116</f>
        <v>1947.3443828534791</v>
      </c>
      <c r="AK117" s="169">
        <f t="shared" ca="1" si="442"/>
        <v>2286.9414718073431</v>
      </c>
      <c r="AL117" s="169">
        <f t="shared" ca="1" si="440"/>
        <v>2803.7275737848622</v>
      </c>
      <c r="AM117" s="169">
        <f t="shared" ca="1" si="440"/>
        <v>3029.0050030635821</v>
      </c>
      <c r="AN117" s="169">
        <f t="shared" ca="1" si="440"/>
        <v>3030.6299648164813</v>
      </c>
      <c r="AO117" s="169">
        <f t="shared" ca="1" si="440"/>
        <v>1832.8812469424747</v>
      </c>
      <c r="AP117" s="169">
        <f t="shared" ca="1" si="440"/>
        <v>1848.2160015384161</v>
      </c>
      <c r="AQ117" s="169">
        <f t="shared" ca="1" si="440"/>
        <v>3174.0572580743892</v>
      </c>
      <c r="AR117" s="169">
        <f t="shared" ca="1" si="440"/>
        <v>3210.5214766994441</v>
      </c>
      <c r="AS117" s="169">
        <f t="shared" ca="1" si="440"/>
        <v>3316.0290929976272</v>
      </c>
      <c r="AT117" s="169">
        <f t="shared" ca="1" si="440"/>
        <v>3384.5709131898184</v>
      </c>
      <c r="AU117" s="169">
        <f t="shared" ca="1" si="440"/>
        <v>3467.7823912105978</v>
      </c>
      <c r="AV117" s="169">
        <f t="shared" ca="1" si="440"/>
        <v>3556.5304685067113</v>
      </c>
      <c r="AW117" s="169">
        <f t="shared" ca="1" si="440"/>
        <v>3648.6737919419629</v>
      </c>
      <c r="AX117" s="169">
        <f t="shared" ca="1" si="440"/>
        <v>3645.4309557650231</v>
      </c>
      <c r="AY117" s="169">
        <f t="shared" ca="1" si="440"/>
        <v>3635.815508085836</v>
      </c>
      <c r="AZ117" s="169">
        <f t="shared" ca="1" si="440"/>
        <v>3622.0456899943183</v>
      </c>
      <c r="BA117" s="169">
        <f t="shared" ca="1" si="440"/>
        <v>3604.5040110212267</v>
      </c>
      <c r="BB117" s="169">
        <f t="shared" ca="1" si="440"/>
        <v>3583.127359248545</v>
      </c>
      <c r="BC117" s="169">
        <f t="shared" ca="1" si="440"/>
        <v>3557.739460323708</v>
      </c>
      <c r="BD117" s="169">
        <f t="shared" ca="1" si="440"/>
        <v>3528.1300738405134</v>
      </c>
      <c r="BE117" s="169">
        <f t="shared" ca="1" si="440"/>
        <v>3494.0736229479335</v>
      </c>
      <c r="BF117" s="169">
        <f t="shared" ca="1" si="440"/>
        <v>3455.3333526464485</v>
      </c>
      <c r="BG117" s="169">
        <f t="shared" ca="1" si="440"/>
        <v>3411.6620274341458</v>
      </c>
      <c r="BH117" s="169">
        <f t="shared" ca="1" si="440"/>
        <v>3362.8017943413597</v>
      </c>
      <c r="BI117" s="169">
        <f t="shared" ca="1" si="440"/>
        <v>3308.4838364754887</v>
      </c>
      <c r="BJ117" s="169">
        <f t="shared" ca="1" si="440"/>
        <v>3248.4279653703998</v>
      </c>
      <c r="BK117" s="169">
        <f t="shared" ca="1" si="440"/>
        <v>3182.3421869575322</v>
      </c>
      <c r="BL117" s="169">
        <f t="shared" ca="1" si="440"/>
        <v>3109.9222489986605</v>
      </c>
      <c r="BM117" s="169">
        <f t="shared" ca="1" si="440"/>
        <v>3030.8511714046181</v>
      </c>
      <c r="BN117" s="169">
        <f t="shared" ca="1" si="440"/>
        <v>2944.7987593298203</v>
      </c>
      <c r="BO117" s="169">
        <f t="shared" ca="1" si="440"/>
        <v>2851.4210985538102</v>
      </c>
      <c r="BP117" s="169">
        <f t="shared" ca="1" si="440"/>
        <v>2750.3600325559673</v>
      </c>
      <c r="BQ117" s="169">
        <f t="shared" ca="1" si="440"/>
        <v>2641.2426206481468</v>
      </c>
      <c r="BR117" s="169">
        <f t="shared" ca="1" si="440"/>
        <v>2523.6805765034696</v>
      </c>
      <c r="BS117" s="169">
        <f t="shared" ca="1" si="440"/>
        <v>2397.2696863958299</v>
      </c>
      <c r="BT117" s="169">
        <f t="shared" ca="1" si="440"/>
        <v>2261.5892064406944</v>
      </c>
      <c r="BU117" s="169">
        <f t="shared" ca="1" si="440"/>
        <v>2116.2012381036293</v>
      </c>
      <c r="BV117" s="169">
        <f t="shared" ca="1" si="440"/>
        <v>1960.6500812181475</v>
      </c>
      <c r="BW117" s="169">
        <f t="shared" ca="1" si="440"/>
        <v>1794.4615637282186</v>
      </c>
      <c r="BX117" s="169">
        <f t="shared" ca="1" si="440"/>
        <v>1617.1423473441973</v>
      </c>
      <c r="BY117" s="169">
        <f t="shared" ca="1" si="440"/>
        <v>1428.1792082735774</v>
      </c>
      <c r="BZ117" s="169">
        <f t="shared" ca="1" si="440"/>
        <v>1227.0382921587443</v>
      </c>
      <c r="CA117" s="169">
        <f t="shared" ca="1" si="440"/>
        <v>1013.1643423251116</v>
      </c>
      <c r="CB117" s="169">
        <f t="shared" ca="1" si="440"/>
        <v>785.97990041207595</v>
      </c>
      <c r="CC117" s="169">
        <f t="shared" ca="1" si="440"/>
        <v>544.88447842768437</v>
      </c>
      <c r="CD117" s="169">
        <f t="shared" ca="1" si="440"/>
        <v>289.25370123565881</v>
      </c>
      <c r="CE117" s="169">
        <f t="shared" ca="1" si="440"/>
        <v>18.438418449448363</v>
      </c>
      <c r="CF117" s="169">
        <f t="shared" ca="1" si="440"/>
        <v>-268.2362153269205</v>
      </c>
      <c r="CG117" s="169">
        <f t="shared" ca="1" si="440"/>
        <v>-567.38910630035389</v>
      </c>
    </row>
    <row r="118" spans="2:147" s="10" customFormat="1" ht="13.8" thickBot="1">
      <c r="C118" s="111"/>
      <c r="G118" s="111"/>
      <c r="H118" s="111"/>
      <c r="L118" s="111"/>
      <c r="M118" s="111"/>
      <c r="N118" s="111"/>
      <c r="O118" s="111"/>
      <c r="P118" s="111"/>
      <c r="R118" s="1569" t="s">
        <v>1251</v>
      </c>
      <c r="S118" s="299">
        <f ca="1">H25</f>
        <v>34.278682186902124</v>
      </c>
      <c r="T118" s="267"/>
      <c r="U118" s="267"/>
      <c r="V118" s="268"/>
      <c r="W118" s="268"/>
      <c r="X118" s="268"/>
      <c r="Y118" s="268"/>
      <c r="Z118" s="268"/>
      <c r="AA118" s="268"/>
      <c r="AB118" s="268">
        <f t="shared" ref="AB118:AD118" si="443">AB117/((1+AB$109)^((+AB$2-$R$4)/365))</f>
        <v>1.7137292537294905E-2</v>
      </c>
      <c r="AC118" s="268">
        <f t="shared" si="443"/>
        <v>9.6104587455759609E-3</v>
      </c>
      <c r="AD118" s="268">
        <f t="shared" si="443"/>
        <v>1.162038561734589E-2</v>
      </c>
      <c r="AE118" s="268">
        <f>AE117/((1+AE$115)^((+AE$2-$R$4)/365))</f>
        <v>2440.4962021276433</v>
      </c>
      <c r="AF118" s="268">
        <f t="shared" ref="AF118:CG118" si="444">AF117/((1+AF$115)^((+AF$2-$R$4)/365))</f>
        <v>1880.6906036459659</v>
      </c>
      <c r="AG118" s="268">
        <f t="shared" si="444"/>
        <v>1196.3857845638001</v>
      </c>
      <c r="AH118" s="1658">
        <f t="shared" si="444"/>
        <v>346.80401304920366</v>
      </c>
      <c r="AI118" s="268">
        <f t="shared" ref="AI118" ca="1" si="445">AI117/((1+AI$115)^((+AI$2-$R$4)/365))</f>
        <v>1610.7523299039881</v>
      </c>
      <c r="AJ118" s="268">
        <f t="shared" ref="AJ118:AK118" ca="1" si="446">AJ117/((1+AJ$115)^((+AJ$2-$R$4)/365))</f>
        <v>1711.7276086596701</v>
      </c>
      <c r="AK118" s="268">
        <f t="shared" ca="1" si="446"/>
        <v>1852.7516354052186</v>
      </c>
      <c r="AL118" s="268">
        <f t="shared" ca="1" si="444"/>
        <v>2093.4771730530274</v>
      </c>
      <c r="AM118" s="268">
        <f t="shared" ca="1" si="444"/>
        <v>2084.5036957318171</v>
      </c>
      <c r="AN118" s="268">
        <f t="shared" ca="1" si="444"/>
        <v>1922.2322244588793</v>
      </c>
      <c r="AO118" s="268">
        <f t="shared" ca="1" si="444"/>
        <v>1071.4638676992349</v>
      </c>
      <c r="AP118" s="268">
        <f t="shared" ca="1" si="444"/>
        <v>995.78639912372773</v>
      </c>
      <c r="AQ118" s="268">
        <f t="shared" ca="1" si="444"/>
        <v>1576.1533992104576</v>
      </c>
      <c r="AR118" s="268">
        <f t="shared" ca="1" si="444"/>
        <v>1469.3645821747546</v>
      </c>
      <c r="AS118" s="268">
        <f t="shared" ca="1" si="444"/>
        <v>1398.7579948417556</v>
      </c>
      <c r="AT118" s="268">
        <f t="shared" ca="1" si="444"/>
        <v>1315.8249872785382</v>
      </c>
      <c r="AU118" s="268">
        <f t="shared" ca="1" si="444"/>
        <v>1242.5578296809467</v>
      </c>
      <c r="AV118" s="268">
        <f t="shared" ca="1" si="444"/>
        <v>1174.5231163002798</v>
      </c>
      <c r="AW118" s="268">
        <f t="shared" ca="1" si="444"/>
        <v>1110.5556709262064</v>
      </c>
      <c r="AX118" s="268">
        <f t="shared" ca="1" si="444"/>
        <v>1022.6439087854225</v>
      </c>
      <c r="AY118" s="268">
        <f t="shared" ca="1" si="444"/>
        <v>940.04286687345621</v>
      </c>
      <c r="AZ118" s="268">
        <f t="shared" ca="1" si="444"/>
        <v>863.11766813413749</v>
      </c>
      <c r="BA118" s="268">
        <f t="shared" ca="1" si="444"/>
        <v>791.64752318026547</v>
      </c>
      <c r="BB118" s="268">
        <f t="shared" ca="1" si="444"/>
        <v>725.30196003200444</v>
      </c>
      <c r="BC118" s="268">
        <f t="shared" ca="1" si="444"/>
        <v>663.74461183178857</v>
      </c>
      <c r="BD118" s="268">
        <f t="shared" ca="1" si="444"/>
        <v>606.65491122228059</v>
      </c>
      <c r="BE118" s="268">
        <f t="shared" ca="1" si="444"/>
        <v>553.73177197400355</v>
      </c>
      <c r="BF118" s="268">
        <f t="shared" ca="1" si="444"/>
        <v>504.69337686498199</v>
      </c>
      <c r="BG118" s="268">
        <f t="shared" ca="1" si="444"/>
        <v>459.27617487259261</v>
      </c>
      <c r="BH118" s="268">
        <f t="shared" ca="1" si="444"/>
        <v>417.2337655332019</v>
      </c>
      <c r="BI118" s="268">
        <f t="shared" ca="1" si="444"/>
        <v>378.33581537313233</v>
      </c>
      <c r="BJ118" s="268">
        <f t="shared" ca="1" si="444"/>
        <v>342.36703455355564</v>
      </c>
      <c r="BK118" s="268">
        <f t="shared" ca="1" si="444"/>
        <v>309.12621650636248</v>
      </c>
      <c r="BL118" s="268">
        <f t="shared" ca="1" si="444"/>
        <v>278.42533800249129</v>
      </c>
      <c r="BM118" s="268">
        <f t="shared" ca="1" si="444"/>
        <v>250.08871613103827</v>
      </c>
      <c r="BN118" s="268">
        <f t="shared" ca="1" si="444"/>
        <v>223.95221864731255</v>
      </c>
      <c r="BO118" s="268">
        <f t="shared" ca="1" si="444"/>
        <v>199.86252432132247</v>
      </c>
      <c r="BP118" s="268">
        <f t="shared" ca="1" si="444"/>
        <v>177.67643012214305</v>
      </c>
      <c r="BQ118" s="268">
        <f t="shared" ca="1" si="444"/>
        <v>157.26020227340459</v>
      </c>
      <c r="BR118" s="268">
        <f t="shared" ca="1" si="444"/>
        <v>138.48896840396799</v>
      </c>
      <c r="BS118" s="268">
        <f t="shared" ca="1" si="444"/>
        <v>121.24614819483749</v>
      </c>
      <c r="BT118" s="268">
        <f t="shared" ca="1" si="444"/>
        <v>105.42292008896354</v>
      </c>
      <c r="BU118" s="268">
        <f t="shared" ca="1" si="444"/>
        <v>90.917721785515198</v>
      </c>
      <c r="BV118" s="268">
        <f t="shared" ca="1" si="444"/>
        <v>77.635782385128252</v>
      </c>
      <c r="BW118" s="268">
        <f t="shared" ca="1" si="444"/>
        <v>65.488684188180045</v>
      </c>
      <c r="BX118" s="268">
        <f t="shared" ca="1" si="444"/>
        <v>54.393952274988493</v>
      </c>
      <c r="BY118" s="268">
        <f t="shared" ca="1" si="444"/>
        <v>44.274670115513814</v>
      </c>
      <c r="BZ118" s="268">
        <f t="shared" ca="1" si="444"/>
        <v>35.059119567166462</v>
      </c>
      <c r="CA118" s="268">
        <f t="shared" ca="1" si="444"/>
        <v>26.680443723275008</v>
      </c>
      <c r="CB118" s="268">
        <f t="shared" ca="1" si="444"/>
        <v>19.076331172015074</v>
      </c>
      <c r="CC118" s="268">
        <f t="shared" ca="1" si="444"/>
        <v>12.188720316641021</v>
      </c>
      <c r="CD118" s="268">
        <f t="shared" ca="1" si="444"/>
        <v>5.9635224930904291</v>
      </c>
      <c r="CE118" s="268">
        <f t="shared" ca="1" si="444"/>
        <v>0.35036270080179976</v>
      </c>
      <c r="CF118" s="268">
        <f t="shared" ca="1" si="444"/>
        <v>-4.6976631627227707</v>
      </c>
      <c r="CG118" s="268">
        <f t="shared" ca="1" si="444"/>
        <v>-9.1583179209552821</v>
      </c>
    </row>
    <row r="119" spans="2:147" s="112" customFormat="1">
      <c r="B119" s="10"/>
      <c r="C119" s="111"/>
      <c r="F119" s="10"/>
      <c r="G119" s="111"/>
      <c r="H119" s="111"/>
      <c r="I119" s="10"/>
      <c r="J119" s="10"/>
      <c r="K119" s="10"/>
      <c r="L119" s="111"/>
      <c r="M119" s="111"/>
      <c r="N119" s="111"/>
      <c r="O119" s="111"/>
      <c r="P119" s="111"/>
      <c r="Q119" s="10"/>
      <c r="R119" s="9"/>
      <c r="S119" s="292"/>
      <c r="T119" s="131"/>
      <c r="U119" s="131"/>
      <c r="V119" s="131"/>
      <c r="W119" s="131"/>
      <c r="X119" s="131"/>
      <c r="Y119" s="131"/>
      <c r="Z119" s="131"/>
      <c r="AA119" s="131"/>
      <c r="AB119" s="131"/>
      <c r="AC119" s="131"/>
      <c r="AD119" s="131"/>
      <c r="AE119" s="131"/>
      <c r="AF119" s="131"/>
      <c r="AG119" s="131"/>
      <c r="AH119" s="1630"/>
      <c r="AI119" s="131"/>
      <c r="AJ119" s="131"/>
      <c r="AK119" s="131"/>
      <c r="AL119" s="131"/>
      <c r="AM119" s="131"/>
      <c r="AN119" s="131"/>
      <c r="AO119" s="131"/>
      <c r="AP119" s="131"/>
      <c r="AQ119" s="131"/>
      <c r="AR119" s="131"/>
      <c r="AS119" s="137"/>
      <c r="AT119" s="137"/>
      <c r="AU119" s="137"/>
      <c r="AV119" s="137"/>
      <c r="AW119" s="137"/>
      <c r="AX119" s="137"/>
      <c r="AY119" s="137"/>
      <c r="AZ119" s="137"/>
      <c r="BA119" s="137"/>
      <c r="BB119" s="137"/>
      <c r="BC119" s="137"/>
      <c r="BD119" s="137"/>
      <c r="BE119" s="137"/>
      <c r="BF119" s="137"/>
      <c r="BG119" s="137"/>
      <c r="BH119" s="137"/>
      <c r="BI119" s="137"/>
      <c r="BJ119" s="137"/>
      <c r="BK119" s="137"/>
      <c r="BL119" s="137"/>
      <c r="BM119" s="137"/>
      <c r="BN119" s="137"/>
      <c r="BO119" s="137"/>
      <c r="BP119" s="137"/>
      <c r="BQ119" s="137"/>
      <c r="BR119" s="137"/>
      <c r="BS119" s="137"/>
      <c r="BT119" s="137"/>
      <c r="BU119" s="137"/>
      <c r="BV119" s="137"/>
      <c r="BW119" s="137"/>
      <c r="BX119" s="137"/>
      <c r="BY119" s="137"/>
      <c r="BZ119" s="137"/>
      <c r="CA119" s="137"/>
      <c r="CB119" s="137"/>
      <c r="CC119" s="137"/>
      <c r="CD119" s="137"/>
      <c r="CE119" s="137"/>
      <c r="CF119" s="10"/>
      <c r="CG119" s="10"/>
      <c r="CH119" s="10"/>
      <c r="CI119" s="10"/>
      <c r="CJ119" s="10"/>
      <c r="CK119" s="10"/>
      <c r="CL119" s="10"/>
      <c r="CM119" s="10"/>
      <c r="CN119" s="10"/>
      <c r="CO119" s="10"/>
      <c r="CP119" s="10"/>
      <c r="CQ119" s="10"/>
      <c r="CR119" s="10"/>
      <c r="CS119" s="10"/>
      <c r="CT119" s="10"/>
      <c r="CU119" s="10"/>
      <c r="CV119" s="10"/>
      <c r="CW119" s="10"/>
      <c r="CX119" s="10"/>
      <c r="CY119" s="10"/>
      <c r="CZ119" s="10"/>
      <c r="DA119" s="10"/>
      <c r="DB119" s="10"/>
      <c r="DC119" s="10"/>
      <c r="DD119" s="10"/>
      <c r="DE119" s="10"/>
      <c r="DF119" s="10"/>
      <c r="DG119" s="10"/>
      <c r="DH119" s="10"/>
      <c r="DI119" s="10"/>
      <c r="DJ119" s="10"/>
      <c r="DK119" s="10"/>
      <c r="DL119" s="10"/>
      <c r="DM119" s="10"/>
      <c r="DN119" s="10"/>
      <c r="DO119" s="10"/>
      <c r="DP119" s="10"/>
      <c r="DQ119" s="10"/>
      <c r="DR119" s="10"/>
      <c r="DS119" s="10"/>
      <c r="DT119" s="10"/>
      <c r="DU119" s="10"/>
      <c r="DV119" s="10"/>
      <c r="DW119" s="10"/>
      <c r="DX119" s="10"/>
      <c r="DY119" s="10"/>
      <c r="DZ119" s="10"/>
      <c r="EA119" s="10"/>
      <c r="EB119" s="10"/>
      <c r="EC119" s="10"/>
      <c r="ED119" s="10"/>
      <c r="EE119" s="10"/>
      <c r="EF119" s="10"/>
      <c r="EG119" s="10"/>
      <c r="EH119" s="10"/>
      <c r="EI119" s="10"/>
      <c r="EJ119" s="10"/>
      <c r="EK119" s="10"/>
      <c r="EL119" s="10"/>
      <c r="EM119" s="10"/>
      <c r="EN119" s="10"/>
      <c r="EO119" s="10"/>
      <c r="EP119" s="10"/>
      <c r="EQ119" s="10"/>
    </row>
    <row r="120" spans="2:147" s="10" customFormat="1">
      <c r="C120" s="111"/>
      <c r="G120" s="111"/>
      <c r="H120" s="111"/>
      <c r="L120" s="111"/>
      <c r="M120" s="111"/>
      <c r="N120" s="111"/>
      <c r="O120" s="111"/>
      <c r="P120" s="111"/>
      <c r="R120" s="9"/>
      <c r="S120" s="111"/>
      <c r="T120" s="131"/>
      <c r="U120" s="131"/>
      <c r="V120" s="131"/>
      <c r="W120" s="131"/>
      <c r="X120" s="131"/>
      <c r="Y120" s="131"/>
      <c r="Z120" s="131"/>
      <c r="AA120" s="131"/>
      <c r="AB120" s="131"/>
      <c r="AC120" s="131"/>
      <c r="AD120" s="131"/>
      <c r="AE120" s="131"/>
      <c r="AF120" s="131"/>
      <c r="AG120" s="131"/>
      <c r="AH120" s="1642">
        <f ca="1">SUM(AH112:AK112)</f>
        <v>3745.0084655794799</v>
      </c>
      <c r="AI120" s="204">
        <f ca="1">SUM(AI112:AL112)</f>
        <v>5642.3434137841396</v>
      </c>
      <c r="AJ120" s="204">
        <f t="shared" ref="AJ120:AK120" ca="1" si="447">SUM(AJ112:AM112)</f>
        <v>6249.0504462113522</v>
      </c>
      <c r="AK120" s="204">
        <f t="shared" ca="1" si="447"/>
        <v>6578.6063268229964</v>
      </c>
      <c r="AL120" s="204">
        <f ca="1">SUM(AL112:AR112)</f>
        <v>9233.6263103424299</v>
      </c>
      <c r="AM120" s="131"/>
      <c r="AN120" s="131"/>
      <c r="AO120" s="131"/>
      <c r="AP120" s="131"/>
      <c r="AQ120" s="131"/>
      <c r="AR120" s="131"/>
      <c r="AS120" s="137"/>
      <c r="AT120" s="137"/>
      <c r="AU120" s="137"/>
      <c r="AV120" s="137"/>
      <c r="AW120" s="137"/>
      <c r="AX120" s="137"/>
      <c r="AY120" s="137"/>
      <c r="AZ120" s="137"/>
      <c r="BA120" s="137"/>
      <c r="BB120" s="137"/>
      <c r="BC120" s="137"/>
      <c r="BD120" s="137"/>
      <c r="BE120" s="137"/>
      <c r="BF120" s="137"/>
      <c r="BG120" s="137"/>
      <c r="BH120" s="137"/>
      <c r="BI120" s="137"/>
      <c r="BJ120" s="137"/>
      <c r="BK120" s="137"/>
      <c r="BL120" s="137"/>
      <c r="BM120" s="137"/>
      <c r="BN120" s="137"/>
      <c r="BO120" s="137"/>
      <c r="BP120" s="137"/>
      <c r="BQ120" s="137"/>
      <c r="BR120" s="137"/>
      <c r="BS120" s="137"/>
      <c r="BT120" s="137"/>
      <c r="BU120" s="137"/>
      <c r="BV120" s="137"/>
      <c r="BW120" s="137"/>
      <c r="BX120" s="137"/>
      <c r="BY120" s="137"/>
      <c r="BZ120" s="137"/>
      <c r="CA120" s="137"/>
      <c r="CB120" s="137"/>
      <c r="CC120" s="137"/>
      <c r="CD120" s="137"/>
      <c r="CE120" s="137"/>
    </row>
    <row r="121" spans="2:147" s="10" customFormat="1">
      <c r="C121" s="111"/>
      <c r="G121" s="111"/>
      <c r="H121" s="111"/>
      <c r="L121" s="111"/>
      <c r="M121" s="111"/>
      <c r="N121" s="111"/>
      <c r="O121" s="111"/>
      <c r="P121" s="111"/>
      <c r="R121" s="9"/>
      <c r="S121" s="292"/>
      <c r="T121" s="131"/>
      <c r="U121" s="131"/>
      <c r="V121" s="131"/>
      <c r="W121" s="131"/>
      <c r="X121" s="131"/>
      <c r="Y121" s="131"/>
      <c r="Z121" s="131"/>
      <c r="AA121" s="131"/>
      <c r="AB121" s="131"/>
      <c r="AC121" s="131"/>
      <c r="AD121" s="131"/>
      <c r="AE121" s="131"/>
      <c r="AF121" s="131"/>
      <c r="AG121" s="131"/>
      <c r="AH121" s="1630"/>
      <c r="AI121" s="131"/>
      <c r="AJ121" s="131"/>
      <c r="AK121" s="131"/>
      <c r="AL121" s="131"/>
      <c r="AM121" s="131"/>
      <c r="AN121" s="131"/>
      <c r="AO121" s="131"/>
      <c r="AP121" s="131"/>
      <c r="AQ121" s="131"/>
      <c r="AR121" s="131"/>
      <c r="AS121" s="137"/>
      <c r="AT121" s="137"/>
      <c r="AU121" s="137"/>
      <c r="AV121" s="137"/>
      <c r="AW121" s="137"/>
      <c r="AX121" s="137"/>
      <c r="AY121" s="137"/>
      <c r="AZ121" s="137"/>
      <c r="BA121" s="137"/>
      <c r="BB121" s="137"/>
      <c r="BC121" s="137"/>
      <c r="BD121" s="137"/>
      <c r="BE121" s="137"/>
      <c r="BF121" s="137"/>
      <c r="BG121" s="137"/>
      <c r="BH121" s="137"/>
      <c r="BI121" s="137"/>
      <c r="BJ121" s="137"/>
      <c r="BK121" s="137"/>
      <c r="BL121" s="137"/>
      <c r="BM121" s="137"/>
      <c r="BN121" s="137"/>
      <c r="BO121" s="137"/>
      <c r="BP121" s="137"/>
      <c r="BQ121" s="137"/>
      <c r="BR121" s="137"/>
      <c r="BS121" s="137"/>
      <c r="BT121" s="137"/>
      <c r="BU121" s="137"/>
      <c r="BV121" s="137"/>
      <c r="BW121" s="137"/>
      <c r="BX121" s="137"/>
      <c r="BY121" s="137"/>
      <c r="BZ121" s="137"/>
      <c r="CA121" s="137"/>
      <c r="CB121" s="137"/>
      <c r="CC121" s="137"/>
      <c r="CD121" s="137"/>
      <c r="CE121" s="137"/>
    </row>
    <row r="122" spans="2:147" s="10" customFormat="1" ht="13.8" thickBot="1">
      <c r="C122" s="111"/>
      <c r="G122" s="111"/>
      <c r="H122" s="111"/>
      <c r="L122" s="111"/>
      <c r="M122" s="111"/>
      <c r="N122" s="111"/>
      <c r="O122" s="111"/>
      <c r="P122" s="111"/>
      <c r="S122" s="191"/>
      <c r="T122" s="269"/>
      <c r="U122" s="269"/>
      <c r="V122" s="269"/>
      <c r="W122" s="269"/>
      <c r="X122" s="269"/>
      <c r="AH122" s="1626"/>
    </row>
    <row r="123" spans="2:147" s="10" customFormat="1" ht="13.8" thickBot="1">
      <c r="C123" s="111"/>
      <c r="G123" s="111"/>
      <c r="H123" s="111"/>
      <c r="L123" s="111"/>
      <c r="M123" s="111"/>
      <c r="N123" s="111"/>
      <c r="O123" s="111"/>
      <c r="P123" s="111"/>
      <c r="R123" s="289" t="s">
        <v>247</v>
      </c>
      <c r="S123" s="300"/>
      <c r="T123" s="270"/>
      <c r="U123" s="270"/>
      <c r="V123" s="270"/>
      <c r="W123" s="270"/>
      <c r="X123" s="270"/>
      <c r="AH123" s="1626"/>
    </row>
    <row r="124" spans="2:147" s="10" customFormat="1">
      <c r="C124" s="111"/>
      <c r="G124" s="111"/>
      <c r="H124" s="111"/>
      <c r="L124" s="111"/>
      <c r="M124" s="111"/>
      <c r="N124" s="111"/>
      <c r="O124" s="111"/>
      <c r="P124" s="111"/>
      <c r="R124" s="10" t="s">
        <v>330</v>
      </c>
      <c r="S124" s="136"/>
      <c r="T124" s="265"/>
      <c r="U124" s="265"/>
      <c r="V124" s="265"/>
      <c r="W124" s="265"/>
      <c r="X124" s="265"/>
      <c r="Y124" s="265"/>
      <c r="Z124" s="265"/>
      <c r="AA124" s="265"/>
      <c r="AB124" s="265">
        <f t="shared" ref="AB124:AO124" si="448">AB108</f>
        <v>5953</v>
      </c>
      <c r="AC124" s="265">
        <f t="shared" ref="AC124:AH124" si="449">AC108</f>
        <v>3577</v>
      </c>
      <c r="AD124" s="265">
        <f t="shared" si="449"/>
        <v>6162</v>
      </c>
      <c r="AE124" s="265">
        <f t="shared" si="449"/>
        <v>7119</v>
      </c>
      <c r="AF124" s="265">
        <f t="shared" ref="AF124:AG124" si="450">AF108</f>
        <v>7106</v>
      </c>
      <c r="AG124" s="265">
        <f t="shared" si="450"/>
        <v>6535</v>
      </c>
      <c r="AH124" s="1656">
        <f t="shared" si="449"/>
        <v>5891</v>
      </c>
      <c r="AI124" s="265">
        <f t="shared" ref="AI124" ca="1" si="451">AI108</f>
        <v>7527.8445500800126</v>
      </c>
      <c r="AJ124" s="265">
        <f ca="1">AJ108</f>
        <v>7974.5874835599489</v>
      </c>
      <c r="AK124" s="265">
        <f t="shared" ref="AK124" ca="1" si="452">AK108</f>
        <v>8479.0708518710398</v>
      </c>
      <c r="AL124" s="265">
        <f t="shared" ca="1" si="448"/>
        <v>9066.9731602635802</v>
      </c>
      <c r="AM124" s="265">
        <f t="shared" ca="1" si="448"/>
        <v>9526.8817608666322</v>
      </c>
      <c r="AN124" s="265">
        <f t="shared" ca="1" si="448"/>
        <v>9742.2138955490973</v>
      </c>
      <c r="AO124" s="265">
        <f t="shared" ca="1" si="448"/>
        <v>8721.9849264508921</v>
      </c>
      <c r="AP124" s="265">
        <f ca="1">AP108</f>
        <v>8949.5938281500385</v>
      </c>
      <c r="AQ124" s="265">
        <f ca="1">AQ108</f>
        <v>10540.373257231731</v>
      </c>
      <c r="AR124" s="265">
        <f ca="1">AR108</f>
        <v>10818.607557153869</v>
      </c>
      <c r="AS124" s="265"/>
      <c r="AT124" s="265"/>
      <c r="AU124" s="265"/>
      <c r="AV124" s="265"/>
    </row>
    <row r="125" spans="2:147" s="10" customFormat="1" ht="13.8" thickBot="1">
      <c r="C125" s="111"/>
      <c r="G125" s="111"/>
      <c r="H125" s="111"/>
      <c r="L125" s="111"/>
      <c r="M125" s="111"/>
      <c r="N125" s="111"/>
      <c r="O125" s="111"/>
      <c r="P125" s="111"/>
      <c r="R125" s="10" t="s">
        <v>272</v>
      </c>
      <c r="S125" s="111"/>
      <c r="AH125" s="1626"/>
    </row>
    <row r="126" spans="2:147" s="10" customFormat="1" ht="13.8" thickBot="1">
      <c r="C126" s="111"/>
      <c r="G126" s="111"/>
      <c r="H126" s="111"/>
      <c r="L126" s="111"/>
      <c r="M126" s="111"/>
      <c r="N126" s="111"/>
      <c r="O126" s="111"/>
      <c r="P126" s="111"/>
      <c r="R126" s="10" t="s">
        <v>176</v>
      </c>
      <c r="S126" s="290">
        <f>AC102</f>
        <v>0</v>
      </c>
      <c r="T126" s="265"/>
      <c r="U126" s="265"/>
      <c r="V126" s="265"/>
      <c r="W126" s="265"/>
      <c r="X126" s="265"/>
      <c r="Y126" s="265"/>
      <c r="Z126" s="265"/>
      <c r="AA126" s="265"/>
      <c r="AB126" s="265">
        <f t="shared" ref="AB126:AR126" si="453">+(AB36-AA36)*$S$126</f>
        <v>0</v>
      </c>
      <c r="AC126" s="265">
        <f t="shared" si="453"/>
        <v>0</v>
      </c>
      <c r="AD126" s="265">
        <f t="shared" si="453"/>
        <v>0</v>
      </c>
      <c r="AE126" s="265">
        <f t="shared" si="453"/>
        <v>0</v>
      </c>
      <c r="AF126" s="265">
        <f t="shared" si="453"/>
        <v>0</v>
      </c>
      <c r="AG126" s="265">
        <f t="shared" si="453"/>
        <v>0</v>
      </c>
      <c r="AH126" s="1656">
        <f t="shared" si="453"/>
        <v>0</v>
      </c>
      <c r="AI126" s="265">
        <f t="shared" ca="1" si="453"/>
        <v>0</v>
      </c>
      <c r="AJ126" s="265">
        <f t="shared" ref="AJ126" ca="1" si="454">+(AJ36-AI36)*$S$126</f>
        <v>0</v>
      </c>
      <c r="AK126" s="265">
        <f t="shared" ref="AK126" ca="1" si="455">+(AK36-AJ36)*$S$126</f>
        <v>0</v>
      </c>
      <c r="AL126" s="265">
        <f t="shared" ca="1" si="453"/>
        <v>0</v>
      </c>
      <c r="AM126" s="265">
        <f t="shared" ca="1" si="453"/>
        <v>0</v>
      </c>
      <c r="AN126" s="265">
        <f t="shared" ca="1" si="453"/>
        <v>0</v>
      </c>
      <c r="AO126" s="265">
        <f t="shared" ca="1" si="453"/>
        <v>0</v>
      </c>
      <c r="AP126" s="265">
        <f t="shared" ca="1" si="453"/>
        <v>0</v>
      </c>
      <c r="AQ126" s="265">
        <f t="shared" ca="1" si="453"/>
        <v>0</v>
      </c>
      <c r="AR126" s="265">
        <f t="shared" ca="1" si="453"/>
        <v>0</v>
      </c>
      <c r="AS126" s="265"/>
      <c r="AT126" s="265"/>
      <c r="AU126" s="265"/>
      <c r="AV126" s="265"/>
    </row>
    <row r="127" spans="2:147" s="10" customFormat="1">
      <c r="C127" s="111"/>
      <c r="G127" s="111"/>
      <c r="H127" s="111"/>
      <c r="L127" s="111"/>
      <c r="M127" s="111"/>
      <c r="N127" s="111"/>
      <c r="O127" s="111"/>
      <c r="P127" s="111"/>
      <c r="R127" s="10" t="s">
        <v>166</v>
      </c>
      <c r="S127" s="301"/>
      <c r="T127" s="271"/>
      <c r="U127" s="271"/>
      <c r="V127" s="271"/>
      <c r="W127" s="271"/>
      <c r="X127" s="271"/>
      <c r="Y127" s="271"/>
      <c r="Z127" s="271"/>
      <c r="AA127" s="271"/>
      <c r="AB127" s="271"/>
      <c r="AC127" s="271"/>
      <c r="AD127" s="271"/>
      <c r="AE127" s="271"/>
      <c r="AF127" s="271"/>
      <c r="AG127" s="271"/>
      <c r="AH127" s="1659"/>
      <c r="AI127" s="271"/>
      <c r="AJ127" s="271"/>
      <c r="AK127" s="271"/>
      <c r="AL127" s="271"/>
      <c r="AM127" s="271"/>
      <c r="AN127" s="271"/>
      <c r="AO127" s="271"/>
      <c r="AP127" s="271"/>
      <c r="AQ127" s="271"/>
      <c r="AR127" s="271"/>
      <c r="AS127" s="271"/>
      <c r="AT127" s="271"/>
      <c r="AU127" s="271"/>
      <c r="AV127" s="271"/>
    </row>
    <row r="128" spans="2:147" s="10" customFormat="1">
      <c r="C128" s="111"/>
      <c r="G128" s="111"/>
      <c r="H128" s="111"/>
      <c r="L128" s="111"/>
      <c r="M128" s="111"/>
      <c r="N128" s="111"/>
      <c r="O128" s="111"/>
      <c r="P128" s="111"/>
      <c r="R128" s="10" t="s">
        <v>166</v>
      </c>
      <c r="S128" s="191"/>
      <c r="T128" s="269"/>
      <c r="U128" s="269"/>
      <c r="V128" s="269"/>
      <c r="W128" s="269"/>
      <c r="X128" s="269"/>
      <c r="Y128" s="269"/>
      <c r="Z128" s="269"/>
      <c r="AA128" s="269"/>
      <c r="AB128" s="269"/>
      <c r="AC128" s="269"/>
      <c r="AD128" s="269"/>
      <c r="AE128" s="269"/>
      <c r="AF128" s="269"/>
      <c r="AG128" s="269"/>
      <c r="AH128" s="1660"/>
      <c r="AI128" s="269"/>
      <c r="AJ128" s="269"/>
      <c r="AK128" s="269"/>
      <c r="AL128" s="269"/>
      <c r="AM128" s="269"/>
      <c r="AN128" s="269"/>
      <c r="AO128" s="269"/>
      <c r="AP128" s="269"/>
      <c r="AQ128" s="269"/>
      <c r="AR128" s="269"/>
      <c r="AS128" s="269"/>
      <c r="AT128" s="269"/>
      <c r="AU128" s="269"/>
      <c r="AV128" s="269"/>
    </row>
    <row r="129" spans="3:147" s="10" customFormat="1">
      <c r="C129" s="111"/>
      <c r="G129" s="111"/>
      <c r="H129" s="111"/>
      <c r="L129" s="111"/>
      <c r="M129" s="111"/>
      <c r="N129" s="111"/>
      <c r="O129" s="111"/>
      <c r="P129" s="111"/>
      <c r="R129" s="10" t="s">
        <v>166</v>
      </c>
      <c r="S129" s="191"/>
      <c r="T129" s="269"/>
      <c r="U129" s="269"/>
      <c r="V129" s="269"/>
      <c r="W129" s="269"/>
      <c r="X129" s="269"/>
      <c r="Y129" s="269"/>
      <c r="Z129" s="269"/>
      <c r="AA129" s="269"/>
      <c r="AB129" s="269"/>
      <c r="AC129" s="269"/>
      <c r="AD129" s="269"/>
      <c r="AE129" s="269"/>
      <c r="AF129" s="269"/>
      <c r="AG129" s="269"/>
      <c r="AH129" s="1660"/>
      <c r="AI129" s="269"/>
      <c r="AJ129" s="269"/>
      <c r="AK129" s="269"/>
      <c r="AL129" s="269"/>
      <c r="AM129" s="269"/>
      <c r="AN129" s="269"/>
      <c r="AO129" s="269"/>
      <c r="AP129" s="269"/>
      <c r="AQ129" s="269"/>
      <c r="AR129" s="269"/>
      <c r="AS129" s="269"/>
      <c r="AT129" s="269"/>
      <c r="AU129" s="269"/>
      <c r="AV129" s="269"/>
    </row>
    <row r="130" spans="3:147" s="10" customFormat="1">
      <c r="C130" s="111"/>
      <c r="G130" s="111"/>
      <c r="H130" s="111"/>
      <c r="L130" s="111"/>
      <c r="M130" s="111"/>
      <c r="N130" s="111"/>
      <c r="O130" s="111"/>
      <c r="P130" s="111"/>
      <c r="R130" s="9" t="s">
        <v>273</v>
      </c>
      <c r="S130" s="151"/>
      <c r="T130" s="272"/>
      <c r="U130" s="272"/>
      <c r="V130" s="272"/>
      <c r="W130" s="272"/>
      <c r="X130" s="272"/>
      <c r="Y130" s="272"/>
      <c r="Z130" s="272"/>
      <c r="AA130" s="272"/>
      <c r="AB130" s="272">
        <f t="shared" ref="AB130:AO130" si="456">+AB124-AB126-AB127-AB128-AB129</f>
        <v>5953</v>
      </c>
      <c r="AC130" s="272">
        <f t="shared" ref="AC130:AH130" si="457">+AC124-AC126-AC127-AC128-AC129</f>
        <v>3577</v>
      </c>
      <c r="AD130" s="272">
        <f t="shared" si="457"/>
        <v>6162</v>
      </c>
      <c r="AE130" s="272">
        <f t="shared" si="457"/>
        <v>7119</v>
      </c>
      <c r="AF130" s="272">
        <f t="shared" ref="AF130:AG130" si="458">+AF124-AF126-AF127-AF128-AF129</f>
        <v>7106</v>
      </c>
      <c r="AG130" s="272">
        <f t="shared" si="458"/>
        <v>6535</v>
      </c>
      <c r="AH130" s="1661">
        <f t="shared" si="457"/>
        <v>5891</v>
      </c>
      <c r="AI130" s="272">
        <f t="shared" ref="AI130" ca="1" si="459">+AI124-AI126-AI127-AI128-AI129</f>
        <v>7527.8445500800126</v>
      </c>
      <c r="AJ130" s="272">
        <f t="shared" ref="AJ130:AK130" ca="1" si="460">+AJ124-AJ126-AJ127-AJ128-AJ129</f>
        <v>7974.5874835599489</v>
      </c>
      <c r="AK130" s="272">
        <f t="shared" ca="1" si="460"/>
        <v>8479.0708518710398</v>
      </c>
      <c r="AL130" s="272">
        <f t="shared" ca="1" si="456"/>
        <v>9066.9731602635802</v>
      </c>
      <c r="AM130" s="272">
        <f t="shared" ca="1" si="456"/>
        <v>9526.8817608666322</v>
      </c>
      <c r="AN130" s="272">
        <f t="shared" ca="1" si="456"/>
        <v>9742.2138955490973</v>
      </c>
      <c r="AO130" s="272">
        <f t="shared" ca="1" si="456"/>
        <v>8721.9849264508921</v>
      </c>
      <c r="AP130" s="272">
        <f ca="1">+AP124-AP126-AP127-AP128-AP129</f>
        <v>8949.5938281500385</v>
      </c>
      <c r="AQ130" s="272">
        <f ca="1">+AQ124-AQ126-AQ127-AQ128-AQ129</f>
        <v>10540.373257231731</v>
      </c>
      <c r="AR130" s="272">
        <f ca="1">+AR124-AR126-AR127-AR128-AR129</f>
        <v>10818.607557153869</v>
      </c>
      <c r="AS130" s="272"/>
      <c r="AT130" s="272"/>
      <c r="AU130" s="272"/>
      <c r="AV130" s="272"/>
    </row>
    <row r="131" spans="3:147" s="10" customFormat="1">
      <c r="C131" s="111"/>
      <c r="G131" s="111"/>
      <c r="H131" s="111"/>
      <c r="L131" s="111"/>
      <c r="M131" s="111"/>
      <c r="N131" s="111"/>
      <c r="O131" s="111"/>
      <c r="P131" s="111"/>
      <c r="R131" s="266" t="s">
        <v>453</v>
      </c>
      <c r="S131" s="302"/>
      <c r="T131" s="273"/>
      <c r="U131" s="273"/>
      <c r="V131" s="273"/>
      <c r="W131" s="273"/>
      <c r="X131" s="273"/>
      <c r="Y131" s="273"/>
      <c r="Z131" s="273"/>
      <c r="AA131" s="273"/>
      <c r="AB131" s="273">
        <f t="shared" ref="AB131:AO131" si="461">+AB130/((1+AB109)^((+AB$2-$R$4)/365))</f>
        <v>10049.991197343723</v>
      </c>
      <c r="AC131" s="273">
        <f t="shared" ref="AC131:AH131" si="462">+AC130/((1+AC109)^((+AC$2-$R$4)/365))</f>
        <v>5565.6898412214414</v>
      </c>
      <c r="AD131" s="273">
        <f t="shared" si="462"/>
        <v>8836.7387653599799</v>
      </c>
      <c r="AE131" s="273">
        <f t="shared" si="462"/>
        <v>9409.3490010272108</v>
      </c>
      <c r="AF131" s="273">
        <f t="shared" ref="AF131:AG131" si="463">+AF130/((1+AF109)^((+AF$2-$R$4)/365))</f>
        <v>8656.3747434235975</v>
      </c>
      <c r="AG131" s="273">
        <f t="shared" si="463"/>
        <v>7337.138207119473</v>
      </c>
      <c r="AH131" s="1662">
        <f t="shared" si="462"/>
        <v>6095.9359109426123</v>
      </c>
      <c r="AI131" s="273">
        <f t="shared" ref="AI131" ca="1" si="464">+AI130/((1+AI109)^((+AI$2-$R$4)/365))</f>
        <v>7179.4681608086667</v>
      </c>
      <c r="AJ131" s="273">
        <f t="shared" ref="AJ131:AK131" ca="1" si="465">+AJ130/((1+AJ109)^((+AJ$2-$R$4)/365))</f>
        <v>7009.7111140040579</v>
      </c>
      <c r="AK131" s="273">
        <f t="shared" ca="1" si="465"/>
        <v>6869.2673516938175</v>
      </c>
      <c r="AL131" s="273">
        <f t="shared" ca="1" si="461"/>
        <v>6770.0947542747172</v>
      </c>
      <c r="AM131" s="273">
        <f t="shared" ca="1" si="461"/>
        <v>6556.2190287705116</v>
      </c>
      <c r="AN131" s="273">
        <f t="shared" ca="1" si="461"/>
        <v>6179.1765095048613</v>
      </c>
      <c r="AO131" s="273">
        <f t="shared" ca="1" si="461"/>
        <v>5098.6891370615913</v>
      </c>
      <c r="AP131" s="273">
        <f ca="1">+AP130/((1+AP109)^((+AP$2-$R$4)/365))</f>
        <v>4821.8843491969556</v>
      </c>
      <c r="AQ131" s="273">
        <f ca="1">+AQ130/((1+AQ109)^((+AQ$2-$R$4)/365))</f>
        <v>5234.0722890460966</v>
      </c>
      <c r="AR131" s="273">
        <f ca="1">+AR130/((1+AR109)^((+AR$2-$R$4)/365))</f>
        <v>4951.3697037380698</v>
      </c>
      <c r="AS131" s="265"/>
      <c r="AT131" s="265"/>
      <c r="AU131" s="265"/>
      <c r="AV131" s="265"/>
    </row>
    <row r="132" spans="3:147" s="10" customFormat="1" ht="13.8" thickBot="1">
      <c r="C132" s="111"/>
      <c r="G132" s="111"/>
      <c r="H132" s="111"/>
      <c r="L132" s="111"/>
      <c r="M132" s="111"/>
      <c r="N132" s="111"/>
      <c r="O132" s="111"/>
      <c r="P132" s="111"/>
      <c r="S132" s="136"/>
      <c r="T132" s="265"/>
      <c r="U132" s="265"/>
      <c r="V132" s="265"/>
      <c r="W132" s="265"/>
      <c r="X132" s="265"/>
      <c r="Y132" s="265"/>
      <c r="Z132" s="265"/>
      <c r="AA132" s="265"/>
      <c r="AB132" s="265"/>
      <c r="AC132" s="265"/>
      <c r="AD132" s="265"/>
      <c r="AE132" s="265"/>
      <c r="AF132" s="265"/>
      <c r="AG132" s="265"/>
      <c r="AH132" s="1656"/>
      <c r="AI132" s="265"/>
      <c r="AJ132" s="265"/>
      <c r="AK132" s="265"/>
      <c r="AL132" s="265"/>
      <c r="AM132" s="265"/>
      <c r="AN132" s="265"/>
      <c r="AO132" s="265"/>
      <c r="AP132" s="265"/>
      <c r="AQ132" s="265"/>
      <c r="AR132" s="265"/>
      <c r="AS132" s="265"/>
      <c r="AT132" s="265"/>
      <c r="AU132" s="265"/>
      <c r="AV132" s="265"/>
    </row>
    <row r="133" spans="3:147" s="10" customFormat="1" ht="13.8" thickBot="1">
      <c r="C133" s="111"/>
      <c r="G133" s="111"/>
      <c r="H133" s="111"/>
      <c r="L133" s="111"/>
      <c r="M133" s="111"/>
      <c r="N133" s="111"/>
      <c r="O133" s="111"/>
      <c r="P133" s="111"/>
      <c r="R133" s="10" t="s">
        <v>153</v>
      </c>
      <c r="S133" s="303">
        <f ca="1">SUM(AG131:AR131)</f>
        <v>74103.026516161422</v>
      </c>
      <c r="T133" s="265" t="s">
        <v>353</v>
      </c>
      <c r="U133" s="265"/>
      <c r="V133" s="265"/>
      <c r="W133" s="265"/>
      <c r="X133" s="265"/>
      <c r="Y133" s="265"/>
      <c r="Z133" s="265"/>
      <c r="AA133" s="265"/>
      <c r="AB133" s="265"/>
      <c r="AC133" s="265"/>
      <c r="AD133" s="265"/>
      <c r="AE133" s="265"/>
      <c r="AF133" s="265"/>
      <c r="AG133" s="265"/>
      <c r="AH133" s="1656"/>
      <c r="AI133" s="265"/>
      <c r="AJ133" s="265"/>
      <c r="AK133" s="265"/>
      <c r="AL133" s="265"/>
      <c r="AM133" s="265"/>
      <c r="AN133" s="265"/>
      <c r="AO133" s="265"/>
      <c r="AP133" s="265"/>
      <c r="AQ133" s="265"/>
      <c r="AR133" s="265"/>
      <c r="AS133" s="265"/>
      <c r="AT133" s="265"/>
      <c r="AU133" s="265"/>
      <c r="AV133" s="265"/>
    </row>
    <row r="134" spans="3:147" s="10" customFormat="1">
      <c r="C134" s="111"/>
      <c r="G134" s="111"/>
      <c r="H134" s="111"/>
      <c r="L134" s="111"/>
      <c r="M134" s="111"/>
      <c r="N134" s="111"/>
      <c r="O134" s="111"/>
      <c r="P134" s="111"/>
      <c r="S134" s="111"/>
      <c r="AH134" s="1626"/>
    </row>
    <row r="135" spans="3:147" s="10" customFormat="1" ht="13.8" thickBot="1">
      <c r="C135" s="111"/>
      <c r="G135" s="111"/>
      <c r="H135" s="111"/>
      <c r="L135" s="111"/>
      <c r="M135" s="111"/>
      <c r="N135" s="111"/>
      <c r="O135" s="111"/>
      <c r="P135" s="111"/>
      <c r="S135" s="111"/>
      <c r="AH135" s="1626"/>
    </row>
    <row r="136" spans="3:147" ht="13.8" thickBot="1">
      <c r="R136" s="289" t="s">
        <v>287</v>
      </c>
      <c r="S136" s="111"/>
      <c r="T136" s="10"/>
      <c r="U136" s="10"/>
      <c r="V136" s="10"/>
      <c r="W136" s="10"/>
      <c r="X136" s="10"/>
      <c r="Y136" s="10"/>
      <c r="Z136" s="10"/>
      <c r="AA136" s="10"/>
      <c r="AB136" s="10"/>
      <c r="AC136" s="10"/>
      <c r="AD136" s="10"/>
      <c r="AE136" s="10"/>
      <c r="AF136" s="10"/>
      <c r="AG136" s="10"/>
      <c r="AH136" s="1626"/>
      <c r="AI136" s="10"/>
      <c r="AJ136" s="10"/>
      <c r="AK136" s="10"/>
      <c r="AL136" s="10"/>
      <c r="AM136" s="10"/>
      <c r="AN136" s="10"/>
      <c r="AO136" s="10"/>
      <c r="AP136" s="10"/>
      <c r="AQ136" s="10"/>
      <c r="AR136" s="10"/>
      <c r="AS136" s="10"/>
      <c r="AT136" s="10"/>
      <c r="AU136" s="10"/>
      <c r="AV136" s="10"/>
      <c r="AW136" s="10"/>
      <c r="AX136" s="10"/>
      <c r="AY136" s="10"/>
      <c r="AZ136" s="10"/>
      <c r="BA136" s="10"/>
      <c r="BB136" s="10"/>
      <c r="BC136" s="10"/>
      <c r="BD136" s="10"/>
      <c r="BE136" s="10"/>
      <c r="BF136" s="10"/>
      <c r="BG136" s="10"/>
      <c r="BH136" s="10"/>
      <c r="BI136" s="10"/>
      <c r="BJ136" s="10"/>
      <c r="BK136" s="10"/>
      <c r="BL136" s="10"/>
      <c r="BM136" s="10"/>
      <c r="BN136" s="10"/>
      <c r="BO136" s="10"/>
      <c r="BP136" s="10"/>
      <c r="BQ136" s="10"/>
      <c r="BR136" s="10"/>
      <c r="BS136" s="10"/>
      <c r="BT136" s="10"/>
      <c r="BU136" s="10"/>
      <c r="BV136" s="10"/>
      <c r="BW136" s="10"/>
      <c r="BX136" s="10"/>
      <c r="BY136" s="10"/>
      <c r="BZ136" s="10"/>
      <c r="CA136" s="10"/>
      <c r="CB136" s="10"/>
      <c r="CC136" s="10"/>
      <c r="CD136" s="10"/>
      <c r="CE136" s="10"/>
      <c r="CF136" s="10"/>
      <c r="CG136" s="10"/>
      <c r="CH136" s="10"/>
      <c r="CI136" s="10"/>
      <c r="CJ136" s="10"/>
      <c r="CK136" s="10"/>
      <c r="CL136" s="10"/>
      <c r="CM136" s="10"/>
      <c r="CN136" s="10"/>
      <c r="CO136" s="10"/>
      <c r="CP136" s="10"/>
      <c r="CQ136" s="10"/>
      <c r="CR136" s="10"/>
      <c r="CS136" s="10"/>
      <c r="CT136" s="10"/>
      <c r="CU136" s="10"/>
      <c r="CV136" s="10"/>
      <c r="CW136" s="10"/>
      <c r="CX136" s="10"/>
      <c r="CY136" s="10"/>
      <c r="CZ136" s="10"/>
      <c r="DA136" s="10"/>
      <c r="DB136" s="10"/>
      <c r="DC136" s="10"/>
      <c r="DD136" s="10"/>
      <c r="DE136" s="10"/>
      <c r="DF136" s="10"/>
      <c r="DG136" s="10"/>
      <c r="DH136" s="10"/>
      <c r="DI136" s="10"/>
      <c r="DJ136" s="10"/>
      <c r="DK136" s="10"/>
      <c r="DL136" s="10"/>
      <c r="DM136" s="10"/>
      <c r="DN136" s="10"/>
      <c r="DO136" s="10"/>
      <c r="DP136" s="10"/>
      <c r="DQ136" s="10"/>
      <c r="DR136" s="10"/>
      <c r="DS136" s="10"/>
      <c r="DT136" s="10"/>
      <c r="DU136" s="10"/>
      <c r="DV136" s="10"/>
      <c r="DW136" s="10"/>
      <c r="DX136" s="10"/>
      <c r="DY136" s="10"/>
      <c r="DZ136" s="10"/>
      <c r="EA136" s="10"/>
      <c r="EB136" s="10"/>
      <c r="EC136" s="10"/>
      <c r="ED136" s="10"/>
      <c r="EE136" s="10"/>
      <c r="EF136" s="10"/>
      <c r="EG136" s="10"/>
      <c r="EH136" s="10"/>
      <c r="EI136" s="10"/>
      <c r="EJ136" s="10"/>
      <c r="EK136" s="10"/>
      <c r="EL136" s="10"/>
      <c r="EM136" s="10"/>
      <c r="EN136" s="10"/>
      <c r="EO136" s="10"/>
      <c r="EP136" s="10"/>
      <c r="EQ136" s="10"/>
    </row>
    <row r="137" spans="3:147">
      <c r="R137" s="10" t="s">
        <v>356</v>
      </c>
      <c r="S137" s="136"/>
      <c r="T137" s="265"/>
      <c r="U137" s="265"/>
      <c r="V137" s="265"/>
      <c r="W137" s="265"/>
      <c r="X137" s="265"/>
      <c r="Y137" s="265"/>
      <c r="Z137" s="265"/>
      <c r="AA137" s="265"/>
      <c r="AB137" s="265">
        <f t="shared" ref="AB137:AO137" si="466">-AB85</f>
        <v>4481</v>
      </c>
      <c r="AC137" s="265">
        <f t="shared" ref="AC137:AH137" si="467">-AC85</f>
        <v>2922</v>
      </c>
      <c r="AD137" s="265">
        <f t="shared" si="467"/>
        <v>2928</v>
      </c>
      <c r="AE137" s="265">
        <f t="shared" si="467"/>
        <v>4005.7550052799998</v>
      </c>
      <c r="AF137" s="265">
        <f t="shared" ref="AF137:AG137" si="468">-AF85</f>
        <v>4411.7270934200005</v>
      </c>
      <c r="AG137" s="265">
        <f t="shared" si="468"/>
        <v>5220</v>
      </c>
      <c r="AH137" s="1656">
        <f t="shared" si="467"/>
        <v>4847</v>
      </c>
      <c r="AI137" s="265">
        <f t="shared" ref="AI137" ca="1" si="469">-AI85</f>
        <v>5030.3937575710897</v>
      </c>
      <c r="AJ137" s="265">
        <f t="shared" ref="AJ137:AK137" ca="1" si="470">-AJ85</f>
        <v>5308.4938722530151</v>
      </c>
      <c r="AK137" s="265">
        <f t="shared" ca="1" si="470"/>
        <v>5564.6988297120752</v>
      </c>
      <c r="AL137" s="265">
        <f t="shared" ca="1" si="466"/>
        <v>5893.5325541713273</v>
      </c>
      <c r="AM137" s="265">
        <f t="shared" ca="1" si="466"/>
        <v>6192.4731445633115</v>
      </c>
      <c r="AN137" s="265">
        <f t="shared" ca="1" si="466"/>
        <v>6332.4390321069131</v>
      </c>
      <c r="AO137" s="265">
        <f t="shared" ca="1" si="466"/>
        <v>5669.2902021930804</v>
      </c>
      <c r="AP137" s="265">
        <f ca="1">-AP85</f>
        <v>5817.2359882975252</v>
      </c>
      <c r="AQ137" s="265">
        <f ca="1">-AQ85</f>
        <v>6851.2426172006253</v>
      </c>
      <c r="AR137" s="265">
        <f ca="1">-AR85</f>
        <v>7032.0949121500153</v>
      </c>
      <c r="AS137" s="265"/>
      <c r="AT137" s="265"/>
      <c r="AU137" s="265"/>
      <c r="AV137" s="265"/>
      <c r="AW137" s="10"/>
      <c r="AX137" s="10"/>
      <c r="AY137" s="10"/>
      <c r="AZ137" s="10"/>
      <c r="BA137" s="10"/>
      <c r="BB137" s="10"/>
      <c r="BC137" s="10"/>
      <c r="BD137" s="10"/>
      <c r="BE137" s="10"/>
      <c r="BF137" s="10"/>
      <c r="BG137" s="10"/>
      <c r="BH137" s="10"/>
      <c r="BI137" s="10"/>
      <c r="BJ137" s="10"/>
      <c r="BK137" s="10"/>
      <c r="BL137" s="10"/>
      <c r="BM137" s="10"/>
      <c r="BN137" s="10"/>
      <c r="BO137" s="10"/>
      <c r="BP137" s="10"/>
      <c r="BQ137" s="10"/>
      <c r="BR137" s="10"/>
      <c r="BS137" s="10"/>
      <c r="BT137" s="10"/>
      <c r="BU137" s="10"/>
      <c r="BV137" s="10"/>
      <c r="BW137" s="10"/>
      <c r="BX137" s="10"/>
      <c r="BY137" s="10"/>
      <c r="BZ137" s="10"/>
      <c r="CA137" s="10"/>
      <c r="CB137" s="10"/>
      <c r="CC137" s="10"/>
      <c r="CD137" s="10"/>
      <c r="CE137" s="10"/>
      <c r="CF137" s="10"/>
      <c r="CG137" s="10"/>
      <c r="CH137" s="10"/>
      <c r="CI137" s="10"/>
      <c r="CJ137" s="10"/>
      <c r="CK137" s="10"/>
      <c r="CL137" s="10"/>
      <c r="CM137" s="10"/>
      <c r="CN137" s="10"/>
      <c r="CO137" s="10"/>
      <c r="CP137" s="10"/>
      <c r="CQ137" s="10"/>
      <c r="CR137" s="10"/>
      <c r="CS137" s="10"/>
      <c r="CT137" s="10"/>
      <c r="CU137" s="10"/>
      <c r="CV137" s="10"/>
      <c r="CW137" s="10"/>
      <c r="CX137" s="10"/>
      <c r="CY137" s="10"/>
      <c r="CZ137" s="10"/>
      <c r="DA137" s="10"/>
      <c r="DB137" s="10"/>
      <c r="DC137" s="10"/>
      <c r="DD137" s="10"/>
      <c r="DE137" s="10"/>
      <c r="DF137" s="10"/>
      <c r="DG137" s="10"/>
      <c r="DH137" s="10"/>
      <c r="DI137" s="10"/>
      <c r="DJ137" s="10"/>
      <c r="DK137" s="10"/>
      <c r="DL137" s="10"/>
      <c r="DM137" s="10"/>
      <c r="DN137" s="10"/>
      <c r="DO137" s="10"/>
      <c r="DP137" s="10"/>
      <c r="DQ137" s="10"/>
      <c r="DR137" s="10"/>
      <c r="DS137" s="10"/>
      <c r="DT137" s="10"/>
      <c r="DU137" s="10"/>
      <c r="DV137" s="10"/>
      <c r="DW137" s="10"/>
      <c r="DX137" s="10"/>
      <c r="DY137" s="10"/>
      <c r="DZ137" s="10"/>
      <c r="EA137" s="10"/>
      <c r="EB137" s="10"/>
      <c r="EC137" s="10"/>
      <c r="ED137" s="10"/>
      <c r="EE137" s="10"/>
      <c r="EF137" s="10"/>
      <c r="EG137" s="10"/>
      <c r="EH137" s="10"/>
      <c r="EI137" s="10"/>
      <c r="EJ137" s="10"/>
      <c r="EK137" s="10"/>
      <c r="EL137" s="10"/>
      <c r="EM137" s="10"/>
      <c r="EN137" s="10"/>
      <c r="EO137" s="10"/>
      <c r="EP137" s="10"/>
      <c r="EQ137" s="10"/>
    </row>
    <row r="138" spans="3:147">
      <c r="R138" s="113" t="s">
        <v>453</v>
      </c>
      <c r="S138" s="304"/>
      <c r="T138" s="275"/>
      <c r="U138" s="275"/>
      <c r="V138" s="275"/>
      <c r="W138" s="275"/>
      <c r="X138" s="275"/>
      <c r="Y138" s="275"/>
      <c r="Z138" s="275"/>
      <c r="AA138" s="275"/>
      <c r="AB138" s="275">
        <f t="shared" ref="AB138:AO138" si="471">+AB137/((1+AB109)^((+AB$2-$R$4)/365))</f>
        <v>7564.9270208797625</v>
      </c>
      <c r="AC138" s="275">
        <f t="shared" ref="AC138:AH138" si="472">+AC137/((1+AC109)^((+AC$2-$R$4)/365))</f>
        <v>4546.5322102457512</v>
      </c>
      <c r="AD138" s="275">
        <f t="shared" si="472"/>
        <v>4198.9566869480723</v>
      </c>
      <c r="AE138" s="275">
        <f t="shared" si="472"/>
        <v>5294.5001906575526</v>
      </c>
      <c r="AF138" s="275">
        <f t="shared" ref="AF138:AG138" si="473">+AF137/((1+AF109)^((+AF$2-$R$4)/365))</f>
        <v>5374.2700515562183</v>
      </c>
      <c r="AG138" s="275">
        <f t="shared" si="473"/>
        <v>5860.7286061459299</v>
      </c>
      <c r="AH138" s="1663">
        <f t="shared" si="472"/>
        <v>5015.6172738650212</v>
      </c>
      <c r="AI138" s="275">
        <f t="shared" ref="AI138" ca="1" si="474">+AI137/((1+AI109)^((+AI$2-$R$4)/365))</f>
        <v>4797.5953247372036</v>
      </c>
      <c r="AJ138" s="275">
        <f t="shared" ref="AJ138:AK138" ca="1" si="475">+AJ137/((1+AJ109)^((+AJ$2-$R$4)/365))</f>
        <v>4666.198542766876</v>
      </c>
      <c r="AK138" s="275">
        <f t="shared" ca="1" si="475"/>
        <v>4508.20669631684</v>
      </c>
      <c r="AL138" s="275">
        <f t="shared" ca="1" si="471"/>
        <v>4400.5615902785667</v>
      </c>
      <c r="AM138" s="275">
        <f t="shared" ca="1" si="471"/>
        <v>4261.5423687008324</v>
      </c>
      <c r="AN138" s="275">
        <f t="shared" ca="1" si="471"/>
        <v>4016.4647311781596</v>
      </c>
      <c r="AO138" s="275">
        <f t="shared" ca="1" si="471"/>
        <v>3314.1479390900349</v>
      </c>
      <c r="AP138" s="275">
        <f ca="1">+AP137/((1+AP109)^((+AP$2-$R$4)/365))</f>
        <v>3134.2248269780212</v>
      </c>
      <c r="AQ138" s="275">
        <f ca="1">+AQ137/((1+AQ109)^((+AQ$2-$R$4)/365))</f>
        <v>3402.1469878799626</v>
      </c>
      <c r="AR138" s="275">
        <f ca="1">+AR137/((1+AR109)^((+AR$2-$R$4)/365))</f>
        <v>3218.3903074297455</v>
      </c>
      <c r="AS138" s="10"/>
      <c r="AT138" s="10"/>
      <c r="AU138" s="10"/>
      <c r="AV138" s="10"/>
      <c r="AW138" s="10"/>
      <c r="AX138" s="10"/>
      <c r="AY138" s="10"/>
      <c r="AZ138" s="10"/>
      <c r="BA138" s="10"/>
      <c r="BB138" s="10"/>
      <c r="BC138" s="10"/>
      <c r="BD138" s="10"/>
      <c r="BE138" s="10"/>
      <c r="BF138" s="10"/>
      <c r="BG138" s="10"/>
      <c r="BH138" s="10"/>
      <c r="BI138" s="10"/>
      <c r="BJ138" s="10"/>
      <c r="BK138" s="10"/>
      <c r="BL138" s="10"/>
      <c r="BM138" s="10"/>
      <c r="BN138" s="10"/>
      <c r="BO138" s="10"/>
      <c r="BP138" s="10"/>
      <c r="BQ138" s="10"/>
      <c r="BR138" s="10"/>
      <c r="BS138" s="10"/>
      <c r="BT138" s="10"/>
      <c r="BU138" s="10"/>
      <c r="BV138" s="10"/>
      <c r="BW138" s="10"/>
      <c r="BX138" s="10"/>
      <c r="BY138" s="10"/>
      <c r="BZ138" s="10"/>
      <c r="CA138" s="10"/>
      <c r="CB138" s="10"/>
      <c r="CC138" s="10"/>
      <c r="CD138" s="10"/>
      <c r="CE138" s="10"/>
      <c r="CF138" s="10"/>
      <c r="CG138" s="10"/>
    </row>
    <row r="139" spans="3:147" ht="13.8" thickBot="1">
      <c r="R139" s="10"/>
      <c r="S139" s="111"/>
      <c r="T139" s="10"/>
      <c r="U139" s="10"/>
      <c r="V139" s="10"/>
      <c r="W139" s="10"/>
      <c r="X139" s="10"/>
      <c r="Y139" s="10"/>
      <c r="Z139" s="10"/>
      <c r="AA139" s="10"/>
      <c r="AB139" s="10"/>
      <c r="AC139" s="10"/>
      <c r="AD139" s="10"/>
      <c r="AE139" s="10"/>
      <c r="AF139" s="10"/>
      <c r="AG139" s="10"/>
      <c r="AH139" s="1626"/>
      <c r="AI139" s="10"/>
      <c r="AJ139" s="10"/>
      <c r="AK139" s="10"/>
      <c r="AL139" s="10"/>
      <c r="AM139" s="10"/>
      <c r="AN139" s="10"/>
      <c r="AO139" s="10"/>
      <c r="AP139" s="10"/>
      <c r="AQ139" s="10"/>
      <c r="AR139" s="10"/>
      <c r="AS139" s="10"/>
      <c r="AT139" s="10"/>
      <c r="AU139" s="10"/>
      <c r="AV139" s="10"/>
      <c r="AW139" s="10"/>
      <c r="AX139" s="10"/>
      <c r="AY139" s="10"/>
      <c r="AZ139" s="10"/>
      <c r="BA139" s="10"/>
      <c r="BB139" s="10"/>
      <c r="BC139" s="10"/>
      <c r="BD139" s="10"/>
      <c r="BE139" s="10"/>
      <c r="BF139" s="10"/>
      <c r="BG139" s="10"/>
      <c r="BH139" s="10"/>
      <c r="BI139" s="10"/>
      <c r="BJ139" s="10"/>
      <c r="BK139" s="10"/>
      <c r="BL139" s="10"/>
      <c r="BM139" s="10"/>
      <c r="BN139" s="10"/>
      <c r="BO139" s="10"/>
      <c r="BP139" s="10"/>
      <c r="BQ139" s="10"/>
      <c r="BR139" s="10"/>
      <c r="BS139" s="10"/>
      <c r="BT139" s="10"/>
      <c r="BU139" s="10"/>
      <c r="BV139" s="10"/>
      <c r="BW139" s="10"/>
      <c r="BX139" s="10"/>
      <c r="BY139" s="10"/>
      <c r="BZ139" s="10"/>
      <c r="CA139" s="10"/>
      <c r="CB139" s="10"/>
      <c r="CC139" s="10"/>
      <c r="CD139" s="10"/>
      <c r="CE139" s="10"/>
      <c r="CF139" s="10"/>
      <c r="CG139" s="10"/>
    </row>
    <row r="140" spans="3:147" ht="13.8" thickBot="1">
      <c r="R140" s="10" t="s">
        <v>153</v>
      </c>
      <c r="S140" s="303">
        <f ca="1">SUM(AG138:AR138)</f>
        <v>50595.825195367186</v>
      </c>
      <c r="T140" s="265" t="s">
        <v>353</v>
      </c>
      <c r="U140" s="265"/>
      <c r="V140" s="10"/>
      <c r="W140" s="10"/>
      <c r="X140" s="10"/>
      <c r="Y140" s="10"/>
      <c r="Z140" s="10"/>
      <c r="AA140" s="10"/>
      <c r="AB140" s="10"/>
      <c r="AC140" s="10"/>
      <c r="AD140" s="10"/>
      <c r="AE140" s="10"/>
      <c r="AF140" s="10"/>
      <c r="AG140" s="10"/>
      <c r="AH140" s="1626"/>
      <c r="AI140" s="10"/>
      <c r="AJ140" s="10"/>
      <c r="AK140" s="10"/>
      <c r="AL140" s="10"/>
      <c r="AM140" s="10"/>
      <c r="AN140" s="10"/>
      <c r="AO140" s="10"/>
      <c r="AP140" s="10"/>
      <c r="AQ140" s="10"/>
      <c r="AR140" s="10"/>
      <c r="AS140" s="10"/>
      <c r="AT140" s="10"/>
      <c r="AU140" s="10"/>
      <c r="AV140" s="10"/>
      <c r="AW140" s="10"/>
      <c r="AX140" s="10"/>
      <c r="AY140" s="10"/>
      <c r="AZ140" s="10"/>
      <c r="BA140" s="10"/>
      <c r="BB140" s="10"/>
      <c r="BC140" s="10"/>
      <c r="BD140" s="10"/>
      <c r="BE140" s="10"/>
      <c r="BF140" s="10"/>
      <c r="BG140" s="10"/>
      <c r="BH140" s="10"/>
      <c r="BI140" s="10"/>
      <c r="BJ140" s="10"/>
      <c r="BK140" s="10"/>
      <c r="BL140" s="10"/>
      <c r="BM140" s="10"/>
      <c r="BN140" s="10"/>
      <c r="BO140" s="10"/>
      <c r="BP140" s="10"/>
      <c r="BQ140" s="10"/>
      <c r="BR140" s="10"/>
      <c r="BS140" s="10"/>
      <c r="BT140" s="10"/>
      <c r="BU140" s="10"/>
      <c r="BV140" s="10"/>
      <c r="BW140" s="10"/>
      <c r="BX140" s="10"/>
      <c r="BY140" s="10"/>
      <c r="BZ140" s="10"/>
      <c r="CA140" s="10"/>
      <c r="CB140" s="10"/>
      <c r="CC140" s="10"/>
      <c r="CD140" s="10"/>
      <c r="CE140" s="10"/>
      <c r="CF140" s="10"/>
    </row>
    <row r="141" spans="3:147">
      <c r="R141" s="10" t="s">
        <v>283</v>
      </c>
      <c r="S141" s="19">
        <f>+G42</f>
        <v>0.03</v>
      </c>
      <c r="T141" s="10"/>
      <c r="U141" s="10"/>
      <c r="V141" s="10"/>
      <c r="W141" s="10"/>
      <c r="X141" s="10"/>
      <c r="Y141" s="10"/>
      <c r="Z141" s="10"/>
      <c r="AA141" s="10"/>
      <c r="AB141" s="10"/>
      <c r="AC141" s="10"/>
      <c r="AD141" s="10"/>
      <c r="AE141" s="10"/>
      <c r="AF141" s="10"/>
      <c r="AG141" s="10"/>
      <c r="AH141" s="1626"/>
      <c r="AI141" s="10"/>
      <c r="AJ141" s="10"/>
      <c r="AK141" s="10"/>
      <c r="AL141" s="10"/>
      <c r="AM141" s="10"/>
      <c r="AN141" s="10"/>
      <c r="AO141" s="10"/>
      <c r="AP141" s="10"/>
      <c r="AQ141" s="10"/>
      <c r="AR141" s="10"/>
      <c r="AS141" s="10"/>
      <c r="AT141" s="10"/>
      <c r="AU141" s="10"/>
      <c r="AV141" s="10"/>
      <c r="AW141" s="10"/>
      <c r="AX141" s="10"/>
      <c r="AY141" s="10"/>
      <c r="AZ141" s="10"/>
      <c r="BA141" s="10"/>
      <c r="BB141" s="10"/>
      <c r="BC141" s="10"/>
      <c r="BD141" s="10"/>
      <c r="BE141" s="10"/>
      <c r="BF141" s="10"/>
      <c r="BG141" s="10"/>
      <c r="BH141" s="10"/>
      <c r="BI141" s="10"/>
      <c r="BJ141" s="10"/>
      <c r="BK141" s="10"/>
      <c r="BL141" s="10"/>
      <c r="BM141" s="10"/>
      <c r="BN141" s="10"/>
      <c r="BO141" s="10"/>
      <c r="BP141" s="10"/>
      <c r="BQ141" s="10"/>
      <c r="BR141" s="10"/>
      <c r="BS141" s="10"/>
      <c r="BT141" s="10"/>
      <c r="BU141" s="10"/>
      <c r="BV141" s="10"/>
      <c r="BW141" s="10"/>
      <c r="BX141" s="10"/>
      <c r="BY141" s="10"/>
      <c r="BZ141" s="10"/>
      <c r="CA141" s="10"/>
      <c r="CB141" s="10"/>
      <c r="CC141" s="10"/>
      <c r="CD141" s="10"/>
      <c r="CE141" s="10"/>
      <c r="CF141" s="10"/>
    </row>
    <row r="142" spans="3:147">
      <c r="R142" s="10" t="s">
        <v>289</v>
      </c>
      <c r="S142" s="181">
        <f>1/($C$15/100-S141)*((1+$C$15/100)^-10)</f>
        <v>8.041553000670822</v>
      </c>
      <c r="T142" s="10"/>
      <c r="U142" s="10"/>
      <c r="V142" s="10"/>
      <c r="W142" s="10"/>
      <c r="X142" s="10"/>
      <c r="Y142" s="10"/>
      <c r="Z142" s="10"/>
      <c r="AA142" s="10"/>
      <c r="AB142" s="10"/>
      <c r="AC142" s="10"/>
      <c r="AD142" s="10"/>
      <c r="AE142" s="10"/>
      <c r="AF142" s="10"/>
      <c r="AG142" s="10"/>
      <c r="AH142" s="1626"/>
      <c r="AI142" s="10"/>
      <c r="AJ142" s="10"/>
      <c r="AK142" s="10"/>
      <c r="AL142" s="10"/>
      <c r="AM142" s="10"/>
      <c r="AN142" s="10"/>
      <c r="AO142" s="10"/>
      <c r="AP142" s="10"/>
      <c r="AQ142" s="10"/>
      <c r="AR142" s="10"/>
      <c r="AS142" s="10"/>
      <c r="AT142" s="10"/>
      <c r="AU142" s="10"/>
      <c r="AV142" s="10"/>
      <c r="AW142" s="10"/>
      <c r="AX142" s="10"/>
      <c r="AY142" s="10"/>
      <c r="AZ142" s="10"/>
      <c r="BA142" s="10"/>
      <c r="BB142" s="10"/>
      <c r="BC142" s="10"/>
      <c r="BD142" s="10"/>
      <c r="BE142" s="10"/>
      <c r="BF142" s="10"/>
      <c r="BG142" s="10"/>
      <c r="BH142" s="10"/>
      <c r="BI142" s="10"/>
      <c r="BJ142" s="10"/>
      <c r="BK142" s="10"/>
      <c r="BL142" s="10"/>
      <c r="BM142" s="10"/>
      <c r="BN142" s="10"/>
      <c r="BO142" s="10"/>
      <c r="BP142" s="10"/>
      <c r="BQ142" s="10"/>
      <c r="BR142" s="10"/>
      <c r="BS142" s="10"/>
      <c r="BT142" s="10"/>
      <c r="BU142" s="10"/>
      <c r="BV142" s="10"/>
      <c r="BW142" s="10"/>
      <c r="BX142" s="10"/>
      <c r="BY142" s="10"/>
      <c r="BZ142" s="10"/>
      <c r="CA142" s="10"/>
      <c r="CB142" s="10"/>
      <c r="CC142" s="10"/>
      <c r="CD142" s="10"/>
      <c r="CE142" s="10"/>
      <c r="CF142" s="10"/>
    </row>
    <row r="143" spans="3:147">
      <c r="R143" s="10" t="s">
        <v>274</v>
      </c>
      <c r="S143" s="1027">
        <f>+S142*AG137</f>
        <v>41976.906663501693</v>
      </c>
      <c r="T143" s="10"/>
      <c r="U143" s="10"/>
      <c r="V143" s="10"/>
      <c r="W143" s="10"/>
      <c r="X143" s="10"/>
      <c r="Y143" s="10"/>
      <c r="Z143" s="10"/>
      <c r="AA143" s="10"/>
      <c r="AB143" s="10"/>
      <c r="AC143" s="10"/>
      <c r="AD143" s="10"/>
      <c r="AE143" s="10"/>
      <c r="AF143" s="10"/>
      <c r="AG143" s="10"/>
      <c r="AH143" s="1626"/>
      <c r="AI143" s="10"/>
      <c r="AJ143" s="10"/>
      <c r="AK143" s="10"/>
      <c r="AL143" s="10"/>
      <c r="AM143" s="10"/>
      <c r="AN143" s="10"/>
      <c r="AO143" s="10"/>
      <c r="AP143" s="10"/>
      <c r="AQ143" s="10"/>
      <c r="AR143" s="10"/>
      <c r="AS143" s="10"/>
      <c r="AT143" s="10"/>
      <c r="AU143" s="10"/>
      <c r="AV143" s="10"/>
      <c r="AW143" s="10"/>
      <c r="AX143" s="10"/>
      <c r="AY143" s="10"/>
      <c r="AZ143" s="10"/>
      <c r="BA143" s="10"/>
      <c r="BB143" s="10"/>
      <c r="BC143" s="10"/>
      <c r="BD143" s="10"/>
      <c r="BE143" s="10"/>
      <c r="BF143" s="10"/>
      <c r="BG143" s="10"/>
      <c r="BH143" s="10"/>
      <c r="BI143" s="10"/>
      <c r="BJ143" s="10"/>
      <c r="BK143" s="10"/>
      <c r="BL143" s="10"/>
      <c r="BM143" s="10"/>
      <c r="BN143" s="10"/>
      <c r="BO143" s="10"/>
      <c r="BP143" s="10"/>
      <c r="BQ143" s="10"/>
      <c r="BR143" s="10"/>
      <c r="BS143" s="10"/>
      <c r="BT143" s="10"/>
      <c r="BU143" s="10"/>
      <c r="BV143" s="10"/>
      <c r="BW143" s="10"/>
      <c r="BX143" s="10"/>
      <c r="BY143" s="10"/>
      <c r="BZ143" s="10"/>
      <c r="CA143" s="10"/>
      <c r="CB143" s="10"/>
      <c r="CC143" s="10"/>
      <c r="CD143" s="10"/>
      <c r="CE143" s="10"/>
      <c r="CF143" s="10"/>
    </row>
    <row r="144" spans="3:147">
      <c r="R144" s="10"/>
      <c r="S144" s="111"/>
      <c r="T144" s="10"/>
      <c r="U144" s="10"/>
      <c r="V144" s="10"/>
      <c r="W144" s="10"/>
      <c r="X144" s="10"/>
      <c r="Y144" s="277"/>
      <c r="Z144" s="277"/>
      <c r="AA144" s="277"/>
      <c r="AB144" s="277"/>
      <c r="AC144" s="277"/>
      <c r="AD144" s="277"/>
      <c r="AE144" s="277"/>
      <c r="AF144" s="277"/>
      <c r="AG144" s="277"/>
      <c r="AH144" s="1664"/>
      <c r="AI144" s="277"/>
      <c r="AJ144" s="277"/>
      <c r="AK144" s="277"/>
      <c r="AL144" s="277"/>
      <c r="AM144" s="277"/>
      <c r="AN144" s="277"/>
      <c r="AO144" s="277"/>
      <c r="AP144" s="277"/>
      <c r="AQ144" s="277"/>
      <c r="AR144" s="277"/>
      <c r="AS144" s="277"/>
      <c r="AT144" s="277"/>
      <c r="AU144" s="277"/>
      <c r="AV144" s="277"/>
      <c r="AW144" s="277"/>
      <c r="AX144" s="277"/>
      <c r="AY144" s="277"/>
      <c r="AZ144" s="277"/>
      <c r="BA144" s="277"/>
      <c r="BB144" s="277"/>
      <c r="BC144" s="277"/>
      <c r="BD144" s="277"/>
      <c r="BE144" s="277"/>
      <c r="BF144" s="277"/>
      <c r="BG144" s="277"/>
      <c r="BH144" s="277"/>
      <c r="BI144" s="277"/>
      <c r="BJ144" s="277"/>
      <c r="BK144" s="277"/>
      <c r="BL144" s="277"/>
      <c r="BM144" s="277"/>
      <c r="BN144" s="277"/>
      <c r="BO144" s="277"/>
      <c r="BP144" s="277"/>
      <c r="BQ144" s="277"/>
      <c r="BR144" s="277"/>
      <c r="BS144" s="277"/>
      <c r="BT144" s="277"/>
      <c r="BU144" s="277"/>
      <c r="BV144" s="277"/>
      <c r="BW144" s="277"/>
      <c r="BX144" s="277"/>
      <c r="BY144" s="277"/>
      <c r="BZ144" s="277"/>
      <c r="CA144" s="277"/>
      <c r="CB144" s="277"/>
      <c r="CC144" s="277"/>
      <c r="CD144" s="277"/>
      <c r="CE144" s="277"/>
      <c r="CF144" s="10"/>
    </row>
    <row r="145" spans="18:84">
      <c r="R145" s="10" t="s">
        <v>277</v>
      </c>
      <c r="S145" s="136">
        <f ca="1">+S143+S140</f>
        <v>92572.731858868879</v>
      </c>
      <c r="T145" s="278"/>
      <c r="U145" s="278"/>
      <c r="V145" s="10"/>
      <c r="W145" s="10"/>
      <c r="X145" s="10"/>
      <c r="Y145" s="10"/>
      <c r="Z145" s="10"/>
      <c r="AA145" s="10"/>
      <c r="AB145" s="10"/>
      <c r="AC145" s="10"/>
      <c r="AD145" s="10"/>
      <c r="AE145" s="10"/>
      <c r="AF145" s="10"/>
      <c r="AG145" s="10"/>
      <c r="AH145" s="1626"/>
      <c r="AI145" s="10"/>
      <c r="AJ145" s="10"/>
      <c r="AK145" s="10"/>
      <c r="AL145" s="10"/>
      <c r="AM145" s="10"/>
      <c r="AN145" s="10"/>
      <c r="AO145" s="10"/>
      <c r="AP145" s="10"/>
      <c r="AQ145" s="10"/>
      <c r="AR145" s="10"/>
      <c r="AS145" s="10"/>
      <c r="AT145" s="10"/>
      <c r="AU145" s="10"/>
      <c r="AV145" s="10"/>
      <c r="AW145" s="10"/>
      <c r="AX145" s="10"/>
      <c r="AY145" s="10"/>
      <c r="AZ145" s="10"/>
      <c r="BA145" s="10"/>
      <c r="BB145" s="10"/>
      <c r="BC145" s="10"/>
      <c r="BD145" s="10"/>
      <c r="BE145" s="10"/>
      <c r="BF145" s="10"/>
      <c r="BG145" s="10"/>
      <c r="BH145" s="10"/>
      <c r="BI145" s="10"/>
      <c r="BJ145" s="10"/>
      <c r="BK145" s="10"/>
      <c r="BL145" s="10"/>
      <c r="BM145" s="10"/>
      <c r="BN145" s="10"/>
      <c r="BO145" s="10"/>
      <c r="BP145" s="10"/>
      <c r="BQ145" s="10"/>
      <c r="BR145" s="10"/>
      <c r="BS145" s="10"/>
      <c r="BT145" s="10"/>
      <c r="BU145" s="10"/>
      <c r="BV145" s="10"/>
      <c r="BW145" s="10"/>
      <c r="BX145" s="10"/>
      <c r="BY145" s="10"/>
      <c r="BZ145" s="10"/>
      <c r="CA145" s="10"/>
      <c r="CB145" s="10"/>
      <c r="CC145" s="10"/>
      <c r="CD145" s="10"/>
      <c r="CE145" s="10"/>
      <c r="CF145" s="10"/>
    </row>
    <row r="146" spans="18:84" ht="13.8" thickBot="1">
      <c r="R146" s="10"/>
      <c r="S146" s="111"/>
      <c r="T146" s="10"/>
      <c r="U146" s="10"/>
      <c r="V146" s="10"/>
      <c r="W146" s="10"/>
      <c r="X146" s="10"/>
      <c r="Y146" s="10"/>
      <c r="Z146" s="10"/>
      <c r="AA146" s="10"/>
      <c r="AB146" s="10"/>
      <c r="AC146" s="10"/>
      <c r="AD146" s="10"/>
      <c r="AE146" s="10"/>
      <c r="AF146" s="10"/>
      <c r="AG146" s="10"/>
      <c r="AH146" s="1626"/>
      <c r="AI146" s="10"/>
      <c r="AJ146" s="10"/>
      <c r="AK146" s="10"/>
      <c r="AL146" s="10"/>
      <c r="AM146" s="10"/>
      <c r="AN146" s="10"/>
      <c r="AO146" s="10"/>
      <c r="AP146" s="10"/>
      <c r="AQ146" s="10"/>
      <c r="AR146" s="10"/>
      <c r="AS146" s="10"/>
      <c r="AT146" s="10"/>
      <c r="AU146" s="10"/>
      <c r="AV146" s="10"/>
      <c r="AW146" s="10"/>
      <c r="AX146" s="10"/>
      <c r="AY146" s="10"/>
      <c r="AZ146" s="10"/>
      <c r="BA146" s="10"/>
      <c r="BB146" s="10"/>
      <c r="BC146" s="10"/>
      <c r="BD146" s="10"/>
      <c r="BE146" s="10"/>
      <c r="BF146" s="10"/>
      <c r="BG146" s="10"/>
      <c r="BH146" s="10"/>
      <c r="BI146" s="10"/>
      <c r="BJ146" s="10"/>
      <c r="BK146" s="10"/>
      <c r="BL146" s="10"/>
      <c r="BM146" s="10"/>
      <c r="BN146" s="10"/>
      <c r="BO146" s="10"/>
      <c r="BP146" s="10"/>
      <c r="BQ146" s="10"/>
      <c r="BR146" s="10"/>
      <c r="BS146" s="10"/>
      <c r="BT146" s="10"/>
      <c r="BU146" s="10"/>
      <c r="BV146" s="10"/>
      <c r="BW146" s="10"/>
      <c r="BX146" s="10"/>
      <c r="BY146" s="10"/>
      <c r="BZ146" s="10"/>
      <c r="CA146" s="10"/>
      <c r="CB146" s="10"/>
      <c r="CC146" s="10"/>
      <c r="CD146" s="10"/>
      <c r="CE146" s="10"/>
      <c r="CF146" s="10"/>
    </row>
    <row r="147" spans="18:84" ht="13.8" thickBot="1">
      <c r="R147" s="10" t="s">
        <v>319</v>
      </c>
      <c r="S147" s="111"/>
      <c r="T147" s="10"/>
      <c r="U147" s="10"/>
      <c r="V147" s="10"/>
      <c r="W147" s="10"/>
      <c r="X147" s="10"/>
      <c r="Y147" s="10"/>
      <c r="Z147" s="10"/>
      <c r="AA147" s="10"/>
      <c r="AB147" s="282">
        <v>0.3</v>
      </c>
      <c r="AC147" s="176">
        <f t="shared" ref="AC147:AI148" si="476">AB147</f>
        <v>0.3</v>
      </c>
      <c r="AD147" s="176">
        <f t="shared" si="476"/>
        <v>0.3</v>
      </c>
      <c r="AE147" s="176">
        <f t="shared" si="476"/>
        <v>0.3</v>
      </c>
      <c r="AF147" s="176">
        <f t="shared" si="476"/>
        <v>0.3</v>
      </c>
      <c r="AG147" s="176">
        <f t="shared" si="476"/>
        <v>0.3</v>
      </c>
      <c r="AH147" s="1637">
        <f t="shared" si="476"/>
        <v>0.3</v>
      </c>
      <c r="AI147" s="176">
        <f t="shared" si="476"/>
        <v>0.3</v>
      </c>
      <c r="AJ147" s="176">
        <f t="shared" ref="AJ147:AJ148" si="477">AI147</f>
        <v>0.3</v>
      </c>
      <c r="AK147" s="176">
        <f t="shared" ref="AK147:AK148" si="478">AJ147</f>
        <v>0.3</v>
      </c>
      <c r="AL147" s="176">
        <f t="shared" ref="AL147:AR147" si="479">AK147</f>
        <v>0.3</v>
      </c>
      <c r="AM147" s="176">
        <f t="shared" si="479"/>
        <v>0.3</v>
      </c>
      <c r="AN147" s="176">
        <f t="shared" si="479"/>
        <v>0.3</v>
      </c>
      <c r="AO147" s="176">
        <f t="shared" si="479"/>
        <v>0.3</v>
      </c>
      <c r="AP147" s="176">
        <f t="shared" si="479"/>
        <v>0.3</v>
      </c>
      <c r="AQ147" s="176">
        <f t="shared" si="479"/>
        <v>0.3</v>
      </c>
      <c r="AR147" s="176">
        <f t="shared" si="479"/>
        <v>0.3</v>
      </c>
      <c r="AS147" s="10"/>
      <c r="AT147" s="10"/>
      <c r="AU147" s="10"/>
      <c r="AV147" s="10"/>
      <c r="AW147" s="10"/>
      <c r="AX147" s="10"/>
      <c r="AY147" s="10"/>
      <c r="AZ147" s="10"/>
      <c r="BA147" s="10"/>
      <c r="BB147" s="10"/>
      <c r="BC147" s="10"/>
      <c r="BD147" s="10"/>
      <c r="BE147" s="10"/>
      <c r="BF147" s="10"/>
      <c r="BG147" s="10"/>
      <c r="BH147" s="10"/>
      <c r="BI147" s="10"/>
      <c r="BJ147" s="10"/>
      <c r="BK147" s="10"/>
      <c r="BL147" s="10"/>
      <c r="BM147" s="10"/>
      <c r="BN147" s="10"/>
      <c r="BO147" s="10"/>
      <c r="BP147" s="10"/>
      <c r="BQ147" s="10"/>
      <c r="BR147" s="10"/>
      <c r="BS147" s="10"/>
      <c r="BT147" s="10"/>
      <c r="BU147" s="10"/>
      <c r="BV147" s="10"/>
      <c r="BW147" s="10"/>
      <c r="BX147" s="10"/>
      <c r="BY147" s="10"/>
      <c r="BZ147" s="10"/>
      <c r="CA147" s="10"/>
      <c r="CB147" s="10"/>
      <c r="CC147" s="10"/>
      <c r="CD147" s="10"/>
      <c r="CE147" s="10"/>
      <c r="CF147" s="10"/>
    </row>
    <row r="148" spans="18:84">
      <c r="R148" s="10" t="s">
        <v>728</v>
      </c>
      <c r="S148" s="111"/>
      <c r="T148" s="10"/>
      <c r="U148" s="10"/>
      <c r="V148" s="10"/>
      <c r="W148" s="10"/>
      <c r="X148" s="10"/>
      <c r="Y148" s="10"/>
      <c r="Z148" s="10"/>
      <c r="AA148" s="10"/>
      <c r="AB148" s="271">
        <f>MODEL!CH1164</f>
        <v>0.85</v>
      </c>
      <c r="AC148" s="283">
        <f t="shared" si="476"/>
        <v>0.85</v>
      </c>
      <c r="AD148" s="283">
        <f t="shared" si="476"/>
        <v>0.85</v>
      </c>
      <c r="AE148" s="283">
        <f t="shared" si="476"/>
        <v>0.85</v>
      </c>
      <c r="AF148" s="283">
        <f t="shared" si="476"/>
        <v>0.85</v>
      </c>
      <c r="AG148" s="283">
        <f t="shared" si="476"/>
        <v>0.85</v>
      </c>
      <c r="AH148" s="1665">
        <f t="shared" si="476"/>
        <v>0.85</v>
      </c>
      <c r="AI148" s="283">
        <f t="shared" si="476"/>
        <v>0.85</v>
      </c>
      <c r="AJ148" s="283">
        <f t="shared" si="477"/>
        <v>0.85</v>
      </c>
      <c r="AK148" s="283">
        <f t="shared" si="478"/>
        <v>0.85</v>
      </c>
      <c r="AL148" s="283">
        <f t="shared" ref="AL148:AR148" si="480">AK148</f>
        <v>0.85</v>
      </c>
      <c r="AM148" s="283">
        <f t="shared" si="480"/>
        <v>0.85</v>
      </c>
      <c r="AN148" s="283">
        <f t="shared" si="480"/>
        <v>0.85</v>
      </c>
      <c r="AO148" s="283">
        <f t="shared" si="480"/>
        <v>0.85</v>
      </c>
      <c r="AP148" s="283">
        <f t="shared" si="480"/>
        <v>0.85</v>
      </c>
      <c r="AQ148" s="283">
        <f t="shared" si="480"/>
        <v>0.85</v>
      </c>
      <c r="AR148" s="283">
        <f t="shared" si="480"/>
        <v>0.85</v>
      </c>
      <c r="AS148" s="10"/>
      <c r="AT148" s="10"/>
      <c r="AU148" s="10"/>
      <c r="AV148" s="10"/>
      <c r="AW148" s="10"/>
      <c r="AX148" s="10"/>
      <c r="AY148" s="10"/>
      <c r="AZ148" s="10"/>
      <c r="BA148" s="10"/>
      <c r="BB148" s="10"/>
      <c r="BC148" s="10"/>
      <c r="BD148" s="10"/>
      <c r="BE148" s="10"/>
      <c r="BF148" s="10"/>
      <c r="BG148" s="10"/>
      <c r="BH148" s="10"/>
      <c r="BI148" s="10"/>
      <c r="BJ148" s="10"/>
      <c r="BK148" s="10"/>
      <c r="BL148" s="10"/>
      <c r="BM148" s="10"/>
      <c r="BN148" s="10"/>
      <c r="BO148" s="10"/>
      <c r="BP148" s="10"/>
      <c r="BQ148" s="10"/>
      <c r="BR148" s="10"/>
      <c r="BS148" s="10"/>
      <c r="BT148" s="10"/>
      <c r="BU148" s="10"/>
      <c r="BV148" s="10"/>
      <c r="BW148" s="10"/>
      <c r="BX148" s="10"/>
      <c r="BY148" s="10"/>
      <c r="BZ148" s="10"/>
      <c r="CA148" s="10"/>
      <c r="CB148" s="10"/>
      <c r="CC148" s="10"/>
      <c r="CD148" s="10"/>
      <c r="CE148" s="10"/>
      <c r="CF148" s="10"/>
    </row>
    <row r="149" spans="18:84" ht="13.8" thickBot="1">
      <c r="R149" s="10" t="s">
        <v>320</v>
      </c>
      <c r="S149" s="111"/>
      <c r="T149" s="139"/>
      <c r="U149" s="139"/>
      <c r="V149" s="10"/>
      <c r="W149" s="10"/>
      <c r="X149" s="10"/>
      <c r="Y149" s="10"/>
      <c r="Z149" s="10"/>
      <c r="AA149" s="10"/>
      <c r="AB149" s="140">
        <f t="shared" ref="AB149:AH149" si="481">+AB137*AB147/(1-AB147)*AB148</f>
        <v>1632.3642857142859</v>
      </c>
      <c r="AC149" s="140">
        <f t="shared" si="481"/>
        <v>1064.4428571428573</v>
      </c>
      <c r="AD149" s="140">
        <f t="shared" si="481"/>
        <v>1066.6285714285714</v>
      </c>
      <c r="AE149" s="140">
        <f t="shared" si="481"/>
        <v>1459.2393233519997</v>
      </c>
      <c r="AF149" s="140">
        <f t="shared" ref="AF149:AG149" si="482">+AF137*AF147/(1-AF147)*AF148</f>
        <v>1607.129155460143</v>
      </c>
      <c r="AG149" s="140">
        <f t="shared" si="482"/>
        <v>1901.5714285714287</v>
      </c>
      <c r="AH149" s="1632">
        <f t="shared" si="481"/>
        <v>1765.6928571428571</v>
      </c>
      <c r="AI149" s="140">
        <f t="shared" ref="AI149" ca="1" si="483">+AI137*AI147/(1-AI147)*AI148</f>
        <v>1832.5005831151827</v>
      </c>
      <c r="AJ149" s="140">
        <f t="shared" ref="AJ149:AK149" ca="1" si="484">+AJ137*AJ147/(1-AJ147)*AJ148</f>
        <v>1933.8084820350268</v>
      </c>
      <c r="AK149" s="140">
        <f t="shared" ca="1" si="484"/>
        <v>2027.1402879665416</v>
      </c>
      <c r="AL149" s="140">
        <f t="shared" ref="AL149:AP149" ca="1" si="485">+AL137*AL147/(1-AL147)*AL148</f>
        <v>2146.9297161624122</v>
      </c>
      <c r="AM149" s="140">
        <f t="shared" ca="1" si="485"/>
        <v>2255.8295026623491</v>
      </c>
      <c r="AN149" s="140">
        <f t="shared" ca="1" si="485"/>
        <v>2306.8170759818045</v>
      </c>
      <c r="AO149" s="140">
        <f t="shared" ca="1" si="485"/>
        <v>2065.2414307989079</v>
      </c>
      <c r="AP149" s="140">
        <f t="shared" ca="1" si="485"/>
        <v>2119.1359671655268</v>
      </c>
      <c r="AQ149" s="140">
        <f t="shared" ref="AQ149:AR149" ca="1" si="486">+AQ137*AQ147/(1-AQ147)*AQ148</f>
        <v>2495.809810551656</v>
      </c>
      <c r="AR149" s="140">
        <f t="shared" ca="1" si="486"/>
        <v>2561.6917179975053</v>
      </c>
      <c r="AS149" s="10"/>
      <c r="AT149" s="10"/>
      <c r="AU149" s="10"/>
      <c r="AV149" s="10"/>
      <c r="AW149" s="10"/>
      <c r="AX149" s="10"/>
      <c r="AY149" s="10"/>
      <c r="AZ149" s="10"/>
      <c r="BA149" s="10"/>
      <c r="BB149" s="10"/>
      <c r="BC149" s="10"/>
      <c r="BD149" s="10"/>
      <c r="BE149" s="10"/>
      <c r="BF149" s="10"/>
      <c r="BG149" s="10"/>
      <c r="BH149" s="10"/>
      <c r="BI149" s="10"/>
      <c r="BJ149" s="10"/>
      <c r="BK149" s="10"/>
      <c r="BL149" s="10"/>
      <c r="BM149" s="10"/>
      <c r="BN149" s="10"/>
      <c r="BO149" s="10"/>
      <c r="BP149" s="10"/>
      <c r="BQ149" s="10"/>
      <c r="BR149" s="10"/>
      <c r="BS149" s="10"/>
      <c r="BT149" s="10"/>
      <c r="BU149" s="10"/>
      <c r="BV149" s="10"/>
      <c r="BW149" s="10"/>
      <c r="BX149" s="10"/>
      <c r="BY149" s="10"/>
      <c r="BZ149" s="10"/>
      <c r="CA149" s="10"/>
      <c r="CB149" s="10"/>
      <c r="CC149" s="10"/>
      <c r="CD149" s="10"/>
      <c r="CE149" s="10"/>
      <c r="CF149" s="10"/>
    </row>
    <row r="150" spans="18:84" ht="13.8" thickBot="1">
      <c r="R150" s="10" t="s">
        <v>321</v>
      </c>
      <c r="S150" s="111"/>
      <c r="T150" s="139"/>
      <c r="U150" s="139"/>
      <c r="V150" s="10"/>
      <c r="W150" s="10"/>
      <c r="X150" s="10"/>
      <c r="Y150" s="10"/>
      <c r="Z150" s="10"/>
      <c r="AA150" s="10"/>
      <c r="AB150" s="284">
        <v>0.7</v>
      </c>
      <c r="AC150" s="271">
        <f t="shared" ref="AC150:AI150" si="487">AB150</f>
        <v>0.7</v>
      </c>
      <c r="AD150" s="271">
        <f t="shared" si="487"/>
        <v>0.7</v>
      </c>
      <c r="AE150" s="271">
        <f t="shared" si="487"/>
        <v>0.7</v>
      </c>
      <c r="AF150" s="271">
        <f t="shared" si="487"/>
        <v>0.7</v>
      </c>
      <c r="AG150" s="271">
        <f t="shared" si="487"/>
        <v>0.7</v>
      </c>
      <c r="AH150" s="1659">
        <f t="shared" si="487"/>
        <v>0.7</v>
      </c>
      <c r="AI150" s="271">
        <f t="shared" si="487"/>
        <v>0.7</v>
      </c>
      <c r="AJ150" s="271">
        <f t="shared" ref="AJ150" si="488">AI150</f>
        <v>0.7</v>
      </c>
      <c r="AK150" s="271">
        <f t="shared" ref="AK150" si="489">AJ150</f>
        <v>0.7</v>
      </c>
      <c r="AL150" s="271">
        <f t="shared" ref="AL150:AR150" si="490">AK150</f>
        <v>0.7</v>
      </c>
      <c r="AM150" s="271">
        <f t="shared" si="490"/>
        <v>0.7</v>
      </c>
      <c r="AN150" s="271">
        <f t="shared" si="490"/>
        <v>0.7</v>
      </c>
      <c r="AO150" s="271">
        <f t="shared" si="490"/>
        <v>0.7</v>
      </c>
      <c r="AP150" s="271">
        <f t="shared" si="490"/>
        <v>0.7</v>
      </c>
      <c r="AQ150" s="271">
        <f t="shared" si="490"/>
        <v>0.7</v>
      </c>
      <c r="AR150" s="271">
        <f t="shared" si="490"/>
        <v>0.7</v>
      </c>
      <c r="AS150" s="245"/>
      <c r="AT150" s="245"/>
      <c r="AU150" s="245"/>
      <c r="AV150" s="245"/>
      <c r="AW150" s="245"/>
      <c r="AX150" s="245"/>
      <c r="AY150" s="245"/>
      <c r="AZ150" s="245"/>
      <c r="BA150" s="245"/>
      <c r="BB150" s="245"/>
      <c r="BC150" s="245"/>
      <c r="BD150" s="245"/>
      <c r="BE150" s="245"/>
      <c r="BF150" s="245"/>
      <c r="BG150" s="245"/>
      <c r="BH150" s="245"/>
      <c r="BI150" s="245"/>
      <c r="BJ150" s="245"/>
      <c r="BK150" s="245"/>
      <c r="BL150" s="245"/>
      <c r="BM150" s="245"/>
      <c r="BN150" s="245"/>
      <c r="BO150" s="245"/>
      <c r="BP150" s="245"/>
      <c r="BQ150" s="245"/>
      <c r="BR150" s="245"/>
      <c r="BS150" s="245"/>
      <c r="BT150" s="245"/>
      <c r="BU150" s="245"/>
      <c r="BV150" s="245"/>
      <c r="BW150" s="245"/>
      <c r="BX150" s="245"/>
      <c r="BY150" s="245"/>
      <c r="BZ150" s="245"/>
      <c r="CA150" s="245"/>
      <c r="CB150" s="245"/>
      <c r="CC150" s="245"/>
      <c r="CD150" s="245"/>
      <c r="CE150" s="245"/>
      <c r="CF150" s="10"/>
    </row>
    <row r="151" spans="18:84" ht="13.8" thickBot="1">
      <c r="R151" s="10" t="s">
        <v>270</v>
      </c>
      <c r="S151" s="111"/>
      <c r="T151" s="139"/>
      <c r="U151" s="139"/>
      <c r="V151" s="10"/>
      <c r="W151" s="10"/>
      <c r="X151" s="10"/>
      <c r="Y151" s="10"/>
      <c r="Z151" s="10"/>
      <c r="AA151" s="10"/>
      <c r="AB151" s="140">
        <f t="shared" ref="AB151:AH151" si="491">+AB149*AB150</f>
        <v>1142.655</v>
      </c>
      <c r="AC151" s="140">
        <f t="shared" si="491"/>
        <v>745.11</v>
      </c>
      <c r="AD151" s="140">
        <f t="shared" si="491"/>
        <v>746.63999999999987</v>
      </c>
      <c r="AE151" s="140">
        <f t="shared" si="491"/>
        <v>1021.4675263463997</v>
      </c>
      <c r="AF151" s="140">
        <f t="shared" ref="AF151:AG151" si="492">+AF149*AF150</f>
        <v>1124.9904088221001</v>
      </c>
      <c r="AG151" s="140">
        <f t="shared" si="492"/>
        <v>1331.1</v>
      </c>
      <c r="AH151" s="1632">
        <f t="shared" si="491"/>
        <v>1235.9849999999999</v>
      </c>
      <c r="AI151" s="140">
        <f t="shared" ref="AI151" ca="1" si="493">+AI149*AI150</f>
        <v>1282.7504081806278</v>
      </c>
      <c r="AJ151" s="140">
        <f t="shared" ref="AJ151:AK151" ca="1" si="494">+AJ149*AJ150</f>
        <v>1353.6659374245187</v>
      </c>
      <c r="AK151" s="140">
        <f t="shared" ca="1" si="494"/>
        <v>1418.998201576579</v>
      </c>
      <c r="AL151" s="140">
        <f t="shared" ref="AL151:AP151" ca="1" si="495">+AL149*AL150</f>
        <v>1502.8508013136884</v>
      </c>
      <c r="AM151" s="140">
        <f t="shared" ca="1" si="495"/>
        <v>1579.0806518636443</v>
      </c>
      <c r="AN151" s="140">
        <f t="shared" ca="1" si="495"/>
        <v>1614.7719531872631</v>
      </c>
      <c r="AO151" s="140">
        <f t="shared" ca="1" si="495"/>
        <v>1445.6690015592355</v>
      </c>
      <c r="AP151" s="140">
        <f t="shared" ca="1" si="495"/>
        <v>1483.3951770158687</v>
      </c>
      <c r="AQ151" s="140">
        <f t="shared" ref="AQ151:AR151" ca="1" si="496">+AQ149*AQ150</f>
        <v>1747.0668673861592</v>
      </c>
      <c r="AR151" s="140">
        <f t="shared" ca="1" si="496"/>
        <v>1793.1842025982535</v>
      </c>
      <c r="AS151" s="265"/>
      <c r="AT151" s="265"/>
      <c r="AU151" s="265"/>
      <c r="AV151" s="265"/>
      <c r="AW151" s="265"/>
      <c r="AX151" s="265"/>
      <c r="AY151" s="265"/>
      <c r="AZ151" s="265"/>
      <c r="BA151" s="265"/>
      <c r="BB151" s="265"/>
      <c r="BC151" s="265"/>
      <c r="BD151" s="265"/>
      <c r="BE151" s="265"/>
      <c r="BF151" s="265"/>
      <c r="BG151" s="265"/>
      <c r="BH151" s="265"/>
      <c r="BI151" s="265"/>
      <c r="BJ151" s="265"/>
      <c r="BK151" s="265"/>
      <c r="BL151" s="265"/>
      <c r="BM151" s="265"/>
      <c r="BN151" s="265"/>
      <c r="BO151" s="265"/>
      <c r="BP151" s="265"/>
      <c r="BQ151" s="265"/>
      <c r="BR151" s="265"/>
      <c r="BS151" s="265"/>
      <c r="BT151" s="265"/>
      <c r="BU151" s="265"/>
      <c r="BV151" s="265"/>
      <c r="BW151" s="265"/>
      <c r="BX151" s="265"/>
      <c r="BY151" s="265"/>
      <c r="BZ151" s="265"/>
      <c r="CA151" s="265"/>
      <c r="CB151" s="265"/>
      <c r="CC151" s="265"/>
      <c r="CD151" s="265"/>
      <c r="CE151" s="265"/>
      <c r="CF151" s="10"/>
    </row>
    <row r="152" spans="18:84" ht="13.8" thickBot="1">
      <c r="R152" s="113" t="s">
        <v>175</v>
      </c>
      <c r="S152" s="303">
        <f ca="1">SUM(AG152:AR152)</f>
        <v>12901.935424818634</v>
      </c>
      <c r="T152" s="265" t="s">
        <v>353</v>
      </c>
      <c r="U152" s="10"/>
      <c r="V152" s="10"/>
      <c r="W152" s="10"/>
      <c r="X152" s="10"/>
      <c r="Y152" s="10"/>
      <c r="Z152" s="10"/>
      <c r="AA152" s="10"/>
      <c r="AB152" s="147">
        <f t="shared" ref="AB152:AH152" si="497">+AB151/((1+AB109)^((+AB$2-$R$4)/365))</f>
        <v>1929.0563903243392</v>
      </c>
      <c r="AC152" s="147">
        <f t="shared" si="497"/>
        <v>1159.3657136126667</v>
      </c>
      <c r="AD152" s="147">
        <f t="shared" si="497"/>
        <v>1070.7339551717582</v>
      </c>
      <c r="AE152" s="147">
        <f t="shared" si="497"/>
        <v>1350.0975486176756</v>
      </c>
      <c r="AF152" s="147">
        <f t="shared" ref="AF152:AG152" si="498">+AF151/((1+AF109)^((+AF$2-$R$4)/365))</f>
        <v>1370.4388631468357</v>
      </c>
      <c r="AG152" s="147">
        <f t="shared" si="498"/>
        <v>1494.485794567212</v>
      </c>
      <c r="AH152" s="1648">
        <f t="shared" si="497"/>
        <v>1278.9824048355804</v>
      </c>
      <c r="AI152" s="147">
        <f t="shared" ref="AI152" ca="1" si="499">+AI151/((1+AI109)^((+AI$2-$R$4)/365))</f>
        <v>1223.3868078079868</v>
      </c>
      <c r="AJ152" s="147">
        <f t="shared" ref="AJ152:AK152" ca="1" si="500">+AJ151/((1+AJ109)^((+AJ$2-$R$4)/365))</f>
        <v>1189.8806284055531</v>
      </c>
      <c r="AK152" s="147">
        <f t="shared" ca="1" si="500"/>
        <v>1149.592707560794</v>
      </c>
      <c r="AL152" s="147">
        <f t="shared" ref="AL152:AP152" ca="1" si="501">+AL151/((1+AL109)^((+AL$2-$R$4)/365))</f>
        <v>1122.1432055210344</v>
      </c>
      <c r="AM152" s="147">
        <f t="shared" ca="1" si="501"/>
        <v>1086.6933040187123</v>
      </c>
      <c r="AN152" s="147">
        <f t="shared" ca="1" si="501"/>
        <v>1024.1985064504308</v>
      </c>
      <c r="AO152" s="147">
        <f t="shared" ca="1" si="501"/>
        <v>845.10772446795886</v>
      </c>
      <c r="AP152" s="147">
        <f t="shared" ca="1" si="501"/>
        <v>799.22733087939525</v>
      </c>
      <c r="AQ152" s="147">
        <f t="shared" ref="AQ152:AR152" ca="1" si="502">+AQ151/((1+AQ109)^((+AQ$2-$R$4)/365))</f>
        <v>867.5474819093904</v>
      </c>
      <c r="AR152" s="147">
        <f t="shared" ca="1" si="502"/>
        <v>820.68952839458495</v>
      </c>
      <c r="AS152" s="176"/>
      <c r="AT152" s="176"/>
      <c r="AU152" s="176"/>
      <c r="AV152" s="176"/>
      <c r="AW152" s="176"/>
      <c r="AX152" s="176"/>
      <c r="AY152" s="176"/>
      <c r="AZ152" s="176"/>
      <c r="BA152" s="176"/>
      <c r="BB152" s="176"/>
      <c r="BC152" s="176"/>
      <c r="BD152" s="176"/>
      <c r="BE152" s="176"/>
      <c r="BF152" s="176"/>
      <c r="BG152" s="176"/>
      <c r="BH152" s="176"/>
      <c r="BI152" s="176"/>
      <c r="BJ152" s="176"/>
      <c r="BK152" s="176"/>
      <c r="BL152" s="176"/>
      <c r="BM152" s="176"/>
      <c r="BN152" s="176"/>
      <c r="BO152" s="176"/>
      <c r="BP152" s="176"/>
      <c r="BQ152" s="176"/>
      <c r="BR152" s="176"/>
      <c r="BS152" s="176"/>
      <c r="BT152" s="176"/>
      <c r="BU152" s="176"/>
      <c r="BV152" s="176"/>
      <c r="BW152" s="176"/>
      <c r="BX152" s="176"/>
      <c r="BY152" s="176"/>
      <c r="BZ152" s="176"/>
      <c r="CA152" s="176"/>
      <c r="CB152" s="176"/>
      <c r="CC152" s="176"/>
      <c r="CD152" s="176"/>
      <c r="CE152" s="176"/>
    </row>
    <row r="153" spans="18:84">
      <c r="AH153" s="1666"/>
    </row>
    <row r="154" spans="18:84">
      <c r="AH154" s="1666"/>
    </row>
    <row r="155" spans="18:84">
      <c r="AH155" s="1666"/>
    </row>
    <row r="156" spans="18:84">
      <c r="AH156" s="1666"/>
    </row>
    <row r="157" spans="18:84">
      <c r="AH157" s="1666"/>
    </row>
  </sheetData>
  <phoneticPr fontId="3" type="noConversion"/>
  <dataValidations disablePrompts="1" count="1">
    <dataValidation showInputMessage="1" errorTitle="INCORRECT STABLE PHASE" error="The DECLINE Phase must be greater than 0. If you wish to exent the STABLE Phase, first increase the CAP then extend the STABLE Phase to the desired length." sqref="C45 C52 C33" xr:uid="{00000000-0002-0000-0B00-000000000000}"/>
  </dataValidations>
  <pageMargins left="0.75" right="0.75" top="1" bottom="1" header="0.5" footer="0.5"/>
  <pageSetup paperSize="9" orientation="portrait" horizontalDpi="300" verticalDpi="300" r:id="rId1"/>
  <headerFooter alignWithMargins="0"/>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4">
    <tabColor rgb="FFFFFF99"/>
    <pageSetUpPr fitToPage="1"/>
  </sheetPr>
  <dimension ref="A1:M46"/>
  <sheetViews>
    <sheetView workbookViewId="0">
      <selection activeCell="B1" sqref="B1"/>
    </sheetView>
  </sheetViews>
  <sheetFormatPr defaultRowHeight="13.2"/>
  <cols>
    <col min="1" max="1" width="6.5546875" customWidth="1"/>
    <col min="2" max="2" width="39.88671875" customWidth="1"/>
    <col min="3" max="3" width="5" customWidth="1"/>
    <col min="4" max="4" width="9.33203125" customWidth="1"/>
    <col min="7" max="8" width="10.6640625" customWidth="1"/>
    <col min="10" max="10" width="27.77734375" customWidth="1"/>
    <col min="11" max="13" width="10.6640625" customWidth="1"/>
  </cols>
  <sheetData>
    <row r="1" spans="1:5" ht="21">
      <c r="A1" s="508" t="s">
        <v>25</v>
      </c>
      <c r="B1" s="508"/>
      <c r="C1" s="508"/>
      <c r="D1" s="508"/>
      <c r="E1" s="508"/>
    </row>
    <row r="2" spans="1:5" ht="13.8">
      <c r="A2" s="445"/>
      <c r="B2" s="445"/>
      <c r="C2" s="445"/>
      <c r="D2" s="445"/>
      <c r="E2" s="445"/>
    </row>
    <row r="3" spans="1:5" ht="13.8">
      <c r="A3" s="445"/>
      <c r="B3" s="509" t="s">
        <v>1262</v>
      </c>
      <c r="C3" s="509"/>
      <c r="D3" s="510"/>
      <c r="E3" s="445"/>
    </row>
    <row r="4" spans="1:5" ht="13.8">
      <c r="A4" s="445"/>
      <c r="B4" s="512" t="s">
        <v>433</v>
      </c>
      <c r="C4" s="513"/>
      <c r="D4" s="513"/>
      <c r="E4" s="445"/>
    </row>
    <row r="5" spans="1:5" ht="13.8">
      <c r="A5" s="445"/>
      <c r="B5" s="445" t="s">
        <v>1270</v>
      </c>
      <c r="C5" s="445"/>
      <c r="D5" s="519">
        <v>2.7722947998790892</v>
      </c>
      <c r="E5" s="532">
        <v>7</v>
      </c>
    </row>
    <row r="6" spans="1:5" ht="13.8">
      <c r="A6" s="445"/>
      <c r="B6" s="445" t="s">
        <v>1271</v>
      </c>
      <c r="C6" s="445"/>
      <c r="D6" s="519">
        <v>3.1105943086912844</v>
      </c>
      <c r="E6" s="532">
        <f>12-E5</f>
        <v>5</v>
      </c>
    </row>
    <row r="7" spans="1:5" ht="13.8">
      <c r="A7" s="445"/>
      <c r="B7" s="463" t="s">
        <v>213</v>
      </c>
      <c r="C7" s="463"/>
      <c r="D7" s="514">
        <v>2.9132529285508371</v>
      </c>
      <c r="E7" s="445"/>
    </row>
    <row r="8" spans="1:5" ht="13.8">
      <c r="A8" s="445"/>
      <c r="B8" s="445" t="s">
        <v>912</v>
      </c>
      <c r="C8" s="445"/>
      <c r="D8" s="515">
        <v>18</v>
      </c>
      <c r="E8" s="445"/>
    </row>
    <row r="9" spans="1:5" ht="13.8">
      <c r="A9" s="445"/>
      <c r="B9" s="463" t="s">
        <v>741</v>
      </c>
      <c r="C9" s="463"/>
      <c r="D9" s="514">
        <v>52.438552713915065</v>
      </c>
      <c r="E9" s="445"/>
    </row>
    <row r="10" spans="1:5" ht="13.8">
      <c r="A10" s="445"/>
      <c r="B10" s="1717" t="s">
        <v>732</v>
      </c>
      <c r="C10" s="1718"/>
      <c r="D10" s="1718"/>
      <c r="E10" s="445"/>
    </row>
    <row r="11" spans="1:5" ht="13.8">
      <c r="A11" s="445"/>
      <c r="B11" s="445" t="s">
        <v>1272</v>
      </c>
      <c r="C11" s="445"/>
      <c r="D11" s="517">
        <v>0.10041388266150855</v>
      </c>
      <c r="E11" s="445"/>
    </row>
    <row r="12" spans="1:5" ht="13.8">
      <c r="A12" s="445"/>
      <c r="B12" s="445" t="s">
        <v>1273</v>
      </c>
      <c r="C12" s="445"/>
      <c r="D12" s="517">
        <v>0.10870985013255156</v>
      </c>
      <c r="E12" s="445"/>
    </row>
    <row r="13" spans="1:5" ht="13.8">
      <c r="A13" s="445"/>
      <c r="B13" s="445" t="s">
        <v>1274</v>
      </c>
      <c r="C13" s="445"/>
      <c r="D13" s="515">
        <v>13.592862892220012</v>
      </c>
      <c r="E13" s="445"/>
    </row>
    <row r="14" spans="1:5" ht="13.8">
      <c r="A14" s="445"/>
      <c r="B14" s="445" t="s">
        <v>1275</v>
      </c>
      <c r="C14" s="445"/>
      <c r="D14" s="515">
        <v>1.380127528937416</v>
      </c>
      <c r="E14" s="445"/>
    </row>
    <row r="15" spans="1:5" ht="13.8">
      <c r="A15" s="445"/>
      <c r="B15" s="445" t="s">
        <v>1276</v>
      </c>
      <c r="C15" s="445"/>
      <c r="D15" s="515">
        <v>1.4944899822511548</v>
      </c>
      <c r="E15" s="445"/>
    </row>
    <row r="16" spans="1:5" ht="13.8">
      <c r="A16" s="445"/>
      <c r="B16" s="445" t="s">
        <v>243</v>
      </c>
      <c r="C16" s="445"/>
      <c r="D16" s="514">
        <v>34.165732573856829</v>
      </c>
      <c r="E16" s="445"/>
    </row>
    <row r="17" spans="1:13" ht="13.8">
      <c r="A17" s="445"/>
      <c r="B17" s="445" t="s">
        <v>268</v>
      </c>
      <c r="C17" s="445"/>
      <c r="D17" s="523">
        <v>0.1</v>
      </c>
      <c r="E17" s="445"/>
    </row>
    <row r="18" spans="1:13" ht="13.8">
      <c r="A18" s="445"/>
      <c r="B18" s="463" t="s">
        <v>243</v>
      </c>
      <c r="C18" s="463"/>
      <c r="D18" s="518">
        <v>34.165732573856829</v>
      </c>
      <c r="E18" s="445"/>
    </row>
    <row r="19" spans="1:13" ht="13.8">
      <c r="A19" s="445"/>
      <c r="B19" s="512" t="s">
        <v>432</v>
      </c>
      <c r="C19" s="513"/>
      <c r="D19" s="513"/>
      <c r="E19" s="445"/>
    </row>
    <row r="20" spans="1:13" ht="13.8">
      <c r="A20" s="445"/>
      <c r="B20" s="445" t="s">
        <v>250</v>
      </c>
      <c r="C20" s="445"/>
      <c r="D20" s="519">
        <v>23.840294587851588</v>
      </c>
      <c r="E20" s="511"/>
    </row>
    <row r="21" spans="1:13" ht="13.8">
      <c r="A21" s="445"/>
      <c r="B21" s="445" t="s">
        <v>1277</v>
      </c>
      <c r="C21" s="445"/>
      <c r="D21" s="517">
        <v>9.401808954596555E-2</v>
      </c>
      <c r="E21" s="511"/>
    </row>
    <row r="22" spans="1:13" ht="13.8">
      <c r="A22" s="445"/>
      <c r="B22" s="445" t="s">
        <v>249</v>
      </c>
      <c r="C22" s="445"/>
      <c r="D22" s="617">
        <v>1.25</v>
      </c>
      <c r="E22" s="445"/>
    </row>
    <row r="23" spans="1:13" ht="13.8">
      <c r="A23" s="445"/>
      <c r="B23" s="520" t="s">
        <v>5</v>
      </c>
      <c r="C23" s="520"/>
      <c r="D23" s="521">
        <v>29.800368234814485</v>
      </c>
      <c r="E23" s="445"/>
    </row>
    <row r="24" spans="1:13" ht="13.8">
      <c r="A24" s="445"/>
      <c r="B24" s="463"/>
      <c r="C24" s="463"/>
      <c r="D24" s="514"/>
      <c r="E24" s="445"/>
    </row>
    <row r="25" spans="1:13" ht="13.8">
      <c r="A25" s="445"/>
      <c r="B25" s="509" t="s">
        <v>1263</v>
      </c>
      <c r="C25" s="509"/>
      <c r="D25" s="510"/>
      <c r="E25" s="445"/>
      <c r="J25" s="1739" t="s">
        <v>1263</v>
      </c>
      <c r="K25" s="1740" t="s">
        <v>1265</v>
      </c>
      <c r="L25" s="1740" t="s">
        <v>1266</v>
      </c>
      <c r="M25" s="1741" t="s">
        <v>778</v>
      </c>
    </row>
    <row r="26" spans="1:13" ht="13.8">
      <c r="A26" s="445"/>
      <c r="B26" s="463" t="s">
        <v>1264</v>
      </c>
      <c r="C26" s="463"/>
      <c r="D26" s="463"/>
      <c r="E26" s="445"/>
      <c r="J26" s="1207" t="str">
        <f>B26</f>
        <v>12-month Fwd Valuation</v>
      </c>
      <c r="K26" s="1719"/>
      <c r="L26" s="1719"/>
      <c r="M26" s="1719"/>
    </row>
    <row r="27" spans="1:13" ht="13.8">
      <c r="A27" s="445"/>
      <c r="B27" s="445" t="s">
        <v>433</v>
      </c>
      <c r="C27" s="445"/>
      <c r="D27" s="522">
        <v>52.438552713915065</v>
      </c>
      <c r="E27" s="445"/>
      <c r="J27" s="1206" t="str">
        <f t="shared" ref="J27:J42" si="0">B27</f>
        <v>Bull Case</v>
      </c>
      <c r="K27" s="1723">
        <f>D27</f>
        <v>52.438552713915065</v>
      </c>
      <c r="L27" s="1723">
        <v>47.769389755484333</v>
      </c>
      <c r="M27" s="1720">
        <f>+K27/L27-1</f>
        <v>9.7743826796419908E-2</v>
      </c>
    </row>
    <row r="28" spans="1:13" ht="13.8">
      <c r="A28" s="445"/>
      <c r="B28" s="445" t="s">
        <v>732</v>
      </c>
      <c r="C28" s="445"/>
      <c r="D28" s="522">
        <v>37.582305831242515</v>
      </c>
      <c r="E28" s="445"/>
      <c r="J28" s="1206" t="str">
        <f t="shared" si="0"/>
        <v>Base Case</v>
      </c>
      <c r="K28" s="1723">
        <f t="shared" ref="K28:K42" si="1">D28</f>
        <v>37.582305831242515</v>
      </c>
      <c r="L28" s="1723">
        <v>32.227625982800241</v>
      </c>
      <c r="M28" s="1720">
        <f t="shared" ref="M28:M29" si="2">+K28/L28-1</f>
        <v>0.1661518552840362</v>
      </c>
    </row>
    <row r="29" spans="1:13" ht="13.8">
      <c r="A29" s="445"/>
      <c r="B29" s="445" t="s">
        <v>432</v>
      </c>
      <c r="C29" s="445"/>
      <c r="D29" s="522">
        <v>29.800368234814485</v>
      </c>
      <c r="E29" s="445"/>
      <c r="J29" s="1206" t="str">
        <f t="shared" si="0"/>
        <v>Bear Case</v>
      </c>
      <c r="K29" s="1723">
        <f t="shared" si="1"/>
        <v>29.800368234814485</v>
      </c>
      <c r="L29" s="1723">
        <v>26.224324046636749</v>
      </c>
      <c r="M29" s="1720">
        <f t="shared" si="2"/>
        <v>0.13636363636363624</v>
      </c>
    </row>
    <row r="30" spans="1:13" ht="13.8">
      <c r="A30" s="445"/>
      <c r="B30" s="463" t="s">
        <v>756</v>
      </c>
      <c r="C30" s="463"/>
      <c r="D30" s="463"/>
      <c r="E30" s="445"/>
      <c r="J30" s="1207" t="str">
        <f t="shared" si="0"/>
        <v>Probability</v>
      </c>
      <c r="K30" s="1719"/>
      <c r="L30" s="1719"/>
      <c r="M30" s="1721"/>
    </row>
    <row r="31" spans="1:13" ht="13.8">
      <c r="A31" s="445"/>
      <c r="B31" s="445" t="s">
        <v>793</v>
      </c>
      <c r="C31" s="445"/>
      <c r="D31" s="524">
        <v>0.3</v>
      </c>
      <c r="E31" s="445"/>
      <c r="J31" s="1206" t="str">
        <f t="shared" si="0"/>
        <v>Probability: Bull Case</v>
      </c>
      <c r="K31" s="1724">
        <f t="shared" si="1"/>
        <v>0.3</v>
      </c>
      <c r="L31" s="1724">
        <v>0.3</v>
      </c>
      <c r="M31" s="1721"/>
    </row>
    <row r="32" spans="1:13" ht="13.8">
      <c r="A32" s="445"/>
      <c r="B32" s="445" t="s">
        <v>794</v>
      </c>
      <c r="C32" s="445"/>
      <c r="D32" s="524">
        <v>0.6</v>
      </c>
      <c r="E32" s="445"/>
      <c r="J32" s="1206" t="str">
        <f t="shared" si="0"/>
        <v>Probability: Base Case</v>
      </c>
      <c r="K32" s="1724">
        <f t="shared" si="1"/>
        <v>0.6</v>
      </c>
      <c r="L32" s="1724">
        <v>0.6</v>
      </c>
      <c r="M32" s="1721"/>
    </row>
    <row r="33" spans="1:13" ht="14.4" thickBot="1">
      <c r="A33" s="445"/>
      <c r="B33" s="445" t="s">
        <v>795</v>
      </c>
      <c r="C33" s="445"/>
      <c r="D33" s="524">
        <v>0.1</v>
      </c>
      <c r="E33" s="445"/>
      <c r="J33" s="1206" t="str">
        <f t="shared" si="0"/>
        <v>Probability: Bear Case</v>
      </c>
      <c r="K33" s="1724">
        <f t="shared" si="1"/>
        <v>0.1</v>
      </c>
      <c r="L33" s="1724">
        <v>0.1</v>
      </c>
      <c r="M33" s="1721"/>
    </row>
    <row r="34" spans="1:13" ht="14.4" thickBot="1">
      <c r="A34" s="445"/>
      <c r="B34" s="525" t="s">
        <v>342</v>
      </c>
      <c r="C34" s="526"/>
      <c r="D34" s="527">
        <v>41.3</v>
      </c>
      <c r="E34" s="445"/>
      <c r="J34" s="1725" t="str">
        <f t="shared" si="0"/>
        <v>12-month forward Price Target</v>
      </c>
      <c r="K34" s="1726">
        <f t="shared" si="1"/>
        <v>41.3</v>
      </c>
      <c r="L34" s="1726">
        <v>36.299999999999997</v>
      </c>
      <c r="M34" s="1722">
        <f>+K34/L34-1</f>
        <v>0.13774104683195598</v>
      </c>
    </row>
    <row r="35" spans="1:13" ht="14.4" thickBot="1">
      <c r="A35" s="445"/>
      <c r="B35" s="445" t="s">
        <v>440</v>
      </c>
      <c r="C35" s="445"/>
      <c r="D35" s="519">
        <v>40.35</v>
      </c>
      <c r="E35" s="445"/>
      <c r="J35" s="1206" t="str">
        <f t="shared" si="0"/>
        <v>Current Price</v>
      </c>
      <c r="K35" s="1727">
        <f t="shared" si="1"/>
        <v>40.35</v>
      </c>
      <c r="L35" s="1728"/>
      <c r="M35" s="1721"/>
    </row>
    <row r="36" spans="1:13" ht="14.4" thickBot="1">
      <c r="A36" s="445"/>
      <c r="B36" s="528" t="s">
        <v>441</v>
      </c>
      <c r="C36" s="529"/>
      <c r="D36" s="530">
        <v>2.3543990086740907E-2</v>
      </c>
      <c r="E36" s="445"/>
      <c r="J36" s="1729" t="str">
        <f t="shared" si="0"/>
        <v>Upside / (Downside)</v>
      </c>
      <c r="K36" s="1730">
        <f t="shared" si="1"/>
        <v>2.3543990086740907E-2</v>
      </c>
      <c r="L36" s="1731"/>
      <c r="M36" s="1721"/>
    </row>
    <row r="37" spans="1:13" ht="14.4" thickBot="1">
      <c r="A37" s="445"/>
      <c r="B37" s="445" t="s">
        <v>328</v>
      </c>
      <c r="C37" s="445"/>
      <c r="D37" s="519">
        <v>1.72</v>
      </c>
      <c r="E37" s="445"/>
      <c r="J37" s="1206" t="str">
        <f t="shared" si="0"/>
        <v>Less: Exp 12-month Div</v>
      </c>
      <c r="K37" s="1727">
        <f t="shared" si="1"/>
        <v>1.72</v>
      </c>
      <c r="L37" s="1727"/>
      <c r="M37" s="1721"/>
    </row>
    <row r="38" spans="1:13" ht="14.4" thickBot="1">
      <c r="A38" s="445"/>
      <c r="B38" s="528" t="s">
        <v>234</v>
      </c>
      <c r="C38" s="529"/>
      <c r="D38" s="531">
        <v>6.6171003717472088E-2</v>
      </c>
      <c r="E38" s="445"/>
      <c r="J38" s="1729" t="str">
        <f t="shared" si="0"/>
        <v>Implied 12 month TSR</v>
      </c>
      <c r="K38" s="1732">
        <f t="shared" si="1"/>
        <v>6.6171003717472088E-2</v>
      </c>
      <c r="L38" s="1733"/>
      <c r="M38" s="1721"/>
    </row>
    <row r="39" spans="1:13" ht="13.8">
      <c r="A39" s="445"/>
      <c r="B39" s="445" t="s">
        <v>1278</v>
      </c>
      <c r="C39" s="445"/>
      <c r="D39" s="800">
        <v>16.431236656059617</v>
      </c>
      <c r="E39" s="445"/>
      <c r="J39" s="1206" t="str">
        <f t="shared" si="0"/>
        <v>FY26E P/E at Price Target</v>
      </c>
      <c r="K39" s="1734">
        <f t="shared" si="1"/>
        <v>16.431236656059617</v>
      </c>
      <c r="L39" s="1734"/>
      <c r="M39" s="1721"/>
    </row>
    <row r="40" spans="1:13" ht="13.8">
      <c r="A40" s="445"/>
      <c r="B40" s="445" t="s">
        <v>1279</v>
      </c>
      <c r="C40" s="445"/>
      <c r="D40" s="800">
        <v>1.6683168382793689</v>
      </c>
      <c r="E40" s="445"/>
      <c r="J40" s="1206" t="str">
        <f t="shared" si="0"/>
        <v>FY26E P/BV at Price Target</v>
      </c>
      <c r="K40" s="1734">
        <f t="shared" si="1"/>
        <v>1.6683168382793689</v>
      </c>
      <c r="L40" s="1734"/>
      <c r="M40" s="1721"/>
    </row>
    <row r="41" spans="1:13" ht="13.8">
      <c r="A41" s="445"/>
      <c r="B41" s="445" t="s">
        <v>1280</v>
      </c>
      <c r="C41" s="445"/>
      <c r="D41" s="800">
        <v>1.806559719846367</v>
      </c>
      <c r="E41" s="445"/>
      <c r="J41" s="1206" t="str">
        <f t="shared" si="0"/>
        <v>FY26E P/NTA at Price Target</v>
      </c>
      <c r="K41" s="1734">
        <f t="shared" si="1"/>
        <v>1.806559719846367</v>
      </c>
      <c r="L41" s="1735"/>
      <c r="M41" s="1735"/>
    </row>
    <row r="42" spans="1:13" ht="13.8">
      <c r="A42" s="445"/>
      <c r="B42" s="516" t="s">
        <v>1281</v>
      </c>
      <c r="C42" s="516"/>
      <c r="D42" s="838">
        <v>4.1646489104116224E-2</v>
      </c>
      <c r="E42" s="445"/>
      <c r="J42" s="1736" t="str">
        <f t="shared" si="0"/>
        <v>FY26E P/Div Yield at Price Target</v>
      </c>
      <c r="K42" s="1737">
        <f t="shared" si="1"/>
        <v>4.1646489104116224E-2</v>
      </c>
      <c r="L42" s="1737"/>
      <c r="M42" s="1738"/>
    </row>
    <row r="43" spans="1:13">
      <c r="D43" s="618"/>
      <c r="E43" s="618"/>
    </row>
    <row r="44" spans="1:13">
      <c r="D44" s="618"/>
      <c r="E44" s="618"/>
    </row>
    <row r="45" spans="1:13">
      <c r="D45" s="618"/>
      <c r="E45" s="618"/>
    </row>
    <row r="46" spans="1:13">
      <c r="D46" s="618"/>
      <c r="E46" s="618"/>
    </row>
  </sheetData>
  <pageMargins left="0" right="0" top="0" bottom="0" header="0" footer="0"/>
  <pageSetup paperSize="5" orientation="landscape" horizontalDpi="300" verticalDpi="300"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5E0E02-2F5B-4297-A183-B51D4FAA63F0}">
  <dimension ref="A1:B44"/>
  <sheetViews>
    <sheetView workbookViewId="0"/>
  </sheetViews>
  <sheetFormatPr defaultRowHeight="13.2"/>
  <cols>
    <col min="1" max="1" width="29.109375" customWidth="1"/>
  </cols>
  <sheetData>
    <row r="1" spans="1:2">
      <c r="A1" s="1743" t="s">
        <v>1631</v>
      </c>
      <c r="B1" s="1751" t="s">
        <v>1632</v>
      </c>
    </row>
    <row r="2" spans="1:2">
      <c r="A2" s="1743" t="s">
        <v>1633</v>
      </c>
      <c r="B2" s="1743" t="s">
        <v>1634</v>
      </c>
    </row>
    <row r="3" spans="1:2">
      <c r="A3" s="1743" t="s">
        <v>1635</v>
      </c>
      <c r="B3" s="1743" t="s">
        <v>1636</v>
      </c>
    </row>
    <row r="4" spans="1:2">
      <c r="A4" s="1743" t="s">
        <v>1637</v>
      </c>
      <c r="B4" s="1743" t="s">
        <v>1638</v>
      </c>
    </row>
    <row r="5" spans="1:2">
      <c r="A5" s="1743" t="s">
        <v>1639</v>
      </c>
      <c r="B5" s="1743" t="s">
        <v>1640</v>
      </c>
    </row>
    <row r="6" spans="1:2">
      <c r="A6" s="1743" t="s">
        <v>1641</v>
      </c>
      <c r="B6" s="1743"/>
    </row>
    <row r="7" spans="1:2">
      <c r="A7" s="1743" t="s">
        <v>1642</v>
      </c>
      <c r="B7" s="1743" t="s">
        <v>1643</v>
      </c>
    </row>
    <row r="8" spans="1:2">
      <c r="A8" s="1743" t="s">
        <v>1644</v>
      </c>
      <c r="B8" s="1743" t="s">
        <v>1645</v>
      </c>
    </row>
    <row r="9" spans="1:2">
      <c r="A9" s="1743" t="s">
        <v>1646</v>
      </c>
      <c r="B9" s="1743" t="s">
        <v>1647</v>
      </c>
    </row>
    <row r="10" spans="1:2">
      <c r="A10" s="1743" t="s">
        <v>1648</v>
      </c>
      <c r="B10" s="1743"/>
    </row>
    <row r="11" spans="1:2">
      <c r="A11" s="1743" t="s">
        <v>1649</v>
      </c>
      <c r="B11" s="1743"/>
    </row>
    <row r="12" spans="1:2">
      <c r="A12" s="1743" t="s">
        <v>1650</v>
      </c>
      <c r="B12" s="1743"/>
    </row>
    <row r="13" spans="1:2">
      <c r="A13" s="1743" t="s">
        <v>1651</v>
      </c>
      <c r="B13" s="1743"/>
    </row>
    <row r="14" spans="1:2">
      <c r="A14" s="1743" t="s">
        <v>1652</v>
      </c>
      <c r="B14" s="1743"/>
    </row>
    <row r="15" spans="1:2">
      <c r="A15" s="1743" t="s">
        <v>1653</v>
      </c>
      <c r="B15" s="1743"/>
    </row>
    <row r="16" spans="1:2">
      <c r="A16" s="1743" t="s">
        <v>1654</v>
      </c>
      <c r="B16" s="1743"/>
    </row>
    <row r="17" spans="1:2">
      <c r="A17" s="1743" t="s">
        <v>1655</v>
      </c>
      <c r="B17" s="1743" t="s">
        <v>1656</v>
      </c>
    </row>
    <row r="18" spans="1:2">
      <c r="A18" s="1743" t="s">
        <v>1657</v>
      </c>
      <c r="B18" s="1743" t="s">
        <v>1658</v>
      </c>
    </row>
    <row r="19" spans="1:2">
      <c r="A19" s="1743" t="s">
        <v>1659</v>
      </c>
      <c r="B19" s="1743" t="s">
        <v>31</v>
      </c>
    </row>
    <row r="20" spans="1:2">
      <c r="A20" s="1743" t="s">
        <v>1660</v>
      </c>
      <c r="B20" s="1743" t="s">
        <v>1661</v>
      </c>
    </row>
    <row r="21" spans="1:2">
      <c r="A21" s="1743" t="s">
        <v>1662</v>
      </c>
      <c r="B21" s="1743" t="s">
        <v>31</v>
      </c>
    </row>
    <row r="22" spans="1:2">
      <c r="A22" s="1743" t="s">
        <v>1663</v>
      </c>
      <c r="B22" s="1743" t="s">
        <v>541</v>
      </c>
    </row>
    <row r="23" spans="1:2">
      <c r="A23" s="1743" t="s">
        <v>9</v>
      </c>
      <c r="B23" s="1751" t="s">
        <v>1664</v>
      </c>
    </row>
    <row r="24" spans="1:2">
      <c r="A24" s="1743" t="s">
        <v>29</v>
      </c>
      <c r="B24" s="1743" t="s">
        <v>511</v>
      </c>
    </row>
    <row r="25" spans="1:2">
      <c r="A25" s="1743" t="s">
        <v>1665</v>
      </c>
      <c r="B25" s="1743" t="s">
        <v>1666</v>
      </c>
    </row>
    <row r="26" spans="1:2">
      <c r="A26" s="1743" t="s">
        <v>1667</v>
      </c>
      <c r="B26" s="1743" t="s">
        <v>1668</v>
      </c>
    </row>
    <row r="27" spans="1:2">
      <c r="A27" s="1743" t="s">
        <v>1669</v>
      </c>
      <c r="B27" s="1743" t="s">
        <v>1670</v>
      </c>
    </row>
    <row r="28" spans="1:2">
      <c r="A28" s="1743" t="s">
        <v>1671</v>
      </c>
      <c r="B28" s="1743" t="s">
        <v>1672</v>
      </c>
    </row>
    <row r="29" spans="1:2">
      <c r="A29" s="1743" t="s">
        <v>1673</v>
      </c>
      <c r="B29" s="1743"/>
    </row>
    <row r="30" spans="1:2">
      <c r="A30" s="1743" t="s">
        <v>1674</v>
      </c>
      <c r="B30" s="1743"/>
    </row>
    <row r="31" spans="1:2">
      <c r="A31" s="1743" t="s">
        <v>1675</v>
      </c>
      <c r="B31" s="1743"/>
    </row>
    <row r="32" spans="1:2">
      <c r="A32" s="1743" t="s">
        <v>1676</v>
      </c>
      <c r="B32" s="1743"/>
    </row>
    <row r="33" spans="1:2">
      <c r="A33" s="1743" t="s">
        <v>1677</v>
      </c>
      <c r="B33" s="1743"/>
    </row>
    <row r="34" spans="1:2">
      <c r="A34" s="1743" t="s">
        <v>1678</v>
      </c>
      <c r="B34" s="1743"/>
    </row>
    <row r="35" spans="1:2">
      <c r="A35" s="1743" t="s">
        <v>1679</v>
      </c>
      <c r="B35" s="1743" t="s">
        <v>1680</v>
      </c>
    </row>
    <row r="36" spans="1:2">
      <c r="A36" s="1743" t="s">
        <v>1681</v>
      </c>
      <c r="B36" s="1743" t="s">
        <v>1682</v>
      </c>
    </row>
    <row r="37" spans="1:2">
      <c r="A37" s="1743" t="s">
        <v>1683</v>
      </c>
      <c r="B37" s="1743" t="s">
        <v>1684</v>
      </c>
    </row>
    <row r="38" spans="1:2">
      <c r="A38" s="1743" t="s">
        <v>1685</v>
      </c>
      <c r="B38" s="1743" t="s">
        <v>1686</v>
      </c>
    </row>
    <row r="39" spans="1:2">
      <c r="A39" s="1743" t="s">
        <v>1687</v>
      </c>
      <c r="B39" s="1743" t="s">
        <v>1688</v>
      </c>
    </row>
    <row r="40" spans="1:2">
      <c r="A40" s="1743" t="s">
        <v>1689</v>
      </c>
      <c r="B40" s="1743" t="s">
        <v>1690</v>
      </c>
    </row>
    <row r="41" spans="1:2">
      <c r="A41" s="1743" t="s">
        <v>1691</v>
      </c>
      <c r="B41" s="1743" t="s">
        <v>1692</v>
      </c>
    </row>
    <row r="42" spans="1:2">
      <c r="A42" s="1743" t="s">
        <v>1693</v>
      </c>
      <c r="B42" s="1743"/>
    </row>
    <row r="43" spans="1:2">
      <c r="A43" s="1743" t="s">
        <v>1694</v>
      </c>
      <c r="B43" s="1743"/>
    </row>
    <row r="44" spans="1:2">
      <c r="A44" s="1743" t="s">
        <v>1695</v>
      </c>
      <c r="B44" s="1743" t="s">
        <v>1696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5E688B-7DB0-4CC4-9DD3-5B67AEA77A95}">
  <dimension ref="A1:A13"/>
  <sheetViews>
    <sheetView workbookViewId="0"/>
  </sheetViews>
  <sheetFormatPr defaultRowHeight="13.2"/>
  <cols>
    <col min="1" max="1" width="28.33203125" customWidth="1"/>
  </cols>
  <sheetData>
    <row r="1" spans="1:1">
      <c r="A1" s="1743" t="s">
        <v>1697</v>
      </c>
    </row>
    <row r="2" spans="1:1">
      <c r="A2" s="1743" t="s">
        <v>1698</v>
      </c>
    </row>
    <row r="3" spans="1:1">
      <c r="A3" s="1743" t="s">
        <v>1699</v>
      </c>
    </row>
    <row r="4" spans="1:1">
      <c r="A4" s="1743" t="s">
        <v>1700</v>
      </c>
    </row>
    <row r="5" spans="1:1">
      <c r="A5" s="1743" t="s">
        <v>1701</v>
      </c>
    </row>
    <row r="6" spans="1:1">
      <c r="A6" s="1743" t="s">
        <v>1702</v>
      </c>
    </row>
    <row r="7" spans="1:1">
      <c r="A7" s="1743" t="s">
        <v>1703</v>
      </c>
    </row>
    <row r="8" spans="1:1">
      <c r="A8" s="1743" t="s">
        <v>1704</v>
      </c>
    </row>
    <row r="9" spans="1:1">
      <c r="A9" s="1743" t="s">
        <v>1705</v>
      </c>
    </row>
    <row r="10" spans="1:1">
      <c r="A10" s="1743" t="s">
        <v>1706</v>
      </c>
    </row>
    <row r="11" spans="1:1">
      <c r="A11" s="1743" t="s">
        <v>1707</v>
      </c>
    </row>
    <row r="12" spans="1:1">
      <c r="A12" s="1743" t="s">
        <v>1708</v>
      </c>
    </row>
    <row r="13" spans="1:1">
      <c r="A13" s="1743" t="s">
        <v>1709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lk:Links xmlns:lk="thomsonreuters.linking.metadata"/>
</file>

<file path=customXml/item2.xml><?xml version="1.0" encoding="utf-8"?>
<lkmtd:Metadata xmlns:lkmtd="thomsonreuters.linking.metadatachange">
  <MetadataChanged>0</MetadataChanged>
</lkmtd:Metadata>
</file>

<file path=customXml/itemProps1.xml><?xml version="1.0" encoding="utf-8"?>
<ds:datastoreItem xmlns:ds="http://schemas.openxmlformats.org/officeDocument/2006/customXml" ds:itemID="{2DE9A977-AB52-4D74-AAE9-B9AD13931D46}">
  <ds:schemaRefs>
    <ds:schemaRef ds:uri="thomsonreuters.linking.metadata"/>
  </ds:schemaRefs>
</ds:datastoreItem>
</file>

<file path=customXml/itemProps2.xml><?xml version="1.0" encoding="utf-8"?>
<ds:datastoreItem xmlns:ds="http://schemas.openxmlformats.org/officeDocument/2006/customXml" ds:itemID="{E043AC61-F90B-4938-9331-BEEB1A5E03B4}">
  <ds:schemaRefs>
    <ds:schemaRef ds:uri="thomsonreuters.linking.metadatachang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35</vt:i4>
      </vt:variant>
    </vt:vector>
  </HeadingPairs>
  <TitlesOfParts>
    <vt:vector size="44" baseType="lpstr">
      <vt:lpstr>CircularReferenceAlert</vt:lpstr>
      <vt:lpstr>ImportantDisclosures</vt:lpstr>
      <vt:lpstr>SUMMARY</vt:lpstr>
      <vt:lpstr>MODEL</vt:lpstr>
      <vt:lpstr>Bull Bear</vt:lpstr>
      <vt:lpstr>Valuation</vt:lpstr>
      <vt:lpstr>Price Target</vt:lpstr>
      <vt:lpstr>IndexInformation</vt:lpstr>
      <vt:lpstr>ModPubIndex</vt:lpstr>
      <vt:lpstr>'Price Target'!Linking_1</vt:lpstr>
      <vt:lpstr>Linking_10</vt:lpstr>
      <vt:lpstr>Linking_11</vt:lpstr>
      <vt:lpstr>Linking_14</vt:lpstr>
      <vt:lpstr>Linking_15</vt:lpstr>
      <vt:lpstr>Linking_18</vt:lpstr>
      <vt:lpstr>Linking_19</vt:lpstr>
      <vt:lpstr>Linking_2</vt:lpstr>
      <vt:lpstr>Linking_20</vt:lpstr>
      <vt:lpstr>Linking_23</vt:lpstr>
      <vt:lpstr>Linking_26</vt:lpstr>
      <vt:lpstr>Linking_27</vt:lpstr>
      <vt:lpstr>Linking_29</vt:lpstr>
      <vt:lpstr>Linking_30</vt:lpstr>
      <vt:lpstr>Linking_33</vt:lpstr>
      <vt:lpstr>Linking_38</vt:lpstr>
      <vt:lpstr>Linking_40</vt:lpstr>
      <vt:lpstr>Linking_43</vt:lpstr>
      <vt:lpstr>Linking_48</vt:lpstr>
      <vt:lpstr>Linking_53</vt:lpstr>
      <vt:lpstr>Linking_55</vt:lpstr>
      <vt:lpstr>Linking_62</vt:lpstr>
      <vt:lpstr>Linking_7</vt:lpstr>
      <vt:lpstr>Linking_70</vt:lpstr>
      <vt:lpstr>Linking_76</vt:lpstr>
      <vt:lpstr>SUMMARY!Linking_Range_1</vt:lpstr>
      <vt:lpstr>SUMMARY!Linking_Range_13</vt:lpstr>
      <vt:lpstr>'Price Target'!Linking_Range_14</vt:lpstr>
      <vt:lpstr>SUMMARY!Linking_Range_16</vt:lpstr>
      <vt:lpstr>'Price Target'!Linking_Range_17</vt:lpstr>
      <vt:lpstr>Linking_Range_19</vt:lpstr>
      <vt:lpstr>SUMMARY!Linking_Range_5</vt:lpstr>
      <vt:lpstr>SUMMARY!Linking_Range_7</vt:lpstr>
      <vt:lpstr>SUMMARY!Linking_Range_9</vt:lpstr>
      <vt:lpstr>SUMMARY!Print_Area</vt:lpstr>
    </vt:vector>
  </TitlesOfParts>
  <Company>Morgan Stanley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igordays</dc:creator>
  <cp:lastModifiedBy>Hong, Sally (Research)</cp:lastModifiedBy>
  <cp:lastPrinted>2026-02-12T09:10:58Z</cp:lastPrinted>
  <dcterms:created xsi:type="dcterms:W3CDTF">2004-08-31T15:41:54Z</dcterms:created>
  <dcterms:modified xsi:type="dcterms:W3CDTF">2026-02-12T23:06:33Z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inkingAutoNameNumberLinking_Range_">
    <vt:lpwstr>21</vt:lpwstr>
  </property>
  <property fmtid="{D5CDD505-2E9C-101B-9397-08002B2CF9AE}" pid="3" name="MSIP_Label_07f119e6-c6cd-44b0-a5ee-ac1aff68c56e_Enabled">
    <vt:lpwstr>true</vt:lpwstr>
  </property>
  <property fmtid="{D5CDD505-2E9C-101B-9397-08002B2CF9AE}" pid="4" name="MSIP_Label_07f119e6-c6cd-44b0-a5ee-ac1aff68c56e_SetDate">
    <vt:lpwstr>2022-07-06T00:44:10Z</vt:lpwstr>
  </property>
  <property fmtid="{D5CDD505-2E9C-101B-9397-08002B2CF9AE}" pid="5" name="MSIP_Label_07f119e6-c6cd-44b0-a5ee-ac1aff68c56e_Method">
    <vt:lpwstr>Standard</vt:lpwstr>
  </property>
  <property fmtid="{D5CDD505-2E9C-101B-9397-08002B2CF9AE}" pid="6" name="MSIP_Label_07f119e6-c6cd-44b0-a5ee-ac1aff68c56e_Name">
    <vt:lpwstr>Confidential v1</vt:lpwstr>
  </property>
  <property fmtid="{D5CDD505-2E9C-101B-9397-08002B2CF9AE}" pid="7" name="MSIP_Label_07f119e6-c6cd-44b0-a5ee-ac1aff68c56e_SiteId">
    <vt:lpwstr>e29b8111-49f8-418d-ac2a-935335a52614</vt:lpwstr>
  </property>
  <property fmtid="{D5CDD505-2E9C-101B-9397-08002B2CF9AE}" pid="8" name="MSIP_Label_07f119e6-c6cd-44b0-a5ee-ac1aff68c56e_ActionId">
    <vt:lpwstr>0f16bde7-4649-4066-82a2-f71c61e4aa18</vt:lpwstr>
  </property>
  <property fmtid="{D5CDD505-2E9C-101B-9397-08002B2CF9AE}" pid="9" name="MSIP_Label_07f119e6-c6cd-44b0-a5ee-ac1aff68c56e_ContentBits">
    <vt:lpwstr>0</vt:lpwstr>
  </property>
  <property fmtid="{D5CDD505-2E9C-101B-9397-08002B2CF9AE}" pid="10" name="=fdsSearchOrder">
    <vt:i4>0</vt:i4>
  </property>
  <property fmtid="{D5CDD505-2E9C-101B-9397-08002B2CF9AE}" pid="11" name="ERModPubTicket">
    <vt:lpwstr>NA</vt:lpwstr>
  </property>
  <property fmtid="{D5CDD505-2E9C-101B-9397-08002B2CF9AE}" pid="12" name="ERModPubConfirmEmail">
    <vt:bool>false</vt:bool>
  </property>
  <property fmtid="{D5CDD505-2E9C-101B-9397-08002B2CF9AE}" pid="13" name="ERModPubUserEmail">
    <vt:lpwstr>hongsal@ms.com</vt:lpwstr>
  </property>
  <property fmtid="{D5CDD505-2E9C-101B-9397-08002B2CF9AE}" pid="14" name="ERModPubGCIMTagged">
    <vt:bool>true</vt:bool>
  </property>
  <property fmtid="{D5CDD505-2E9C-101B-9397-08002B2CF9AE}" pid="15" name="ERCompanyUploadState">
    <vt:lpwstr>P</vt:lpwstr>
  </property>
  <property fmtid="{D5CDD505-2E9C-101B-9397-08002B2CF9AE}" pid="16" name="ERModPubCurrentYear">
    <vt:i4>2026</vt:i4>
  </property>
  <property fmtid="{D5CDD505-2E9C-101B-9397-08002B2CF9AE}" pid="17" name="ModelId">
    <vt:lpwstr>9785628</vt:lpwstr>
  </property>
  <property fmtid="{D5CDD505-2E9C-101B-9397-08002B2CF9AE}" pid="18" name="ERModPubCompanyName">
    <vt:lpwstr>ANZ Banking Group</vt:lpwstr>
  </property>
</Properties>
</file>